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Y:\23-Jan-26\"/>
    </mc:Choice>
  </mc:AlternateContent>
  <bookViews>
    <workbookView xWindow="0" yWindow="0" windowWidth="25125" windowHeight="1221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NIFTY GRP" sheetId="9" r:id="rId16"/>
    <sheet name="Data Vlaue (Cr)" sheetId="1" r:id="rId17"/>
    <sheet name="Data shares" sheetId="4"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7">'Data shares'!$A$1:$FA$215</definedName>
    <definedName name="Expry_Roll___20" localSheetId="15">'NIFTY GRP'!$A$1:$EY$51</definedName>
    <definedName name="fii" localSheetId="18">FII!$A$1:$N$16</definedName>
    <definedName name="_xlnm.Print_Area" localSheetId="14">Disclaimar!$A$1:$A$24</definedName>
    <definedName name="stats__2" localSheetId="16">'Data Vlaue (Cr)'!$A$1:$FB$215</definedName>
  </definedNames>
  <calcPr calcId="162913" calcMode="manual"/>
</workbook>
</file>

<file path=xl/calcChain.xml><?xml version="1.0" encoding="utf-8"?>
<calcChain xmlns="http://schemas.openxmlformats.org/spreadsheetml/2006/main">
  <c r="A6" i="13" l="1"/>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C208" i="13" s="1"/>
  <c r="A209" i="13"/>
  <c r="A210" i="13"/>
  <c r="A211" i="13"/>
  <c r="A212" i="13"/>
  <c r="A213" i="13"/>
  <c r="A214" i="13"/>
  <c r="A215" i="13"/>
  <c r="A216" i="13"/>
  <c r="A217" i="13"/>
  <c r="A218" i="13"/>
  <c r="A219" i="13"/>
  <c r="A220" i="13"/>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D198" i="12" s="1"/>
  <c r="A199" i="12"/>
  <c r="F199" i="12" s="1"/>
  <c r="A200" i="12"/>
  <c r="A201" i="12"/>
  <c r="A202" i="12"/>
  <c r="A203" i="12"/>
  <c r="A204" i="12"/>
  <c r="A205" i="12"/>
  <c r="B205" i="12" s="1"/>
  <c r="A206" i="12"/>
  <c r="A207" i="12"/>
  <c r="A208" i="12"/>
  <c r="A209" i="12"/>
  <c r="J209" i="12" s="1"/>
  <c r="A210" i="12"/>
  <c r="A211" i="12"/>
  <c r="A212" i="12"/>
  <c r="A213" i="12"/>
  <c r="A214" i="12"/>
  <c r="B214" i="12" s="1"/>
  <c r="A215" i="12"/>
  <c r="A216" i="12"/>
  <c r="B216" i="12" s="1"/>
  <c r="A217" i="12"/>
  <c r="D217" i="12" s="1"/>
  <c r="A218" i="12"/>
  <c r="F218" i="12" s="1"/>
  <c r="A219" i="12"/>
  <c r="A220" i="12"/>
  <c r="J220" i="12" s="1"/>
  <c r="A221" i="12"/>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D189" i="11" s="1"/>
  <c r="A190" i="11"/>
  <c r="F190" i="11" s="1"/>
  <c r="A191" i="11"/>
  <c r="D191" i="11" s="1"/>
  <c r="A192" i="11"/>
  <c r="A193" i="11"/>
  <c r="L193" i="11" s="1"/>
  <c r="A194" i="11"/>
  <c r="N194" i="11" s="1"/>
  <c r="A195" i="11"/>
  <c r="H195" i="11" s="1"/>
  <c r="A196" i="11"/>
  <c r="A197" i="11"/>
  <c r="D197" i="11" s="1"/>
  <c r="A198" i="11"/>
  <c r="F198" i="11" s="1"/>
  <c r="A199" i="11"/>
  <c r="D199" i="11" s="1"/>
  <c r="A200" i="11"/>
  <c r="F200" i="11" s="1"/>
  <c r="A201" i="11"/>
  <c r="F201" i="11" s="1"/>
  <c r="A202" i="11"/>
  <c r="H202" i="11" s="1"/>
  <c r="A203" i="11"/>
  <c r="C203" i="11" s="1"/>
  <c r="A204" i="11"/>
  <c r="A205" i="11"/>
  <c r="C205" i="11" s="1"/>
  <c r="A206" i="11"/>
  <c r="D206" i="11" s="1"/>
  <c r="A207" i="11"/>
  <c r="C207" i="11" s="1"/>
  <c r="A208" i="11"/>
  <c r="A209" i="11"/>
  <c r="C209" i="11" s="1"/>
  <c r="A210" i="11"/>
  <c r="H210" i="11" s="1"/>
  <c r="A211" i="11"/>
  <c r="C211" i="11" s="1"/>
  <c r="A212" i="11"/>
  <c r="H212" i="11" s="1"/>
  <c r="A213" i="11"/>
  <c r="C213" i="11" s="1"/>
  <c r="A214" i="11"/>
  <c r="D214" i="11" s="1"/>
  <c r="A215" i="11"/>
  <c r="C215" i="11" s="1"/>
  <c r="A216" i="11"/>
  <c r="H216" i="11" s="1"/>
  <c r="A217" i="11"/>
  <c r="C217" i="11" s="1"/>
  <c r="A218" i="11"/>
  <c r="H218" i="11" s="1"/>
  <c r="A219" i="11"/>
  <c r="C219" i="11" s="1"/>
  <c r="A220" i="11"/>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O190" i="10" s="1"/>
  <c r="A191" i="10"/>
  <c r="E191" i="10" s="1"/>
  <c r="A192" i="10"/>
  <c r="G192" i="10" s="1"/>
  <c r="A193" i="10"/>
  <c r="E193" i="10" s="1"/>
  <c r="A194" i="10"/>
  <c r="G194" i="10" s="1"/>
  <c r="A195" i="10"/>
  <c r="M195" i="10" s="1"/>
  <c r="A196" i="10"/>
  <c r="O196" i="10" s="1"/>
  <c r="A197" i="10"/>
  <c r="I197" i="10" s="1"/>
  <c r="A198" i="10"/>
  <c r="O198" i="10" s="1"/>
  <c r="A199" i="10"/>
  <c r="E199" i="10" s="1"/>
  <c r="A200" i="10"/>
  <c r="G200" i="10" s="1"/>
  <c r="A201" i="10"/>
  <c r="E201" i="10" s="1"/>
  <c r="A202" i="10"/>
  <c r="G202" i="10" s="1"/>
  <c r="A203" i="10"/>
  <c r="M203" i="10" s="1"/>
  <c r="A204" i="10"/>
  <c r="O204" i="10" s="1"/>
  <c r="A205" i="10"/>
  <c r="I205" i="10" s="1"/>
  <c r="A206" i="10"/>
  <c r="O206" i="10" s="1"/>
  <c r="A207" i="10"/>
  <c r="E207" i="10" s="1"/>
  <c r="A208" i="10"/>
  <c r="A209" i="10"/>
  <c r="E209" i="10" s="1"/>
  <c r="A210" i="10"/>
  <c r="G210" i="10" s="1"/>
  <c r="A211" i="10"/>
  <c r="D211" i="10" s="1"/>
  <c r="A212" i="10"/>
  <c r="I212" i="10" s="1"/>
  <c r="A213" i="10"/>
  <c r="D213" i="10" s="1"/>
  <c r="A214" i="10"/>
  <c r="B214" i="10" s="1"/>
  <c r="A215" i="10"/>
  <c r="E215" i="10" s="1"/>
  <c r="A216" i="10"/>
  <c r="M216" i="10" s="1"/>
  <c r="A217" i="10"/>
  <c r="D217" i="10" s="1"/>
  <c r="A218" i="10"/>
  <c r="C218" i="10" s="1"/>
  <c r="A219" i="10"/>
  <c r="E219" i="10" s="1"/>
  <c r="A220" i="10"/>
  <c r="I220" i="10" s="1"/>
  <c r="A221" i="10"/>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C189" i="14" s="1"/>
  <c r="A190" i="14"/>
  <c r="B190" i="14" s="1"/>
  <c r="A191" i="14"/>
  <c r="E191" i="14" s="1"/>
  <c r="A192" i="14"/>
  <c r="A193" i="14"/>
  <c r="E193" i="14" s="1"/>
  <c r="A194" i="14"/>
  <c r="D194" i="14" s="1"/>
  <c r="A195" i="14"/>
  <c r="C195" i="14" s="1"/>
  <c r="A196" i="14"/>
  <c r="A197" i="14"/>
  <c r="C197" i="14" s="1"/>
  <c r="A198" i="14"/>
  <c r="B198" i="14" s="1"/>
  <c r="A199" i="14"/>
  <c r="E199" i="14" s="1"/>
  <c r="A200" i="14"/>
  <c r="A201" i="14"/>
  <c r="A202" i="14"/>
  <c r="D202" i="14" s="1"/>
  <c r="A203" i="14"/>
  <c r="C203" i="14" s="1"/>
  <c r="A204" i="14"/>
  <c r="A205" i="14"/>
  <c r="C205" i="14" s="1"/>
  <c r="A206" i="14"/>
  <c r="B206" i="14" s="1"/>
  <c r="A207" i="14"/>
  <c r="E207" i="14" s="1"/>
  <c r="A208" i="14"/>
  <c r="A209" i="14"/>
  <c r="B209" i="14" s="1"/>
  <c r="A210" i="14"/>
  <c r="B210" i="14" s="1"/>
  <c r="A211" i="14"/>
  <c r="E211" i="14" s="1"/>
  <c r="A212" i="14"/>
  <c r="A213" i="14"/>
  <c r="A214" i="14"/>
  <c r="E214" i="14" s="1"/>
  <c r="A215" i="14"/>
  <c r="D215" i="14" s="1"/>
  <c r="A216" i="14"/>
  <c r="A217" i="14"/>
  <c r="E217" i="14" s="1"/>
  <c r="A218" i="14"/>
  <c r="E218" i="14" s="1"/>
  <c r="A219" i="14"/>
  <c r="D219" i="14" s="1"/>
  <c r="A220" i="14"/>
  <c r="F143" i="18"/>
  <c r="F208" i="18"/>
  <c r="F210" i="18"/>
  <c r="F212" i="18"/>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K211" i="6" s="1"/>
  <c r="A212" i="6"/>
  <c r="C212" i="6" s="1"/>
  <c r="A213" i="6"/>
  <c r="E213" i="6" s="1"/>
  <c r="A214" i="6"/>
  <c r="C214" i="6" s="1"/>
  <c r="A215" i="6"/>
  <c r="E215" i="6" s="1"/>
  <c r="A216" i="6"/>
  <c r="C216" i="6" s="1"/>
  <c r="A217" i="6"/>
  <c r="E217" i="6" s="1"/>
  <c r="A218" i="6"/>
  <c r="C218" i="6" s="1"/>
  <c r="A219" i="6"/>
  <c r="E219" i="6" s="1"/>
  <c r="A220" i="6"/>
  <c r="C220" i="6" s="1"/>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H190" i="7" s="1"/>
  <c r="A191" i="7"/>
  <c r="N191" i="7" s="1"/>
  <c r="A192" i="7"/>
  <c r="H192" i="7" s="1"/>
  <c r="A193" i="7"/>
  <c r="A194" i="7"/>
  <c r="A195" i="7"/>
  <c r="F195" i="7" s="1"/>
  <c r="A196" i="7"/>
  <c r="L196" i="7" s="1"/>
  <c r="A197" i="7"/>
  <c r="J197" i="7" s="1"/>
  <c r="A198" i="7"/>
  <c r="H198" i="7" s="1"/>
  <c r="A199" i="7"/>
  <c r="N199" i="7" s="1"/>
  <c r="A200" i="7"/>
  <c r="D200" i="7" s="1"/>
  <c r="A201" i="7"/>
  <c r="A202" i="7"/>
  <c r="D202" i="7" s="1"/>
  <c r="A203" i="7"/>
  <c r="F203" i="7" s="1"/>
  <c r="A204" i="7"/>
  <c r="L204" i="7" s="1"/>
  <c r="A205" i="7"/>
  <c r="J205" i="7" s="1"/>
  <c r="A206" i="7"/>
  <c r="H206" i="7" s="1"/>
  <c r="A207" i="7"/>
  <c r="J207" i="7" s="1"/>
  <c r="A208" i="7"/>
  <c r="F208" i="7" s="1"/>
  <c r="A209" i="7"/>
  <c r="E209" i="7" s="1"/>
  <c r="A210" i="7"/>
  <c r="F210" i="7" s="1"/>
  <c r="A211" i="7"/>
  <c r="B211" i="7" s="1"/>
  <c r="A212" i="7"/>
  <c r="D212" i="7" s="1"/>
  <c r="A213" i="7"/>
  <c r="E213" i="7" s="1"/>
  <c r="A214" i="7"/>
  <c r="A215" i="7"/>
  <c r="A216" i="7"/>
  <c r="K216" i="7" s="1"/>
  <c r="A217" i="7"/>
  <c r="E217" i="7" s="1"/>
  <c r="A218" i="7"/>
  <c r="A219" i="7"/>
  <c r="M219" i="7" s="1"/>
  <c r="A220" i="7"/>
  <c r="G220" i="7" s="1"/>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C189" i="3" s="1"/>
  <c r="A190" i="3"/>
  <c r="G190" i="3" s="1"/>
  <c r="A191" i="3"/>
  <c r="N191" i="3" s="1"/>
  <c r="A192" i="3"/>
  <c r="A193" i="3"/>
  <c r="C193" i="3" s="1"/>
  <c r="A194" i="3"/>
  <c r="C194" i="3" s="1"/>
  <c r="A195" i="3"/>
  <c r="N195" i="3" s="1"/>
  <c r="A196" i="3"/>
  <c r="I196" i="3" s="1"/>
  <c r="A197" i="3"/>
  <c r="C197" i="3" s="1"/>
  <c r="A198" i="3"/>
  <c r="G198" i="3" s="1"/>
  <c r="A199" i="3"/>
  <c r="D199" i="3" s="1"/>
  <c r="A200" i="3"/>
  <c r="I200" i="3" s="1"/>
  <c r="A201" i="3"/>
  <c r="C201" i="3" s="1"/>
  <c r="A202" i="3"/>
  <c r="L202" i="3" s="1"/>
  <c r="A203" i="3"/>
  <c r="I203" i="3" s="1"/>
  <c r="A204" i="3"/>
  <c r="A205" i="3"/>
  <c r="C205" i="3" s="1"/>
  <c r="A206" i="3"/>
  <c r="P206" i="3" s="1"/>
  <c r="A207" i="3"/>
  <c r="I207" i="3" s="1"/>
  <c r="A208" i="3"/>
  <c r="B208" i="3" s="1"/>
  <c r="A209" i="3"/>
  <c r="C209" i="3" s="1"/>
  <c r="A210" i="3"/>
  <c r="L210" i="3" s="1"/>
  <c r="A211" i="3"/>
  <c r="M211" i="3" s="1"/>
  <c r="A212" i="3"/>
  <c r="O212" i="3" s="1"/>
  <c r="A213" i="3"/>
  <c r="C213" i="3" s="1"/>
  <c r="A214" i="3"/>
  <c r="C214" i="3" s="1"/>
  <c r="A215" i="3"/>
  <c r="N215" i="3" s="1"/>
  <c r="A216" i="3"/>
  <c r="A217" i="3"/>
  <c r="C217" i="3" s="1"/>
  <c r="A218" i="3"/>
  <c r="D218" i="3" s="1"/>
  <c r="A219" i="3"/>
  <c r="B219" i="3" s="1"/>
  <c r="A220" i="3"/>
  <c r="C220" i="3" s="1"/>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R195" i="2" s="1"/>
  <c r="A196" i="2"/>
  <c r="A197" i="2"/>
  <c r="Q197" i="2" s="1"/>
  <c r="A198" i="2"/>
  <c r="C198" i="2" s="1"/>
  <c r="A199" i="2"/>
  <c r="H199" i="2" s="1"/>
  <c r="A200" i="2"/>
  <c r="A201" i="2"/>
  <c r="A202" i="2"/>
  <c r="M202" i="2" s="1"/>
  <c r="A203" i="2"/>
  <c r="E203" i="2" s="1"/>
  <c r="A204" i="2"/>
  <c r="A205" i="2"/>
  <c r="M205" i="2" s="1"/>
  <c r="A206" i="2"/>
  <c r="A207" i="2"/>
  <c r="C207" i="2" s="1"/>
  <c r="A208" i="2"/>
  <c r="E208" i="2" s="1"/>
  <c r="A209" i="2"/>
  <c r="B209" i="2" s="1"/>
  <c r="A210" i="2"/>
  <c r="L210" i="2" s="1"/>
  <c r="A211" i="2"/>
  <c r="R211" i="2" s="1"/>
  <c r="A212" i="2"/>
  <c r="A213" i="2"/>
  <c r="I213" i="2" s="1"/>
  <c r="A214" i="2"/>
  <c r="C214" i="2" s="1"/>
  <c r="A215" i="2"/>
  <c r="H215" i="2" s="1"/>
  <c r="A216" i="2"/>
  <c r="A217" i="2"/>
  <c r="R217" i="2" s="1"/>
  <c r="A218" i="2"/>
  <c r="E218" i="2" s="1"/>
  <c r="A219" i="2"/>
  <c r="E219" i="2" s="1"/>
  <c r="A220" i="2"/>
  <c r="Q220" i="2" s="1"/>
  <c r="A221" i="2"/>
  <c r="D221" i="2" s="1"/>
  <c r="A222" i="2"/>
  <c r="C222" i="2" s="1"/>
  <c r="A223" i="2"/>
  <c r="C223" i="2" s="1"/>
  <c r="L207" i="7" l="1"/>
  <c r="I201" i="10"/>
  <c r="C215" i="2"/>
  <c r="D203" i="3"/>
  <c r="D214" i="14"/>
  <c r="F215" i="11"/>
  <c r="C210" i="3"/>
  <c r="L218" i="3"/>
  <c r="Q195" i="3"/>
  <c r="E198" i="14"/>
  <c r="I218" i="10"/>
  <c r="F209" i="11"/>
  <c r="G214" i="3"/>
  <c r="M191" i="3"/>
  <c r="M211" i="7"/>
  <c r="E214" i="10"/>
  <c r="J200" i="11"/>
  <c r="N219" i="3"/>
  <c r="Q215" i="3"/>
  <c r="N211" i="3"/>
  <c r="M207" i="3"/>
  <c r="Q199" i="3"/>
  <c r="E211" i="7"/>
  <c r="E210" i="14"/>
  <c r="G210" i="14" s="1"/>
  <c r="C194" i="14"/>
  <c r="O217" i="10"/>
  <c r="C213" i="10"/>
  <c r="K194" i="10"/>
  <c r="J213" i="11"/>
  <c r="B207" i="11"/>
  <c r="M219" i="3"/>
  <c r="L194" i="3"/>
  <c r="O212" i="7"/>
  <c r="D192" i="7"/>
  <c r="E206" i="14"/>
  <c r="E190" i="14"/>
  <c r="G190" i="14" s="1"/>
  <c r="K219" i="10"/>
  <c r="H215" i="10"/>
  <c r="C211" i="10"/>
  <c r="J219" i="11"/>
  <c r="F205" i="11"/>
  <c r="P218" i="3"/>
  <c r="P214" i="3"/>
  <c r="P198" i="3"/>
  <c r="G212" i="7"/>
  <c r="K208" i="7"/>
  <c r="D218" i="14"/>
  <c r="C202" i="14"/>
  <c r="C219" i="10"/>
  <c r="N214" i="10"/>
  <c r="J217" i="11"/>
  <c r="F211" i="11"/>
  <c r="B203" i="11"/>
  <c r="C216" i="3"/>
  <c r="F216" i="3"/>
  <c r="O216" i="3"/>
  <c r="C204" i="3"/>
  <c r="I204" i="3"/>
  <c r="C192" i="3"/>
  <c r="J192" i="3"/>
  <c r="I212" i="3"/>
  <c r="F208" i="3"/>
  <c r="J196" i="3"/>
  <c r="K196" i="3" s="1"/>
  <c r="B220" i="14"/>
  <c r="E220" i="14"/>
  <c r="C212" i="14"/>
  <c r="B212" i="14"/>
  <c r="F212" i="14"/>
  <c r="E204" i="14"/>
  <c r="D204" i="14"/>
  <c r="E196" i="14"/>
  <c r="D196" i="14"/>
  <c r="E188" i="14"/>
  <c r="D188" i="14"/>
  <c r="B215" i="3"/>
  <c r="M215" i="3"/>
  <c r="B211" i="3"/>
  <c r="I211" i="3"/>
  <c r="B207" i="3"/>
  <c r="D207" i="3"/>
  <c r="Q207" i="3"/>
  <c r="B203" i="3"/>
  <c r="N203" i="3"/>
  <c r="B199" i="3"/>
  <c r="M199" i="3"/>
  <c r="B195" i="3"/>
  <c r="I195" i="3"/>
  <c r="B191" i="3"/>
  <c r="D191" i="3"/>
  <c r="Q191" i="3"/>
  <c r="N220" i="3"/>
  <c r="B220" i="3"/>
  <c r="I219" i="3"/>
  <c r="G218" i="3"/>
  <c r="I216" i="3"/>
  <c r="I215" i="3"/>
  <c r="F212" i="3"/>
  <c r="D211" i="3"/>
  <c r="O208" i="3"/>
  <c r="N204" i="3"/>
  <c r="Q203" i="3"/>
  <c r="J200" i="3"/>
  <c r="K200" i="3" s="1"/>
  <c r="N199" i="3"/>
  <c r="M195" i="3"/>
  <c r="F192" i="3"/>
  <c r="I191" i="3"/>
  <c r="D220" i="7"/>
  <c r="B220" i="7"/>
  <c r="J220" i="7"/>
  <c r="C220" i="7"/>
  <c r="K220" i="7"/>
  <c r="F220" i="7"/>
  <c r="N220" i="7"/>
  <c r="D216" i="7"/>
  <c r="F216" i="7"/>
  <c r="N216" i="7"/>
  <c r="G216" i="7"/>
  <c r="O216" i="7"/>
  <c r="B216" i="7"/>
  <c r="J216" i="7"/>
  <c r="C216" i="7"/>
  <c r="E216" i="10"/>
  <c r="C208" i="3"/>
  <c r="J208" i="3"/>
  <c r="C196" i="3"/>
  <c r="B196" i="3"/>
  <c r="N196" i="3"/>
  <c r="C216" i="14"/>
  <c r="B216" i="14"/>
  <c r="F216" i="14"/>
  <c r="D208" i="14"/>
  <c r="C208" i="14"/>
  <c r="C200" i="14"/>
  <c r="B200" i="14"/>
  <c r="F200" i="14"/>
  <c r="C192" i="14"/>
  <c r="B192" i="14"/>
  <c r="F192" i="14"/>
  <c r="D214" i="3"/>
  <c r="E214" i="3" s="1"/>
  <c r="L214" i="3"/>
  <c r="D210" i="3"/>
  <c r="E210" i="3" s="1"/>
  <c r="G210" i="3"/>
  <c r="D206" i="3"/>
  <c r="C206" i="3"/>
  <c r="D202" i="3"/>
  <c r="P202" i="3"/>
  <c r="D198" i="3"/>
  <c r="L198" i="3"/>
  <c r="D194" i="3"/>
  <c r="E194" i="3" s="1"/>
  <c r="G194" i="3"/>
  <c r="D190" i="3"/>
  <c r="C190" i="3"/>
  <c r="J220" i="3"/>
  <c r="Q219" i="3"/>
  <c r="D219" i="3"/>
  <c r="C218" i="3"/>
  <c r="E218" i="3" s="1"/>
  <c r="B216" i="3"/>
  <c r="D215" i="3"/>
  <c r="Q211" i="3"/>
  <c r="P210" i="3"/>
  <c r="N208" i="3"/>
  <c r="N207" i="3"/>
  <c r="L206" i="3"/>
  <c r="J204" i="3"/>
  <c r="M203" i="3"/>
  <c r="G202" i="3"/>
  <c r="I199" i="3"/>
  <c r="C198" i="3"/>
  <c r="F196" i="3"/>
  <c r="D195" i="3"/>
  <c r="O192" i="3"/>
  <c r="B192" i="3"/>
  <c r="P190" i="3"/>
  <c r="B219" i="7"/>
  <c r="H219" i="7"/>
  <c r="I219" i="7"/>
  <c r="D219" i="7"/>
  <c r="L219" i="7"/>
  <c r="B215" i="7"/>
  <c r="D215" i="7"/>
  <c r="L215" i="7"/>
  <c r="E215" i="7"/>
  <c r="M215" i="7"/>
  <c r="H215" i="7"/>
  <c r="E219" i="7"/>
  <c r="I215" i="7"/>
  <c r="E220" i="11"/>
  <c r="D220" i="11"/>
  <c r="H220" i="11"/>
  <c r="E216" i="11"/>
  <c r="L216" i="11"/>
  <c r="D216" i="11"/>
  <c r="E212" i="11"/>
  <c r="L212" i="11"/>
  <c r="D212" i="11"/>
  <c r="E208" i="11"/>
  <c r="H208" i="11"/>
  <c r="L208" i="11"/>
  <c r="E204" i="11"/>
  <c r="H204" i="11"/>
  <c r="L204" i="11"/>
  <c r="N196" i="11"/>
  <c r="B196" i="11"/>
  <c r="F192" i="11"/>
  <c r="J192" i="11"/>
  <c r="D219" i="12"/>
  <c r="H219" i="12"/>
  <c r="L220" i="11"/>
  <c r="D204" i="11"/>
  <c r="C212" i="3"/>
  <c r="B212" i="3"/>
  <c r="N212" i="3"/>
  <c r="C200" i="3"/>
  <c r="F200" i="3"/>
  <c r="O200" i="3"/>
  <c r="O220" i="3"/>
  <c r="F220" i="3"/>
  <c r="J216" i="3"/>
  <c r="O204" i="3"/>
  <c r="B204" i="3"/>
  <c r="N200" i="3"/>
  <c r="I192" i="3"/>
  <c r="I220" i="3"/>
  <c r="N216" i="3"/>
  <c r="J212" i="3"/>
  <c r="I208" i="3"/>
  <c r="G206" i="3"/>
  <c r="F204" i="3"/>
  <c r="C202" i="3"/>
  <c r="E202" i="3" s="1"/>
  <c r="B200" i="3"/>
  <c r="O196" i="3"/>
  <c r="P194" i="3"/>
  <c r="N192" i="3"/>
  <c r="L190" i="3"/>
  <c r="C218" i="7"/>
  <c r="J218" i="7"/>
  <c r="N218" i="7"/>
  <c r="B218" i="7"/>
  <c r="C214" i="7"/>
  <c r="B214" i="7"/>
  <c r="F214" i="7"/>
  <c r="J214" i="7"/>
  <c r="C210" i="7"/>
  <c r="J210" i="7"/>
  <c r="N210" i="7"/>
  <c r="B210" i="7"/>
  <c r="D194" i="7"/>
  <c r="H194" i="7"/>
  <c r="H194" i="12" s="1"/>
  <c r="O220" i="7"/>
  <c r="F218" i="7"/>
  <c r="N214" i="7"/>
  <c r="H202" i="7"/>
  <c r="H202" i="12" s="1"/>
  <c r="D208" i="11"/>
  <c r="N212" i="7"/>
  <c r="F212" i="7"/>
  <c r="L211" i="7"/>
  <c r="D211" i="7"/>
  <c r="J208" i="7"/>
  <c r="B207" i="7"/>
  <c r="H200" i="7"/>
  <c r="H200" i="12" s="1"/>
  <c r="J195" i="7"/>
  <c r="B191" i="7"/>
  <c r="F209" i="14"/>
  <c r="H219" i="10"/>
  <c r="N218" i="10"/>
  <c r="F218" i="10"/>
  <c r="K217" i="10"/>
  <c r="O215" i="10"/>
  <c r="G215" i="10"/>
  <c r="M214" i="10"/>
  <c r="O213" i="10"/>
  <c r="O211" i="10"/>
  <c r="M210" i="10"/>
  <c r="C206" i="10"/>
  <c r="I193" i="10"/>
  <c r="F219" i="11"/>
  <c r="F217" i="11"/>
  <c r="B215" i="11"/>
  <c r="F213" i="11"/>
  <c r="B211" i="11"/>
  <c r="B209" i="11"/>
  <c r="N207" i="11"/>
  <c r="H206" i="11"/>
  <c r="B205" i="11"/>
  <c r="N203" i="11"/>
  <c r="N201" i="11"/>
  <c r="H199" i="11"/>
  <c r="K212" i="7"/>
  <c r="C212" i="7"/>
  <c r="I211" i="7"/>
  <c r="O208" i="7"/>
  <c r="G208" i="7"/>
  <c r="G198" i="14"/>
  <c r="F203" i="14"/>
  <c r="F195" i="14"/>
  <c r="O219" i="10"/>
  <c r="G219" i="10"/>
  <c r="M218" i="10"/>
  <c r="E218" i="10"/>
  <c r="G217" i="10"/>
  <c r="L215" i="10"/>
  <c r="D215" i="10"/>
  <c r="J214" i="10"/>
  <c r="K213" i="10"/>
  <c r="K211" i="10"/>
  <c r="H210" i="10"/>
  <c r="C198" i="10"/>
  <c r="B219" i="11"/>
  <c r="B217" i="11"/>
  <c r="N215" i="11"/>
  <c r="H214" i="11"/>
  <c r="B213" i="11"/>
  <c r="N211" i="11"/>
  <c r="N209" i="11"/>
  <c r="J207" i="11"/>
  <c r="N205" i="11"/>
  <c r="J203" i="11"/>
  <c r="J201" i="11"/>
  <c r="J212" i="7"/>
  <c r="B212" i="7"/>
  <c r="H211" i="7"/>
  <c r="N208" i="7"/>
  <c r="J203" i="7"/>
  <c r="B199" i="7"/>
  <c r="C219" i="14"/>
  <c r="C215" i="14"/>
  <c r="D211" i="14"/>
  <c r="D207" i="14"/>
  <c r="B203" i="14"/>
  <c r="D199" i="14"/>
  <c r="B195" i="14"/>
  <c r="D191" i="14"/>
  <c r="L219" i="10"/>
  <c r="D219" i="10"/>
  <c r="J218" i="10"/>
  <c r="B218" i="10"/>
  <c r="C217" i="10"/>
  <c r="K215" i="10"/>
  <c r="C215" i="10"/>
  <c r="I214" i="10"/>
  <c r="G213" i="10"/>
  <c r="G211" i="10"/>
  <c r="I209" i="10"/>
  <c r="K202" i="10"/>
  <c r="C190" i="10"/>
  <c r="N219" i="11"/>
  <c r="N217" i="11"/>
  <c r="J215" i="11"/>
  <c r="N213" i="11"/>
  <c r="J211" i="11"/>
  <c r="J209" i="11"/>
  <c r="F207" i="11"/>
  <c r="J205" i="11"/>
  <c r="F203" i="11"/>
  <c r="H191" i="11"/>
  <c r="O217" i="3"/>
  <c r="J217" i="3"/>
  <c r="F217" i="3"/>
  <c r="B217" i="3"/>
  <c r="O213" i="3"/>
  <c r="J213" i="3"/>
  <c r="F213" i="3"/>
  <c r="B213" i="3"/>
  <c r="J209" i="3"/>
  <c r="J205" i="3"/>
  <c r="F205" i="3"/>
  <c r="B205" i="3"/>
  <c r="J201" i="3"/>
  <c r="J189" i="3"/>
  <c r="F189" i="3"/>
  <c r="C201" i="7"/>
  <c r="G201" i="7"/>
  <c r="K201" i="7"/>
  <c r="J201" i="12" s="1"/>
  <c r="O201" i="7"/>
  <c r="D201" i="7"/>
  <c r="H201" i="7"/>
  <c r="H201" i="12" s="1"/>
  <c r="L201" i="7"/>
  <c r="K201" i="12" s="1"/>
  <c r="E201" i="7"/>
  <c r="I201" i="7"/>
  <c r="I201" i="12" s="1"/>
  <c r="M201" i="7"/>
  <c r="C193" i="7"/>
  <c r="G193" i="7"/>
  <c r="K193" i="7"/>
  <c r="J193" i="12" s="1"/>
  <c r="O193" i="7"/>
  <c r="D193" i="7"/>
  <c r="H193" i="7"/>
  <c r="H193" i="12" s="1"/>
  <c r="L193" i="7"/>
  <c r="K193" i="12" s="1"/>
  <c r="E193" i="7"/>
  <c r="I193" i="7"/>
  <c r="I193" i="12" s="1"/>
  <c r="M193" i="7"/>
  <c r="L217" i="7"/>
  <c r="H217" i="7"/>
  <c r="D217" i="7"/>
  <c r="L209" i="7"/>
  <c r="H209" i="7"/>
  <c r="D209" i="7"/>
  <c r="N205" i="7"/>
  <c r="Q220" i="3"/>
  <c r="M220" i="3"/>
  <c r="D220" i="3"/>
  <c r="E220" i="3" s="1"/>
  <c r="P219" i="3"/>
  <c r="L219" i="3"/>
  <c r="G219" i="3"/>
  <c r="C219" i="3"/>
  <c r="E219" i="3" s="1"/>
  <c r="O218" i="3"/>
  <c r="J218" i="3"/>
  <c r="F218" i="3"/>
  <c r="B218" i="3"/>
  <c r="N217" i="3"/>
  <c r="I217" i="3"/>
  <c r="Q216" i="3"/>
  <c r="M216" i="3"/>
  <c r="D216" i="3"/>
  <c r="P215" i="3"/>
  <c r="L215" i="3"/>
  <c r="G215" i="3"/>
  <c r="C215" i="3"/>
  <c r="O214" i="3"/>
  <c r="J214" i="3"/>
  <c r="F214" i="3"/>
  <c r="H214" i="3" s="1"/>
  <c r="B214" i="3"/>
  <c r="N213" i="3"/>
  <c r="I213" i="3"/>
  <c r="Q212" i="3"/>
  <c r="M212" i="3"/>
  <c r="D212" i="3"/>
  <c r="E212" i="3" s="1"/>
  <c r="P211" i="3"/>
  <c r="L211" i="3"/>
  <c r="G211" i="3"/>
  <c r="C211" i="3"/>
  <c r="E211" i="3" s="1"/>
  <c r="O210" i="3"/>
  <c r="J210" i="3"/>
  <c r="F210" i="3"/>
  <c r="B210" i="3"/>
  <c r="N209" i="3"/>
  <c r="I209" i="3"/>
  <c r="K209" i="3" s="1"/>
  <c r="Q208" i="3"/>
  <c r="M208" i="3"/>
  <c r="D208" i="3"/>
  <c r="P207" i="3"/>
  <c r="L207" i="3"/>
  <c r="G207" i="3"/>
  <c r="C207" i="3"/>
  <c r="O206" i="3"/>
  <c r="J206" i="3"/>
  <c r="F206" i="3"/>
  <c r="B206" i="3"/>
  <c r="N205" i="3"/>
  <c r="I205" i="3"/>
  <c r="Q204" i="3"/>
  <c r="M204" i="3"/>
  <c r="D204" i="3"/>
  <c r="P203" i="3"/>
  <c r="L203" i="3"/>
  <c r="G203" i="3"/>
  <c r="C203" i="3"/>
  <c r="E203" i="3" s="1"/>
  <c r="O202" i="3"/>
  <c r="J202" i="3"/>
  <c r="F202" i="3"/>
  <c r="B202" i="3"/>
  <c r="N201" i="3"/>
  <c r="I201" i="3"/>
  <c r="Q200" i="3"/>
  <c r="M200" i="3"/>
  <c r="D200" i="3"/>
  <c r="P199" i="3"/>
  <c r="L199" i="3"/>
  <c r="G199" i="3"/>
  <c r="C199" i="3"/>
  <c r="E199" i="3" s="1"/>
  <c r="O198" i="3"/>
  <c r="J198" i="3"/>
  <c r="F198" i="3"/>
  <c r="H198" i="3" s="1"/>
  <c r="B198" i="3"/>
  <c r="N197" i="3"/>
  <c r="I197" i="3"/>
  <c r="Q196" i="3"/>
  <c r="M196" i="3"/>
  <c r="D196" i="3"/>
  <c r="P195" i="3"/>
  <c r="L195" i="3"/>
  <c r="G195" i="3"/>
  <c r="C195" i="3"/>
  <c r="E195" i="3" s="1"/>
  <c r="O194" i="3"/>
  <c r="J194" i="3"/>
  <c r="F194" i="3"/>
  <c r="B194" i="3"/>
  <c r="N193" i="3"/>
  <c r="I193" i="3"/>
  <c r="Q192" i="3"/>
  <c r="M192" i="3"/>
  <c r="D192" i="3"/>
  <c r="P191" i="3"/>
  <c r="L191" i="3"/>
  <c r="G191" i="3"/>
  <c r="C191" i="3"/>
  <c r="O190" i="3"/>
  <c r="J190" i="3"/>
  <c r="F190" i="3"/>
  <c r="H190" i="3" s="1"/>
  <c r="B190" i="3"/>
  <c r="N189" i="3"/>
  <c r="I189" i="3"/>
  <c r="E208" i="7"/>
  <c r="C208" i="7"/>
  <c r="E204" i="7"/>
  <c r="I204" i="7"/>
  <c r="I204" i="12" s="1"/>
  <c r="M204" i="7"/>
  <c r="B204" i="7"/>
  <c r="F204" i="7"/>
  <c r="J204" i="7"/>
  <c r="N204" i="7"/>
  <c r="C204" i="7"/>
  <c r="G204" i="7"/>
  <c r="K204" i="7"/>
  <c r="J204" i="12" s="1"/>
  <c r="O204" i="7"/>
  <c r="E200" i="7"/>
  <c r="I200" i="7"/>
  <c r="I200" i="12" s="1"/>
  <c r="M200" i="7"/>
  <c r="B200" i="7"/>
  <c r="F200" i="7"/>
  <c r="J200" i="7"/>
  <c r="N200" i="7"/>
  <c r="C200" i="7"/>
  <c r="G200" i="7"/>
  <c r="K200" i="7"/>
  <c r="J200" i="12" s="1"/>
  <c r="O200" i="7"/>
  <c r="E196" i="7"/>
  <c r="I196" i="7"/>
  <c r="I196" i="12" s="1"/>
  <c r="M196" i="7"/>
  <c r="B196" i="7"/>
  <c r="F196" i="7"/>
  <c r="J196" i="7"/>
  <c r="N196" i="7"/>
  <c r="C196" i="7"/>
  <c r="G196" i="7"/>
  <c r="K196" i="7"/>
  <c r="O196" i="7"/>
  <c r="E192" i="7"/>
  <c r="I192" i="7"/>
  <c r="I192" i="12" s="1"/>
  <c r="M192" i="7"/>
  <c r="B192" i="7"/>
  <c r="F192" i="7"/>
  <c r="J192" i="7"/>
  <c r="N192" i="7"/>
  <c r="C192" i="7"/>
  <c r="G192" i="7"/>
  <c r="K192" i="7"/>
  <c r="J192" i="12" s="1"/>
  <c r="O192" i="7"/>
  <c r="M220" i="7"/>
  <c r="I220" i="7"/>
  <c r="E220" i="7"/>
  <c r="O219" i="7"/>
  <c r="K219" i="7"/>
  <c r="G219" i="7"/>
  <c r="C219" i="7"/>
  <c r="M218" i="7"/>
  <c r="I218" i="7"/>
  <c r="E218" i="7"/>
  <c r="O217" i="7"/>
  <c r="K217" i="7"/>
  <c r="G217" i="7"/>
  <c r="C217" i="7"/>
  <c r="M216" i="7"/>
  <c r="I216" i="7"/>
  <c r="E216" i="7"/>
  <c r="O215" i="7"/>
  <c r="K215" i="7"/>
  <c r="G215" i="7"/>
  <c r="C215" i="7"/>
  <c r="M214" i="7"/>
  <c r="I214" i="7"/>
  <c r="E214" i="7"/>
  <c r="O213" i="7"/>
  <c r="K213" i="7"/>
  <c r="G213" i="7"/>
  <c r="C213" i="7"/>
  <c r="M212" i="7"/>
  <c r="I212" i="7"/>
  <c r="E212" i="7"/>
  <c r="O211" i="7"/>
  <c r="K211" i="7"/>
  <c r="G211" i="7"/>
  <c r="C211" i="7"/>
  <c r="M210" i="7"/>
  <c r="I210" i="7"/>
  <c r="E210" i="7"/>
  <c r="O209" i="7"/>
  <c r="K209" i="7"/>
  <c r="G209" i="7"/>
  <c r="C209" i="7"/>
  <c r="M208" i="7"/>
  <c r="I208" i="7"/>
  <c r="D208" i="7"/>
  <c r="L206" i="7"/>
  <c r="K206" i="12" s="1"/>
  <c r="H204" i="7"/>
  <c r="H204" i="12" s="1"/>
  <c r="B201" i="7"/>
  <c r="L198" i="7"/>
  <c r="K198" i="12" s="1"/>
  <c r="H196" i="7"/>
  <c r="H196" i="12" s="1"/>
  <c r="B193" i="7"/>
  <c r="L190" i="7"/>
  <c r="M220" i="10"/>
  <c r="M212" i="10"/>
  <c r="O209" i="3"/>
  <c r="F209" i="3"/>
  <c r="B209" i="3"/>
  <c r="O201" i="3"/>
  <c r="F201" i="3"/>
  <c r="B201" i="3"/>
  <c r="O197" i="3"/>
  <c r="J197" i="3"/>
  <c r="F197" i="3"/>
  <c r="B197" i="3"/>
  <c r="O193" i="3"/>
  <c r="J193" i="3"/>
  <c r="F193" i="3"/>
  <c r="B193" i="3"/>
  <c r="O189" i="3"/>
  <c r="B189" i="3"/>
  <c r="C205" i="7"/>
  <c r="G205" i="7"/>
  <c r="K205" i="7"/>
  <c r="J205" i="12" s="1"/>
  <c r="O205" i="7"/>
  <c r="D205" i="7"/>
  <c r="H205" i="7"/>
  <c r="H205" i="12" s="1"/>
  <c r="L205" i="7"/>
  <c r="K205" i="12" s="1"/>
  <c r="E205" i="7"/>
  <c r="I205" i="7"/>
  <c r="I205" i="12" s="1"/>
  <c r="M205" i="7"/>
  <c r="C197" i="7"/>
  <c r="G197" i="7"/>
  <c r="K197" i="7"/>
  <c r="O197" i="7"/>
  <c r="D197" i="7"/>
  <c r="H197" i="7"/>
  <c r="L197" i="7"/>
  <c r="K197" i="12" s="1"/>
  <c r="E197" i="7"/>
  <c r="I197" i="7"/>
  <c r="I197" i="12" s="1"/>
  <c r="M197" i="7"/>
  <c r="L213" i="7"/>
  <c r="H213" i="7"/>
  <c r="D213" i="7"/>
  <c r="F201" i="7"/>
  <c r="N197" i="7"/>
  <c r="F193" i="7"/>
  <c r="P220" i="3"/>
  <c r="L220" i="3"/>
  <c r="G220" i="3"/>
  <c r="O219" i="3"/>
  <c r="J219" i="3"/>
  <c r="F219" i="3"/>
  <c r="N218" i="3"/>
  <c r="I218" i="3"/>
  <c r="Q217" i="3"/>
  <c r="M217" i="3"/>
  <c r="D217" i="3"/>
  <c r="E217" i="3" s="1"/>
  <c r="P216" i="3"/>
  <c r="L216" i="3"/>
  <c r="G216" i="3"/>
  <c r="O215" i="3"/>
  <c r="J215" i="3"/>
  <c r="F215" i="3"/>
  <c r="H215" i="3" s="1"/>
  <c r="N214" i="3"/>
  <c r="I214" i="3"/>
  <c r="Q213" i="3"/>
  <c r="M213" i="3"/>
  <c r="D213" i="3"/>
  <c r="E213" i="3" s="1"/>
  <c r="P212" i="3"/>
  <c r="L212" i="3"/>
  <c r="G212" i="3"/>
  <c r="O211" i="3"/>
  <c r="J211" i="3"/>
  <c r="F211" i="3"/>
  <c r="N210" i="3"/>
  <c r="I210" i="3"/>
  <c r="Q209" i="3"/>
  <c r="M209" i="3"/>
  <c r="D209" i="3"/>
  <c r="E209" i="3" s="1"/>
  <c r="P208" i="3"/>
  <c r="L208" i="3"/>
  <c r="G208" i="3"/>
  <c r="O207" i="3"/>
  <c r="J207" i="3"/>
  <c r="K207" i="3" s="1"/>
  <c r="F207" i="3"/>
  <c r="H207" i="3" s="1"/>
  <c r="N206" i="3"/>
  <c r="I206" i="3"/>
  <c r="Q205" i="3"/>
  <c r="M205" i="3"/>
  <c r="D205" i="3"/>
  <c r="E205" i="3" s="1"/>
  <c r="P204" i="3"/>
  <c r="L204" i="3"/>
  <c r="G204" i="3"/>
  <c r="O203" i="3"/>
  <c r="J203" i="3"/>
  <c r="K203" i="3" s="1"/>
  <c r="F203" i="3"/>
  <c r="N202" i="3"/>
  <c r="I202" i="3"/>
  <c r="Q201" i="3"/>
  <c r="M201" i="3"/>
  <c r="D201" i="3"/>
  <c r="E201" i="3" s="1"/>
  <c r="P200" i="3"/>
  <c r="L200" i="3"/>
  <c r="G200" i="3"/>
  <c r="O199" i="3"/>
  <c r="J199" i="3"/>
  <c r="F199" i="3"/>
  <c r="H199" i="3" s="1"/>
  <c r="N198" i="3"/>
  <c r="I198" i="3"/>
  <c r="Q197" i="3"/>
  <c r="M197" i="3"/>
  <c r="D197" i="3"/>
  <c r="E197" i="3" s="1"/>
  <c r="P196" i="3"/>
  <c r="L196" i="3"/>
  <c r="G196" i="3"/>
  <c r="O195" i="3"/>
  <c r="J195" i="3"/>
  <c r="F195" i="3"/>
  <c r="N194" i="3"/>
  <c r="I194" i="3"/>
  <c r="Q193" i="3"/>
  <c r="M193" i="3"/>
  <c r="D193" i="3"/>
  <c r="E193" i="3" s="1"/>
  <c r="P192" i="3"/>
  <c r="L192" i="3"/>
  <c r="G192" i="3"/>
  <c r="O191" i="3"/>
  <c r="J191" i="3"/>
  <c r="F191" i="3"/>
  <c r="H191" i="3" s="1"/>
  <c r="N190" i="3"/>
  <c r="I190" i="3"/>
  <c r="Q189" i="3"/>
  <c r="M189" i="3"/>
  <c r="D189" i="3"/>
  <c r="E189" i="3" s="1"/>
  <c r="C207" i="7"/>
  <c r="G207" i="7"/>
  <c r="K207" i="7"/>
  <c r="O207" i="7"/>
  <c r="D207" i="7"/>
  <c r="E207" i="7"/>
  <c r="I207" i="7"/>
  <c r="M207" i="7"/>
  <c r="C203" i="7"/>
  <c r="G203" i="7"/>
  <c r="K203" i="7"/>
  <c r="J203" i="12" s="1"/>
  <c r="O203" i="7"/>
  <c r="D203" i="7"/>
  <c r="H203" i="7"/>
  <c r="H203" i="12" s="1"/>
  <c r="L203" i="7"/>
  <c r="K203" i="12" s="1"/>
  <c r="E203" i="7"/>
  <c r="I203" i="7"/>
  <c r="I203" i="12" s="1"/>
  <c r="M203" i="7"/>
  <c r="C199" i="7"/>
  <c r="G199" i="7"/>
  <c r="K199" i="7"/>
  <c r="J199" i="12" s="1"/>
  <c r="O199" i="7"/>
  <c r="D199" i="7"/>
  <c r="H199" i="7"/>
  <c r="H199" i="12" s="1"/>
  <c r="L199" i="7"/>
  <c r="K199" i="12" s="1"/>
  <c r="E199" i="7"/>
  <c r="I199" i="7"/>
  <c r="I199" i="12" s="1"/>
  <c r="M199" i="7"/>
  <c r="C195" i="7"/>
  <c r="G195" i="7"/>
  <c r="K195" i="7"/>
  <c r="J195" i="12" s="1"/>
  <c r="O195" i="7"/>
  <c r="D195" i="7"/>
  <c r="H195" i="7"/>
  <c r="H195" i="12" s="1"/>
  <c r="L195" i="7"/>
  <c r="E195" i="7"/>
  <c r="I195" i="7"/>
  <c r="I195" i="12" s="1"/>
  <c r="M195" i="7"/>
  <c r="C191" i="7"/>
  <c r="G191" i="7"/>
  <c r="K191" i="7"/>
  <c r="J191" i="12" s="1"/>
  <c r="O191" i="7"/>
  <c r="D191" i="7"/>
  <c r="H191" i="7"/>
  <c r="H191" i="12" s="1"/>
  <c r="L191" i="7"/>
  <c r="K191" i="12" s="1"/>
  <c r="E191" i="7"/>
  <c r="I191" i="7"/>
  <c r="I191" i="12" s="1"/>
  <c r="M191" i="7"/>
  <c r="L220" i="7"/>
  <c r="H220" i="7"/>
  <c r="N219" i="7"/>
  <c r="J219" i="7"/>
  <c r="F219" i="7"/>
  <c r="L218" i="7"/>
  <c r="H218" i="7"/>
  <c r="D218" i="7"/>
  <c r="N217" i="7"/>
  <c r="J217" i="7"/>
  <c r="F217" i="7"/>
  <c r="B217" i="7"/>
  <c r="L216" i="7"/>
  <c r="H216" i="7"/>
  <c r="N215" i="7"/>
  <c r="J215" i="7"/>
  <c r="F215" i="7"/>
  <c r="L214" i="7"/>
  <c r="H214" i="7"/>
  <c r="D214" i="7"/>
  <c r="N213" i="7"/>
  <c r="J213" i="7"/>
  <c r="F213" i="7"/>
  <c r="B213" i="7"/>
  <c r="L212" i="7"/>
  <c r="H212" i="7"/>
  <c r="N211" i="7"/>
  <c r="J211" i="7"/>
  <c r="F211" i="7"/>
  <c r="L210" i="7"/>
  <c r="H210" i="7"/>
  <c r="D210" i="7"/>
  <c r="N209" i="7"/>
  <c r="J209" i="7"/>
  <c r="F209" i="7"/>
  <c r="B209" i="7"/>
  <c r="L208" i="7"/>
  <c r="H208" i="7"/>
  <c r="B208" i="7"/>
  <c r="H207" i="7"/>
  <c r="F205" i="7"/>
  <c r="D204" i="7"/>
  <c r="B203" i="7"/>
  <c r="N201" i="7"/>
  <c r="L200" i="7"/>
  <c r="K200" i="12" s="1"/>
  <c r="J199" i="7"/>
  <c r="F197" i="7"/>
  <c r="D196" i="7"/>
  <c r="B195" i="7"/>
  <c r="N193" i="7"/>
  <c r="L192" i="7"/>
  <c r="K192" i="12" s="1"/>
  <c r="J191" i="7"/>
  <c r="G206" i="14"/>
  <c r="O205" i="3"/>
  <c r="P221" i="2"/>
  <c r="Q218" i="3"/>
  <c r="M218" i="3"/>
  <c r="P217" i="3"/>
  <c r="L217" i="3"/>
  <c r="G217" i="3"/>
  <c r="K215" i="3"/>
  <c r="Q214" i="3"/>
  <c r="M214" i="3"/>
  <c r="P213" i="3"/>
  <c r="L213" i="3"/>
  <c r="G213" i="3"/>
  <c r="K211" i="3"/>
  <c r="Q210" i="3"/>
  <c r="M210" i="3"/>
  <c r="P209" i="3"/>
  <c r="L209" i="3"/>
  <c r="G209" i="3"/>
  <c r="Q206" i="3"/>
  <c r="M206" i="3"/>
  <c r="P205" i="3"/>
  <c r="L205" i="3"/>
  <c r="G205" i="3"/>
  <c r="Q202" i="3"/>
  <c r="M202" i="3"/>
  <c r="P201" i="3"/>
  <c r="L201" i="3"/>
  <c r="G201" i="3"/>
  <c r="Q198" i="3"/>
  <c r="M198" i="3"/>
  <c r="P197" i="3"/>
  <c r="L197" i="3"/>
  <c r="G197" i="3"/>
  <c r="Q194" i="3"/>
  <c r="M194" i="3"/>
  <c r="P193" i="3"/>
  <c r="L193" i="3"/>
  <c r="G193" i="3"/>
  <c r="Q190" i="3"/>
  <c r="M190" i="3"/>
  <c r="P189" i="3"/>
  <c r="L189" i="3"/>
  <c r="G189" i="3"/>
  <c r="E206" i="7"/>
  <c r="I206" i="7"/>
  <c r="I206" i="12" s="1"/>
  <c r="M206" i="7"/>
  <c r="B206" i="7"/>
  <c r="F206" i="7"/>
  <c r="J206" i="7"/>
  <c r="N206" i="7"/>
  <c r="C206" i="7"/>
  <c r="G206" i="7"/>
  <c r="K206" i="7"/>
  <c r="J206" i="12" s="1"/>
  <c r="O206" i="7"/>
  <c r="E202" i="7"/>
  <c r="I202" i="7"/>
  <c r="I202" i="12" s="1"/>
  <c r="M202" i="7"/>
  <c r="B202" i="7"/>
  <c r="F202" i="7"/>
  <c r="J202" i="7"/>
  <c r="N202" i="7"/>
  <c r="C202" i="7"/>
  <c r="G202" i="7"/>
  <c r="K202" i="7"/>
  <c r="J202" i="12" s="1"/>
  <c r="O202" i="7"/>
  <c r="E198" i="7"/>
  <c r="I198" i="7"/>
  <c r="I198" i="12" s="1"/>
  <c r="M198" i="7"/>
  <c r="B198" i="7"/>
  <c r="F198" i="7"/>
  <c r="J198" i="7"/>
  <c r="N198" i="7"/>
  <c r="C198" i="7"/>
  <c r="G198" i="7"/>
  <c r="K198" i="7"/>
  <c r="J198" i="12" s="1"/>
  <c r="O198" i="7"/>
  <c r="E194" i="7"/>
  <c r="I194" i="7"/>
  <c r="M194" i="7"/>
  <c r="B194" i="7"/>
  <c r="F194" i="7"/>
  <c r="J194" i="7"/>
  <c r="N194" i="7"/>
  <c r="C194" i="7"/>
  <c r="G194" i="7"/>
  <c r="K194" i="7"/>
  <c r="J194" i="12" s="1"/>
  <c r="O194" i="7"/>
  <c r="E190" i="7"/>
  <c r="I190" i="7"/>
  <c r="I190" i="12" s="1"/>
  <c r="M190" i="7"/>
  <c r="B190" i="7"/>
  <c r="F190" i="7"/>
  <c r="J190" i="7"/>
  <c r="N190" i="7"/>
  <c r="C190" i="7"/>
  <c r="G190" i="7"/>
  <c r="K190" i="7"/>
  <c r="J190" i="12" s="1"/>
  <c r="O190" i="7"/>
  <c r="O218" i="7"/>
  <c r="K218" i="7"/>
  <c r="G218" i="7"/>
  <c r="M217" i="7"/>
  <c r="I217" i="7"/>
  <c r="O214" i="7"/>
  <c r="K214" i="7"/>
  <c r="G214" i="7"/>
  <c r="M213" i="7"/>
  <c r="I213" i="7"/>
  <c r="O210" i="7"/>
  <c r="K210" i="7"/>
  <c r="G210" i="7"/>
  <c r="M209" i="7"/>
  <c r="I209" i="7"/>
  <c r="N207" i="7"/>
  <c r="F207" i="7"/>
  <c r="D206" i="7"/>
  <c r="B205" i="7"/>
  <c r="N203" i="7"/>
  <c r="L202" i="7"/>
  <c r="K202" i="12" s="1"/>
  <c r="J201" i="7"/>
  <c r="F199" i="7"/>
  <c r="D198" i="7"/>
  <c r="B197" i="7"/>
  <c r="N195" i="7"/>
  <c r="L194" i="7"/>
  <c r="K194" i="12" s="1"/>
  <c r="J193" i="7"/>
  <c r="F191" i="7"/>
  <c r="D190" i="7"/>
  <c r="B217" i="14"/>
  <c r="G217" i="14" s="1"/>
  <c r="F217" i="14"/>
  <c r="C217" i="14"/>
  <c r="D217" i="14"/>
  <c r="B213" i="14"/>
  <c r="F213" i="14"/>
  <c r="C213" i="14"/>
  <c r="D213" i="14"/>
  <c r="C209" i="14"/>
  <c r="D209" i="14"/>
  <c r="E209" i="14"/>
  <c r="G209" i="14" s="1"/>
  <c r="D205" i="14"/>
  <c r="E205" i="14"/>
  <c r="B205" i="14"/>
  <c r="F205" i="14"/>
  <c r="B201" i="14"/>
  <c r="F201" i="14"/>
  <c r="C201" i="14"/>
  <c r="D201" i="14"/>
  <c r="D197" i="14"/>
  <c r="E197" i="14"/>
  <c r="B197" i="14"/>
  <c r="F197" i="14"/>
  <c r="B193" i="14"/>
  <c r="G193" i="14" s="1"/>
  <c r="F193" i="14"/>
  <c r="C193" i="14"/>
  <c r="D193" i="14"/>
  <c r="D189" i="14"/>
  <c r="E189" i="14"/>
  <c r="B189" i="14"/>
  <c r="F189" i="14"/>
  <c r="E213" i="14"/>
  <c r="E201" i="14"/>
  <c r="B220" i="10"/>
  <c r="F220" i="10"/>
  <c r="J220" i="10"/>
  <c r="N220" i="10"/>
  <c r="C220" i="10"/>
  <c r="G220" i="10"/>
  <c r="K220" i="10"/>
  <c r="O220" i="10"/>
  <c r="D220" i="10"/>
  <c r="H220" i="10"/>
  <c r="L220" i="10"/>
  <c r="B216" i="10"/>
  <c r="F216" i="10"/>
  <c r="J216" i="10"/>
  <c r="N216" i="10"/>
  <c r="C216" i="10"/>
  <c r="G216" i="10"/>
  <c r="K216" i="10"/>
  <c r="O216" i="10"/>
  <c r="D216" i="10"/>
  <c r="H216" i="10"/>
  <c r="L216" i="10"/>
  <c r="B212" i="10"/>
  <c r="F212" i="10"/>
  <c r="J212" i="10"/>
  <c r="N212" i="10"/>
  <c r="C212" i="10"/>
  <c r="G212" i="10"/>
  <c r="K212" i="10"/>
  <c r="O212" i="10"/>
  <c r="D212" i="10"/>
  <c r="H212" i="10"/>
  <c r="L212" i="10"/>
  <c r="D208" i="10"/>
  <c r="H208" i="10"/>
  <c r="L208" i="10"/>
  <c r="E208" i="10"/>
  <c r="I208" i="10"/>
  <c r="M208" i="10"/>
  <c r="B208" i="10"/>
  <c r="F208" i="10"/>
  <c r="J208" i="10"/>
  <c r="N208" i="10"/>
  <c r="K208" i="10"/>
  <c r="O208" i="10"/>
  <c r="C208" i="10"/>
  <c r="D204" i="10"/>
  <c r="H204" i="10"/>
  <c r="L204" i="10"/>
  <c r="E204" i="10"/>
  <c r="I204" i="10"/>
  <c r="M204" i="10"/>
  <c r="B204" i="10"/>
  <c r="F204" i="10"/>
  <c r="J204" i="10"/>
  <c r="N204" i="10"/>
  <c r="C204" i="10"/>
  <c r="G204" i="10"/>
  <c r="K204" i="10"/>
  <c r="D200" i="10"/>
  <c r="H200" i="10"/>
  <c r="L200" i="10"/>
  <c r="E200" i="10"/>
  <c r="I200" i="10"/>
  <c r="M200" i="10"/>
  <c r="B200" i="10"/>
  <c r="F200" i="10"/>
  <c r="J200" i="10"/>
  <c r="N200" i="10"/>
  <c r="K200" i="10"/>
  <c r="O200" i="10"/>
  <c r="C200" i="10"/>
  <c r="D196" i="10"/>
  <c r="H196" i="10"/>
  <c r="L196" i="10"/>
  <c r="E196" i="10"/>
  <c r="I196" i="10"/>
  <c r="M196" i="10"/>
  <c r="B196" i="10"/>
  <c r="F196" i="10"/>
  <c r="J196" i="10"/>
  <c r="N196" i="10"/>
  <c r="C196" i="10"/>
  <c r="G196" i="10"/>
  <c r="K196" i="10"/>
  <c r="D192" i="10"/>
  <c r="H192" i="10"/>
  <c r="L192" i="10"/>
  <c r="E192" i="10"/>
  <c r="I192" i="10"/>
  <c r="M192" i="10"/>
  <c r="B192" i="10"/>
  <c r="F192" i="10"/>
  <c r="J192" i="10"/>
  <c r="N192" i="10"/>
  <c r="K192" i="10"/>
  <c r="O192" i="10"/>
  <c r="C192" i="10"/>
  <c r="E220" i="10"/>
  <c r="I216" i="10"/>
  <c r="E212" i="10"/>
  <c r="G208" i="10"/>
  <c r="D220" i="14"/>
  <c r="F219" i="14"/>
  <c r="B219" i="14"/>
  <c r="C218" i="14"/>
  <c r="E216" i="14"/>
  <c r="F215" i="14"/>
  <c r="B215" i="14"/>
  <c r="C214" i="14"/>
  <c r="E212" i="14"/>
  <c r="C211" i="14"/>
  <c r="D210" i="14"/>
  <c r="F208" i="14"/>
  <c r="B208" i="14"/>
  <c r="C207" i="14"/>
  <c r="D206" i="14"/>
  <c r="C204" i="14"/>
  <c r="E203" i="14"/>
  <c r="F202" i="14"/>
  <c r="B202" i="14"/>
  <c r="E200" i="14"/>
  <c r="C199" i="14"/>
  <c r="D198" i="14"/>
  <c r="C196" i="14"/>
  <c r="E195" i="14"/>
  <c r="F194" i="14"/>
  <c r="B194" i="14"/>
  <c r="E192" i="14"/>
  <c r="C191" i="14"/>
  <c r="D190" i="14"/>
  <c r="C188" i="14"/>
  <c r="B207" i="10"/>
  <c r="F207" i="10"/>
  <c r="J207" i="10"/>
  <c r="N207" i="10"/>
  <c r="C207" i="10"/>
  <c r="G207" i="10"/>
  <c r="K207" i="10"/>
  <c r="O207" i="10"/>
  <c r="D207" i="10"/>
  <c r="H207" i="10"/>
  <c r="L207" i="10"/>
  <c r="B203" i="10"/>
  <c r="F203" i="10"/>
  <c r="J203" i="10"/>
  <c r="N203" i="10"/>
  <c r="C203" i="10"/>
  <c r="G203" i="10"/>
  <c r="K203" i="10"/>
  <c r="O203" i="10"/>
  <c r="D203" i="10"/>
  <c r="H203" i="10"/>
  <c r="L203" i="10"/>
  <c r="B199" i="10"/>
  <c r="F199" i="10"/>
  <c r="J199" i="10"/>
  <c r="N199" i="10"/>
  <c r="C199" i="10"/>
  <c r="G199" i="10"/>
  <c r="K199" i="10"/>
  <c r="O199" i="10"/>
  <c r="D199" i="10"/>
  <c r="H199" i="10"/>
  <c r="L199" i="10"/>
  <c r="B195" i="10"/>
  <c r="F195" i="10"/>
  <c r="J195" i="10"/>
  <c r="N195" i="10"/>
  <c r="C195" i="10"/>
  <c r="G195" i="10"/>
  <c r="K195" i="10"/>
  <c r="O195" i="10"/>
  <c r="D195" i="10"/>
  <c r="H195" i="10"/>
  <c r="L195" i="10"/>
  <c r="B191" i="10"/>
  <c r="F191" i="10"/>
  <c r="J191" i="10"/>
  <c r="N191" i="10"/>
  <c r="C191" i="10"/>
  <c r="G191" i="10"/>
  <c r="K191" i="10"/>
  <c r="O191" i="10"/>
  <c r="D191" i="10"/>
  <c r="H191" i="10"/>
  <c r="L191" i="10"/>
  <c r="N219" i="10"/>
  <c r="J219" i="10"/>
  <c r="F219" i="10"/>
  <c r="B219" i="10"/>
  <c r="L218" i="10"/>
  <c r="H218" i="10"/>
  <c r="D218" i="10"/>
  <c r="N217" i="10"/>
  <c r="J217" i="10"/>
  <c r="F217" i="10"/>
  <c r="B217" i="10"/>
  <c r="N215" i="10"/>
  <c r="J215" i="10"/>
  <c r="F215" i="10"/>
  <c r="B215" i="10"/>
  <c r="L214" i="10"/>
  <c r="H214" i="10"/>
  <c r="D214" i="10"/>
  <c r="N213" i="10"/>
  <c r="J213" i="10"/>
  <c r="F213" i="10"/>
  <c r="B213" i="10"/>
  <c r="N211" i="10"/>
  <c r="J211" i="10"/>
  <c r="F211" i="10"/>
  <c r="B211" i="10"/>
  <c r="L210" i="10"/>
  <c r="M205" i="10"/>
  <c r="I203" i="10"/>
  <c r="M197" i="10"/>
  <c r="I195" i="10"/>
  <c r="L218" i="11"/>
  <c r="L210" i="11"/>
  <c r="L202" i="11"/>
  <c r="C220" i="14"/>
  <c r="E219" i="14"/>
  <c r="F218" i="14"/>
  <c r="B218" i="14"/>
  <c r="G218" i="14" s="1"/>
  <c r="D216" i="14"/>
  <c r="E215" i="14"/>
  <c r="F214" i="14"/>
  <c r="B214" i="14"/>
  <c r="G214" i="14" s="1"/>
  <c r="D212" i="14"/>
  <c r="F211" i="14"/>
  <c r="B211" i="14"/>
  <c r="G211" i="14" s="1"/>
  <c r="C210" i="14"/>
  <c r="E208" i="14"/>
  <c r="F207" i="14"/>
  <c r="B207" i="14"/>
  <c r="G207" i="14" s="1"/>
  <c r="C206" i="14"/>
  <c r="F204" i="14"/>
  <c r="B204" i="14"/>
  <c r="D203" i="14"/>
  <c r="E202" i="14"/>
  <c r="D200" i="14"/>
  <c r="F199" i="14"/>
  <c r="B199" i="14"/>
  <c r="G199" i="14" s="1"/>
  <c r="C198" i="14"/>
  <c r="F196" i="14"/>
  <c r="B196" i="14"/>
  <c r="D195" i="14"/>
  <c r="E194" i="14"/>
  <c r="D192" i="14"/>
  <c r="F191" i="14"/>
  <c r="B191" i="14"/>
  <c r="G191" i="14" s="1"/>
  <c r="C190" i="14"/>
  <c r="F188" i="14"/>
  <c r="B188" i="14"/>
  <c r="D210" i="10"/>
  <c r="E210" i="10"/>
  <c r="I210" i="10"/>
  <c r="B210" i="10"/>
  <c r="F210" i="10"/>
  <c r="D206" i="10"/>
  <c r="H206" i="10"/>
  <c r="L206" i="10"/>
  <c r="E206" i="10"/>
  <c r="I206" i="10"/>
  <c r="M206" i="10"/>
  <c r="B206" i="10"/>
  <c r="F206" i="10"/>
  <c r="J206" i="10"/>
  <c r="N206" i="10"/>
  <c r="D202" i="10"/>
  <c r="H202" i="10"/>
  <c r="L202" i="10"/>
  <c r="E202" i="10"/>
  <c r="I202" i="10"/>
  <c r="M202" i="10"/>
  <c r="B202" i="10"/>
  <c r="F202" i="10"/>
  <c r="J202" i="10"/>
  <c r="N202" i="10"/>
  <c r="D198" i="10"/>
  <c r="H198" i="10"/>
  <c r="L198" i="10"/>
  <c r="E198" i="10"/>
  <c r="I198" i="10"/>
  <c r="M198" i="10"/>
  <c r="B198" i="10"/>
  <c r="F198" i="10"/>
  <c r="J198" i="10"/>
  <c r="N198" i="10"/>
  <c r="D194" i="10"/>
  <c r="H194" i="10"/>
  <c r="L194" i="10"/>
  <c r="E194" i="10"/>
  <c r="I194" i="10"/>
  <c r="M194" i="10"/>
  <c r="B194" i="10"/>
  <c r="F194" i="10"/>
  <c r="J194" i="10"/>
  <c r="N194" i="10"/>
  <c r="D190" i="10"/>
  <c r="H190" i="10"/>
  <c r="L190" i="10"/>
  <c r="E190" i="10"/>
  <c r="I190" i="10"/>
  <c r="M190" i="10"/>
  <c r="B190" i="10"/>
  <c r="F190" i="10"/>
  <c r="J190" i="10"/>
  <c r="N190" i="10"/>
  <c r="M219" i="10"/>
  <c r="I219" i="10"/>
  <c r="O218" i="10"/>
  <c r="K218" i="10"/>
  <c r="G218" i="10"/>
  <c r="M217" i="10"/>
  <c r="I217" i="10"/>
  <c r="E217" i="10"/>
  <c r="M215" i="10"/>
  <c r="I215" i="10"/>
  <c r="O214" i="10"/>
  <c r="K214" i="10"/>
  <c r="G214" i="10"/>
  <c r="C214" i="10"/>
  <c r="M213" i="10"/>
  <c r="I213" i="10"/>
  <c r="E213" i="10"/>
  <c r="M211" i="10"/>
  <c r="I211" i="10"/>
  <c r="E211" i="10"/>
  <c r="O210" i="10"/>
  <c r="K210" i="10"/>
  <c r="C210" i="10"/>
  <c r="M207" i="10"/>
  <c r="K206" i="10"/>
  <c r="E203" i="10"/>
  <c r="C202" i="10"/>
  <c r="M199" i="10"/>
  <c r="K198" i="10"/>
  <c r="E195" i="10"/>
  <c r="C194" i="10"/>
  <c r="M191" i="10"/>
  <c r="K190" i="10"/>
  <c r="F220" i="14"/>
  <c r="F210" i="14"/>
  <c r="F206" i="14"/>
  <c r="F198" i="14"/>
  <c r="F190" i="14"/>
  <c r="B209" i="10"/>
  <c r="F209" i="10"/>
  <c r="J209" i="10"/>
  <c r="N209" i="10"/>
  <c r="C209" i="10"/>
  <c r="G209" i="10"/>
  <c r="K209" i="10"/>
  <c r="O209" i="10"/>
  <c r="D209" i="10"/>
  <c r="H209" i="10"/>
  <c r="L209" i="10"/>
  <c r="B205" i="10"/>
  <c r="F205" i="10"/>
  <c r="J205" i="10"/>
  <c r="N205" i="10"/>
  <c r="C205" i="10"/>
  <c r="G205" i="10"/>
  <c r="K205" i="10"/>
  <c r="O205" i="10"/>
  <c r="D205" i="10"/>
  <c r="H205" i="10"/>
  <c r="L205" i="10"/>
  <c r="B201" i="10"/>
  <c r="F201" i="10"/>
  <c r="J201" i="10"/>
  <c r="N201" i="10"/>
  <c r="C201" i="10"/>
  <c r="G201" i="10"/>
  <c r="K201" i="10"/>
  <c r="O201" i="10"/>
  <c r="D201" i="10"/>
  <c r="H201" i="10"/>
  <c r="L201" i="10"/>
  <c r="B197" i="10"/>
  <c r="F197" i="10"/>
  <c r="J197" i="10"/>
  <c r="N197" i="10"/>
  <c r="C197" i="10"/>
  <c r="G197" i="10"/>
  <c r="K197" i="10"/>
  <c r="O197" i="10"/>
  <c r="D197" i="10"/>
  <c r="H197" i="10"/>
  <c r="L197" i="10"/>
  <c r="B193" i="10"/>
  <c r="F193" i="10"/>
  <c r="J193" i="10"/>
  <c r="N193" i="10"/>
  <c r="C193" i="10"/>
  <c r="G193" i="10"/>
  <c r="K193" i="10"/>
  <c r="O193" i="10"/>
  <c r="D193" i="10"/>
  <c r="H193" i="10"/>
  <c r="L193" i="10"/>
  <c r="L217" i="10"/>
  <c r="H217" i="10"/>
  <c r="F214" i="10"/>
  <c r="L213" i="10"/>
  <c r="H213" i="10"/>
  <c r="L211" i="10"/>
  <c r="H211" i="10"/>
  <c r="N210" i="10"/>
  <c r="J210" i="10"/>
  <c r="M209" i="10"/>
  <c r="I207" i="10"/>
  <c r="G206" i="10"/>
  <c r="E205" i="10"/>
  <c r="O202" i="10"/>
  <c r="M201" i="10"/>
  <c r="I199" i="10"/>
  <c r="G198" i="10"/>
  <c r="E197" i="10"/>
  <c r="O194" i="10"/>
  <c r="M193" i="10"/>
  <c r="I191" i="10"/>
  <c r="G190" i="10"/>
  <c r="E218" i="11"/>
  <c r="I218" i="11"/>
  <c r="M218" i="11"/>
  <c r="B218" i="11"/>
  <c r="F218" i="11"/>
  <c r="J218" i="11"/>
  <c r="N218" i="11"/>
  <c r="C218" i="11"/>
  <c r="G218" i="11"/>
  <c r="K218" i="11"/>
  <c r="O218" i="11"/>
  <c r="E214" i="11"/>
  <c r="I214" i="11"/>
  <c r="M214" i="11"/>
  <c r="B214" i="11"/>
  <c r="F214" i="11"/>
  <c r="J214" i="11"/>
  <c r="N214" i="11"/>
  <c r="C214" i="11"/>
  <c r="G214" i="11"/>
  <c r="K214" i="11"/>
  <c r="O214" i="11"/>
  <c r="E210" i="11"/>
  <c r="I210" i="11"/>
  <c r="M210" i="11"/>
  <c r="B210" i="11"/>
  <c r="F210" i="11"/>
  <c r="J210" i="11"/>
  <c r="N210" i="11"/>
  <c r="C210" i="11"/>
  <c r="G210" i="11"/>
  <c r="K210" i="11"/>
  <c r="O210" i="11"/>
  <c r="E206" i="11"/>
  <c r="I206" i="11"/>
  <c r="M206" i="11"/>
  <c r="B206" i="11"/>
  <c r="F206" i="11"/>
  <c r="J206" i="11"/>
  <c r="N206" i="11"/>
  <c r="C206" i="11"/>
  <c r="G206" i="11"/>
  <c r="K206" i="11"/>
  <c r="O206" i="11"/>
  <c r="E202" i="11"/>
  <c r="I202" i="11"/>
  <c r="M202" i="11"/>
  <c r="B202" i="11"/>
  <c r="F202" i="11"/>
  <c r="J202" i="11"/>
  <c r="N202" i="11"/>
  <c r="C202" i="11"/>
  <c r="G202" i="11"/>
  <c r="K202" i="11"/>
  <c r="O202" i="11"/>
  <c r="C198" i="11"/>
  <c r="G198" i="11"/>
  <c r="K198" i="11"/>
  <c r="O198" i="11"/>
  <c r="D198" i="11"/>
  <c r="H198" i="11"/>
  <c r="L198" i="11"/>
  <c r="E198" i="11"/>
  <c r="I198" i="11"/>
  <c r="M198" i="11"/>
  <c r="J198" i="11"/>
  <c r="N198" i="11"/>
  <c r="B198" i="11"/>
  <c r="C194" i="11"/>
  <c r="G194" i="11"/>
  <c r="K194" i="11"/>
  <c r="O194" i="11"/>
  <c r="D194" i="11"/>
  <c r="H194" i="11"/>
  <c r="L194" i="11"/>
  <c r="E194" i="11"/>
  <c r="I194" i="11"/>
  <c r="M194" i="11"/>
  <c r="B194" i="11"/>
  <c r="F194" i="11"/>
  <c r="J194" i="11"/>
  <c r="C190" i="11"/>
  <c r="G190" i="11"/>
  <c r="K190" i="11"/>
  <c r="O190" i="11"/>
  <c r="D190" i="11"/>
  <c r="H190" i="11"/>
  <c r="L190" i="11"/>
  <c r="E190" i="11"/>
  <c r="I190" i="11"/>
  <c r="M190" i="11"/>
  <c r="J190" i="11"/>
  <c r="N190" i="11"/>
  <c r="B190" i="11"/>
  <c r="E217" i="12"/>
  <c r="I217" i="12"/>
  <c r="B217" i="12"/>
  <c r="F217" i="12"/>
  <c r="J217" i="12"/>
  <c r="C217" i="12"/>
  <c r="G217" i="12"/>
  <c r="K217" i="12"/>
  <c r="H217" i="12"/>
  <c r="C213" i="12"/>
  <c r="G213" i="12"/>
  <c r="K213" i="12"/>
  <c r="D213" i="12"/>
  <c r="H213" i="12"/>
  <c r="E213" i="12"/>
  <c r="I213" i="12"/>
  <c r="F213" i="12"/>
  <c r="J213" i="12"/>
  <c r="B213" i="12"/>
  <c r="C209" i="12"/>
  <c r="G209" i="12"/>
  <c r="K209" i="12"/>
  <c r="D209" i="12"/>
  <c r="H209" i="12"/>
  <c r="E209" i="12"/>
  <c r="I209" i="12"/>
  <c r="B209" i="12"/>
  <c r="F209" i="12"/>
  <c r="C205" i="12"/>
  <c r="G205" i="12"/>
  <c r="D205" i="12"/>
  <c r="E205" i="12"/>
  <c r="F205" i="12"/>
  <c r="C201" i="12"/>
  <c r="G201" i="12"/>
  <c r="D201" i="12"/>
  <c r="E201" i="12"/>
  <c r="B201" i="12"/>
  <c r="F201" i="12"/>
  <c r="B197" i="12"/>
  <c r="F197" i="12"/>
  <c r="C197" i="12"/>
  <c r="D197" i="12"/>
  <c r="G197" i="12"/>
  <c r="H197" i="12"/>
  <c r="E197" i="12"/>
  <c r="J197" i="12"/>
  <c r="B193" i="12"/>
  <c r="F193" i="12"/>
  <c r="C193" i="12"/>
  <c r="G193" i="12"/>
  <c r="D193" i="12"/>
  <c r="E193" i="12"/>
  <c r="B189" i="12"/>
  <c r="F189" i="12"/>
  <c r="C189" i="12"/>
  <c r="G189" i="12"/>
  <c r="D189" i="12"/>
  <c r="E189" i="12"/>
  <c r="B219" i="13"/>
  <c r="F219" i="13"/>
  <c r="C219" i="13"/>
  <c r="G219" i="13"/>
  <c r="D219" i="13"/>
  <c r="E219" i="13"/>
  <c r="B215" i="13"/>
  <c r="F215" i="13"/>
  <c r="C215" i="13"/>
  <c r="G215" i="13"/>
  <c r="D215" i="13"/>
  <c r="E215" i="13"/>
  <c r="B211" i="13"/>
  <c r="F211" i="13"/>
  <c r="C211" i="13"/>
  <c r="G211" i="13"/>
  <c r="D211" i="13"/>
  <c r="E211" i="13"/>
  <c r="B207" i="13"/>
  <c r="F207" i="13"/>
  <c r="C207" i="13"/>
  <c r="G207" i="13"/>
  <c r="D207" i="13"/>
  <c r="E207" i="13"/>
  <c r="B203" i="13"/>
  <c r="F203" i="13"/>
  <c r="C203" i="13"/>
  <c r="G203" i="13"/>
  <c r="D203" i="13"/>
  <c r="E203" i="13"/>
  <c r="B199" i="13"/>
  <c r="F199" i="13"/>
  <c r="C199" i="13"/>
  <c r="G199" i="13"/>
  <c r="D199" i="13"/>
  <c r="E199" i="13"/>
  <c r="B195" i="13"/>
  <c r="F195" i="13"/>
  <c r="C195" i="13"/>
  <c r="G195" i="13"/>
  <c r="D195" i="13"/>
  <c r="E195" i="13"/>
  <c r="B191" i="13"/>
  <c r="F191" i="13"/>
  <c r="C191" i="13"/>
  <c r="G191" i="13"/>
  <c r="D191" i="13"/>
  <c r="E191" i="13"/>
  <c r="B187" i="13"/>
  <c r="F187" i="13"/>
  <c r="C187" i="13"/>
  <c r="G187" i="13"/>
  <c r="D187" i="13"/>
  <c r="E187" i="13"/>
  <c r="D218" i="11"/>
  <c r="L214" i="11"/>
  <c r="D210" i="11"/>
  <c r="L206" i="11"/>
  <c r="D202" i="11"/>
  <c r="E201" i="11"/>
  <c r="C201" i="11"/>
  <c r="E197" i="11"/>
  <c r="I197" i="11"/>
  <c r="M197" i="11"/>
  <c r="B197" i="11"/>
  <c r="F197" i="11"/>
  <c r="J197" i="11"/>
  <c r="N197" i="11"/>
  <c r="C197" i="11"/>
  <c r="G197" i="11"/>
  <c r="K197" i="11"/>
  <c r="O197" i="11"/>
  <c r="E193" i="11"/>
  <c r="I193" i="11"/>
  <c r="M193" i="11"/>
  <c r="B193" i="11"/>
  <c r="F193" i="11"/>
  <c r="J193" i="11"/>
  <c r="N193" i="11"/>
  <c r="C193" i="11"/>
  <c r="G193" i="11"/>
  <c r="K193" i="11"/>
  <c r="O193" i="11"/>
  <c r="E189" i="11"/>
  <c r="I189" i="11"/>
  <c r="M189" i="11"/>
  <c r="B189" i="11"/>
  <c r="F189" i="11"/>
  <c r="J189" i="11"/>
  <c r="N189" i="11"/>
  <c r="C189" i="11"/>
  <c r="G189" i="11"/>
  <c r="K189" i="11"/>
  <c r="O189" i="11"/>
  <c r="C220" i="12"/>
  <c r="G220" i="12"/>
  <c r="K220" i="12"/>
  <c r="D220" i="12"/>
  <c r="H220" i="12"/>
  <c r="E220" i="12"/>
  <c r="I220" i="12"/>
  <c r="C216" i="12"/>
  <c r="G216" i="12"/>
  <c r="K216" i="12"/>
  <c r="D216" i="12"/>
  <c r="H216" i="12"/>
  <c r="E216" i="12"/>
  <c r="I216" i="12"/>
  <c r="E212" i="12"/>
  <c r="I212" i="12"/>
  <c r="B212" i="12"/>
  <c r="F212" i="12"/>
  <c r="J212" i="12"/>
  <c r="C212" i="12"/>
  <c r="G212" i="12"/>
  <c r="K212" i="12"/>
  <c r="D212" i="12"/>
  <c r="H212" i="12"/>
  <c r="E208" i="12"/>
  <c r="I208" i="12"/>
  <c r="B208" i="12"/>
  <c r="F208" i="12"/>
  <c r="J208" i="12"/>
  <c r="C208" i="12"/>
  <c r="G208" i="12"/>
  <c r="K208" i="12"/>
  <c r="D208" i="12"/>
  <c r="E204" i="12"/>
  <c r="B204" i="12"/>
  <c r="F204" i="12"/>
  <c r="C204" i="12"/>
  <c r="G204" i="12"/>
  <c r="K204" i="12"/>
  <c r="D204" i="12"/>
  <c r="E200" i="12"/>
  <c r="B200" i="12"/>
  <c r="F200" i="12"/>
  <c r="C200" i="12"/>
  <c r="G200" i="12"/>
  <c r="D200" i="12"/>
  <c r="D196" i="12"/>
  <c r="E196" i="12"/>
  <c r="B196" i="12"/>
  <c r="F196" i="12"/>
  <c r="J196" i="12"/>
  <c r="G196" i="12"/>
  <c r="K196" i="12"/>
  <c r="D192" i="12"/>
  <c r="H192" i="12"/>
  <c r="E192" i="12"/>
  <c r="B192" i="12"/>
  <c r="F192" i="12"/>
  <c r="C192" i="12"/>
  <c r="G192" i="12"/>
  <c r="D188" i="12"/>
  <c r="E188" i="12"/>
  <c r="B188" i="12"/>
  <c r="F188" i="12"/>
  <c r="G188" i="12"/>
  <c r="C188" i="12"/>
  <c r="D218" i="13"/>
  <c r="E218" i="13"/>
  <c r="B218" i="13"/>
  <c r="F218" i="13"/>
  <c r="C218" i="13"/>
  <c r="D214" i="13"/>
  <c r="E214" i="13"/>
  <c r="B214" i="13"/>
  <c r="F214" i="13"/>
  <c r="C214" i="13"/>
  <c r="G214" i="13"/>
  <c r="D210" i="13"/>
  <c r="E210" i="13"/>
  <c r="B210" i="13"/>
  <c r="F210" i="13"/>
  <c r="C210" i="13"/>
  <c r="G210" i="13"/>
  <c r="D206" i="13"/>
  <c r="E206" i="13"/>
  <c r="B206" i="13"/>
  <c r="F206" i="13"/>
  <c r="C206" i="13"/>
  <c r="G206" i="13"/>
  <c r="D202" i="13"/>
  <c r="E202" i="13"/>
  <c r="B202" i="13"/>
  <c r="F202" i="13"/>
  <c r="C202" i="13"/>
  <c r="G202" i="13"/>
  <c r="D198" i="13"/>
  <c r="E198" i="13"/>
  <c r="B198" i="13"/>
  <c r="F198" i="13"/>
  <c r="C198" i="13"/>
  <c r="G198" i="13"/>
  <c r="D194" i="13"/>
  <c r="E194" i="13"/>
  <c r="B194" i="13"/>
  <c r="F194" i="13"/>
  <c r="C194" i="13"/>
  <c r="G194" i="13"/>
  <c r="D190" i="13"/>
  <c r="E190" i="13"/>
  <c r="B190" i="13"/>
  <c r="F190" i="13"/>
  <c r="C190" i="13"/>
  <c r="G190" i="13"/>
  <c r="O220" i="11"/>
  <c r="K220" i="11"/>
  <c r="G220" i="11"/>
  <c r="C220" i="11"/>
  <c r="M219" i="11"/>
  <c r="I219" i="11"/>
  <c r="E219" i="11"/>
  <c r="M217" i="11"/>
  <c r="I217" i="11"/>
  <c r="E217" i="11"/>
  <c r="O216" i="11"/>
  <c r="K216" i="11"/>
  <c r="G216" i="11"/>
  <c r="C216" i="11"/>
  <c r="M215" i="11"/>
  <c r="I215" i="11"/>
  <c r="E215" i="11"/>
  <c r="M213" i="11"/>
  <c r="I213" i="11"/>
  <c r="E213" i="11"/>
  <c r="O212" i="11"/>
  <c r="K212" i="11"/>
  <c r="G212" i="11"/>
  <c r="C212" i="11"/>
  <c r="M211" i="11"/>
  <c r="I211" i="11"/>
  <c r="E211" i="11"/>
  <c r="M209" i="11"/>
  <c r="I209" i="11"/>
  <c r="E209" i="11"/>
  <c r="O208" i="11"/>
  <c r="K208" i="11"/>
  <c r="G208" i="11"/>
  <c r="C208" i="11"/>
  <c r="M207" i="11"/>
  <c r="I207" i="11"/>
  <c r="E207" i="11"/>
  <c r="M205" i="11"/>
  <c r="I205" i="11"/>
  <c r="E205" i="11"/>
  <c r="O204" i="11"/>
  <c r="K204" i="11"/>
  <c r="G204" i="11"/>
  <c r="C204" i="11"/>
  <c r="M203" i="11"/>
  <c r="I203" i="11"/>
  <c r="E203" i="11"/>
  <c r="M201" i="11"/>
  <c r="I201" i="11"/>
  <c r="D201" i="11"/>
  <c r="L195" i="11"/>
  <c r="H193" i="11"/>
  <c r="F220" i="12"/>
  <c r="B218" i="12"/>
  <c r="H208" i="12"/>
  <c r="G218" i="13"/>
  <c r="C200" i="11"/>
  <c r="G200" i="11"/>
  <c r="K200" i="11"/>
  <c r="O200" i="11"/>
  <c r="D200" i="11"/>
  <c r="H200" i="11"/>
  <c r="L200" i="11"/>
  <c r="E200" i="11"/>
  <c r="I200" i="11"/>
  <c r="M200" i="11"/>
  <c r="C196" i="11"/>
  <c r="G196" i="11"/>
  <c r="K196" i="11"/>
  <c r="O196" i="11"/>
  <c r="D196" i="11"/>
  <c r="H196" i="11"/>
  <c r="L196" i="11"/>
  <c r="E196" i="11"/>
  <c r="I196" i="11"/>
  <c r="M196" i="11"/>
  <c r="C192" i="11"/>
  <c r="G192" i="11"/>
  <c r="K192" i="11"/>
  <c r="O192" i="11"/>
  <c r="D192" i="11"/>
  <c r="H192" i="11"/>
  <c r="L192" i="11"/>
  <c r="E192" i="11"/>
  <c r="I192" i="11"/>
  <c r="M192" i="11"/>
  <c r="E219" i="12"/>
  <c r="I219" i="12"/>
  <c r="B219" i="12"/>
  <c r="F219" i="12"/>
  <c r="J219" i="12"/>
  <c r="C219" i="12"/>
  <c r="G219" i="12"/>
  <c r="K219" i="12"/>
  <c r="C215" i="12"/>
  <c r="G215" i="12"/>
  <c r="K215" i="12"/>
  <c r="E215" i="12"/>
  <c r="I215" i="12"/>
  <c r="F215" i="12"/>
  <c r="H215" i="12"/>
  <c r="B215" i="12"/>
  <c r="J215" i="12"/>
  <c r="C211" i="12"/>
  <c r="G211" i="12"/>
  <c r="K211" i="12"/>
  <c r="D211" i="12"/>
  <c r="H211" i="12"/>
  <c r="E211" i="12"/>
  <c r="I211" i="12"/>
  <c r="B211" i="12"/>
  <c r="F211" i="12"/>
  <c r="J211" i="12"/>
  <c r="C207" i="12"/>
  <c r="G207" i="12"/>
  <c r="K207" i="12"/>
  <c r="D207" i="12"/>
  <c r="H207" i="12"/>
  <c r="E207" i="12"/>
  <c r="I207" i="12"/>
  <c r="J207" i="12"/>
  <c r="B207" i="12"/>
  <c r="C203" i="12"/>
  <c r="G203" i="12"/>
  <c r="D203" i="12"/>
  <c r="E203" i="12"/>
  <c r="B203" i="12"/>
  <c r="F203" i="12"/>
  <c r="C199" i="12"/>
  <c r="G199" i="12"/>
  <c r="D199" i="12"/>
  <c r="E199" i="12"/>
  <c r="B199" i="12"/>
  <c r="B195" i="12"/>
  <c r="F195" i="12"/>
  <c r="C195" i="12"/>
  <c r="G195" i="12"/>
  <c r="K195" i="12"/>
  <c r="D195" i="12"/>
  <c r="E195" i="12"/>
  <c r="B191" i="12"/>
  <c r="F191" i="12"/>
  <c r="C191" i="12"/>
  <c r="G191" i="12"/>
  <c r="D191" i="12"/>
  <c r="E191" i="12"/>
  <c r="B217" i="13"/>
  <c r="F217" i="13"/>
  <c r="C217" i="13"/>
  <c r="G217" i="13"/>
  <c r="D217" i="13"/>
  <c r="E217" i="13"/>
  <c r="B213" i="13"/>
  <c r="F213" i="13"/>
  <c r="C213" i="13"/>
  <c r="G213" i="13"/>
  <c r="D213" i="13"/>
  <c r="E213" i="13"/>
  <c r="B209" i="13"/>
  <c r="F209" i="13"/>
  <c r="C209" i="13"/>
  <c r="G209" i="13"/>
  <c r="D209" i="13"/>
  <c r="E209" i="13"/>
  <c r="B205" i="13"/>
  <c r="F205" i="13"/>
  <c r="C205" i="13"/>
  <c r="G205" i="13"/>
  <c r="D205" i="13"/>
  <c r="E205" i="13"/>
  <c r="B201" i="13"/>
  <c r="F201" i="13"/>
  <c r="C201" i="13"/>
  <c r="G201" i="13"/>
  <c r="D201" i="13"/>
  <c r="E201" i="13"/>
  <c r="B197" i="13"/>
  <c r="F197" i="13"/>
  <c r="C197" i="13"/>
  <c r="G197" i="13"/>
  <c r="D197" i="13"/>
  <c r="B193" i="13"/>
  <c r="F193" i="13"/>
  <c r="C193" i="13"/>
  <c r="G193" i="13"/>
  <c r="D193" i="13"/>
  <c r="E193" i="13"/>
  <c r="B189" i="13"/>
  <c r="F189" i="13"/>
  <c r="C189" i="13"/>
  <c r="G189" i="13"/>
  <c r="D189" i="13"/>
  <c r="E189" i="13"/>
  <c r="N220" i="11"/>
  <c r="J220" i="11"/>
  <c r="F220" i="11"/>
  <c r="B220" i="11"/>
  <c r="L219" i="11"/>
  <c r="H219" i="11"/>
  <c r="D219" i="11"/>
  <c r="L217" i="11"/>
  <c r="H217" i="11"/>
  <c r="D217" i="11"/>
  <c r="N216" i="11"/>
  <c r="J216" i="11"/>
  <c r="F216" i="11"/>
  <c r="B216" i="11"/>
  <c r="L215" i="11"/>
  <c r="H215" i="11"/>
  <c r="D215" i="11"/>
  <c r="L213" i="11"/>
  <c r="H213" i="11"/>
  <c r="D213" i="11"/>
  <c r="N212" i="11"/>
  <c r="J212" i="11"/>
  <c r="F212" i="11"/>
  <c r="B212" i="11"/>
  <c r="L211" i="11"/>
  <c r="H211" i="11"/>
  <c r="D211" i="11"/>
  <c r="L209" i="11"/>
  <c r="H209" i="11"/>
  <c r="D209" i="11"/>
  <c r="N208" i="11"/>
  <c r="J208" i="11"/>
  <c r="F208" i="11"/>
  <c r="B208" i="11"/>
  <c r="L207" i="11"/>
  <c r="H207" i="11"/>
  <c r="D207" i="11"/>
  <c r="L205" i="11"/>
  <c r="H205" i="11"/>
  <c r="D205" i="11"/>
  <c r="N204" i="11"/>
  <c r="J204" i="11"/>
  <c r="F204" i="11"/>
  <c r="B204" i="11"/>
  <c r="L203" i="11"/>
  <c r="H203" i="11"/>
  <c r="D203" i="11"/>
  <c r="L201" i="11"/>
  <c r="H201" i="11"/>
  <c r="B201" i="11"/>
  <c r="B200" i="11"/>
  <c r="L197" i="11"/>
  <c r="J196" i="11"/>
  <c r="D193" i="11"/>
  <c r="B192" i="11"/>
  <c r="L189" i="11"/>
  <c r="B220" i="12"/>
  <c r="J216" i="12"/>
  <c r="D215" i="12"/>
  <c r="N211" i="12"/>
  <c r="F207" i="12"/>
  <c r="E199" i="11"/>
  <c r="I199" i="11"/>
  <c r="M199" i="11"/>
  <c r="B199" i="11"/>
  <c r="F199" i="11"/>
  <c r="J199" i="11"/>
  <c r="N199" i="11"/>
  <c r="C199" i="11"/>
  <c r="G199" i="11"/>
  <c r="K199" i="11"/>
  <c r="O199" i="11"/>
  <c r="E195" i="11"/>
  <c r="I195" i="11"/>
  <c r="M195" i="11"/>
  <c r="B195" i="11"/>
  <c r="F195" i="11"/>
  <c r="J195" i="11"/>
  <c r="N195" i="11"/>
  <c r="C195" i="11"/>
  <c r="G195" i="11"/>
  <c r="K195" i="11"/>
  <c r="O195" i="11"/>
  <c r="E191" i="11"/>
  <c r="I191" i="11"/>
  <c r="M191" i="11"/>
  <c r="B191" i="11"/>
  <c r="F191" i="11"/>
  <c r="J191" i="11"/>
  <c r="N191" i="11"/>
  <c r="C191" i="11"/>
  <c r="G191" i="11"/>
  <c r="K191" i="11"/>
  <c r="O191" i="11"/>
  <c r="C218" i="12"/>
  <c r="G218" i="12"/>
  <c r="K218" i="12"/>
  <c r="D218" i="12"/>
  <c r="H218" i="12"/>
  <c r="E218" i="12"/>
  <c r="I218" i="12"/>
  <c r="E214" i="12"/>
  <c r="I214" i="12"/>
  <c r="C214" i="12"/>
  <c r="G214" i="12"/>
  <c r="K214" i="12"/>
  <c r="D214" i="12"/>
  <c r="F214" i="12"/>
  <c r="H214" i="12"/>
  <c r="E210" i="12"/>
  <c r="I210" i="12"/>
  <c r="B210" i="12"/>
  <c r="F210" i="12"/>
  <c r="J210" i="12"/>
  <c r="C210" i="12"/>
  <c r="G210" i="12"/>
  <c r="K210" i="12"/>
  <c r="D210" i="12"/>
  <c r="H210" i="12"/>
  <c r="E206" i="12"/>
  <c r="B206" i="12"/>
  <c r="F206" i="12"/>
  <c r="C206" i="12"/>
  <c r="G206" i="12"/>
  <c r="H206" i="12"/>
  <c r="E202" i="12"/>
  <c r="B202" i="12"/>
  <c r="F202" i="12"/>
  <c r="C202" i="12"/>
  <c r="G202" i="12"/>
  <c r="D202" i="12"/>
  <c r="E198" i="12"/>
  <c r="B198" i="12"/>
  <c r="F198" i="12"/>
  <c r="C198" i="12"/>
  <c r="G198" i="12"/>
  <c r="H198" i="12"/>
  <c r="D194" i="12"/>
  <c r="E194" i="12"/>
  <c r="I194" i="12"/>
  <c r="B194" i="12"/>
  <c r="F194" i="12"/>
  <c r="C194" i="12"/>
  <c r="G194" i="12"/>
  <c r="D190" i="12"/>
  <c r="H190" i="12"/>
  <c r="E190" i="12"/>
  <c r="B190" i="12"/>
  <c r="F190" i="12"/>
  <c r="K190" i="12"/>
  <c r="C190" i="12"/>
  <c r="G190" i="12"/>
  <c r="D216" i="13"/>
  <c r="E216" i="13"/>
  <c r="B216" i="13"/>
  <c r="F216" i="13"/>
  <c r="G216" i="13"/>
  <c r="C216" i="13"/>
  <c r="D212" i="13"/>
  <c r="E212" i="13"/>
  <c r="B212" i="13"/>
  <c r="F212" i="13"/>
  <c r="C212" i="13"/>
  <c r="G212" i="13"/>
  <c r="D208" i="13"/>
  <c r="E208" i="13"/>
  <c r="B208" i="13"/>
  <c r="F208" i="13"/>
  <c r="G208" i="13"/>
  <c r="D204" i="13"/>
  <c r="E204" i="13"/>
  <c r="B204" i="13"/>
  <c r="F204" i="13"/>
  <c r="C204" i="13"/>
  <c r="G204" i="13"/>
  <c r="D200" i="13"/>
  <c r="E200" i="13"/>
  <c r="B200" i="13"/>
  <c r="F200" i="13"/>
  <c r="G200" i="13"/>
  <c r="C200" i="13"/>
  <c r="D196" i="13"/>
  <c r="E196" i="13"/>
  <c r="B196" i="13"/>
  <c r="F196" i="13"/>
  <c r="C196" i="13"/>
  <c r="G196" i="13"/>
  <c r="D192" i="13"/>
  <c r="E192" i="13"/>
  <c r="B192" i="13"/>
  <c r="F192" i="13"/>
  <c r="G192" i="13"/>
  <c r="C192" i="13"/>
  <c r="D188" i="13"/>
  <c r="E188" i="13"/>
  <c r="B188" i="13"/>
  <c r="F188" i="13"/>
  <c r="C188" i="13"/>
  <c r="G188" i="13"/>
  <c r="M220" i="11"/>
  <c r="I220" i="11"/>
  <c r="O219" i="11"/>
  <c r="K219" i="11"/>
  <c r="G219" i="11"/>
  <c r="O217" i="11"/>
  <c r="K217" i="11"/>
  <c r="G217" i="11"/>
  <c r="M216" i="11"/>
  <c r="I216" i="11"/>
  <c r="O215" i="11"/>
  <c r="K215" i="11"/>
  <c r="G215" i="11"/>
  <c r="O213" i="11"/>
  <c r="K213" i="11"/>
  <c r="G213" i="11"/>
  <c r="M212" i="11"/>
  <c r="I212" i="11"/>
  <c r="O211" i="11"/>
  <c r="K211" i="11"/>
  <c r="G211" i="11"/>
  <c r="O209" i="11"/>
  <c r="K209" i="11"/>
  <c r="G209" i="11"/>
  <c r="M208" i="11"/>
  <c r="I208" i="11"/>
  <c r="O207" i="11"/>
  <c r="K207" i="11"/>
  <c r="G207" i="11"/>
  <c r="O205" i="11"/>
  <c r="K205" i="11"/>
  <c r="G205" i="11"/>
  <c r="M204" i="11"/>
  <c r="I204" i="11"/>
  <c r="O203" i="11"/>
  <c r="K203" i="11"/>
  <c r="G203" i="11"/>
  <c r="O201" i="11"/>
  <c r="K201" i="11"/>
  <c r="G201" i="11"/>
  <c r="N200" i="11"/>
  <c r="L199" i="11"/>
  <c r="H197" i="11"/>
  <c r="F196" i="11"/>
  <c r="D195" i="11"/>
  <c r="N192" i="11"/>
  <c r="L191" i="11"/>
  <c r="H189" i="11"/>
  <c r="J218" i="12"/>
  <c r="F216" i="12"/>
  <c r="J214" i="12"/>
  <c r="D206" i="12"/>
  <c r="C196" i="12"/>
  <c r="E197" i="13"/>
  <c r="E209" i="6"/>
  <c r="I209" i="6"/>
  <c r="M209" i="12" s="1"/>
  <c r="M209" i="6"/>
  <c r="B209" i="6"/>
  <c r="F209" i="6"/>
  <c r="J209" i="6"/>
  <c r="N209" i="6"/>
  <c r="C209" i="6"/>
  <c r="G209" i="6"/>
  <c r="K209" i="6"/>
  <c r="N209" i="12" s="1"/>
  <c r="O209" i="6"/>
  <c r="D209" i="6"/>
  <c r="H209" i="6"/>
  <c r="L209" i="12" s="1"/>
  <c r="L209" i="6"/>
  <c r="O209" i="12" s="1"/>
  <c r="E205" i="6"/>
  <c r="I205" i="6"/>
  <c r="M205" i="12" s="1"/>
  <c r="M205" i="6"/>
  <c r="B205" i="6"/>
  <c r="F205" i="6"/>
  <c r="J205" i="6"/>
  <c r="N205" i="6"/>
  <c r="C205" i="6"/>
  <c r="G205" i="6"/>
  <c r="K205" i="6"/>
  <c r="N205" i="12" s="1"/>
  <c r="O205" i="6"/>
  <c r="D205" i="6"/>
  <c r="H205" i="6"/>
  <c r="L205" i="12" s="1"/>
  <c r="L205" i="6"/>
  <c r="O205" i="12" s="1"/>
  <c r="E201" i="6"/>
  <c r="I201" i="6"/>
  <c r="M201" i="12" s="1"/>
  <c r="M201" i="6"/>
  <c r="B201" i="6"/>
  <c r="F201" i="6"/>
  <c r="J201" i="6"/>
  <c r="N201" i="6"/>
  <c r="C201" i="6"/>
  <c r="G201" i="6"/>
  <c r="K201" i="6"/>
  <c r="N201" i="12" s="1"/>
  <c r="O201" i="6"/>
  <c r="D201" i="6"/>
  <c r="H201" i="6"/>
  <c r="L201" i="12" s="1"/>
  <c r="L201" i="6"/>
  <c r="O201" i="12" s="1"/>
  <c r="E197" i="6"/>
  <c r="I197" i="6"/>
  <c r="M197" i="12" s="1"/>
  <c r="M197" i="6"/>
  <c r="B197" i="6"/>
  <c r="F197" i="6"/>
  <c r="J197" i="6"/>
  <c r="N197" i="6"/>
  <c r="C197" i="6"/>
  <c r="G197" i="6"/>
  <c r="K197" i="6"/>
  <c r="N197" i="12" s="1"/>
  <c r="O197" i="6"/>
  <c r="D197" i="6"/>
  <c r="H197" i="6"/>
  <c r="L197" i="12" s="1"/>
  <c r="L197" i="6"/>
  <c r="O197" i="12" s="1"/>
  <c r="E193" i="6"/>
  <c r="I193" i="6"/>
  <c r="M193" i="12" s="1"/>
  <c r="M193" i="6"/>
  <c r="B193" i="6"/>
  <c r="F193" i="6"/>
  <c r="J193" i="6"/>
  <c r="N193" i="6"/>
  <c r="C193" i="6"/>
  <c r="G193" i="6"/>
  <c r="K193" i="6"/>
  <c r="N193" i="12" s="1"/>
  <c r="O193" i="6"/>
  <c r="D193" i="6"/>
  <c r="H193" i="6"/>
  <c r="L193" i="12" s="1"/>
  <c r="L193" i="6"/>
  <c r="O193" i="12" s="1"/>
  <c r="E189" i="6"/>
  <c r="I189" i="6"/>
  <c r="M189" i="12" s="1"/>
  <c r="M189" i="6"/>
  <c r="B189" i="6"/>
  <c r="F189" i="6"/>
  <c r="J189" i="6"/>
  <c r="N189" i="6"/>
  <c r="C189" i="6"/>
  <c r="G189" i="6"/>
  <c r="K189" i="6"/>
  <c r="N189" i="12" s="1"/>
  <c r="O189" i="6"/>
  <c r="D189" i="6"/>
  <c r="H189" i="6"/>
  <c r="L189" i="12" s="1"/>
  <c r="L189" i="6"/>
  <c r="O189" i="12" s="1"/>
  <c r="N220" i="6"/>
  <c r="J220" i="6"/>
  <c r="F220" i="6"/>
  <c r="B220" i="6"/>
  <c r="L219" i="6"/>
  <c r="O219" i="12" s="1"/>
  <c r="H219" i="6"/>
  <c r="L219" i="12" s="1"/>
  <c r="D219" i="6"/>
  <c r="N218" i="6"/>
  <c r="J218" i="6"/>
  <c r="F218" i="6"/>
  <c r="B218" i="6"/>
  <c r="L217" i="6"/>
  <c r="O217" i="12" s="1"/>
  <c r="H217" i="6"/>
  <c r="L217" i="12" s="1"/>
  <c r="D217" i="6"/>
  <c r="N216" i="6"/>
  <c r="J216" i="6"/>
  <c r="F216" i="6"/>
  <c r="B216" i="6"/>
  <c r="L215" i="6"/>
  <c r="O215" i="12" s="1"/>
  <c r="H215" i="6"/>
  <c r="L215" i="12" s="1"/>
  <c r="D215" i="6"/>
  <c r="N214" i="6"/>
  <c r="J214" i="6"/>
  <c r="F214" i="6"/>
  <c r="B214" i="6"/>
  <c r="L213" i="6"/>
  <c r="O213" i="12" s="1"/>
  <c r="H213" i="6"/>
  <c r="L213" i="12" s="1"/>
  <c r="D213" i="6"/>
  <c r="N212" i="6"/>
  <c r="J212" i="6"/>
  <c r="F212" i="6"/>
  <c r="B212" i="6"/>
  <c r="L211" i="6"/>
  <c r="O211" i="12" s="1"/>
  <c r="C208" i="6"/>
  <c r="G208" i="6"/>
  <c r="K208" i="6"/>
  <c r="N208" i="12" s="1"/>
  <c r="O208" i="6"/>
  <c r="D208" i="6"/>
  <c r="H208" i="6"/>
  <c r="L208" i="12" s="1"/>
  <c r="L208" i="6"/>
  <c r="O208" i="12" s="1"/>
  <c r="E208" i="6"/>
  <c r="I208" i="6"/>
  <c r="M208" i="12" s="1"/>
  <c r="M208" i="6"/>
  <c r="B208" i="6"/>
  <c r="F208" i="6"/>
  <c r="J208" i="6"/>
  <c r="N208" i="6"/>
  <c r="C204" i="6"/>
  <c r="G204" i="6"/>
  <c r="K204" i="6"/>
  <c r="N204" i="12" s="1"/>
  <c r="O204" i="6"/>
  <c r="D204" i="6"/>
  <c r="H204" i="6"/>
  <c r="L204" i="12" s="1"/>
  <c r="L204" i="6"/>
  <c r="O204" i="12" s="1"/>
  <c r="E204" i="6"/>
  <c r="I204" i="6"/>
  <c r="M204" i="12" s="1"/>
  <c r="M204" i="6"/>
  <c r="B204" i="6"/>
  <c r="F204" i="6"/>
  <c r="J204" i="6"/>
  <c r="N204" i="6"/>
  <c r="C200" i="6"/>
  <c r="G200" i="6"/>
  <c r="K200" i="6"/>
  <c r="N200" i="12" s="1"/>
  <c r="O200" i="6"/>
  <c r="D200" i="6"/>
  <c r="H200" i="6"/>
  <c r="L200" i="12" s="1"/>
  <c r="L200" i="6"/>
  <c r="O200" i="12" s="1"/>
  <c r="E200" i="6"/>
  <c r="I200" i="6"/>
  <c r="M200" i="12" s="1"/>
  <c r="M200" i="6"/>
  <c r="B200" i="6"/>
  <c r="F200" i="6"/>
  <c r="J200" i="6"/>
  <c r="N200" i="6"/>
  <c r="C196" i="6"/>
  <c r="G196" i="6"/>
  <c r="K196" i="6"/>
  <c r="N196" i="12" s="1"/>
  <c r="O196" i="6"/>
  <c r="D196" i="6"/>
  <c r="H196" i="6"/>
  <c r="L196" i="12" s="1"/>
  <c r="L196" i="6"/>
  <c r="O196" i="12" s="1"/>
  <c r="E196" i="6"/>
  <c r="I196" i="6"/>
  <c r="M196" i="12" s="1"/>
  <c r="M196" i="6"/>
  <c r="B196" i="6"/>
  <c r="F196" i="6"/>
  <c r="J196" i="6"/>
  <c r="N196" i="6"/>
  <c r="C192" i="6"/>
  <c r="G192" i="6"/>
  <c r="K192" i="6"/>
  <c r="N192" i="12" s="1"/>
  <c r="O192" i="6"/>
  <c r="D192" i="6"/>
  <c r="H192" i="6"/>
  <c r="L192" i="12" s="1"/>
  <c r="L192" i="6"/>
  <c r="O192" i="12" s="1"/>
  <c r="E192" i="6"/>
  <c r="I192" i="6"/>
  <c r="M192" i="12" s="1"/>
  <c r="M192" i="6"/>
  <c r="B192" i="6"/>
  <c r="F192" i="6"/>
  <c r="J192" i="6"/>
  <c r="N192" i="6"/>
  <c r="C188" i="6"/>
  <c r="G188" i="6"/>
  <c r="K188" i="6"/>
  <c r="N188" i="12" s="1"/>
  <c r="O188" i="6"/>
  <c r="D188" i="6"/>
  <c r="H188" i="6"/>
  <c r="L188" i="12" s="1"/>
  <c r="L188" i="6"/>
  <c r="O188" i="12" s="1"/>
  <c r="E188" i="6"/>
  <c r="I188" i="6"/>
  <c r="M188" i="12" s="1"/>
  <c r="M188" i="6"/>
  <c r="B188" i="6"/>
  <c r="F188" i="6"/>
  <c r="J188" i="6"/>
  <c r="N188" i="6"/>
  <c r="M220" i="6"/>
  <c r="I220" i="6"/>
  <c r="M220" i="12" s="1"/>
  <c r="E220" i="6"/>
  <c r="O219" i="6"/>
  <c r="K219" i="6"/>
  <c r="N219" i="12" s="1"/>
  <c r="G219" i="6"/>
  <c r="C219" i="6"/>
  <c r="M218" i="6"/>
  <c r="I218" i="6"/>
  <c r="M218" i="12" s="1"/>
  <c r="E218" i="6"/>
  <c r="O217" i="6"/>
  <c r="K217" i="6"/>
  <c r="N217" i="12" s="1"/>
  <c r="G217" i="6"/>
  <c r="C217" i="6"/>
  <c r="M216" i="6"/>
  <c r="I216" i="6"/>
  <c r="M216" i="12" s="1"/>
  <c r="E216" i="6"/>
  <c r="O215" i="6"/>
  <c r="K215" i="6"/>
  <c r="N215" i="12" s="1"/>
  <c r="G215" i="6"/>
  <c r="C215" i="6"/>
  <c r="M214" i="6"/>
  <c r="I214" i="6"/>
  <c r="M214" i="12" s="1"/>
  <c r="E214" i="6"/>
  <c r="O213" i="6"/>
  <c r="K213" i="6"/>
  <c r="N213" i="12" s="1"/>
  <c r="G213" i="6"/>
  <c r="C213" i="6"/>
  <c r="M212" i="6"/>
  <c r="I212" i="6"/>
  <c r="M212" i="12" s="1"/>
  <c r="E212" i="6"/>
  <c r="O211" i="6"/>
  <c r="E211" i="6"/>
  <c r="B211" i="6"/>
  <c r="F211" i="6"/>
  <c r="C211" i="6"/>
  <c r="G211" i="6"/>
  <c r="D211" i="6"/>
  <c r="H211" i="6"/>
  <c r="L211" i="12" s="1"/>
  <c r="E207" i="6"/>
  <c r="I207" i="6"/>
  <c r="M207" i="12" s="1"/>
  <c r="M207" i="6"/>
  <c r="B207" i="6"/>
  <c r="F207" i="6"/>
  <c r="J207" i="6"/>
  <c r="N207" i="6"/>
  <c r="C207" i="6"/>
  <c r="G207" i="6"/>
  <c r="K207" i="6"/>
  <c r="N207" i="12" s="1"/>
  <c r="O207" i="6"/>
  <c r="D207" i="6"/>
  <c r="H207" i="6"/>
  <c r="L207" i="12" s="1"/>
  <c r="L207" i="6"/>
  <c r="O207" i="12" s="1"/>
  <c r="E203" i="6"/>
  <c r="I203" i="6"/>
  <c r="M203" i="12" s="1"/>
  <c r="M203" i="6"/>
  <c r="B203" i="6"/>
  <c r="F203" i="6"/>
  <c r="J203" i="6"/>
  <c r="N203" i="6"/>
  <c r="C203" i="6"/>
  <c r="G203" i="6"/>
  <c r="K203" i="6"/>
  <c r="N203" i="12" s="1"/>
  <c r="O203" i="6"/>
  <c r="D203" i="6"/>
  <c r="H203" i="6"/>
  <c r="L203" i="12" s="1"/>
  <c r="L203" i="6"/>
  <c r="O203" i="12" s="1"/>
  <c r="E199" i="6"/>
  <c r="I199" i="6"/>
  <c r="M199" i="12" s="1"/>
  <c r="M199" i="6"/>
  <c r="B199" i="6"/>
  <c r="F199" i="6"/>
  <c r="J199" i="6"/>
  <c r="N199" i="6"/>
  <c r="C199" i="6"/>
  <c r="G199" i="6"/>
  <c r="K199" i="6"/>
  <c r="N199" i="12" s="1"/>
  <c r="O199" i="6"/>
  <c r="D199" i="6"/>
  <c r="H199" i="6"/>
  <c r="L199" i="12" s="1"/>
  <c r="L199" i="6"/>
  <c r="O199" i="12" s="1"/>
  <c r="E195" i="6"/>
  <c r="I195" i="6"/>
  <c r="M195" i="12" s="1"/>
  <c r="M195" i="6"/>
  <c r="B195" i="6"/>
  <c r="F195" i="6"/>
  <c r="J195" i="6"/>
  <c r="N195" i="6"/>
  <c r="C195" i="6"/>
  <c r="G195" i="6"/>
  <c r="K195" i="6"/>
  <c r="N195" i="12" s="1"/>
  <c r="O195" i="6"/>
  <c r="D195" i="6"/>
  <c r="H195" i="6"/>
  <c r="L195" i="12" s="1"/>
  <c r="L195" i="6"/>
  <c r="O195" i="12" s="1"/>
  <c r="E191" i="6"/>
  <c r="I191" i="6"/>
  <c r="M191" i="12" s="1"/>
  <c r="M191" i="6"/>
  <c r="B191" i="6"/>
  <c r="F191" i="6"/>
  <c r="J191" i="6"/>
  <c r="N191" i="6"/>
  <c r="C191" i="6"/>
  <c r="G191" i="6"/>
  <c r="K191" i="6"/>
  <c r="N191" i="12" s="1"/>
  <c r="O191" i="6"/>
  <c r="D191" i="6"/>
  <c r="H191" i="6"/>
  <c r="L191" i="12" s="1"/>
  <c r="L191" i="6"/>
  <c r="O191" i="12" s="1"/>
  <c r="L220" i="6"/>
  <c r="O220" i="12" s="1"/>
  <c r="H220" i="6"/>
  <c r="L220" i="12" s="1"/>
  <c r="D220" i="6"/>
  <c r="N219" i="6"/>
  <c r="J219" i="6"/>
  <c r="F219" i="6"/>
  <c r="B219" i="6"/>
  <c r="L218" i="6"/>
  <c r="O218" i="12" s="1"/>
  <c r="H218" i="6"/>
  <c r="L218" i="12" s="1"/>
  <c r="D218" i="6"/>
  <c r="N217" i="6"/>
  <c r="J217" i="6"/>
  <c r="F217" i="6"/>
  <c r="B217" i="6"/>
  <c r="L216" i="6"/>
  <c r="O216" i="12" s="1"/>
  <c r="H216" i="6"/>
  <c r="L216" i="12" s="1"/>
  <c r="D216" i="6"/>
  <c r="N215" i="6"/>
  <c r="J215" i="6"/>
  <c r="F215" i="6"/>
  <c r="B215" i="6"/>
  <c r="L214" i="6"/>
  <c r="O214" i="12" s="1"/>
  <c r="H214" i="6"/>
  <c r="L214" i="12" s="1"/>
  <c r="D214" i="6"/>
  <c r="N213" i="6"/>
  <c r="J213" i="6"/>
  <c r="F213" i="6"/>
  <c r="B213" i="6"/>
  <c r="L212" i="6"/>
  <c r="O212" i="12" s="1"/>
  <c r="H212" i="6"/>
  <c r="L212" i="12" s="1"/>
  <c r="D212" i="6"/>
  <c r="N211" i="6"/>
  <c r="J211" i="6"/>
  <c r="C210" i="6"/>
  <c r="G210" i="6"/>
  <c r="K210" i="6"/>
  <c r="N210" i="12" s="1"/>
  <c r="O210" i="6"/>
  <c r="D210" i="6"/>
  <c r="H210" i="6"/>
  <c r="L210" i="12" s="1"/>
  <c r="L210" i="6"/>
  <c r="O210" i="12" s="1"/>
  <c r="E210" i="6"/>
  <c r="I210" i="6"/>
  <c r="M210" i="12" s="1"/>
  <c r="M210" i="6"/>
  <c r="B210" i="6"/>
  <c r="F210" i="6"/>
  <c r="J210" i="6"/>
  <c r="N210" i="6"/>
  <c r="C206" i="6"/>
  <c r="G206" i="6"/>
  <c r="K206" i="6"/>
  <c r="N206" i="12" s="1"/>
  <c r="O206" i="6"/>
  <c r="D206" i="6"/>
  <c r="H206" i="6"/>
  <c r="L206" i="12" s="1"/>
  <c r="L206" i="6"/>
  <c r="O206" i="12" s="1"/>
  <c r="E206" i="6"/>
  <c r="I206" i="6"/>
  <c r="M206" i="12" s="1"/>
  <c r="M206" i="6"/>
  <c r="B206" i="6"/>
  <c r="F206" i="6"/>
  <c r="J206" i="6"/>
  <c r="N206" i="6"/>
  <c r="C202" i="6"/>
  <c r="G202" i="6"/>
  <c r="K202" i="6"/>
  <c r="N202" i="12" s="1"/>
  <c r="O202" i="6"/>
  <c r="D202" i="6"/>
  <c r="H202" i="6"/>
  <c r="L202" i="12" s="1"/>
  <c r="L202" i="6"/>
  <c r="O202" i="12" s="1"/>
  <c r="E202" i="6"/>
  <c r="I202" i="6"/>
  <c r="M202" i="12" s="1"/>
  <c r="M202" i="6"/>
  <c r="B202" i="6"/>
  <c r="F202" i="6"/>
  <c r="J202" i="6"/>
  <c r="N202" i="6"/>
  <c r="C198" i="6"/>
  <c r="G198" i="6"/>
  <c r="K198" i="6"/>
  <c r="N198" i="12" s="1"/>
  <c r="O198" i="6"/>
  <c r="D198" i="6"/>
  <c r="H198" i="6"/>
  <c r="L198" i="12" s="1"/>
  <c r="L198" i="6"/>
  <c r="O198" i="12" s="1"/>
  <c r="E198" i="6"/>
  <c r="I198" i="6"/>
  <c r="M198" i="12" s="1"/>
  <c r="M198" i="6"/>
  <c r="B198" i="6"/>
  <c r="F198" i="6"/>
  <c r="J198" i="6"/>
  <c r="N198" i="6"/>
  <c r="C194" i="6"/>
  <c r="G194" i="6"/>
  <c r="K194" i="6"/>
  <c r="N194" i="12" s="1"/>
  <c r="O194" i="6"/>
  <c r="D194" i="6"/>
  <c r="H194" i="6"/>
  <c r="L194" i="12" s="1"/>
  <c r="L194" i="6"/>
  <c r="O194" i="12" s="1"/>
  <c r="E194" i="6"/>
  <c r="I194" i="6"/>
  <c r="M194" i="12" s="1"/>
  <c r="M194" i="6"/>
  <c r="B194" i="6"/>
  <c r="F194" i="6"/>
  <c r="J194" i="6"/>
  <c r="N194" i="6"/>
  <c r="C190" i="6"/>
  <c r="G190" i="6"/>
  <c r="K190" i="6"/>
  <c r="N190" i="12" s="1"/>
  <c r="O190" i="6"/>
  <c r="D190" i="6"/>
  <c r="H190" i="6"/>
  <c r="L190" i="12" s="1"/>
  <c r="L190" i="6"/>
  <c r="O190" i="12" s="1"/>
  <c r="E190" i="6"/>
  <c r="I190" i="6"/>
  <c r="M190" i="12" s="1"/>
  <c r="M190" i="6"/>
  <c r="B190" i="6"/>
  <c r="F190" i="6"/>
  <c r="J190" i="6"/>
  <c r="N190" i="6"/>
  <c r="O220" i="6"/>
  <c r="K220" i="6"/>
  <c r="N220" i="12" s="1"/>
  <c r="G220" i="6"/>
  <c r="M219" i="6"/>
  <c r="I219" i="6"/>
  <c r="M219" i="12" s="1"/>
  <c r="O218" i="6"/>
  <c r="K218" i="6"/>
  <c r="N218" i="12" s="1"/>
  <c r="G218" i="6"/>
  <c r="M217" i="6"/>
  <c r="I217" i="6"/>
  <c r="M217" i="12" s="1"/>
  <c r="O216" i="6"/>
  <c r="K216" i="6"/>
  <c r="N216" i="12" s="1"/>
  <c r="G216" i="6"/>
  <c r="M215" i="6"/>
  <c r="I215" i="6"/>
  <c r="M215" i="12" s="1"/>
  <c r="O214" i="6"/>
  <c r="K214" i="6"/>
  <c r="N214" i="12" s="1"/>
  <c r="G214" i="6"/>
  <c r="M213" i="6"/>
  <c r="I213" i="6"/>
  <c r="M213" i="12" s="1"/>
  <c r="O212" i="6"/>
  <c r="K212" i="6"/>
  <c r="N212" i="12" s="1"/>
  <c r="G212" i="6"/>
  <c r="M211" i="6"/>
  <c r="I211" i="6"/>
  <c r="M211" i="12" s="1"/>
  <c r="L221" i="2"/>
  <c r="Q213" i="2"/>
  <c r="M219" i="2"/>
  <c r="D205" i="2"/>
  <c r="C217" i="2"/>
  <c r="I197" i="2"/>
  <c r="H208" i="2"/>
  <c r="M216" i="2"/>
  <c r="B216" i="2"/>
  <c r="P216" i="2"/>
  <c r="C212" i="2"/>
  <c r="R212" i="2"/>
  <c r="I204" i="2"/>
  <c r="L204" i="2"/>
  <c r="M200" i="2"/>
  <c r="P200" i="2"/>
  <c r="C196" i="2"/>
  <c r="D196" i="2"/>
  <c r="R196" i="2"/>
  <c r="B200" i="2"/>
  <c r="D220" i="2"/>
  <c r="C220" i="2"/>
  <c r="I220" i="2"/>
  <c r="D212" i="2"/>
  <c r="I219" i="2"/>
  <c r="E211" i="2"/>
  <c r="P207" i="2"/>
  <c r="L199" i="2"/>
  <c r="S223" i="2"/>
  <c r="H221" i="2"/>
  <c r="D219" i="2"/>
  <c r="G219" i="2" s="1"/>
  <c r="S209" i="2"/>
  <c r="H207" i="2"/>
  <c r="R203" i="2"/>
  <c r="C199" i="2"/>
  <c r="B223" i="2"/>
  <c r="C221" i="2"/>
  <c r="F221" i="2" s="1"/>
  <c r="Q219" i="2"/>
  <c r="L215" i="2"/>
  <c r="E195" i="2"/>
  <c r="D206" i="2"/>
  <c r="L206" i="2"/>
  <c r="R206" i="2"/>
  <c r="E206" i="2"/>
  <c r="M206" i="2"/>
  <c r="S206" i="2"/>
  <c r="B194" i="2"/>
  <c r="H194" i="2"/>
  <c r="P194" i="2"/>
  <c r="C194" i="2"/>
  <c r="I194" i="2"/>
  <c r="Q194" i="2"/>
  <c r="L218" i="2"/>
  <c r="C206" i="2"/>
  <c r="S202" i="2"/>
  <c r="D217" i="2"/>
  <c r="I217" i="2"/>
  <c r="E213" i="2"/>
  <c r="R213" i="2"/>
  <c r="B213" i="2"/>
  <c r="S213" i="2"/>
  <c r="C209" i="2"/>
  <c r="H209" i="2"/>
  <c r="L209" i="2"/>
  <c r="P209" i="2"/>
  <c r="D209" i="2"/>
  <c r="I209" i="2"/>
  <c r="M209" i="2"/>
  <c r="Q209" i="2"/>
  <c r="E205" i="2"/>
  <c r="R205" i="2"/>
  <c r="B205" i="2"/>
  <c r="S205" i="2"/>
  <c r="C201" i="2"/>
  <c r="H201" i="2"/>
  <c r="L201" i="2"/>
  <c r="P201" i="2"/>
  <c r="D201" i="2"/>
  <c r="I201" i="2"/>
  <c r="M201" i="2"/>
  <c r="Q201" i="2"/>
  <c r="E197" i="2"/>
  <c r="R197" i="2"/>
  <c r="B197" i="2"/>
  <c r="S197" i="2"/>
  <c r="R223" i="2"/>
  <c r="E223" i="2"/>
  <c r="S222" i="2"/>
  <c r="M222" i="2"/>
  <c r="E222" i="2"/>
  <c r="S221" i="2"/>
  <c r="B221" i="2"/>
  <c r="P220" i="2"/>
  <c r="H220" i="2"/>
  <c r="B220" i="2"/>
  <c r="P219" i="2"/>
  <c r="L219" i="2"/>
  <c r="H219" i="2"/>
  <c r="C219" i="2"/>
  <c r="F219" i="2" s="1"/>
  <c r="Q218" i="2"/>
  <c r="I218" i="2"/>
  <c r="C218" i="2"/>
  <c r="Q217" i="2"/>
  <c r="M217" i="2"/>
  <c r="H217" i="2"/>
  <c r="J217" i="2" s="1"/>
  <c r="K217" i="2" s="1"/>
  <c r="B217" i="2"/>
  <c r="S215" i="2"/>
  <c r="B215" i="2"/>
  <c r="H214" i="2"/>
  <c r="P213" i="2"/>
  <c r="H213" i="2"/>
  <c r="J213" i="2" s="1"/>
  <c r="K213" i="2" s="1"/>
  <c r="Q212" i="2"/>
  <c r="M211" i="2"/>
  <c r="D211" i="2"/>
  <c r="R209" i="2"/>
  <c r="S208" i="2"/>
  <c r="P206" i="2"/>
  <c r="B206" i="2"/>
  <c r="L205" i="2"/>
  <c r="N205" i="2" s="1"/>
  <c r="O205" i="2" s="1"/>
  <c r="C205" i="2"/>
  <c r="F205" i="2" s="1"/>
  <c r="Q203" i="2"/>
  <c r="I203" i="2"/>
  <c r="R202" i="2"/>
  <c r="D202" i="2"/>
  <c r="E201" i="2"/>
  <c r="S199" i="2"/>
  <c r="B199" i="2"/>
  <c r="H198" i="2"/>
  <c r="P197" i="2"/>
  <c r="H197" i="2"/>
  <c r="J197" i="2" s="1"/>
  <c r="K197" i="2" s="1"/>
  <c r="Q196" i="2"/>
  <c r="M195" i="2"/>
  <c r="D195" i="2"/>
  <c r="L194" i="2"/>
  <c r="B210" i="2"/>
  <c r="H210" i="2"/>
  <c r="P210" i="2"/>
  <c r="C210" i="2"/>
  <c r="I210" i="2"/>
  <c r="Q210" i="2"/>
  <c r="P222" i="2"/>
  <c r="H222" i="2"/>
  <c r="B222" i="2"/>
  <c r="Q206" i="2"/>
  <c r="C216" i="2"/>
  <c r="I216" i="2"/>
  <c r="D216" i="2"/>
  <c r="L216" i="2"/>
  <c r="R216" i="2"/>
  <c r="E212" i="2"/>
  <c r="M212" i="2"/>
  <c r="S212" i="2"/>
  <c r="B212" i="2"/>
  <c r="H212" i="2"/>
  <c r="P212" i="2"/>
  <c r="C208" i="2"/>
  <c r="I208" i="2"/>
  <c r="Q208" i="2"/>
  <c r="D208" i="2"/>
  <c r="L208" i="2"/>
  <c r="R208" i="2"/>
  <c r="E204" i="2"/>
  <c r="M204" i="2"/>
  <c r="S204" i="2"/>
  <c r="B204" i="2"/>
  <c r="H204" i="2"/>
  <c r="P204" i="2"/>
  <c r="C200" i="2"/>
  <c r="I200" i="2"/>
  <c r="Q200" i="2"/>
  <c r="D200" i="2"/>
  <c r="L200" i="2"/>
  <c r="R200" i="2"/>
  <c r="E196" i="2"/>
  <c r="M196" i="2"/>
  <c r="S196" i="2"/>
  <c r="B196" i="2"/>
  <c r="H196" i="2"/>
  <c r="P196" i="2"/>
  <c r="Q223" i="2"/>
  <c r="M223" i="2"/>
  <c r="I223" i="2"/>
  <c r="D223" i="2"/>
  <c r="R222" i="2"/>
  <c r="L222" i="2"/>
  <c r="D222" i="2"/>
  <c r="F222" i="2" s="1"/>
  <c r="R221" i="2"/>
  <c r="E221" i="2"/>
  <c r="G221" i="2" s="1"/>
  <c r="S220" i="2"/>
  <c r="M220" i="2"/>
  <c r="E220" i="2"/>
  <c r="S219" i="2"/>
  <c r="B219" i="2"/>
  <c r="P218" i="2"/>
  <c r="H218" i="2"/>
  <c r="B218" i="2"/>
  <c r="P217" i="2"/>
  <c r="L217" i="2"/>
  <c r="S216" i="2"/>
  <c r="H216" i="2"/>
  <c r="P215" i="2"/>
  <c r="Q214" i="2"/>
  <c r="M213" i="2"/>
  <c r="D213" i="2"/>
  <c r="L212" i="2"/>
  <c r="S210" i="2"/>
  <c r="E210" i="2"/>
  <c r="P208" i="2"/>
  <c r="B208" i="2"/>
  <c r="L207" i="2"/>
  <c r="I206" i="2"/>
  <c r="Q205" i="2"/>
  <c r="I205" i="2"/>
  <c r="R204" i="2"/>
  <c r="D204" i="2"/>
  <c r="S201" i="2"/>
  <c r="B201" i="2"/>
  <c r="H200" i="2"/>
  <c r="P199" i="2"/>
  <c r="Q198" i="2"/>
  <c r="M197" i="2"/>
  <c r="D197" i="2"/>
  <c r="L196" i="2"/>
  <c r="N196" i="2" s="1"/>
  <c r="O196" i="2" s="1"/>
  <c r="S194" i="2"/>
  <c r="E194" i="2"/>
  <c r="D214" i="2"/>
  <c r="F214" i="2" s="1"/>
  <c r="L214" i="2"/>
  <c r="R214" i="2"/>
  <c r="E214" i="2"/>
  <c r="M214" i="2"/>
  <c r="S214" i="2"/>
  <c r="B202" i="2"/>
  <c r="H202" i="2"/>
  <c r="P202" i="2"/>
  <c r="C202" i="2"/>
  <c r="I202" i="2"/>
  <c r="Q202" i="2"/>
  <c r="D198" i="2"/>
  <c r="F198" i="2" s="1"/>
  <c r="L198" i="2"/>
  <c r="R198" i="2"/>
  <c r="E198" i="2"/>
  <c r="M198" i="2"/>
  <c r="S198" i="2"/>
  <c r="R218" i="2"/>
  <c r="D218" i="2"/>
  <c r="I214" i="2"/>
  <c r="M210" i="2"/>
  <c r="N210" i="2" s="1"/>
  <c r="O210" i="2" s="1"/>
  <c r="E202" i="2"/>
  <c r="I198" i="2"/>
  <c r="M194" i="2"/>
  <c r="D215" i="2"/>
  <c r="I215" i="2"/>
  <c r="J215" i="2" s="1"/>
  <c r="K215" i="2" s="1"/>
  <c r="M215" i="2"/>
  <c r="Q215" i="2"/>
  <c r="E215" i="2"/>
  <c r="R215" i="2"/>
  <c r="B211" i="2"/>
  <c r="S211" i="2"/>
  <c r="C211" i="2"/>
  <c r="H211" i="2"/>
  <c r="L211" i="2"/>
  <c r="P211" i="2"/>
  <c r="D207" i="2"/>
  <c r="I207" i="2"/>
  <c r="J207" i="2" s="1"/>
  <c r="K207" i="2" s="1"/>
  <c r="M207" i="2"/>
  <c r="Q207" i="2"/>
  <c r="E207" i="2"/>
  <c r="R207" i="2"/>
  <c r="B203" i="2"/>
  <c r="S203" i="2"/>
  <c r="C203" i="2"/>
  <c r="H203" i="2"/>
  <c r="L203" i="2"/>
  <c r="P203" i="2"/>
  <c r="D199" i="2"/>
  <c r="I199" i="2"/>
  <c r="J199" i="2" s="1"/>
  <c r="K199" i="2" s="1"/>
  <c r="M199" i="2"/>
  <c r="Q199" i="2"/>
  <c r="E199" i="2"/>
  <c r="R199" i="2"/>
  <c r="B195" i="2"/>
  <c r="S195" i="2"/>
  <c r="C195" i="2"/>
  <c r="H195" i="2"/>
  <c r="L195" i="2"/>
  <c r="P195" i="2"/>
  <c r="P223" i="2"/>
  <c r="L223" i="2"/>
  <c r="H223" i="2"/>
  <c r="Q222" i="2"/>
  <c r="I222" i="2"/>
  <c r="Q221" i="2"/>
  <c r="M221" i="2"/>
  <c r="I221" i="2"/>
  <c r="R220" i="2"/>
  <c r="L220" i="2"/>
  <c r="R219" i="2"/>
  <c r="S218" i="2"/>
  <c r="M218" i="2"/>
  <c r="S217" i="2"/>
  <c r="E217" i="2"/>
  <c r="Q216" i="2"/>
  <c r="E216" i="2"/>
  <c r="P214" i="2"/>
  <c r="B214" i="2"/>
  <c r="L213" i="2"/>
  <c r="C213" i="2"/>
  <c r="I212" i="2"/>
  <c r="Q211" i="2"/>
  <c r="I211" i="2"/>
  <c r="R210" i="2"/>
  <c r="D210" i="2"/>
  <c r="E209" i="2"/>
  <c r="M208" i="2"/>
  <c r="S207" i="2"/>
  <c r="B207" i="2"/>
  <c r="H206" i="2"/>
  <c r="P205" i="2"/>
  <c r="H205" i="2"/>
  <c r="Q204" i="2"/>
  <c r="C204" i="2"/>
  <c r="M203" i="2"/>
  <c r="D203" i="2"/>
  <c r="G203" i="2" s="1"/>
  <c r="L202" i="2"/>
  <c r="N202" i="2" s="1"/>
  <c r="O202" i="2" s="1"/>
  <c r="R201" i="2"/>
  <c r="S200" i="2"/>
  <c r="E200" i="2"/>
  <c r="P198" i="2"/>
  <c r="B198" i="2"/>
  <c r="L197" i="2"/>
  <c r="C197" i="2"/>
  <c r="I196" i="2"/>
  <c r="Q195" i="2"/>
  <c r="I195" i="2"/>
  <c r="R194" i="2"/>
  <c r="D194" i="2"/>
  <c r="G218" i="2"/>
  <c r="L4" i="21"/>
  <c r="L3" i="21"/>
  <c r="N199" i="2" l="1"/>
  <c r="O199" i="2" s="1"/>
  <c r="F218" i="2"/>
  <c r="K198" i="3"/>
  <c r="K214" i="3"/>
  <c r="K201" i="3"/>
  <c r="G212" i="14"/>
  <c r="H203" i="3"/>
  <c r="H219" i="3"/>
  <c r="F213" i="2"/>
  <c r="F195" i="2"/>
  <c r="F200" i="2"/>
  <c r="E207" i="3"/>
  <c r="E190" i="3"/>
  <c r="E198" i="3"/>
  <c r="E206" i="3"/>
  <c r="J218" i="2"/>
  <c r="K218" i="2" s="1"/>
  <c r="F208" i="2"/>
  <c r="J204" i="2"/>
  <c r="K204" i="2" s="1"/>
  <c r="H204" i="3"/>
  <c r="K208" i="3"/>
  <c r="K192" i="3"/>
  <c r="K191" i="3"/>
  <c r="N221" i="2"/>
  <c r="O221" i="2" s="1"/>
  <c r="N206" i="2"/>
  <c r="O206" i="2" s="1"/>
  <c r="G208" i="14"/>
  <c r="G220" i="14"/>
  <c r="G200" i="14"/>
  <c r="H200" i="3"/>
  <c r="H194" i="3"/>
  <c r="H210" i="3"/>
  <c r="E215" i="3"/>
  <c r="E216" i="3"/>
  <c r="G216" i="14"/>
  <c r="F211" i="2"/>
  <c r="J221" i="2"/>
  <c r="K221" i="2" s="1"/>
  <c r="G197" i="2"/>
  <c r="J200" i="2"/>
  <c r="K200" i="2" s="1"/>
  <c r="N217" i="2"/>
  <c r="O217" i="2" s="1"/>
  <c r="H208" i="3"/>
  <c r="H202" i="3"/>
  <c r="H218" i="3"/>
  <c r="K190" i="3"/>
  <c r="H196" i="3"/>
  <c r="K206" i="3"/>
  <c r="H212" i="3"/>
  <c r="K219" i="3"/>
  <c r="E204" i="3"/>
  <c r="G215" i="14"/>
  <c r="H195" i="3"/>
  <c r="H211" i="3"/>
  <c r="G188" i="14"/>
  <c r="G204" i="14"/>
  <c r="H192" i="3"/>
  <c r="G195" i="14"/>
  <c r="H220" i="3"/>
  <c r="E196" i="3"/>
  <c r="G192" i="14"/>
  <c r="E200" i="3"/>
  <c r="K220" i="3"/>
  <c r="K199" i="3"/>
  <c r="K216" i="3"/>
  <c r="K195" i="3"/>
  <c r="K202" i="3"/>
  <c r="K218" i="3"/>
  <c r="E191" i="3"/>
  <c r="J208" i="2"/>
  <c r="K208" i="2" s="1"/>
  <c r="G196" i="14"/>
  <c r="G203" i="14"/>
  <c r="G201" i="14"/>
  <c r="E192" i="3"/>
  <c r="E208" i="3"/>
  <c r="K213" i="3"/>
  <c r="K204" i="3"/>
  <c r="N215" i="2"/>
  <c r="O215" i="2" s="1"/>
  <c r="J220" i="2"/>
  <c r="K220" i="2" s="1"/>
  <c r="H206" i="3"/>
  <c r="K217" i="3"/>
  <c r="K212" i="3"/>
  <c r="K194" i="3"/>
  <c r="K210" i="3"/>
  <c r="H216" i="3"/>
  <c r="K189" i="3"/>
  <c r="K205" i="3"/>
  <c r="K197" i="3"/>
  <c r="H189" i="3"/>
  <c r="H205" i="3"/>
  <c r="H213" i="3"/>
  <c r="H217" i="3"/>
  <c r="H209" i="3"/>
  <c r="F210" i="2"/>
  <c r="N223" i="2"/>
  <c r="O223" i="2" s="1"/>
  <c r="J203" i="2"/>
  <c r="K203" i="2" s="1"/>
  <c r="G213" i="2"/>
  <c r="N200" i="2"/>
  <c r="O200" i="2" s="1"/>
  <c r="N219" i="2"/>
  <c r="O219" i="2" s="1"/>
  <c r="G206" i="2"/>
  <c r="G202" i="14"/>
  <c r="G219" i="14"/>
  <c r="G189" i="14"/>
  <c r="G197" i="14"/>
  <c r="G205" i="14"/>
  <c r="H193" i="3"/>
  <c r="H197" i="3"/>
  <c r="H201" i="3"/>
  <c r="J210" i="2"/>
  <c r="K210" i="2" s="1"/>
  <c r="G202" i="2"/>
  <c r="F212" i="2"/>
  <c r="G205" i="2"/>
  <c r="G194" i="14"/>
  <c r="G213" i="14"/>
  <c r="K193" i="3"/>
  <c r="F194" i="2"/>
  <c r="J205" i="2"/>
  <c r="K205" i="2" s="1"/>
  <c r="F199" i="2"/>
  <c r="N216" i="2"/>
  <c r="O216" i="2" s="1"/>
  <c r="J219" i="2"/>
  <c r="K219" i="2" s="1"/>
  <c r="N207" i="2"/>
  <c r="O207" i="2" s="1"/>
  <c r="G198" i="2"/>
  <c r="G212" i="2"/>
  <c r="N197" i="2"/>
  <c r="O197" i="2" s="1"/>
  <c r="G220" i="2"/>
  <c r="G223" i="2"/>
  <c r="F216" i="2"/>
  <c r="G195" i="2"/>
  <c r="F196" i="2"/>
  <c r="G214" i="2"/>
  <c r="F197" i="2"/>
  <c r="G207" i="2"/>
  <c r="J202" i="2"/>
  <c r="K202" i="2" s="1"/>
  <c r="F220" i="2"/>
  <c r="G194" i="2"/>
  <c r="G211" i="2"/>
  <c r="J198" i="2"/>
  <c r="K198" i="2" s="1"/>
  <c r="G196" i="2"/>
  <c r="G210" i="2"/>
  <c r="G222" i="2"/>
  <c r="J223" i="2"/>
  <c r="K223" i="2" s="1"/>
  <c r="N195" i="2"/>
  <c r="O195" i="2" s="1"/>
  <c r="N198" i="2"/>
  <c r="O198" i="2" s="1"/>
  <c r="N214" i="2"/>
  <c r="O214" i="2" s="1"/>
  <c r="F204" i="2"/>
  <c r="N204" i="2"/>
  <c r="O204" i="2" s="1"/>
  <c r="G215" i="2"/>
  <c r="F215" i="2"/>
  <c r="J196" i="2"/>
  <c r="K196" i="2" s="1"/>
  <c r="J212" i="2"/>
  <c r="K212" i="2" s="1"/>
  <c r="F202" i="2"/>
  <c r="N201" i="2"/>
  <c r="O201" i="2" s="1"/>
  <c r="N209" i="2"/>
  <c r="O209" i="2" s="1"/>
  <c r="G217" i="2"/>
  <c r="F217" i="2"/>
  <c r="G199" i="2"/>
  <c r="N213" i="2"/>
  <c r="O213" i="2" s="1"/>
  <c r="J206" i="2"/>
  <c r="K206" i="2" s="1"/>
  <c r="N203" i="2"/>
  <c r="O203" i="2" s="1"/>
  <c r="N211" i="2"/>
  <c r="O211" i="2" s="1"/>
  <c r="N212" i="2"/>
  <c r="O212" i="2" s="1"/>
  <c r="N222" i="2"/>
  <c r="O222" i="2" s="1"/>
  <c r="J201" i="2"/>
  <c r="K201" i="2" s="1"/>
  <c r="J209" i="2"/>
  <c r="K209" i="2" s="1"/>
  <c r="N218" i="2"/>
  <c r="O218" i="2" s="1"/>
  <c r="F206" i="2"/>
  <c r="F223" i="2"/>
  <c r="F203" i="2"/>
  <c r="J214" i="2"/>
  <c r="K214" i="2" s="1"/>
  <c r="G204" i="2"/>
  <c r="G200" i="2"/>
  <c r="G208" i="2"/>
  <c r="G216" i="2"/>
  <c r="N220" i="2"/>
  <c r="O220" i="2" s="1"/>
  <c r="J195" i="2"/>
  <c r="K195" i="2" s="1"/>
  <c r="J211" i="2"/>
  <c r="K211" i="2" s="1"/>
  <c r="J216" i="2"/>
  <c r="K216" i="2" s="1"/>
  <c r="N208" i="2"/>
  <c r="O208" i="2" s="1"/>
  <c r="J222" i="2"/>
  <c r="K222" i="2" s="1"/>
  <c r="N194" i="2"/>
  <c r="O194" i="2" s="1"/>
  <c r="G201" i="2"/>
  <c r="F201" i="2"/>
  <c r="G209" i="2"/>
  <c r="F209" i="2"/>
  <c r="J194" i="2"/>
  <c r="K194" i="2" s="1"/>
  <c r="F207" i="2"/>
  <c r="F81" i="18"/>
  <c r="F194" i="18" l="1"/>
  <c r="F133" i="18"/>
  <c r="F165" i="18"/>
  <c r="F115" i="18"/>
  <c r="F174" i="18"/>
  <c r="F185" i="18"/>
  <c r="F95" i="18"/>
  <c r="F88" i="18"/>
  <c r="F73" i="18"/>
  <c r="F107" i="18"/>
  <c r="F168" i="18"/>
  <c r="F211" i="18"/>
  <c r="F110" i="18"/>
  <c r="F135" i="18"/>
  <c r="F205" i="18"/>
  <c r="F55" i="18"/>
  <c r="F21" i="18"/>
  <c r="F33" i="18"/>
  <c r="F62" i="18"/>
  <c r="F22" i="18"/>
  <c r="F71" i="18"/>
  <c r="F132" i="18"/>
  <c r="F147" i="18"/>
  <c r="F189" i="18"/>
  <c r="F184" i="18"/>
  <c r="F128" i="18"/>
  <c r="F97" i="18"/>
  <c r="F209" i="18"/>
  <c r="F70" i="18"/>
  <c r="F177" i="18"/>
  <c r="F84" i="18"/>
  <c r="F160" i="18"/>
  <c r="F72" i="18"/>
  <c r="F204" i="18"/>
  <c r="F58" i="18"/>
  <c r="F153" i="18"/>
  <c r="F85" i="18"/>
  <c r="F186" i="18"/>
  <c r="F140" i="18"/>
  <c r="F92" i="18"/>
  <c r="F30" i="18"/>
  <c r="F98" i="18"/>
  <c r="F125" i="18"/>
  <c r="F82" i="18"/>
  <c r="F8" i="18"/>
  <c r="F176" i="18"/>
  <c r="F96" i="18"/>
  <c r="F11" i="18"/>
  <c r="F91" i="18"/>
  <c r="F122" i="18"/>
  <c r="F152" i="18"/>
  <c r="F118" i="18"/>
  <c r="F134" i="18"/>
  <c r="F199" i="18"/>
  <c r="F7" i="18"/>
  <c r="F13" i="18"/>
  <c r="F193" i="18"/>
  <c r="F99" i="18"/>
  <c r="F46" i="18"/>
  <c r="F20" i="18"/>
  <c r="F24" i="18"/>
  <c r="F32" i="18"/>
  <c r="F100" i="18"/>
  <c r="F154" i="18"/>
  <c r="F23" i="18"/>
  <c r="F130" i="18"/>
  <c r="F190" i="18"/>
  <c r="F159" i="18"/>
  <c r="F198" i="18"/>
  <c r="F79" i="18"/>
  <c r="F36" i="18"/>
  <c r="F26" i="18"/>
  <c r="F175" i="18"/>
  <c r="F61" i="18"/>
  <c r="F9" i="18"/>
  <c r="F105" i="18"/>
  <c r="F203" i="18"/>
  <c r="F27" i="18"/>
  <c r="F188" i="18"/>
  <c r="F182" i="18"/>
  <c r="F139" i="18"/>
  <c r="F111" i="18"/>
  <c r="F28" i="18"/>
  <c r="F155" i="18"/>
  <c r="F206" i="18"/>
  <c r="F114" i="18"/>
  <c r="F17" i="18"/>
  <c r="F44" i="18"/>
  <c r="F53" i="18"/>
  <c r="F112" i="18"/>
  <c r="F157" i="18"/>
  <c r="F94" i="18"/>
  <c r="F197" i="18"/>
  <c r="F109" i="18"/>
  <c r="F145" i="18"/>
  <c r="F77" i="18"/>
  <c r="F173" i="18"/>
  <c r="F10" i="18"/>
  <c r="F149" i="18"/>
  <c r="F108" i="18"/>
  <c r="F117" i="18"/>
  <c r="F142" i="18"/>
  <c r="F192" i="18"/>
  <c r="F191" i="18"/>
  <c r="F102" i="18"/>
  <c r="F179" i="18"/>
  <c r="F187" i="18"/>
  <c r="F141" i="18"/>
  <c r="F164" i="18"/>
  <c r="F51" i="18"/>
  <c r="F39" i="18"/>
  <c r="F80" i="18"/>
  <c r="F76" i="18"/>
  <c r="F65" i="18"/>
  <c r="F15" i="18"/>
  <c r="F150" i="18"/>
  <c r="F60" i="18"/>
  <c r="F38" i="18"/>
  <c r="F106" i="18"/>
  <c r="F207" i="18"/>
  <c r="F127" i="18"/>
  <c r="F29" i="18"/>
  <c r="F172" i="18"/>
  <c r="F158" i="18"/>
  <c r="F181" i="18"/>
  <c r="F19" i="18"/>
  <c r="F200" i="18"/>
  <c r="F83" i="18"/>
  <c r="F57" i="18"/>
  <c r="F63" i="18"/>
  <c r="F69" i="18"/>
  <c r="F6" i="18"/>
  <c r="F123" i="18"/>
  <c r="F131" i="18"/>
  <c r="F49" i="18"/>
  <c r="F146" i="18"/>
  <c r="F25" i="18"/>
  <c r="F201" i="18"/>
  <c r="F113" i="18"/>
  <c r="F156" i="18"/>
  <c r="F121" i="18"/>
  <c r="F119" i="18"/>
  <c r="F59" i="18"/>
  <c r="F87" i="18"/>
  <c r="F124" i="18"/>
  <c r="F163" i="18"/>
  <c r="F167" i="18"/>
  <c r="F86" i="18"/>
  <c r="F31" i="18"/>
  <c r="F101" i="18"/>
  <c r="F180" i="18"/>
  <c r="F16" i="18"/>
  <c r="F178" i="18"/>
  <c r="F14" i="18"/>
  <c r="F5" i="18"/>
  <c r="F35" i="18"/>
  <c r="F37" i="18"/>
  <c r="F126" i="18"/>
  <c r="F166" i="18"/>
  <c r="F136" i="18"/>
  <c r="F169" i="18"/>
  <c r="F48" i="18"/>
  <c r="F171" i="18"/>
  <c r="F74" i="18"/>
  <c r="F64" i="18"/>
  <c r="F89" i="18"/>
  <c r="F75" i="18"/>
  <c r="F68" i="18"/>
  <c r="F18" i="18"/>
  <c r="F202" i="18"/>
  <c r="F34" i="18"/>
  <c r="F90" i="18"/>
  <c r="F183" i="18"/>
  <c r="F116" i="18"/>
  <c r="F138" i="18"/>
  <c r="F170" i="18"/>
  <c r="F162" i="18"/>
  <c r="F93" i="18"/>
  <c r="F47" i="18"/>
  <c r="F45" i="18"/>
  <c r="F52" i="18"/>
  <c r="F43" i="18"/>
  <c r="F50" i="18"/>
  <c r="F42" i="18"/>
  <c r="F195" i="18"/>
  <c r="F120" i="18"/>
  <c r="F137" i="18"/>
  <c r="F40" i="18"/>
  <c r="F144" i="18"/>
  <c r="F54" i="18"/>
  <c r="F41" i="18"/>
  <c r="F67" i="18"/>
  <c r="F103" i="18"/>
  <c r="F66" i="18"/>
  <c r="F161" i="18"/>
  <c r="F78" i="18"/>
  <c r="F104" i="18"/>
  <c r="F129" i="18"/>
  <c r="F151" i="18"/>
  <c r="F196" i="18"/>
  <c r="F56" i="18"/>
  <c r="F12" i="18"/>
  <c r="E50"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132" i="18"/>
  <c r="E105" i="18"/>
  <c r="E8" i="18"/>
  <c r="E135" i="18"/>
  <c r="E139" i="18"/>
  <c r="E41" i="18"/>
  <c r="E154" i="18"/>
  <c r="E93" i="18"/>
  <c r="E199" i="18"/>
  <c r="E28" i="18"/>
  <c r="E157" i="18"/>
  <c r="E46" i="18"/>
  <c r="E26" i="18"/>
  <c r="E40" i="18"/>
  <c r="E36" i="18"/>
  <c r="E171" i="18"/>
  <c r="E10" i="18"/>
  <c r="E62" i="18"/>
  <c r="E56" i="18"/>
  <c r="E127" i="18"/>
  <c r="E52" i="18"/>
  <c r="E30" i="18"/>
  <c r="E194" i="18"/>
  <c r="E47" i="18"/>
  <c r="E74" i="18"/>
  <c r="E121" i="18"/>
  <c r="E16" i="18"/>
  <c r="E39" i="18"/>
  <c r="E34" i="18"/>
  <c r="E191" i="18"/>
  <c r="E32" i="18"/>
  <c r="E77" i="18"/>
  <c r="E172" i="18"/>
  <c r="E174" i="18"/>
  <c r="E197" i="18"/>
  <c r="E63" i="18"/>
  <c r="E13" i="18"/>
  <c r="E173" i="18"/>
  <c r="E12" i="18"/>
  <c r="E106" i="18"/>
  <c r="E193" i="18"/>
  <c r="E164" i="18"/>
  <c r="E85" i="18"/>
  <c r="E162" i="18"/>
  <c r="E98" i="18"/>
  <c r="E184" i="18"/>
  <c r="E125" i="18"/>
  <c r="E82" i="18"/>
  <c r="E130" i="18"/>
  <c r="E176" i="18"/>
  <c r="E42" i="18"/>
  <c r="E15" i="18"/>
  <c r="E116" i="18"/>
  <c r="E102" i="18"/>
  <c r="E141" i="18"/>
  <c r="E155" i="18"/>
  <c r="E65" i="18"/>
  <c r="E76" i="18"/>
  <c r="E18" i="18"/>
  <c r="E70" i="18"/>
  <c r="E146" i="18"/>
  <c r="E206" i="18"/>
  <c r="E45" i="18"/>
  <c r="E44" i="18"/>
  <c r="E111" i="18"/>
  <c r="E161" i="18"/>
  <c r="E87" i="18"/>
  <c r="E152" i="18"/>
  <c r="E134" i="18"/>
  <c r="E156" i="18"/>
  <c r="E97" i="18"/>
  <c r="E14" i="18"/>
  <c r="E138" i="18"/>
  <c r="E185" i="18"/>
  <c r="E120" i="18"/>
  <c r="E195" i="18"/>
  <c r="E22" i="18"/>
  <c r="E51" i="18"/>
  <c r="E203" i="18"/>
  <c r="E100" i="18"/>
  <c r="E72" i="18"/>
  <c r="E104" i="18"/>
  <c r="E7" i="18"/>
  <c r="E108" i="18"/>
  <c r="E107" i="18"/>
  <c r="E128" i="18"/>
  <c r="E207" i="18"/>
  <c r="E160" i="18"/>
  <c r="E153" i="18"/>
  <c r="E35" i="18"/>
  <c r="E192" i="18"/>
  <c r="E23" i="18"/>
  <c r="E53" i="18"/>
  <c r="E196" i="18"/>
  <c r="E198" i="18"/>
  <c r="E99" i="18"/>
  <c r="E131" i="18"/>
  <c r="E117" i="18"/>
  <c r="E49" i="18"/>
  <c r="E54" i="18"/>
  <c r="E84" i="18"/>
  <c r="E58" i="18"/>
  <c r="E94" i="18"/>
  <c r="E165" i="18"/>
  <c r="E166" i="18"/>
  <c r="E57" i="18"/>
  <c r="E190" i="18"/>
  <c r="E68" i="18"/>
  <c r="E204" i="18"/>
  <c r="E64" i="18"/>
  <c r="E21" i="18"/>
  <c r="E96" i="18"/>
  <c r="E60" i="18"/>
  <c r="E159" i="18"/>
  <c r="E112" i="18"/>
  <c r="E169" i="18"/>
  <c r="E38" i="18"/>
  <c r="E115" i="18"/>
  <c r="E43" i="18"/>
  <c r="E79" i="18"/>
  <c r="E189" i="18"/>
  <c r="E103" i="18"/>
  <c r="E145" i="18"/>
  <c r="E200" i="18"/>
  <c r="E211" i="18"/>
  <c r="E5" i="18"/>
  <c r="E80" i="18"/>
  <c r="E78" i="18"/>
  <c r="E179" i="18"/>
  <c r="E48" i="18"/>
  <c r="E188" i="18"/>
  <c r="E158" i="18"/>
  <c r="E17" i="18"/>
  <c r="E148" i="18"/>
  <c r="F148" i="18"/>
  <c r="E109" i="18"/>
  <c r="E133" i="18"/>
  <c r="E29" i="18"/>
  <c r="E61" i="18"/>
  <c r="E129" i="18"/>
  <c r="E168" i="18"/>
  <c r="E175" i="18"/>
  <c r="E123" i="18"/>
  <c r="E119" i="18"/>
  <c r="E31" i="18"/>
  <c r="E83" i="18"/>
  <c r="E69" i="18"/>
  <c r="E167" i="18"/>
  <c r="E24" i="18"/>
  <c r="E20" i="18"/>
  <c r="E6" i="18"/>
  <c r="E180" i="18"/>
  <c r="E149" i="18"/>
  <c r="E182" i="18"/>
  <c r="E113" i="18"/>
  <c r="E25" i="18"/>
  <c r="E201" i="18"/>
  <c r="E9" i="18"/>
  <c r="E187" i="18"/>
  <c r="E209" i="18"/>
  <c r="E37" i="18"/>
  <c r="E33" i="18"/>
  <c r="E66" i="18"/>
  <c r="E202" i="18"/>
  <c r="E101" i="18"/>
  <c r="E91" i="18"/>
  <c r="E151" i="18"/>
  <c r="E92" i="18"/>
  <c r="E136" i="18"/>
  <c r="E59" i="18"/>
  <c r="E55" i="18"/>
  <c r="E142" i="18"/>
  <c r="E140" i="18"/>
  <c r="E163" i="18"/>
  <c r="E73" i="18"/>
  <c r="E95" i="18"/>
  <c r="E71" i="18"/>
  <c r="E124" i="18"/>
  <c r="E177" i="18"/>
  <c r="E110" i="18"/>
  <c r="E86" i="18"/>
  <c r="E27" i="18"/>
  <c r="E186" i="18"/>
  <c r="E88" i="18"/>
  <c r="E75" i="18"/>
  <c r="E118" i="18"/>
  <c r="E89" i="18"/>
  <c r="E181" i="18"/>
  <c r="E114" i="18"/>
  <c r="E170" i="18"/>
  <c r="E144" i="18"/>
  <c r="E126" i="18"/>
  <c r="E11" i="18"/>
  <c r="E137" i="18"/>
  <c r="C7" i="14"/>
  <c r="B8" i="14"/>
  <c r="B9" i="14"/>
  <c r="C10" i="14"/>
  <c r="C11" i="14"/>
  <c r="B12" i="14"/>
  <c r="D13" i="14"/>
  <c r="C14" i="14"/>
  <c r="C15" i="14"/>
  <c r="B16" i="14"/>
  <c r="D17" i="14"/>
  <c r="C18" i="14"/>
  <c r="C19" i="14"/>
  <c r="B20" i="14"/>
  <c r="D21" i="14"/>
  <c r="C23" i="14"/>
  <c r="C24" i="14"/>
  <c r="D25" i="14"/>
  <c r="C26" i="14"/>
  <c r="C27" i="14"/>
  <c r="C28" i="14"/>
  <c r="C29" i="14"/>
  <c r="E30" i="14"/>
  <c r="C31" i="14"/>
  <c r="C32" i="14"/>
  <c r="C33" i="14"/>
  <c r="C34" i="14"/>
  <c r="C35" i="14"/>
  <c r="D37" i="14"/>
  <c r="C39" i="14"/>
  <c r="C40" i="14"/>
  <c r="B41" i="14"/>
  <c r="C42" i="14"/>
  <c r="F43" i="14"/>
  <c r="E44" i="14"/>
  <c r="E46" i="14"/>
  <c r="F47" i="14"/>
  <c r="D48" i="14"/>
  <c r="C49" i="14"/>
  <c r="E50" i="14"/>
  <c r="C51" i="14"/>
  <c r="D52" i="14"/>
  <c r="D53" i="14"/>
  <c r="C54" i="14"/>
  <c r="C55" i="14"/>
  <c r="D56" i="14"/>
  <c r="D57" i="14"/>
  <c r="C59" i="14"/>
  <c r="D60" i="14"/>
  <c r="C61" i="14"/>
  <c r="C62" i="14"/>
  <c r="C63" i="14"/>
  <c r="C65" i="14"/>
  <c r="C66" i="14"/>
  <c r="C67" i="14"/>
  <c r="C69" i="14"/>
  <c r="C70" i="14"/>
  <c r="C71" i="14"/>
  <c r="C73" i="14"/>
  <c r="C74" i="14"/>
  <c r="C75" i="14"/>
  <c r="C77" i="14"/>
  <c r="C78" i="14"/>
  <c r="C79" i="14"/>
  <c r="E81" i="14"/>
  <c r="E82" i="14"/>
  <c r="F83" i="14"/>
  <c r="B84" i="14"/>
  <c r="E85" i="14"/>
  <c r="C86" i="14"/>
  <c r="C87" i="14"/>
  <c r="C88" i="14"/>
  <c r="D89" i="14"/>
  <c r="C91" i="14"/>
  <c r="C92" i="14"/>
  <c r="D93" i="14"/>
  <c r="C94" i="14"/>
  <c r="C95" i="14"/>
  <c r="C96" i="14"/>
  <c r="D97" i="14"/>
  <c r="C98" i="14"/>
  <c r="C99" i="14"/>
  <c r="C100" i="14"/>
  <c r="E101" i="14"/>
  <c r="C102" i="14"/>
  <c r="C103" i="14"/>
  <c r="C104" i="14"/>
  <c r="D105" i="14"/>
  <c r="C107" i="14"/>
  <c r="C108" i="14"/>
  <c r="B109" i="14"/>
  <c r="C111" i="14"/>
  <c r="C112" i="14"/>
  <c r="D113" i="14"/>
  <c r="C114" i="14"/>
  <c r="C115" i="14"/>
  <c r="C117" i="14"/>
  <c r="C118" i="14"/>
  <c r="C119" i="14"/>
  <c r="C120" i="14"/>
  <c r="C123" i="14"/>
  <c r="C124" i="14"/>
  <c r="C125" i="14"/>
  <c r="C126" i="14"/>
  <c r="C127" i="14"/>
  <c r="B129" i="14"/>
  <c r="C130" i="14"/>
  <c r="D131" i="14"/>
  <c r="C133" i="14"/>
  <c r="D135" i="14"/>
  <c r="D136" i="14"/>
  <c r="C137" i="14"/>
  <c r="C138" i="14"/>
  <c r="C139" i="14"/>
  <c r="C140" i="14"/>
  <c r="C141" i="14"/>
  <c r="C142" i="14"/>
  <c r="E143" i="14"/>
  <c r="F144" i="14"/>
  <c r="D148" i="14"/>
  <c r="D149" i="14"/>
  <c r="F151" i="14"/>
  <c r="D152" i="14"/>
  <c r="C153" i="14"/>
  <c r="D156" i="14"/>
  <c r="C157" i="14"/>
  <c r="C158" i="14"/>
  <c r="B159" i="14"/>
  <c r="D160" i="14"/>
  <c r="D161" i="14"/>
  <c r="B165" i="14"/>
  <c r="D167" i="14"/>
  <c r="F168" i="14"/>
  <c r="C169" i="14"/>
  <c r="C171" i="14"/>
  <c r="C172" i="14"/>
  <c r="E173" i="14"/>
  <c r="E174" i="14"/>
  <c r="E175" i="14"/>
  <c r="E176" i="14"/>
  <c r="E177" i="14"/>
  <c r="C178" i="14"/>
  <c r="C180" i="14"/>
  <c r="E182" i="14"/>
  <c r="B183" i="14"/>
  <c r="C184" i="14"/>
  <c r="F185" i="14"/>
  <c r="C186" i="14"/>
  <c r="B187" i="14"/>
  <c r="C6" i="13"/>
  <c r="D7" i="13"/>
  <c r="C8" i="13"/>
  <c r="D9" i="13"/>
  <c r="D11" i="13"/>
  <c r="C12" i="13"/>
  <c r="D13" i="13"/>
  <c r="C14" i="13"/>
  <c r="C18" i="13"/>
  <c r="E19" i="13"/>
  <c r="E20" i="13"/>
  <c r="E21" i="13"/>
  <c r="C22" i="13"/>
  <c r="D23" i="13"/>
  <c r="C24" i="13"/>
  <c r="C25" i="13"/>
  <c r="D27" i="13"/>
  <c r="C28" i="13"/>
  <c r="D29" i="13"/>
  <c r="C30" i="13"/>
  <c r="C34" i="13"/>
  <c r="F35" i="13"/>
  <c r="D36" i="13"/>
  <c r="E37" i="13"/>
  <c r="D38" i="13"/>
  <c r="D40" i="13"/>
  <c r="B41" i="13"/>
  <c r="C42" i="13"/>
  <c r="F43" i="13"/>
  <c r="D44" i="13"/>
  <c r="D45" i="13"/>
  <c r="C46" i="13"/>
  <c r="B47" i="13"/>
  <c r="D48" i="13"/>
  <c r="E49" i="13"/>
  <c r="C50" i="13"/>
  <c r="D51" i="13"/>
  <c r="D52" i="13"/>
  <c r="E54" i="13"/>
  <c r="D55" i="13"/>
  <c r="D56" i="13"/>
  <c r="G58" i="13"/>
  <c r="F59" i="13"/>
  <c r="E61" i="13"/>
  <c r="D62" i="13"/>
  <c r="F63" i="13"/>
  <c r="F64" i="13"/>
  <c r="B65" i="13"/>
  <c r="D66" i="13"/>
  <c r="D67" i="13"/>
  <c r="C68" i="13"/>
  <c r="D69" i="13"/>
  <c r="D70" i="13"/>
  <c r="G72" i="13"/>
  <c r="E73" i="13"/>
  <c r="G74" i="13"/>
  <c r="B75" i="13"/>
  <c r="F76" i="13"/>
  <c r="F77" i="13"/>
  <c r="E78" i="13"/>
  <c r="D79" i="13"/>
  <c r="D80" i="13"/>
  <c r="D81" i="13"/>
  <c r="D82" i="13"/>
  <c r="D83" i="13"/>
  <c r="C84" i="13"/>
  <c r="C85" i="13"/>
  <c r="D86" i="13"/>
  <c r="C87" i="13"/>
  <c r="E89" i="13"/>
  <c r="C90" i="13"/>
  <c r="C91" i="13"/>
  <c r="C92" i="13"/>
  <c r="E93" i="13"/>
  <c r="C94" i="13"/>
  <c r="C95" i="13"/>
  <c r="C96" i="13"/>
  <c r="C98" i="13"/>
  <c r="C99" i="13"/>
  <c r="C100" i="13"/>
  <c r="F102" i="13"/>
  <c r="C103" i="13"/>
  <c r="C104" i="13"/>
  <c r="F106" i="13"/>
  <c r="C107" i="13"/>
  <c r="C108" i="13"/>
  <c r="D110" i="13"/>
  <c r="C111" i="13"/>
  <c r="C112" i="13"/>
  <c r="E114" i="13"/>
  <c r="C115" i="13"/>
  <c r="C116" i="13"/>
  <c r="B118" i="13"/>
  <c r="C119" i="13"/>
  <c r="C122" i="13"/>
  <c r="G123" i="13"/>
  <c r="B124" i="13"/>
  <c r="D126" i="13"/>
  <c r="C127" i="13"/>
  <c r="F128" i="13"/>
  <c r="D129" i="13"/>
  <c r="B130" i="13"/>
  <c r="E133" i="13"/>
  <c r="B134" i="13"/>
  <c r="C135" i="13"/>
  <c r="B138" i="13"/>
  <c r="F141" i="13"/>
  <c r="E142" i="13"/>
  <c r="D144" i="13"/>
  <c r="C146" i="13"/>
  <c r="E147" i="13"/>
  <c r="F148" i="13"/>
  <c r="E152" i="13"/>
  <c r="F153" i="13"/>
  <c r="C154" i="13"/>
  <c r="D155" i="13"/>
  <c r="B156" i="13"/>
  <c r="C159" i="13"/>
  <c r="D160" i="13"/>
  <c r="C162" i="13"/>
  <c r="E163" i="13"/>
  <c r="F164" i="13"/>
  <c r="F165" i="13"/>
  <c r="C166" i="13"/>
  <c r="E170" i="13"/>
  <c r="G171" i="13"/>
  <c r="F172" i="13"/>
  <c r="G173" i="13"/>
  <c r="E174" i="13"/>
  <c r="D175" i="13"/>
  <c r="G177" i="13"/>
  <c r="D178" i="13"/>
  <c r="E180" i="13"/>
  <c r="F184" i="13"/>
  <c r="C185" i="13"/>
  <c r="E186" i="13"/>
  <c r="D7" i="12"/>
  <c r="C8" i="12"/>
  <c r="G10" i="12"/>
  <c r="D11" i="12"/>
  <c r="F13" i="12"/>
  <c r="F15" i="12"/>
  <c r="C16" i="12"/>
  <c r="C17" i="12"/>
  <c r="F19" i="12"/>
  <c r="C20" i="12"/>
  <c r="D21" i="12"/>
  <c r="G22" i="12"/>
  <c r="C24" i="12"/>
  <c r="E25" i="12"/>
  <c r="C27" i="12"/>
  <c r="F29" i="12"/>
  <c r="C30" i="12"/>
  <c r="C31" i="12"/>
  <c r="C32" i="12"/>
  <c r="G34" i="12"/>
  <c r="B36" i="12"/>
  <c r="D38" i="12"/>
  <c r="E39" i="12"/>
  <c r="C40" i="12"/>
  <c r="B43" i="12"/>
  <c r="B45" i="12"/>
  <c r="E46" i="12"/>
  <c r="D47" i="12"/>
  <c r="B49" i="12"/>
  <c r="G50" i="12"/>
  <c r="D51" i="12"/>
  <c r="F52" i="12"/>
  <c r="B53" i="12"/>
  <c r="D54" i="12"/>
  <c r="B55" i="12"/>
  <c r="C57" i="12"/>
  <c r="D59" i="12"/>
  <c r="B61" i="12"/>
  <c r="D63" i="12"/>
  <c r="B64" i="12"/>
  <c r="C65" i="12"/>
  <c r="D66" i="12"/>
  <c r="F67" i="12"/>
  <c r="C68" i="12"/>
  <c r="C69" i="12"/>
  <c r="D70" i="12"/>
  <c r="E71" i="12"/>
  <c r="D72" i="12"/>
  <c r="F73" i="12"/>
  <c r="B74" i="12"/>
  <c r="F76" i="12"/>
  <c r="B77" i="12"/>
  <c r="C78" i="12"/>
  <c r="E79" i="12"/>
  <c r="C82" i="12"/>
  <c r="F83" i="12"/>
  <c r="D85" i="12"/>
  <c r="C86" i="12"/>
  <c r="C87" i="12"/>
  <c r="B90" i="12"/>
  <c r="F91" i="12"/>
  <c r="E94" i="12"/>
  <c r="C95" i="12"/>
  <c r="E96" i="12"/>
  <c r="G98" i="12"/>
  <c r="C99" i="12"/>
  <c r="C100" i="12"/>
  <c r="C102" i="12"/>
  <c r="C104" i="12"/>
  <c r="E105" i="12"/>
  <c r="C106" i="12"/>
  <c r="C107" i="12"/>
  <c r="C108" i="12"/>
  <c r="C109" i="12"/>
  <c r="E110" i="12"/>
  <c r="C111" i="12"/>
  <c r="C112" i="12"/>
  <c r="D113" i="12"/>
  <c r="E114" i="12"/>
  <c r="C115" i="12"/>
  <c r="C116" i="12"/>
  <c r="F117" i="12"/>
  <c r="E118" i="12"/>
  <c r="E119" i="12"/>
  <c r="C120" i="12"/>
  <c r="D121" i="12"/>
  <c r="B122" i="12"/>
  <c r="C123" i="12"/>
  <c r="F125" i="12"/>
  <c r="B126" i="12"/>
  <c r="C127" i="12"/>
  <c r="E128" i="12"/>
  <c r="D129" i="12"/>
  <c r="G130" i="12"/>
  <c r="C132" i="12"/>
  <c r="F134" i="12"/>
  <c r="F135" i="12"/>
  <c r="D136" i="12"/>
  <c r="F137" i="12"/>
  <c r="B138" i="12"/>
  <c r="F141" i="12"/>
  <c r="D143" i="12"/>
  <c r="E144" i="12"/>
  <c r="E147" i="12"/>
  <c r="E148" i="12"/>
  <c r="C149" i="12"/>
  <c r="C151" i="12"/>
  <c r="E152" i="12"/>
  <c r="G153" i="12"/>
  <c r="E154" i="12"/>
  <c r="C156" i="12"/>
  <c r="F157" i="12"/>
  <c r="E158" i="12"/>
  <c r="E159" i="12"/>
  <c r="E162" i="12"/>
  <c r="C164" i="12"/>
  <c r="E165" i="12"/>
  <c r="C166" i="12"/>
  <c r="D167" i="12"/>
  <c r="C168" i="12"/>
  <c r="G169" i="12"/>
  <c r="G170" i="12"/>
  <c r="E171" i="12"/>
  <c r="C172" i="12"/>
  <c r="D173" i="12"/>
  <c r="E174" i="12"/>
  <c r="D177" i="12"/>
  <c r="G178" i="12"/>
  <c r="E179" i="12"/>
  <c r="E182" i="12"/>
  <c r="E187" i="12"/>
  <c r="E7" i="11"/>
  <c r="L8" i="11"/>
  <c r="L10" i="11"/>
  <c r="F12" i="11"/>
  <c r="E15" i="11"/>
  <c r="C17" i="11"/>
  <c r="E18" i="11"/>
  <c r="H19" i="11"/>
  <c r="L20" i="11"/>
  <c r="C21" i="11"/>
  <c r="C22" i="11"/>
  <c r="C23" i="11"/>
  <c r="E24" i="11"/>
  <c r="I25" i="11"/>
  <c r="G27" i="11"/>
  <c r="L28" i="11"/>
  <c r="B29" i="11"/>
  <c r="D31" i="11"/>
  <c r="B32" i="11"/>
  <c r="K33" i="11"/>
  <c r="B34" i="11"/>
  <c r="C35" i="11"/>
  <c r="N36" i="11"/>
  <c r="C38" i="11"/>
  <c r="C39" i="11"/>
  <c r="B40" i="11"/>
  <c r="B41" i="11"/>
  <c r="C42" i="11"/>
  <c r="D43" i="11"/>
  <c r="B44" i="11"/>
  <c r="B45" i="11"/>
  <c r="B46" i="11"/>
  <c r="C48" i="11"/>
  <c r="F50" i="11"/>
  <c r="B51" i="11"/>
  <c r="I52" i="11"/>
  <c r="D53" i="11"/>
  <c r="E54" i="11"/>
  <c r="B55" i="11"/>
  <c r="D57" i="11"/>
  <c r="C58" i="11"/>
  <c r="C60" i="11"/>
  <c r="K61" i="11"/>
  <c r="F62" i="11"/>
  <c r="E63" i="11"/>
  <c r="B64" i="11"/>
  <c r="I65" i="11"/>
  <c r="E66" i="11"/>
  <c r="E67" i="11"/>
  <c r="C68" i="11"/>
  <c r="I69" i="11"/>
  <c r="E70" i="11"/>
  <c r="C71" i="11"/>
  <c r="C72" i="11"/>
  <c r="G73" i="11"/>
  <c r="E74" i="11"/>
  <c r="C75" i="11"/>
  <c r="C76" i="11"/>
  <c r="E77" i="11"/>
  <c r="C80" i="11"/>
  <c r="K81" i="11"/>
  <c r="C82" i="11"/>
  <c r="C83" i="11"/>
  <c r="C84" i="11"/>
  <c r="I85" i="11"/>
  <c r="E86" i="11"/>
  <c r="D88" i="11"/>
  <c r="G89" i="11"/>
  <c r="E90" i="11"/>
  <c r="C91" i="11"/>
  <c r="D92" i="11"/>
  <c r="K93" i="11"/>
  <c r="B94" i="11"/>
  <c r="E95" i="11"/>
  <c r="F96" i="11"/>
  <c r="N97" i="11"/>
  <c r="E98" i="11"/>
  <c r="C99" i="11"/>
  <c r="E100" i="11"/>
  <c r="F101" i="11"/>
  <c r="G102" i="11"/>
  <c r="D103" i="11"/>
  <c r="L104" i="11"/>
  <c r="F105" i="11"/>
  <c r="D106" i="11"/>
  <c r="D107" i="11"/>
  <c r="I108" i="11"/>
  <c r="K109" i="11"/>
  <c r="L110" i="11"/>
  <c r="E111" i="11"/>
  <c r="F112" i="11"/>
  <c r="C113" i="11"/>
  <c r="E114" i="11"/>
  <c r="G115" i="11"/>
  <c r="B116" i="11"/>
  <c r="C117" i="11"/>
  <c r="E118" i="11"/>
  <c r="H119" i="11"/>
  <c r="G121" i="11"/>
  <c r="B122" i="11"/>
  <c r="C123" i="11"/>
  <c r="B124" i="11"/>
  <c r="B125" i="11"/>
  <c r="B126" i="11"/>
  <c r="E127" i="11"/>
  <c r="F128" i="11"/>
  <c r="C129" i="11"/>
  <c r="I130" i="11"/>
  <c r="M131" i="11"/>
  <c r="B132" i="11"/>
  <c r="E133" i="11"/>
  <c r="G134" i="11"/>
  <c r="M135" i="11"/>
  <c r="B136" i="11"/>
  <c r="D137" i="11"/>
  <c r="I138" i="11"/>
  <c r="M139" i="11"/>
  <c r="F140" i="11"/>
  <c r="E141" i="11"/>
  <c r="C142" i="11"/>
  <c r="E143" i="11"/>
  <c r="B144" i="11"/>
  <c r="D145" i="11"/>
  <c r="C146" i="11"/>
  <c r="B147" i="11"/>
  <c r="B148" i="11"/>
  <c r="E150" i="11"/>
  <c r="L151" i="11"/>
  <c r="B152" i="11"/>
  <c r="D153" i="11"/>
  <c r="C154" i="11"/>
  <c r="B155" i="11"/>
  <c r="B156" i="11"/>
  <c r="F157" i="11"/>
  <c r="L159" i="11"/>
  <c r="B160" i="11"/>
  <c r="I162" i="11"/>
  <c r="H163" i="11"/>
  <c r="B164" i="11"/>
  <c r="K165" i="11"/>
  <c r="I166" i="11"/>
  <c r="E167" i="11"/>
  <c r="B168" i="11"/>
  <c r="D169" i="11"/>
  <c r="I170" i="11"/>
  <c r="H171" i="11"/>
  <c r="E172" i="11"/>
  <c r="F173" i="11"/>
  <c r="E174" i="11"/>
  <c r="D175" i="11"/>
  <c r="E176" i="11"/>
  <c r="K177" i="11"/>
  <c r="D179" i="11"/>
  <c r="E180" i="11"/>
  <c r="K181" i="11"/>
  <c r="I182" i="11"/>
  <c r="H183" i="11"/>
  <c r="E184" i="11"/>
  <c r="C186" i="11"/>
  <c r="E187" i="11"/>
  <c r="B188" i="11"/>
  <c r="D7" i="10"/>
  <c r="B8" i="10"/>
  <c r="E9" i="10"/>
  <c r="B10" i="10"/>
  <c r="C11" i="10"/>
  <c r="G12" i="10"/>
  <c r="D13" i="10"/>
  <c r="B14" i="10"/>
  <c r="B15" i="10"/>
  <c r="G16" i="10"/>
  <c r="B17" i="10"/>
  <c r="F18" i="10"/>
  <c r="E19" i="10"/>
  <c r="C20" i="10"/>
  <c r="F21" i="10"/>
  <c r="B22" i="10"/>
  <c r="D24" i="10"/>
  <c r="C25" i="10"/>
  <c r="B26" i="10"/>
  <c r="E29" i="10"/>
  <c r="B30" i="10"/>
  <c r="E31" i="10"/>
  <c r="F32" i="10"/>
  <c r="E33" i="10"/>
  <c r="B34" i="10"/>
  <c r="C37" i="10"/>
  <c r="B38" i="10"/>
  <c r="E39" i="10"/>
  <c r="D40" i="10"/>
  <c r="B41" i="10"/>
  <c r="B42" i="10"/>
  <c r="D44" i="10"/>
  <c r="D45" i="10"/>
  <c r="B46" i="10"/>
  <c r="N48" i="10"/>
  <c r="B49" i="10"/>
  <c r="B50" i="10"/>
  <c r="D52" i="10"/>
  <c r="B53" i="10"/>
  <c r="E54" i="10"/>
  <c r="E55" i="10"/>
  <c r="D56" i="10"/>
  <c r="B57" i="10"/>
  <c r="C60" i="10"/>
  <c r="B61" i="10"/>
  <c r="B62" i="10"/>
  <c r="E63" i="10"/>
  <c r="B65" i="10"/>
  <c r="D68" i="10"/>
  <c r="D69" i="10"/>
  <c r="B70" i="10"/>
  <c r="E71" i="10"/>
  <c r="D72" i="10"/>
  <c r="K76" i="10"/>
  <c r="C77" i="10"/>
  <c r="E79" i="10"/>
  <c r="D80" i="10"/>
  <c r="I81" i="10"/>
  <c r="E82" i="10"/>
  <c r="C84" i="10"/>
  <c r="C85" i="10"/>
  <c r="B86" i="10"/>
  <c r="E87" i="10"/>
  <c r="D88" i="10"/>
  <c r="C89" i="10"/>
  <c r="I90" i="10"/>
  <c r="B93" i="10"/>
  <c r="B94" i="10"/>
  <c r="D96" i="10"/>
  <c r="I97" i="10"/>
  <c r="L98" i="10"/>
  <c r="B100" i="10"/>
  <c r="I101" i="10"/>
  <c r="E103" i="10"/>
  <c r="E104" i="10"/>
  <c r="E106" i="10"/>
  <c r="C108" i="10"/>
  <c r="C109" i="10"/>
  <c r="B110" i="10"/>
  <c r="C113" i="10"/>
  <c r="B114" i="10"/>
  <c r="E117" i="10"/>
  <c r="B119" i="10"/>
  <c r="D120" i="10"/>
  <c r="C121" i="10"/>
  <c r="H122" i="10"/>
  <c r="I123" i="10"/>
  <c r="C125" i="10"/>
  <c r="H126" i="10"/>
  <c r="I127" i="10"/>
  <c r="I128" i="10"/>
  <c r="I129" i="10"/>
  <c r="D132" i="10"/>
  <c r="B133" i="10"/>
  <c r="E134" i="10"/>
  <c r="B136" i="10"/>
  <c r="L137" i="10"/>
  <c r="D138" i="10"/>
  <c r="E141" i="10"/>
  <c r="D142" i="10"/>
  <c r="E143" i="10"/>
  <c r="C144" i="10"/>
  <c r="C145" i="10"/>
  <c r="L151" i="10"/>
  <c r="B153" i="10"/>
  <c r="D154" i="10"/>
  <c r="F155" i="10"/>
  <c r="C156" i="10"/>
  <c r="D157" i="10"/>
  <c r="E158" i="10"/>
  <c r="L159" i="10"/>
  <c r="B161" i="10"/>
  <c r="C164" i="10"/>
  <c r="L166" i="10"/>
  <c r="D167" i="10"/>
  <c r="C169" i="10"/>
  <c r="D171" i="10"/>
  <c r="C172" i="10"/>
  <c r="E174" i="10"/>
  <c r="B176" i="10"/>
  <c r="L178" i="10"/>
  <c r="M179" i="10"/>
  <c r="C180" i="10"/>
  <c r="I181" i="10"/>
  <c r="H182" i="10"/>
  <c r="M184" i="10"/>
  <c r="C185" i="10"/>
  <c r="L186" i="10"/>
  <c r="F187" i="10"/>
  <c r="I189" i="10"/>
  <c r="D7" i="8"/>
  <c r="F8" i="8"/>
  <c r="G9" i="8"/>
  <c r="F14" i="8"/>
  <c r="I16" i="8"/>
  <c r="D17" i="8"/>
  <c r="C18" i="8"/>
  <c r="D19" i="8"/>
  <c r="C20" i="8"/>
  <c r="D21" i="8"/>
  <c r="C22" i="8"/>
  <c r="D23" i="8"/>
  <c r="F24" i="8"/>
  <c r="G25" i="8"/>
  <c r="C26" i="8"/>
  <c r="D27" i="8"/>
  <c r="G30" i="8"/>
  <c r="D31" i="8"/>
  <c r="I32" i="8"/>
  <c r="D33" i="8"/>
  <c r="C34" i="8"/>
  <c r="D35" i="8"/>
  <c r="G37" i="8"/>
  <c r="C38" i="8"/>
  <c r="D39" i="8"/>
  <c r="C40" i="8"/>
  <c r="D41" i="8"/>
  <c r="F44" i="8"/>
  <c r="G47" i="8"/>
  <c r="C48" i="8"/>
  <c r="D49" i="8"/>
  <c r="C50" i="8"/>
  <c r="D51" i="8"/>
  <c r="F52" i="8"/>
  <c r="G54" i="8"/>
  <c r="D55" i="8"/>
  <c r="F56" i="8"/>
  <c r="C7" i="7"/>
  <c r="C8" i="6"/>
  <c r="E9" i="6"/>
  <c r="G10" i="6"/>
  <c r="B11" i="6"/>
  <c r="E12" i="7"/>
  <c r="I13" i="6"/>
  <c r="C16" i="6"/>
  <c r="B17" i="6"/>
  <c r="I20" i="7"/>
  <c r="D21" i="6"/>
  <c r="D22" i="6"/>
  <c r="I23" i="6"/>
  <c r="E24" i="6"/>
  <c r="D25" i="6"/>
  <c r="G26" i="6"/>
  <c r="B27" i="7"/>
  <c r="F29" i="6"/>
  <c r="M30" i="6"/>
  <c r="B31" i="7"/>
  <c r="L32" i="6"/>
  <c r="B33" i="6"/>
  <c r="C34" i="6"/>
  <c r="C35" i="6"/>
  <c r="G36" i="6"/>
  <c r="L37" i="6"/>
  <c r="B38" i="6"/>
  <c r="C39" i="6"/>
  <c r="L40" i="6"/>
  <c r="H41" i="7"/>
  <c r="B42" i="7"/>
  <c r="C43" i="6"/>
  <c r="L44" i="6"/>
  <c r="D45" i="6"/>
  <c r="I46" i="6"/>
  <c r="D47" i="6"/>
  <c r="I48" i="6"/>
  <c r="L49" i="6"/>
  <c r="K50" i="6"/>
  <c r="K51" i="6"/>
  <c r="E52" i="6"/>
  <c r="I53" i="6"/>
  <c r="B55" i="6"/>
  <c r="O56" i="6"/>
  <c r="F57" i="6"/>
  <c r="K58" i="6"/>
  <c r="F59" i="6"/>
  <c r="E60" i="6"/>
  <c r="L61" i="6"/>
  <c r="C64" i="7"/>
  <c r="E65" i="6"/>
  <c r="E67" i="6"/>
  <c r="K68" i="6"/>
  <c r="F69" i="6"/>
  <c r="I70" i="6"/>
  <c r="C71" i="7"/>
  <c r="L72" i="7"/>
  <c r="J73" i="6"/>
  <c r="I74" i="6"/>
  <c r="E75" i="6"/>
  <c r="D77" i="6"/>
  <c r="I78" i="6"/>
  <c r="F79" i="7"/>
  <c r="C80" i="6"/>
  <c r="L81" i="7"/>
  <c r="I82" i="6"/>
  <c r="C84" i="6"/>
  <c r="F85" i="6"/>
  <c r="I86" i="6"/>
  <c r="L87" i="6"/>
  <c r="C88" i="6"/>
  <c r="B89" i="6"/>
  <c r="I90" i="6"/>
  <c r="C91" i="6"/>
  <c r="G92" i="6"/>
  <c r="O93" i="7"/>
  <c r="M94" i="6"/>
  <c r="B95" i="7"/>
  <c r="K96" i="6"/>
  <c r="E97" i="6"/>
  <c r="I98" i="6"/>
  <c r="E99" i="6"/>
  <c r="G100" i="6"/>
  <c r="L101" i="6"/>
  <c r="D103" i="6"/>
  <c r="C104" i="6"/>
  <c r="B105" i="6"/>
  <c r="I106" i="6"/>
  <c r="C107" i="6"/>
  <c r="G108" i="6"/>
  <c r="E109" i="6"/>
  <c r="C111" i="6"/>
  <c r="H112" i="7"/>
  <c r="F113" i="6"/>
  <c r="J114" i="6"/>
  <c r="B115" i="6"/>
  <c r="G116" i="6"/>
  <c r="D117" i="6"/>
  <c r="F118" i="6"/>
  <c r="B119" i="6"/>
  <c r="E120" i="6"/>
  <c r="I121" i="6"/>
  <c r="C122" i="6"/>
  <c r="B123" i="6"/>
  <c r="G124" i="6"/>
  <c r="F126" i="6"/>
  <c r="C127" i="6"/>
  <c r="O128" i="6"/>
  <c r="L129" i="6"/>
  <c r="B130" i="6"/>
  <c r="C131" i="6"/>
  <c r="C132" i="6"/>
  <c r="D133" i="6"/>
  <c r="K134" i="6"/>
  <c r="E136" i="6"/>
  <c r="B137" i="6"/>
  <c r="F138" i="7"/>
  <c r="B139" i="6"/>
  <c r="G140" i="6"/>
  <c r="B142" i="6"/>
  <c r="F143" i="7"/>
  <c r="H144" i="6"/>
  <c r="F145" i="6"/>
  <c r="E146" i="6"/>
  <c r="I148" i="6"/>
  <c r="E149" i="6"/>
  <c r="F151" i="6"/>
  <c r="G152" i="7"/>
  <c r="C153" i="6"/>
  <c r="E154" i="6"/>
  <c r="B155" i="6"/>
  <c r="B156" i="6"/>
  <c r="E158" i="6"/>
  <c r="D159" i="6"/>
  <c r="N161" i="6"/>
  <c r="E162" i="6"/>
  <c r="D163" i="6"/>
  <c r="H165" i="6"/>
  <c r="E166" i="6"/>
  <c r="D167" i="6"/>
  <c r="B168" i="6"/>
  <c r="B169" i="6"/>
  <c r="E170" i="6"/>
  <c r="F171" i="6"/>
  <c r="G173" i="6"/>
  <c r="E174" i="6"/>
  <c r="C175" i="6"/>
  <c r="C176" i="6"/>
  <c r="B177" i="6"/>
  <c r="E178" i="6"/>
  <c r="D179" i="6"/>
  <c r="D180" i="6"/>
  <c r="B181" i="6"/>
  <c r="E182" i="6"/>
  <c r="C183" i="6"/>
  <c r="I184" i="6"/>
  <c r="F185" i="7"/>
  <c r="E186" i="6"/>
  <c r="B189" i="7"/>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C7" i="3"/>
  <c r="O8" i="3"/>
  <c r="C9" i="3"/>
  <c r="M10" i="3"/>
  <c r="Q11" i="3"/>
  <c r="G12" i="3"/>
  <c r="B13" i="3"/>
  <c r="I14" i="3"/>
  <c r="D15" i="3"/>
  <c r="B16" i="3"/>
  <c r="Q17" i="3"/>
  <c r="B18" i="3"/>
  <c r="D19" i="3"/>
  <c r="C20" i="3"/>
  <c r="F21" i="3"/>
  <c r="F22" i="3"/>
  <c r="C23" i="3"/>
  <c r="B24" i="3"/>
  <c r="N25" i="3"/>
  <c r="B26" i="3"/>
  <c r="G27" i="3"/>
  <c r="B28" i="3"/>
  <c r="F29" i="3"/>
  <c r="I30" i="3"/>
  <c r="C31" i="3"/>
  <c r="B32" i="3"/>
  <c r="F33" i="3"/>
  <c r="B34" i="3"/>
  <c r="D35" i="3"/>
  <c r="B36" i="3"/>
  <c r="C37" i="3"/>
  <c r="L38" i="3"/>
  <c r="P39" i="3"/>
  <c r="B40" i="3"/>
  <c r="D42" i="3"/>
  <c r="C43" i="3"/>
  <c r="D44" i="3"/>
  <c r="G45" i="3"/>
  <c r="I46" i="3"/>
  <c r="D47" i="3"/>
  <c r="C48" i="3"/>
  <c r="B49" i="3"/>
  <c r="I51" i="3"/>
  <c r="Q52" i="3"/>
  <c r="F53" i="3"/>
  <c r="B54" i="3"/>
  <c r="C56" i="3"/>
  <c r="I57" i="3"/>
  <c r="I58" i="3"/>
  <c r="C59" i="3"/>
  <c r="G60" i="3"/>
  <c r="G61" i="3"/>
  <c r="I62" i="3"/>
  <c r="I63" i="3"/>
  <c r="D64" i="3"/>
  <c r="B65" i="3"/>
  <c r="F66" i="3"/>
  <c r="G67" i="3"/>
  <c r="D68" i="3"/>
  <c r="F69" i="3"/>
  <c r="G71" i="3"/>
  <c r="D72" i="3"/>
  <c r="I73" i="3"/>
  <c r="Q75" i="3"/>
  <c r="O76" i="3"/>
  <c r="F77" i="3"/>
  <c r="C79" i="3"/>
  <c r="L80" i="3"/>
  <c r="Q81" i="3"/>
  <c r="B82" i="3"/>
  <c r="D83" i="3"/>
  <c r="F85" i="3"/>
  <c r="L87" i="3"/>
  <c r="P88" i="3"/>
  <c r="C89" i="3"/>
  <c r="I90" i="3"/>
  <c r="C91" i="3"/>
  <c r="C92" i="3"/>
  <c r="B93" i="3"/>
  <c r="D94" i="3"/>
  <c r="B96" i="3"/>
  <c r="F97" i="3"/>
  <c r="B98" i="3"/>
  <c r="I99" i="3"/>
  <c r="F100" i="3"/>
  <c r="N101" i="3"/>
  <c r="F102" i="3"/>
  <c r="G103" i="3"/>
  <c r="B104" i="3"/>
  <c r="Q105" i="3"/>
  <c r="N106" i="3"/>
  <c r="D108" i="3"/>
  <c r="G109" i="3"/>
  <c r="I110" i="3"/>
  <c r="C111" i="3"/>
  <c r="D112" i="3"/>
  <c r="F113" i="3"/>
  <c r="J114" i="3"/>
  <c r="I115" i="3"/>
  <c r="B116" i="3"/>
  <c r="F117" i="3"/>
  <c r="F118" i="3"/>
  <c r="L119" i="3"/>
  <c r="I120" i="3"/>
  <c r="Q121" i="3"/>
  <c r="B122" i="3"/>
  <c r="D123" i="3"/>
  <c r="M124" i="3"/>
  <c r="J125" i="3"/>
  <c r="F127" i="3"/>
  <c r="Q128" i="3"/>
  <c r="F129" i="3"/>
  <c r="D130" i="3"/>
  <c r="D131" i="3"/>
  <c r="B132" i="3"/>
  <c r="I133" i="3"/>
  <c r="O134" i="3"/>
  <c r="C135" i="3"/>
  <c r="B136" i="3"/>
  <c r="M137" i="3"/>
  <c r="C138" i="3"/>
  <c r="C139" i="3"/>
  <c r="M140" i="3"/>
  <c r="P142" i="3"/>
  <c r="F143" i="3"/>
  <c r="Q144" i="3"/>
  <c r="M146" i="3"/>
  <c r="C147" i="3"/>
  <c r="Q148" i="3"/>
  <c r="O151" i="3"/>
  <c r="I152" i="3"/>
  <c r="M153" i="3"/>
  <c r="D154" i="3"/>
  <c r="J155" i="3"/>
  <c r="B156" i="3"/>
  <c r="I157" i="3"/>
  <c r="G159" i="3"/>
  <c r="I160" i="3"/>
  <c r="I161" i="3"/>
  <c r="D162" i="3"/>
  <c r="D163" i="3"/>
  <c r="I165" i="3"/>
  <c r="G166" i="3"/>
  <c r="N167" i="3"/>
  <c r="I168" i="3"/>
  <c r="I169" i="3"/>
  <c r="G170" i="3"/>
  <c r="B171" i="3"/>
  <c r="Q172" i="3"/>
  <c r="D174" i="3"/>
  <c r="D175" i="3"/>
  <c r="M176" i="3"/>
  <c r="Q177" i="3"/>
  <c r="B178" i="3"/>
  <c r="P179" i="3"/>
  <c r="Q180" i="3"/>
  <c r="I181" i="3"/>
  <c r="C182" i="3"/>
  <c r="B183" i="3"/>
  <c r="I184" i="3"/>
  <c r="I185" i="3"/>
  <c r="G186" i="3"/>
  <c r="C187" i="3"/>
  <c r="G188" i="3"/>
  <c r="C10" i="2"/>
  <c r="B6" i="3" s="1"/>
  <c r="D6" i="5" s="1"/>
  <c r="D10" i="2"/>
  <c r="R10" i="2" s="1"/>
  <c r="Q11" i="2"/>
  <c r="D12" i="2"/>
  <c r="L13" i="2"/>
  <c r="L14" i="2"/>
  <c r="I15" i="2"/>
  <c r="E16" i="2"/>
  <c r="Q17" i="2"/>
  <c r="I18" i="2"/>
  <c r="Q19" i="2"/>
  <c r="C20" i="2"/>
  <c r="L21" i="2"/>
  <c r="Q22" i="2"/>
  <c r="C23" i="2"/>
  <c r="L26" i="2"/>
  <c r="C27" i="2"/>
  <c r="D28" i="2"/>
  <c r="I29" i="2"/>
  <c r="Q31" i="2"/>
  <c r="E32" i="2"/>
  <c r="D33" i="2"/>
  <c r="I34" i="2"/>
  <c r="S35" i="2"/>
  <c r="B36" i="2"/>
  <c r="L37" i="2"/>
  <c r="D38" i="2"/>
  <c r="C39" i="2"/>
  <c r="Q40" i="2"/>
  <c r="L41" i="2"/>
  <c r="L42" i="2"/>
  <c r="I43" i="2"/>
  <c r="H44" i="2"/>
  <c r="I45" i="2"/>
  <c r="C47" i="2"/>
  <c r="B48" i="2"/>
  <c r="I50" i="2"/>
  <c r="S51" i="2"/>
  <c r="B52" i="2"/>
  <c r="D53" i="2"/>
  <c r="D54" i="2"/>
  <c r="C55" i="2"/>
  <c r="B56" i="2"/>
  <c r="Q57" i="2"/>
  <c r="D58" i="2"/>
  <c r="C59" i="2"/>
  <c r="P60" i="2"/>
  <c r="I61" i="2"/>
  <c r="D62" i="2"/>
  <c r="Q63" i="2"/>
  <c r="B64" i="2"/>
  <c r="D65" i="2"/>
  <c r="Q66" i="2"/>
  <c r="C67" i="2"/>
  <c r="B68" i="2"/>
  <c r="L69" i="2"/>
  <c r="D70" i="2"/>
  <c r="C71" i="2"/>
  <c r="D72" i="2"/>
  <c r="C75" i="2"/>
  <c r="D76" i="2"/>
  <c r="D77" i="2"/>
  <c r="C80" i="2"/>
  <c r="I81" i="2"/>
  <c r="I82" i="2"/>
  <c r="I84" i="2"/>
  <c r="D85" i="2"/>
  <c r="D86" i="2"/>
  <c r="I87" i="2"/>
  <c r="C88" i="2"/>
  <c r="I89" i="2"/>
  <c r="C91" i="2"/>
  <c r="H92" i="2"/>
  <c r="D94" i="2"/>
  <c r="I95" i="2"/>
  <c r="D96" i="2"/>
  <c r="I97" i="2"/>
  <c r="I98" i="2"/>
  <c r="I99" i="2"/>
  <c r="C100" i="2"/>
  <c r="D101" i="2"/>
  <c r="D102" i="2"/>
  <c r="I103" i="2"/>
  <c r="D104" i="2"/>
  <c r="I105" i="2"/>
  <c r="I106" i="2"/>
  <c r="E108" i="2"/>
  <c r="D109" i="2"/>
  <c r="D110" i="2"/>
  <c r="I111" i="2"/>
  <c r="E112" i="2"/>
  <c r="D113" i="2"/>
  <c r="L114" i="2"/>
  <c r="C115" i="2"/>
  <c r="R116" i="2"/>
  <c r="D117" i="2"/>
  <c r="D118" i="2"/>
  <c r="D120" i="2"/>
  <c r="I121" i="2"/>
  <c r="L122" i="2"/>
  <c r="C123" i="2"/>
  <c r="D124" i="2"/>
  <c r="D125" i="2"/>
  <c r="D126" i="2"/>
  <c r="I127" i="2"/>
  <c r="D128" i="2"/>
  <c r="I129" i="2"/>
  <c r="I130" i="2"/>
  <c r="C131" i="2"/>
  <c r="C132" i="2"/>
  <c r="D133" i="2"/>
  <c r="I135" i="2"/>
  <c r="D136" i="2"/>
  <c r="I137" i="2"/>
  <c r="Q138" i="2"/>
  <c r="C139" i="2"/>
  <c r="C140" i="2"/>
  <c r="D141" i="2"/>
  <c r="I143" i="2"/>
  <c r="I144" i="2"/>
  <c r="D145" i="2"/>
  <c r="C146" i="2"/>
  <c r="D147" i="2"/>
  <c r="D148" i="2"/>
  <c r="I149" i="2"/>
  <c r="I150" i="2"/>
  <c r="I151" i="2"/>
  <c r="Q152" i="2"/>
  <c r="C154" i="2"/>
  <c r="E155" i="2"/>
  <c r="I157" i="2"/>
  <c r="I159" i="2"/>
  <c r="Q160" i="2"/>
  <c r="D161" i="2"/>
  <c r="C162" i="2"/>
  <c r="I165" i="2"/>
  <c r="Q166" i="2"/>
  <c r="I167" i="2"/>
  <c r="Q168" i="2"/>
  <c r="D169" i="2"/>
  <c r="Q170" i="2"/>
  <c r="C171" i="2"/>
  <c r="C172" i="2"/>
  <c r="B173" i="2"/>
  <c r="E174" i="2"/>
  <c r="C175" i="2"/>
  <c r="I176" i="2"/>
  <c r="D177" i="2"/>
  <c r="C178" i="2"/>
  <c r="H179" i="2"/>
  <c r="D181" i="2"/>
  <c r="E182" i="2"/>
  <c r="E184" i="2"/>
  <c r="E185" i="2"/>
  <c r="C186" i="2"/>
  <c r="C187" i="2"/>
  <c r="C188" i="2"/>
  <c r="D189" i="2"/>
  <c r="I190" i="2"/>
  <c r="C191" i="2"/>
  <c r="E192" i="2"/>
  <c r="Q193" i="2"/>
  <c r="G243" i="2"/>
  <c r="C244" i="2"/>
  <c r="D244" i="2"/>
  <c r="F244" i="2"/>
  <c r="G244" i="2"/>
  <c r="C245" i="2"/>
  <c r="D245" i="2"/>
  <c r="F245" i="2"/>
  <c r="G245" i="2"/>
  <c r="C246" i="2"/>
  <c r="D246" i="2"/>
  <c r="F246" i="2"/>
  <c r="G246" i="2"/>
  <c r="C247" i="2"/>
  <c r="D247" i="2"/>
  <c r="F247" i="2"/>
  <c r="G247" i="2"/>
  <c r="L29" i="7" l="1"/>
  <c r="N119" i="7"/>
  <c r="I148" i="7"/>
  <c r="O136" i="7"/>
  <c r="D114" i="7"/>
  <c r="I183" i="7"/>
  <c r="L173" i="7"/>
  <c r="F90" i="7"/>
  <c r="D60" i="7"/>
  <c r="F52" i="7"/>
  <c r="D171" i="7"/>
  <c r="J78" i="7"/>
  <c r="B30" i="7"/>
  <c r="B163" i="7"/>
  <c r="B131" i="7"/>
  <c r="N107" i="7"/>
  <c r="H47" i="7"/>
  <c r="J155" i="7"/>
  <c r="C59" i="7"/>
  <c r="B35" i="7"/>
  <c r="I11" i="7"/>
  <c r="H181" i="7"/>
  <c r="F94" i="7"/>
  <c r="B178" i="7"/>
  <c r="J46" i="7"/>
  <c r="E177" i="7"/>
  <c r="F82" i="7"/>
  <c r="B104" i="13"/>
  <c r="B130" i="7"/>
  <c r="K80" i="7"/>
  <c r="G34" i="7"/>
  <c r="C243" i="2"/>
  <c r="F243" i="2" s="1"/>
  <c r="F169" i="7"/>
  <c r="B127" i="7"/>
  <c r="O67" i="7"/>
  <c r="H16" i="7"/>
  <c r="F19" i="14"/>
  <c r="G97" i="7"/>
  <c r="L155" i="6"/>
  <c r="J155" i="6"/>
  <c r="E155" i="6"/>
  <c r="D146" i="7"/>
  <c r="G96" i="7"/>
  <c r="F50" i="7"/>
  <c r="B170" i="7"/>
  <c r="E121" i="7"/>
  <c r="F74" i="7"/>
  <c r="E49" i="7"/>
  <c r="B26" i="7"/>
  <c r="I144" i="7"/>
  <c r="K120" i="7"/>
  <c r="G73" i="7"/>
  <c r="K48" i="7"/>
  <c r="K25" i="7"/>
  <c r="E167" i="7"/>
  <c r="E24" i="7"/>
  <c r="I166" i="7"/>
  <c r="G89" i="7"/>
  <c r="C23" i="7"/>
  <c r="M182" i="7"/>
  <c r="N165" i="7"/>
  <c r="C113" i="7"/>
  <c r="C85" i="7"/>
  <c r="D68" i="7"/>
  <c r="E134" i="7"/>
  <c r="O84" i="7"/>
  <c r="B38" i="7"/>
  <c r="C180" i="7"/>
  <c r="C133" i="7"/>
  <c r="B111" i="7"/>
  <c r="O37" i="7"/>
  <c r="K179" i="7"/>
  <c r="J132" i="7"/>
  <c r="B108" i="7"/>
  <c r="C61" i="7"/>
  <c r="D36" i="7"/>
  <c r="K13" i="7"/>
  <c r="G129" i="7"/>
  <c r="C33" i="7"/>
  <c r="E162" i="7"/>
  <c r="J123" i="7"/>
  <c r="I45" i="7"/>
  <c r="I175" i="7"/>
  <c r="L161" i="7"/>
  <c r="C92" i="7"/>
  <c r="C75" i="7"/>
  <c r="B106" i="7"/>
  <c r="C91" i="7"/>
  <c r="K43" i="7"/>
  <c r="C105" i="7"/>
  <c r="H57" i="7"/>
  <c r="C10" i="7"/>
  <c r="E156" i="7"/>
  <c r="O39" i="7"/>
  <c r="I8" i="7"/>
  <c r="L117" i="7"/>
  <c r="C103" i="7"/>
  <c r="F55" i="7"/>
  <c r="L154" i="7"/>
  <c r="D116" i="7"/>
  <c r="B70" i="7"/>
  <c r="F22" i="7"/>
  <c r="E165" i="5"/>
  <c r="C99" i="7"/>
  <c r="L69" i="7"/>
  <c r="E21" i="7"/>
  <c r="L23" i="6"/>
  <c r="O23" i="12" s="1"/>
  <c r="E246" i="2"/>
  <c r="O32" i="3"/>
  <c r="N69" i="3"/>
  <c r="O93" i="5"/>
  <c r="L145" i="10"/>
  <c r="I33" i="10"/>
  <c r="D73" i="13"/>
  <c r="I18" i="8"/>
  <c r="C84" i="14"/>
  <c r="O73" i="5"/>
  <c r="F167" i="12"/>
  <c r="F161" i="14"/>
  <c r="M167" i="6"/>
  <c r="K132" i="10"/>
  <c r="M109" i="6"/>
  <c r="H247" i="2"/>
  <c r="K73" i="5"/>
  <c r="E137" i="14"/>
  <c r="B67" i="14"/>
  <c r="N77" i="5"/>
  <c r="H141" i="10"/>
  <c r="I177" i="6"/>
  <c r="J167" i="6"/>
  <c r="L76" i="2"/>
  <c r="L57" i="2"/>
  <c r="L183" i="3"/>
  <c r="K71" i="7"/>
  <c r="M161" i="10"/>
  <c r="O141" i="10"/>
  <c r="M89" i="10"/>
  <c r="L128" i="2"/>
  <c r="L170" i="3"/>
  <c r="N53" i="3"/>
  <c r="B42" i="3"/>
  <c r="J183" i="6"/>
  <c r="B167" i="6"/>
  <c r="O119" i="6"/>
  <c r="G39" i="6"/>
  <c r="K161" i="10"/>
  <c r="H89" i="10"/>
  <c r="K119" i="6"/>
  <c r="J8" i="6"/>
  <c r="C161" i="10"/>
  <c r="L110" i="10"/>
  <c r="Q111" i="2"/>
  <c r="D89" i="2"/>
  <c r="O171" i="3"/>
  <c r="M113" i="7"/>
  <c r="J119" i="6"/>
  <c r="H18" i="7"/>
  <c r="M18" i="7"/>
  <c r="Q143" i="3"/>
  <c r="C165" i="5"/>
  <c r="L77" i="7"/>
  <c r="L53" i="7"/>
  <c r="H167" i="6"/>
  <c r="L109" i="6"/>
  <c r="M8" i="6"/>
  <c r="K120" i="10"/>
  <c r="E110" i="10"/>
  <c r="K113" i="11"/>
  <c r="E78" i="12"/>
  <c r="F13" i="13"/>
  <c r="I161" i="2"/>
  <c r="I36" i="5"/>
  <c r="I151" i="7"/>
  <c r="B88" i="7"/>
  <c r="G65" i="7"/>
  <c r="L51" i="7"/>
  <c r="O56" i="10"/>
  <c r="M146" i="11"/>
  <c r="C170" i="12"/>
  <c r="C161" i="14"/>
  <c r="E70" i="14"/>
  <c r="P140" i="2"/>
  <c r="C56" i="2"/>
  <c r="O176" i="7"/>
  <c r="G149" i="7"/>
  <c r="L98" i="7"/>
  <c r="L86" i="7"/>
  <c r="E16" i="6"/>
  <c r="K93" i="5"/>
  <c r="E188" i="7"/>
  <c r="M165" i="6"/>
  <c r="I96" i="10"/>
  <c r="K74" i="11"/>
  <c r="D125" i="14"/>
  <c r="E193" i="2"/>
  <c r="R147" i="2"/>
  <c r="L32" i="2"/>
  <c r="I171" i="3"/>
  <c r="M37" i="3"/>
  <c r="N163" i="5"/>
  <c r="E186" i="7"/>
  <c r="H118" i="7"/>
  <c r="D109" i="7"/>
  <c r="N35" i="6"/>
  <c r="H245" i="2"/>
  <c r="B56" i="3"/>
  <c r="O165" i="5"/>
  <c r="H158" i="7"/>
  <c r="F71" i="7"/>
  <c r="B9" i="7"/>
  <c r="F131" i="6"/>
  <c r="L120" i="6"/>
  <c r="E103" i="6"/>
  <c r="O80" i="6"/>
  <c r="F104" i="10"/>
  <c r="K84" i="10"/>
  <c r="I62" i="10"/>
  <c r="N72" i="11"/>
  <c r="F87" i="14"/>
  <c r="C44" i="14"/>
  <c r="I40" i="2"/>
  <c r="M178" i="3"/>
  <c r="O12" i="3"/>
  <c r="N165" i="5"/>
  <c r="K128" i="7"/>
  <c r="F111" i="6"/>
  <c r="I84" i="10"/>
  <c r="L72" i="11"/>
  <c r="G173" i="12"/>
  <c r="F47" i="12"/>
  <c r="Q144" i="2"/>
  <c r="L124" i="2"/>
  <c r="L92" i="2"/>
  <c r="Q60" i="2"/>
  <c r="F187" i="3"/>
  <c r="L135" i="3"/>
  <c r="L12" i="3"/>
  <c r="K165" i="5"/>
  <c r="L38" i="10"/>
  <c r="F173" i="12"/>
  <c r="F100" i="7"/>
  <c r="D144" i="2"/>
  <c r="Q16" i="2"/>
  <c r="I64" i="3"/>
  <c r="B12" i="3"/>
  <c r="K101" i="5"/>
  <c r="I139" i="7"/>
  <c r="H126" i="7"/>
  <c r="F153" i="10"/>
  <c r="E173" i="12"/>
  <c r="B52" i="14"/>
  <c r="G19" i="8"/>
  <c r="O163" i="5"/>
  <c r="O109" i="5"/>
  <c r="O83" i="5"/>
  <c r="O65" i="5"/>
  <c r="C18" i="5"/>
  <c r="E18" i="13"/>
  <c r="E13" i="14"/>
  <c r="L123" i="11"/>
  <c r="B173" i="12"/>
  <c r="C163" i="5"/>
  <c r="F80" i="11"/>
  <c r="N60" i="11"/>
  <c r="E177" i="13"/>
  <c r="E154" i="13"/>
  <c r="D112" i="13"/>
  <c r="E86" i="13"/>
  <c r="E113" i="14"/>
  <c r="B63" i="14"/>
  <c r="D50" i="14"/>
  <c r="E28" i="14"/>
  <c r="E25" i="14"/>
  <c r="N129" i="5"/>
  <c r="F122" i="13"/>
  <c r="B177" i="14"/>
  <c r="G177" i="14" s="1"/>
  <c r="F125" i="14"/>
  <c r="E119" i="14"/>
  <c r="B79" i="14"/>
  <c r="F55" i="14"/>
  <c r="I188" i="2"/>
  <c r="B109" i="6"/>
  <c r="I96" i="6"/>
  <c r="H21" i="6"/>
  <c r="M133" i="10"/>
  <c r="M121" i="10"/>
  <c r="J100" i="10"/>
  <c r="E72" i="10"/>
  <c r="D62" i="10"/>
  <c r="I37" i="10"/>
  <c r="L34" i="10"/>
  <c r="I25" i="10"/>
  <c r="J12" i="3"/>
  <c r="D10" i="3"/>
  <c r="M7" i="3"/>
  <c r="K95" i="7"/>
  <c r="L132" i="6"/>
  <c r="G130" i="6"/>
  <c r="E119" i="6"/>
  <c r="I133" i="10"/>
  <c r="E121" i="10"/>
  <c r="E109" i="10"/>
  <c r="F88" i="10"/>
  <c r="H25" i="10"/>
  <c r="L187" i="2"/>
  <c r="J135" i="3"/>
  <c r="P36" i="3"/>
  <c r="F95" i="7"/>
  <c r="C27" i="7"/>
  <c r="L179" i="6"/>
  <c r="F177" i="6"/>
  <c r="M36" i="6"/>
  <c r="O16" i="6"/>
  <c r="L11" i="6"/>
  <c r="O11" i="12" s="1"/>
  <c r="F8" i="6"/>
  <c r="O176" i="10"/>
  <c r="I157" i="10"/>
  <c r="E133" i="10"/>
  <c r="M13" i="10"/>
  <c r="D187" i="2"/>
  <c r="F187" i="2" s="1"/>
  <c r="Q140" i="2"/>
  <c r="L116" i="2"/>
  <c r="E80" i="2"/>
  <c r="L56" i="2"/>
  <c r="I28" i="2"/>
  <c r="L187" i="3"/>
  <c r="P182" i="3"/>
  <c r="L179" i="3"/>
  <c r="I68" i="3"/>
  <c r="G52" i="3"/>
  <c r="O36" i="3"/>
  <c r="F30" i="3"/>
  <c r="M15" i="3"/>
  <c r="F109" i="6"/>
  <c r="M38" i="6"/>
  <c r="J16" i="6"/>
  <c r="H11" i="6"/>
  <c r="P11" i="12" s="1"/>
  <c r="E176" i="10"/>
  <c r="N25" i="10"/>
  <c r="I19" i="8"/>
  <c r="F18" i="8"/>
  <c r="O141" i="5"/>
  <c r="I122" i="5"/>
  <c r="O101" i="5"/>
  <c r="N85" i="5"/>
  <c r="K65" i="5"/>
  <c r="I13" i="5"/>
  <c r="F78" i="12"/>
  <c r="F77" i="12"/>
  <c r="E134" i="13"/>
  <c r="E116" i="13"/>
  <c r="G110" i="13"/>
  <c r="F98" i="13"/>
  <c r="C69" i="13"/>
  <c r="B29"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B110" i="13"/>
  <c r="G40" i="13"/>
  <c r="B37"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G81" i="7"/>
  <c r="N31" i="7"/>
  <c r="O27" i="7"/>
  <c r="O181" i="6"/>
  <c r="L175" i="6"/>
  <c r="E168" i="6"/>
  <c r="L107" i="6"/>
  <c r="K104" i="6"/>
  <c r="R104" i="12" s="1"/>
  <c r="I94" i="6"/>
  <c r="Q94" i="12" s="1"/>
  <c r="N77" i="6"/>
  <c r="I25" i="6"/>
  <c r="G16" i="6"/>
  <c r="E171" i="10"/>
  <c r="N164" i="10"/>
  <c r="J157" i="10"/>
  <c r="I156" i="10"/>
  <c r="I141" i="10"/>
  <c r="C141" i="10"/>
  <c r="I121" i="10"/>
  <c r="F120" i="10"/>
  <c r="I110" i="10"/>
  <c r="K96" i="10"/>
  <c r="L94" i="10"/>
  <c r="I86" i="10"/>
  <c r="K56" i="10"/>
  <c r="O112" i="7"/>
  <c r="H181" i="6"/>
  <c r="G122" i="6"/>
  <c r="O114" i="6"/>
  <c r="L69" i="6"/>
  <c r="O69" i="12" s="1"/>
  <c r="M72" i="10"/>
  <c r="I61" i="10"/>
  <c r="F56" i="10"/>
  <c r="I34" i="10"/>
  <c r="M140" i="2"/>
  <c r="S104" i="2"/>
  <c r="I76" i="2"/>
  <c r="R20" i="2"/>
  <c r="M16" i="2"/>
  <c r="J183" i="3"/>
  <c r="G143" i="3"/>
  <c r="H143" i="3" s="1"/>
  <c r="Q135" i="3"/>
  <c r="G135" i="3"/>
  <c r="N108" i="3"/>
  <c r="O56" i="3"/>
  <c r="P42" i="3"/>
  <c r="L36" i="3"/>
  <c r="N152" i="7"/>
  <c r="G112"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Q68" i="3"/>
  <c r="L56" i="3"/>
  <c r="F44" i="3"/>
  <c r="N42" i="3"/>
  <c r="D36" i="3"/>
  <c r="P16" i="3"/>
  <c r="N14" i="3"/>
  <c r="H171" i="10"/>
  <c r="L141" i="10"/>
  <c r="D141" i="10"/>
  <c r="B25" i="10"/>
  <c r="M15" i="10"/>
  <c r="L13" i="10"/>
  <c r="J27" i="7"/>
  <c r="I27" i="7"/>
  <c r="H94" i="7"/>
  <c r="J30" i="7"/>
  <c r="H55" i="8"/>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B108" i="13"/>
  <c r="B98" i="13"/>
  <c r="B96" i="13"/>
  <c r="B90" i="13"/>
  <c r="B81" i="13"/>
  <c r="E72" i="13"/>
  <c r="E69" i="13"/>
  <c r="G29" i="13"/>
  <c r="D21" i="13"/>
  <c r="F19" i="13"/>
  <c r="G13" i="13"/>
  <c r="B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G170" i="13"/>
  <c r="C134" i="13"/>
  <c r="D127" i="13"/>
  <c r="F124" i="13"/>
  <c r="D122" i="13"/>
  <c r="B116" i="13"/>
  <c r="B100" i="13"/>
  <c r="E98" i="13"/>
  <c r="B86" i="13"/>
  <c r="F80" i="13"/>
  <c r="E13" i="13"/>
  <c r="F15" i="14"/>
  <c r="O151" i="5"/>
  <c r="O133" i="5"/>
  <c r="C123" i="5"/>
  <c r="I114" i="5"/>
  <c r="K107" i="5"/>
  <c r="O97" i="5"/>
  <c r="O89" i="5"/>
  <c r="O81" i="5"/>
  <c r="O75" i="5"/>
  <c r="N69" i="5"/>
  <c r="K63" i="5"/>
  <c r="N44" i="5"/>
  <c r="C34" i="5"/>
  <c r="N23" i="5"/>
  <c r="K166" i="11"/>
  <c r="I94" i="11"/>
  <c r="J92" i="11"/>
  <c r="L88" i="11"/>
  <c r="G53" i="11"/>
  <c r="G74" i="12"/>
  <c r="D98" i="13"/>
  <c r="F96" i="13"/>
  <c r="F90" i="13"/>
  <c r="C13" i="13"/>
  <c r="E141" i="14"/>
  <c r="F99" i="14"/>
  <c r="F93" i="14"/>
  <c r="E78" i="14"/>
  <c r="B71" i="14"/>
  <c r="F69" i="14"/>
  <c r="D62" i="14"/>
  <c r="F60" i="14"/>
  <c r="E41" i="14"/>
  <c r="G41" i="14" s="1"/>
  <c r="B31" i="14"/>
  <c r="F29" i="14"/>
  <c r="D15" i="14"/>
  <c r="C13" i="14"/>
  <c r="I168" i="2"/>
  <c r="C166" i="2"/>
  <c r="D157" i="2"/>
  <c r="C147" i="2"/>
  <c r="F147" i="2" s="1"/>
  <c r="D137" i="2"/>
  <c r="P128" i="2"/>
  <c r="L80" i="2"/>
  <c r="P76" i="2"/>
  <c r="I75" i="2"/>
  <c r="R68" i="2"/>
  <c r="D66" i="2"/>
  <c r="H52" i="2"/>
  <c r="H40" i="2"/>
  <c r="I32" i="2"/>
  <c r="S16" i="2"/>
  <c r="J188" i="3"/>
  <c r="M187" i="3"/>
  <c r="D187" i="3"/>
  <c r="E187" i="3" s="1"/>
  <c r="O183" i="3"/>
  <c r="D183" i="3"/>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E68" i="5" s="1"/>
  <c r="G64" i="3"/>
  <c r="F56" i="3"/>
  <c r="L48" i="3"/>
  <c r="N46" i="3"/>
  <c r="I42" i="3"/>
  <c r="F36" i="3"/>
  <c r="G32" i="3"/>
  <c r="N20" i="3"/>
  <c r="Q12" i="3"/>
  <c r="D12" i="3"/>
  <c r="L171" i="7"/>
  <c r="R191" i="2"/>
  <c r="Q173" i="2"/>
  <c r="L171" i="3"/>
  <c r="D171" i="3"/>
  <c r="G127" i="3"/>
  <c r="Q72" i="3"/>
  <c r="L189" i="7"/>
  <c r="K189" i="12" s="1"/>
  <c r="I171" i="7"/>
  <c r="G113" i="7"/>
  <c r="M112" i="7"/>
  <c r="I191" i="2"/>
  <c r="Q188" i="2"/>
  <c r="S181" i="2"/>
  <c r="C173" i="2"/>
  <c r="R167" i="2"/>
  <c r="D165" i="2"/>
  <c r="E140" i="2"/>
  <c r="M136" i="2"/>
  <c r="I133" i="2"/>
  <c r="B128" i="2"/>
  <c r="Q106" i="2"/>
  <c r="R104" i="2"/>
  <c r="H96" i="2"/>
  <c r="C87" i="2"/>
  <c r="B12" i="2"/>
  <c r="Q187" i="3"/>
  <c r="G187" i="3"/>
  <c r="O178" i="3"/>
  <c r="P171" i="3"/>
  <c r="J171" i="3"/>
  <c r="C171" i="3"/>
  <c r="L162" i="3"/>
  <c r="Q156" i="3"/>
  <c r="B127" i="3"/>
  <c r="I112" i="3"/>
  <c r="Q109" i="3"/>
  <c r="L108" i="3"/>
  <c r="Q104" i="3"/>
  <c r="L94" i="3"/>
  <c r="L92" i="3"/>
  <c r="G72" i="3"/>
  <c r="E72" i="5" s="1"/>
  <c r="P68" i="3"/>
  <c r="L67" i="3"/>
  <c r="Q64" i="3"/>
  <c r="G59" i="3"/>
  <c r="E59" i="5" s="1"/>
  <c r="P47" i="3"/>
  <c r="J28" i="3"/>
  <c r="H189" i="7"/>
  <c r="H189" i="12" s="1"/>
  <c r="E171" i="7"/>
  <c r="E113" i="7"/>
  <c r="S75" i="2"/>
  <c r="G72" i="7"/>
  <c r="C72" i="7"/>
  <c r="O72" i="7"/>
  <c r="D72" i="7"/>
  <c r="I72" i="7"/>
  <c r="I12" i="10"/>
  <c r="L18" i="7"/>
  <c r="I183" i="6"/>
  <c r="K169" i="6"/>
  <c r="L52" i="6"/>
  <c r="M187" i="10"/>
  <c r="L133" i="10"/>
  <c r="H133" i="10"/>
  <c r="D133" i="10"/>
  <c r="O132" i="10"/>
  <c r="J132" i="10"/>
  <c r="E132" i="10"/>
  <c r="J125" i="10"/>
  <c r="N69" i="10"/>
  <c r="O68" i="10"/>
  <c r="L57" i="10"/>
  <c r="M49" i="10"/>
  <c r="F18" i="7"/>
  <c r="E183" i="6"/>
  <c r="I169" i="6"/>
  <c r="O130" i="6"/>
  <c r="J97" i="6"/>
  <c r="I77" i="6"/>
  <c r="K52" i="6"/>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I21" i="7"/>
  <c r="B18" i="7"/>
  <c r="L183" i="6"/>
  <c r="D183" i="6"/>
  <c r="I181" i="6"/>
  <c r="N177" i="6"/>
  <c r="K176" i="6"/>
  <c r="I170" i="6"/>
  <c r="C169" i="6"/>
  <c r="L131" i="6"/>
  <c r="K130" i="6"/>
  <c r="N122" i="6"/>
  <c r="H109" i="6"/>
  <c r="P109" i="12" s="1"/>
  <c r="I108" i="6"/>
  <c r="Q108" i="12" s="1"/>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K99" i="5"/>
  <c r="C97" i="5"/>
  <c r="N93" i="5"/>
  <c r="K91" i="5"/>
  <c r="C89" i="5"/>
  <c r="C85" i="5"/>
  <c r="N81" i="5"/>
  <c r="O77" i="5"/>
  <c r="K75" i="5"/>
  <c r="C73" i="5"/>
  <c r="C69" i="5"/>
  <c r="N65" i="5"/>
  <c r="I20" i="5"/>
  <c r="N15" i="5"/>
  <c r="D7" i="5"/>
  <c r="N7" i="5"/>
  <c r="D12" i="5"/>
  <c r="I12" i="5"/>
  <c r="F186" i="13"/>
  <c r="F138" i="13"/>
  <c r="E94" i="13"/>
  <c r="E92" i="13"/>
  <c r="E62" i="13"/>
  <c r="D54" i="13"/>
  <c r="E40" i="13"/>
  <c r="E183" i="14"/>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D186" i="13"/>
  <c r="B173" i="13"/>
  <c r="D134" i="13"/>
  <c r="F129" i="13"/>
  <c r="F112" i="13"/>
  <c r="C110" i="13"/>
  <c r="E108" i="13"/>
  <c r="B94" i="13"/>
  <c r="B92" i="13"/>
  <c r="D90" i="13"/>
  <c r="B83" i="13"/>
  <c r="F81" i="13"/>
  <c r="E70" i="13"/>
  <c r="E65" i="13"/>
  <c r="C62" i="13"/>
  <c r="B59" i="13"/>
  <c r="C54" i="13"/>
  <c r="F51" i="13"/>
  <c r="B40" i="13"/>
  <c r="F37" i="13"/>
  <c r="C29" i="13"/>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C170" i="13"/>
  <c r="D159" i="13"/>
  <c r="F156" i="13"/>
  <c r="F134" i="13"/>
  <c r="B112" i="13"/>
  <c r="F94" i="13"/>
  <c r="F84" i="13"/>
  <c r="G82" i="13"/>
  <c r="E64" i="13"/>
  <c r="G62" i="13"/>
  <c r="G54" i="13"/>
  <c r="D50" i="13"/>
  <c r="F40" i="13"/>
  <c r="E11" i="13"/>
  <c r="C9" i="13"/>
  <c r="E6" i="13"/>
  <c r="D157" i="14"/>
  <c r="E149" i="14"/>
  <c r="B137" i="14"/>
  <c r="C129" i="14"/>
  <c r="E126" i="14"/>
  <c r="E123" i="14"/>
  <c r="B95" i="14"/>
  <c r="E93" i="14"/>
  <c r="E17" i="14"/>
  <c r="E15" i="14"/>
  <c r="E14" i="14"/>
  <c r="E12" i="14"/>
  <c r="G12" i="14" s="1"/>
  <c r="C165" i="6"/>
  <c r="E165" i="6"/>
  <c r="B138" i="6"/>
  <c r="K138" i="6"/>
  <c r="P120" i="2"/>
  <c r="E120" i="2"/>
  <c r="G120" i="2" s="1"/>
  <c r="P48" i="2"/>
  <c r="E48" i="2"/>
  <c r="Q34" i="2"/>
  <c r="L182" i="3"/>
  <c r="M166" i="3"/>
  <c r="M157" i="3"/>
  <c r="N147" i="3"/>
  <c r="Q133" i="3"/>
  <c r="O104" i="3"/>
  <c r="I94" i="3"/>
  <c r="Q93" i="3"/>
  <c r="G93" i="3"/>
  <c r="Q92" i="3"/>
  <c r="G92" i="3"/>
  <c r="E92" i="5" s="1"/>
  <c r="O85" i="3"/>
  <c r="G85" i="3"/>
  <c r="L47" i="3"/>
  <c r="P40" i="3"/>
  <c r="Q39" i="3"/>
  <c r="L165" i="6"/>
  <c r="F165" i="6"/>
  <c r="C161" i="6"/>
  <c r="I161" i="6"/>
  <c r="F161" i="6"/>
  <c r="E112" i="6"/>
  <c r="L112" i="6"/>
  <c r="I112" i="6"/>
  <c r="C95" i="6"/>
  <c r="L95" i="6"/>
  <c r="E73" i="6"/>
  <c r="H73" i="6"/>
  <c r="L73" i="12" s="1"/>
  <c r="B73" i="6"/>
  <c r="L73" i="6"/>
  <c r="I12" i="6"/>
  <c r="Q12" i="12" s="1"/>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N27" i="7"/>
  <c r="F27" i="7"/>
  <c r="M181" i="6"/>
  <c r="G181" i="6"/>
  <c r="M180" i="6"/>
  <c r="O169" i="6"/>
  <c r="G169" i="6"/>
  <c r="M168" i="6"/>
  <c r="F167" i="6"/>
  <c r="J165" i="6"/>
  <c r="D165" i="6"/>
  <c r="E128" i="6"/>
  <c r="H128" i="6"/>
  <c r="G128" i="6"/>
  <c r="B101" i="6"/>
  <c r="F101" i="6"/>
  <c r="I101" i="6"/>
  <c r="E101" i="6"/>
  <c r="N101" i="6"/>
  <c r="I72" i="6"/>
  <c r="M72" i="12" s="1"/>
  <c r="K72" i="6"/>
  <c r="S72" i="12" s="1"/>
  <c r="G72" i="6"/>
  <c r="C44" i="6"/>
  <c r="G44" i="6"/>
  <c r="H44" i="6"/>
  <c r="E44" i="6"/>
  <c r="M44" i="6"/>
  <c r="I31" i="6"/>
  <c r="O31" i="6"/>
  <c r="G31" i="6"/>
  <c r="I177" i="10"/>
  <c r="H177" i="10"/>
  <c r="B149" i="10"/>
  <c r="K149" i="10"/>
  <c r="F149" i="10"/>
  <c r="I173" i="2"/>
  <c r="M147" i="2"/>
  <c r="L144" i="2"/>
  <c r="I184" i="2"/>
  <c r="I182" i="2"/>
  <c r="D175" i="2"/>
  <c r="F175" i="2" s="1"/>
  <c r="S173" i="2"/>
  <c r="E173" i="2"/>
  <c r="H147" i="2"/>
  <c r="L145" i="2"/>
  <c r="L143" i="2"/>
  <c r="H140" i="2"/>
  <c r="R128" i="2"/>
  <c r="E128" i="2"/>
  <c r="G128" i="2" s="1"/>
  <c r="L126" i="2"/>
  <c r="S120" i="2"/>
  <c r="I120" i="2"/>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H113" i="7"/>
  <c r="J94" i="7"/>
  <c r="D93" i="7"/>
  <c r="H72" i="7"/>
  <c r="N71" i="7"/>
  <c r="K27" i="7"/>
  <c r="E27" i="7"/>
  <c r="L181" i="6"/>
  <c r="D181" i="6"/>
  <c r="I180" i="6"/>
  <c r="M169" i="6"/>
  <c r="E169" i="6"/>
  <c r="I168" i="6"/>
  <c r="Q168" i="12" s="1"/>
  <c r="L167" i="6"/>
  <c r="E167" i="6"/>
  <c r="N165" i="6"/>
  <c r="I165" i="6"/>
  <c r="B165" i="6"/>
  <c r="B114" i="6"/>
  <c r="G114" i="6"/>
  <c r="E114" i="6"/>
  <c r="C71" i="6"/>
  <c r="K71" i="6"/>
  <c r="S71" i="12" s="1"/>
  <c r="O71" i="6"/>
  <c r="G71" i="6"/>
  <c r="D69" i="6"/>
  <c r="I69" i="6"/>
  <c r="Q69" i="12" s="1"/>
  <c r="N69" i="6"/>
  <c r="E69" i="6"/>
  <c r="J69" i="6"/>
  <c r="B69" i="6"/>
  <c r="H69" i="6"/>
  <c r="L69" i="12" s="1"/>
  <c r="M69" i="6"/>
  <c r="B41" i="6"/>
  <c r="I41" i="6"/>
  <c r="N41" i="6"/>
  <c r="H41" i="6"/>
  <c r="E27" i="6"/>
  <c r="I27" i="6"/>
  <c r="M27" i="12" s="1"/>
  <c r="K27" i="6"/>
  <c r="N27" i="12" s="1"/>
  <c r="G27" i="6"/>
  <c r="C166" i="10"/>
  <c r="G166" i="10"/>
  <c r="K166" i="10"/>
  <c r="E166" i="10"/>
  <c r="B148" i="10"/>
  <c r="G148" i="10"/>
  <c r="N148" i="10"/>
  <c r="C148" i="10"/>
  <c r="I122" i="6"/>
  <c r="I111" i="6"/>
  <c r="Q111" i="12" s="1"/>
  <c r="N109" i="6"/>
  <c r="I109" i="6"/>
  <c r="D109" i="6"/>
  <c r="K108" i="6"/>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P125" i="5" s="1"/>
  <c r="O87" i="5"/>
  <c r="K85" i="5"/>
  <c r="O79" i="5"/>
  <c r="K77" i="5"/>
  <c r="O71" i="5"/>
  <c r="K69" i="5"/>
  <c r="O63" i="5"/>
  <c r="N46" i="5"/>
  <c r="O42" i="5"/>
  <c r="N32" i="5"/>
  <c r="N28" i="5"/>
  <c r="C26" i="5"/>
  <c r="I21" i="5"/>
  <c r="O18" i="5"/>
  <c r="N14" i="5"/>
  <c r="O10" i="5"/>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E185" i="13"/>
  <c r="B182" i="13"/>
  <c r="F182" i="13"/>
  <c r="F178" i="13"/>
  <c r="C138" i="13"/>
  <c r="D138" i="13"/>
  <c r="E138" i="13"/>
  <c r="G126" i="13"/>
  <c r="F118" i="13"/>
  <c r="D102" i="13"/>
  <c r="E102" i="13"/>
  <c r="B102" i="13"/>
  <c r="G102" i="13"/>
  <c r="C102" i="13"/>
  <c r="L183" i="11"/>
  <c r="L163" i="11"/>
  <c r="M154" i="11"/>
  <c r="H144" i="11"/>
  <c r="O134" i="11"/>
  <c r="K129" i="11"/>
  <c r="L127" i="11"/>
  <c r="H64" i="11"/>
  <c r="F34" i="11"/>
  <c r="N32" i="11"/>
  <c r="I32" i="11"/>
  <c r="D32" i="11"/>
  <c r="E178" i="13"/>
  <c r="C130" i="13"/>
  <c r="G130" i="13"/>
  <c r="D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C186" i="13"/>
  <c r="B186" i="13"/>
  <c r="D177" i="13"/>
  <c r="C177" i="13"/>
  <c r="C171" i="13"/>
  <c r="D171" i="13"/>
  <c r="E171" i="13"/>
  <c r="E146" i="13"/>
  <c r="G146" i="13"/>
  <c r="F130" i="13"/>
  <c r="D125" i="13"/>
  <c r="B125" i="13"/>
  <c r="G125" i="13"/>
  <c r="C106" i="13"/>
  <c r="E106" i="13"/>
  <c r="B106" i="13"/>
  <c r="D106" i="13"/>
  <c r="N26" i="5"/>
  <c r="E127" i="12"/>
  <c r="E109" i="12"/>
  <c r="D99" i="12"/>
  <c r="E63" i="12"/>
  <c r="F40" i="12"/>
  <c r="D19" i="12"/>
  <c r="C178" i="13"/>
  <c r="B178" i="13"/>
  <c r="E130" i="13"/>
  <c r="C118" i="13"/>
  <c r="G118" i="13"/>
  <c r="D118" i="13"/>
  <c r="C114" i="13"/>
  <c r="B114" i="13"/>
  <c r="D114" i="13"/>
  <c r="F104" i="13"/>
  <c r="F100" i="13"/>
  <c r="E96" i="13"/>
  <c r="D94" i="13"/>
  <c r="C80" i="13"/>
  <c r="G56" i="13"/>
  <c r="E38" i="13"/>
  <c r="G34" i="13"/>
  <c r="G25" i="13"/>
  <c r="C156" i="14"/>
  <c r="C149" i="14"/>
  <c r="E148" i="14"/>
  <c r="E127" i="14"/>
  <c r="G125" i="14"/>
  <c r="D115" i="14"/>
  <c r="C113" i="14"/>
  <c r="E55" i="14"/>
  <c r="F52" i="14"/>
  <c r="E39" i="14"/>
  <c r="E37" i="14"/>
  <c r="D33" i="14"/>
  <c r="F31" i="14"/>
  <c r="D29" i="14"/>
  <c r="F11" i="14"/>
  <c r="E9" i="14"/>
  <c r="G9" i="14" s="1"/>
  <c r="F116" i="13"/>
  <c r="E112" i="13"/>
  <c r="D104" i="13"/>
  <c r="E100" i="13"/>
  <c r="D96" i="13"/>
  <c r="G94" i="13"/>
  <c r="F92" i="13"/>
  <c r="G86" i="13"/>
  <c r="E83" i="13"/>
  <c r="G80" i="13"/>
  <c r="B80" i="13"/>
  <c r="F73" i="13"/>
  <c r="G69" i="13"/>
  <c r="E56" i="13"/>
  <c r="G50" i="13"/>
  <c r="C38" i="13"/>
  <c r="D34" i="13"/>
  <c r="E29" i="13"/>
  <c r="F23" i="13"/>
  <c r="F187" i="14"/>
  <c r="F160" i="14"/>
  <c r="B156" i="14"/>
  <c r="D153" i="14"/>
  <c r="F149" i="14"/>
  <c r="B149" i="14"/>
  <c r="B148" i="14"/>
  <c r="B127" i="14"/>
  <c r="B115" i="14"/>
  <c r="F113" i="14"/>
  <c r="B113" i="14"/>
  <c r="G113" i="14" s="1"/>
  <c r="F111" i="14"/>
  <c r="E109" i="14"/>
  <c r="G109" i="14" s="1"/>
  <c r="F107" i="14"/>
  <c r="E97" i="14"/>
  <c r="E95" i="14"/>
  <c r="E94" i="14"/>
  <c r="D59" i="14"/>
  <c r="D55" i="14"/>
  <c r="E53" i="14"/>
  <c r="E52" i="14"/>
  <c r="B39" i="14"/>
  <c r="C37" i="14"/>
  <c r="B33" i="14"/>
  <c r="G4" i="21" s="1"/>
  <c r="E31" i="14"/>
  <c r="B29" i="14"/>
  <c r="F27" i="14"/>
  <c r="E20" i="14"/>
  <c r="D11" i="14"/>
  <c r="C9" i="14"/>
  <c r="E7" i="14"/>
  <c r="E80" i="13"/>
  <c r="G38" i="13"/>
  <c r="E156" i="14"/>
  <c r="F148" i="14"/>
  <c r="F127" i="14"/>
  <c r="E115" i="14"/>
  <c r="F39" i="14"/>
  <c r="E33" i="14"/>
  <c r="F4" i="21" s="1"/>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I33" i="2"/>
  <c r="Q33" i="2"/>
  <c r="I27" i="2"/>
  <c r="Q181" i="3"/>
  <c r="I154" i="3"/>
  <c r="M154" i="3"/>
  <c r="P154" i="3"/>
  <c r="D145" i="3"/>
  <c r="I145" i="3"/>
  <c r="Q145" i="3"/>
  <c r="B144" i="3"/>
  <c r="M144" i="3"/>
  <c r="F144" i="3"/>
  <c r="N144" i="3"/>
  <c r="L141" i="3"/>
  <c r="I141" i="3"/>
  <c r="P141" i="3"/>
  <c r="I134" i="3"/>
  <c r="C134" i="3"/>
  <c r="P134" i="3"/>
  <c r="G134" i="3"/>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D36" i="2"/>
  <c r="M36" i="2"/>
  <c r="E36" i="2"/>
  <c r="P36" i="2"/>
  <c r="C188" i="3"/>
  <c r="M188" i="3"/>
  <c r="F188" i="3"/>
  <c r="H188" i="3" s="1"/>
  <c r="N188" i="3"/>
  <c r="C125" i="3"/>
  <c r="B125" i="3"/>
  <c r="M125" i="3"/>
  <c r="F125" i="3"/>
  <c r="N125" i="3"/>
  <c r="I125" i="3"/>
  <c r="K125" i="3" s="1"/>
  <c r="P125" i="3"/>
  <c r="D78" i="3"/>
  <c r="L78" i="3"/>
  <c r="M191" i="2"/>
  <c r="D191" i="2"/>
  <c r="F191" i="2" s="1"/>
  <c r="M190" i="2"/>
  <c r="M189" i="2"/>
  <c r="Q178" i="2"/>
  <c r="Q177" i="2"/>
  <c r="L191" i="2"/>
  <c r="B191" i="2"/>
  <c r="C190" i="2"/>
  <c r="E189" i="2"/>
  <c r="G189" i="2" s="1"/>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153" i="2"/>
  <c r="C107" i="2"/>
  <c r="I107" i="2"/>
  <c r="S107" i="2"/>
  <c r="D93" i="2"/>
  <c r="I93" i="2"/>
  <c r="L93" i="2"/>
  <c r="D92" i="2"/>
  <c r="B92" i="2"/>
  <c r="M92" i="2"/>
  <c r="E92" i="2"/>
  <c r="Q92" i="2"/>
  <c r="B88" i="2"/>
  <c r="E88" i="2"/>
  <c r="S88" i="2"/>
  <c r="I88" i="2"/>
  <c r="I79" i="2"/>
  <c r="Q79" i="2"/>
  <c r="D60" i="2"/>
  <c r="C60" i="2"/>
  <c r="I60" i="2"/>
  <c r="Q49" i="2"/>
  <c r="D49" i="2"/>
  <c r="H36" i="2"/>
  <c r="L10" i="2"/>
  <c r="P10" i="2"/>
  <c r="M126" i="3"/>
  <c r="I126" i="3"/>
  <c r="Q126" i="3"/>
  <c r="D119" i="3"/>
  <c r="C119" i="3"/>
  <c r="N119" i="3"/>
  <c r="F119" i="3"/>
  <c r="P119" i="3"/>
  <c r="I119" i="3"/>
  <c r="B101" i="3"/>
  <c r="I101" i="3"/>
  <c r="J101" i="3"/>
  <c r="C157" i="7"/>
  <c r="L157" i="7"/>
  <c r="D152" i="7"/>
  <c r="E152" i="7"/>
  <c r="J152" i="7"/>
  <c r="O152" i="7"/>
  <c r="C145" i="7"/>
  <c r="G145" i="7"/>
  <c r="C136" i="7"/>
  <c r="C109" i="7"/>
  <c r="B107" i="7"/>
  <c r="B187" i="6"/>
  <c r="M187" i="6"/>
  <c r="F187" i="6"/>
  <c r="H187" i="6"/>
  <c r="M172" i="6"/>
  <c r="I172" i="7"/>
  <c r="I164" i="6"/>
  <c r="Q164" i="12" s="1"/>
  <c r="K164" i="6"/>
  <c r="E164" i="7"/>
  <c r="B147" i="6"/>
  <c r="F147" i="6"/>
  <c r="I147" i="6"/>
  <c r="L147" i="6"/>
  <c r="B135" i="6"/>
  <c r="F135" i="6"/>
  <c r="J135" i="6"/>
  <c r="N135" i="6"/>
  <c r="C135" i="6"/>
  <c r="G135" i="6"/>
  <c r="K135" i="6"/>
  <c r="S135" i="12" s="1"/>
  <c r="O135" i="6"/>
  <c r="D135" i="6"/>
  <c r="H135" i="6"/>
  <c r="P135" i="12" s="1"/>
  <c r="L135" i="6"/>
  <c r="B125" i="6"/>
  <c r="E125" i="6"/>
  <c r="H125" i="6"/>
  <c r="J125" i="6"/>
  <c r="E54" i="6"/>
  <c r="J54" i="6"/>
  <c r="I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L46" i="3"/>
  <c r="O45" i="3"/>
  <c r="O40" i="3"/>
  <c r="J40" i="3"/>
  <c r="D40" i="3"/>
  <c r="N36" i="3"/>
  <c r="I36" i="3"/>
  <c r="C36" i="3"/>
  <c r="O35" i="3"/>
  <c r="P34" i="3"/>
  <c r="M32" i="3"/>
  <c r="F32" i="3"/>
  <c r="O31" i="3"/>
  <c r="P28" i="3"/>
  <c r="G28" i="3"/>
  <c r="I25" i="3"/>
  <c r="P24" i="3"/>
  <c r="G24" i="3"/>
  <c r="I20" i="3"/>
  <c r="O19" i="3"/>
  <c r="N16" i="3"/>
  <c r="L14" i="3"/>
  <c r="O13" i="3"/>
  <c r="L7" i="3"/>
  <c r="F189" i="7"/>
  <c r="C187" i="7"/>
  <c r="E180" i="7"/>
  <c r="M171" i="7"/>
  <c r="I161" i="7"/>
  <c r="M152" i="7"/>
  <c r="F152" i="7"/>
  <c r="J148" i="7"/>
  <c r="F136" i="7"/>
  <c r="B135" i="7"/>
  <c r="F114" i="7"/>
  <c r="E112" i="7"/>
  <c r="C112" i="7"/>
  <c r="I112" i="7"/>
  <c r="D112" i="7"/>
  <c r="L112" i="7"/>
  <c r="J83" i="7"/>
  <c r="B83" i="7"/>
  <c r="C81" i="7"/>
  <c r="H81" i="7"/>
  <c r="M81" i="7"/>
  <c r="D81" i="7"/>
  <c r="I81" i="7"/>
  <c r="O81" i="7"/>
  <c r="E81" i="7"/>
  <c r="K81" i="7"/>
  <c r="B63" i="7"/>
  <c r="F63" i="7"/>
  <c r="K63" i="7"/>
  <c r="E46" i="7"/>
  <c r="B46" i="7"/>
  <c r="M46" i="7"/>
  <c r="F46" i="7"/>
  <c r="H46" i="7"/>
  <c r="E150" i="6"/>
  <c r="I150" i="7"/>
  <c r="M135" i="6"/>
  <c r="I66" i="6"/>
  <c r="M66" i="12" s="1"/>
  <c r="M66" i="7"/>
  <c r="C62" i="6"/>
  <c r="K62" i="7"/>
  <c r="B13" i="6"/>
  <c r="F13" i="6"/>
  <c r="J13" i="6"/>
  <c r="N13" i="6"/>
  <c r="C13" i="6"/>
  <c r="G13" i="6"/>
  <c r="K13" i="6"/>
  <c r="S13" i="12" s="1"/>
  <c r="O13" i="6"/>
  <c r="D13" i="6"/>
  <c r="L13" i="6"/>
  <c r="O13" i="12" s="1"/>
  <c r="E13" i="6"/>
  <c r="M13" i="6"/>
  <c r="H13" i="6"/>
  <c r="P13" i="12" s="1"/>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M189" i="7"/>
  <c r="E189" i="7"/>
  <c r="B171" i="7"/>
  <c r="H171" i="7"/>
  <c r="K152" i="7"/>
  <c r="C152" i="7"/>
  <c r="B151" i="7"/>
  <c r="K151" i="7"/>
  <c r="L147" i="7"/>
  <c r="E136" i="7"/>
  <c r="C77" i="7"/>
  <c r="D77" i="7"/>
  <c r="O77" i="7"/>
  <c r="G77" i="7"/>
  <c r="I77" i="7"/>
  <c r="E185" i="6"/>
  <c r="I185" i="6"/>
  <c r="M185" i="6"/>
  <c r="B141" i="6"/>
  <c r="L141" i="6"/>
  <c r="I135" i="6"/>
  <c r="C76" i="6"/>
  <c r="L76" i="5" s="1"/>
  <c r="O76" i="6"/>
  <c r="I76" i="7"/>
  <c r="F15" i="6"/>
  <c r="L15" i="6"/>
  <c r="C15" i="7"/>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I152" i="7"/>
  <c r="B152" i="7"/>
  <c r="E148" i="7"/>
  <c r="B148" i="7"/>
  <c r="L145" i="7"/>
  <c r="D144" i="7"/>
  <c r="F132" i="7"/>
  <c r="B14" i="7"/>
  <c r="H14" i="7"/>
  <c r="L187" i="6"/>
  <c r="K160" i="6"/>
  <c r="I160" i="7"/>
  <c r="B152" i="6"/>
  <c r="I152" i="6"/>
  <c r="E135" i="6"/>
  <c r="F110" i="6"/>
  <c r="I110" i="6"/>
  <c r="K110" i="6"/>
  <c r="C110" i="7"/>
  <c r="I102" i="6"/>
  <c r="C87" i="6"/>
  <c r="H87" i="6"/>
  <c r="M87" i="6"/>
  <c r="D87" i="6"/>
  <c r="I87" i="6"/>
  <c r="Q87" i="12" s="1"/>
  <c r="O87" i="6"/>
  <c r="E87" i="6"/>
  <c r="G87" i="6"/>
  <c r="F87" i="7"/>
  <c r="K87" i="6"/>
  <c r="R87" i="12" s="1"/>
  <c r="E83" i="6"/>
  <c r="G83" i="6"/>
  <c r="I83" i="6"/>
  <c r="Q83" i="12" s="1"/>
  <c r="C83" i="6"/>
  <c r="L83" i="5" s="1"/>
  <c r="K83" i="6"/>
  <c r="R83" i="12" s="1"/>
  <c r="O83" i="6"/>
  <c r="B51" i="6"/>
  <c r="G51" i="6"/>
  <c r="M51" i="6"/>
  <c r="C51" i="6"/>
  <c r="I51" i="6"/>
  <c r="N51" i="6"/>
  <c r="E51" i="6"/>
  <c r="O51" i="6"/>
  <c r="F51" i="6"/>
  <c r="J51" i="6"/>
  <c r="E28" i="6"/>
  <c r="K173" i="10"/>
  <c r="E94" i="7"/>
  <c r="F42" i="7"/>
  <c r="K31" i="7"/>
  <c r="M27" i="7"/>
  <c r="G27" i="7"/>
  <c r="O21" i="7"/>
  <c r="C21" i="7"/>
  <c r="M12" i="7"/>
  <c r="N10" i="7"/>
  <c r="K7" i="7"/>
  <c r="G180" i="6"/>
  <c r="M177" i="6"/>
  <c r="E177" i="6"/>
  <c r="I176" i="6"/>
  <c r="I175" i="6"/>
  <c r="O173" i="6"/>
  <c r="H171" i="6"/>
  <c r="L163" i="6"/>
  <c r="L161" i="6"/>
  <c r="E161" i="6"/>
  <c r="N155" i="6"/>
  <c r="I155" i="6"/>
  <c r="D155" i="6"/>
  <c r="M153" i="6"/>
  <c r="L151" i="6"/>
  <c r="M149" i="6"/>
  <c r="I138" i="6"/>
  <c r="G132" i="6"/>
  <c r="E130" i="6"/>
  <c r="M128" i="6"/>
  <c r="C128" i="6"/>
  <c r="M122" i="6"/>
  <c r="B122" i="6"/>
  <c r="H120" i="6"/>
  <c r="N119" i="6"/>
  <c r="I119" i="6"/>
  <c r="C119" i="6"/>
  <c r="G112" i="6"/>
  <c r="N111" i="6"/>
  <c r="C96" i="6"/>
  <c r="O96" i="6"/>
  <c r="G96" i="6"/>
  <c r="G80" i="6"/>
  <c r="K80" i="6"/>
  <c r="E59" i="6"/>
  <c r="J59" i="6"/>
  <c r="L59" i="6"/>
  <c r="O59" i="12" s="1"/>
  <c r="L56" i="6"/>
  <c r="D56" i="6"/>
  <c r="I56" i="6"/>
  <c r="Q56" i="12" s="1"/>
  <c r="F42" i="6"/>
  <c r="I42" i="6"/>
  <c r="H36" i="6"/>
  <c r="C31" i="6"/>
  <c r="K31" i="6"/>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L94" i="7"/>
  <c r="B94" i="7"/>
  <c r="L49" i="7"/>
  <c r="I31" i="7"/>
  <c r="I12" i="7"/>
  <c r="N183" i="6"/>
  <c r="F183" i="6"/>
  <c r="K181" i="6"/>
  <c r="E181" i="6"/>
  <c r="O180" i="6"/>
  <c r="E180" i="6"/>
  <c r="J177" i="6"/>
  <c r="F175" i="6"/>
  <c r="J161" i="6"/>
  <c r="D161" i="6"/>
  <c r="M155" i="6"/>
  <c r="H155" i="6"/>
  <c r="I139" i="6"/>
  <c r="F138" i="6"/>
  <c r="L133" i="6"/>
  <c r="O133" i="12" s="1"/>
  <c r="K123" i="6"/>
  <c r="G120" i="6"/>
  <c r="M119" i="6"/>
  <c r="G119" i="6"/>
  <c r="O112" i="6"/>
  <c r="B111" i="6"/>
  <c r="E111" i="6"/>
  <c r="K111" i="6"/>
  <c r="S111" i="12" s="1"/>
  <c r="C99" i="6"/>
  <c r="G99" i="6"/>
  <c r="K99" i="6"/>
  <c r="B93" i="6"/>
  <c r="F93" i="6"/>
  <c r="L93" i="6"/>
  <c r="E81" i="6"/>
  <c r="L81" i="6"/>
  <c r="I68" i="6"/>
  <c r="O68" i="6"/>
  <c r="C52" i="6"/>
  <c r="H52" i="6"/>
  <c r="M52" i="6"/>
  <c r="D52" i="6"/>
  <c r="I52" i="6"/>
  <c r="O52" i="6"/>
  <c r="F50" i="6"/>
  <c r="I50" i="6"/>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6"/>
  <c r="C112" i="6"/>
  <c r="D112" i="6"/>
  <c r="K112" i="6"/>
  <c r="S112" i="12" s="1"/>
  <c r="D85" i="6"/>
  <c r="I85" i="6"/>
  <c r="N85" i="6"/>
  <c r="I63" i="6"/>
  <c r="Q63" i="12" s="1"/>
  <c r="M63" i="6"/>
  <c r="H60" i="6"/>
  <c r="L60" i="6"/>
  <c r="O60" i="12" s="1"/>
  <c r="E36" i="6"/>
  <c r="C36" i="6"/>
  <c r="I36" i="6"/>
  <c r="D36" i="6"/>
  <c r="L36" i="6"/>
  <c r="E30" i="6"/>
  <c r="I30" i="6"/>
  <c r="C29" i="6"/>
  <c r="B29" i="6"/>
  <c r="J29" i="6"/>
  <c r="E29" i="6"/>
  <c r="L29" i="6"/>
  <c r="I20" i="6"/>
  <c r="Q20" i="12" s="1"/>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O27" i="6"/>
  <c r="C27" i="6"/>
  <c r="H25" i="6"/>
  <c r="P25" i="12" s="1"/>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I33" i="5"/>
  <c r="I32" i="5"/>
  <c r="C30" i="5"/>
  <c r="O22" i="5"/>
  <c r="N20" i="5"/>
  <c r="N19" i="5"/>
  <c r="N18" i="5"/>
  <c r="I17" i="5"/>
  <c r="I16" i="5"/>
  <c r="C14" i="5"/>
  <c r="I56" i="8"/>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54" i="8"/>
  <c r="E54" i="8"/>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C150" i="13"/>
  <c r="G150" i="13"/>
  <c r="C54" i="11"/>
  <c r="B54" i="11"/>
  <c r="H54" i="11"/>
  <c r="M54" i="11"/>
  <c r="D54" i="11"/>
  <c r="I54" i="11"/>
  <c r="N54" i="11"/>
  <c r="C52" i="11"/>
  <c r="D52" i="11"/>
  <c r="N52" i="11"/>
  <c r="F52" i="11"/>
  <c r="C50" i="11"/>
  <c r="L50" i="11"/>
  <c r="C47" i="11"/>
  <c r="K47" i="11"/>
  <c r="E35" i="11"/>
  <c r="H35" i="11"/>
  <c r="K35" i="11"/>
  <c r="C181" i="12"/>
  <c r="F181" i="12"/>
  <c r="C122" i="12"/>
  <c r="F122" i="12"/>
  <c r="G122" i="12"/>
  <c r="B86" i="12"/>
  <c r="G86" i="12"/>
  <c r="C73" i="12"/>
  <c r="B73" i="12"/>
  <c r="E73" i="12"/>
  <c r="C70" i="12"/>
  <c r="F70" i="12"/>
  <c r="F60" i="12"/>
  <c r="C60" i="12"/>
  <c r="B41" i="12"/>
  <c r="C41" i="12"/>
  <c r="E41" i="12"/>
  <c r="G41" i="12"/>
  <c r="C37" i="12"/>
  <c r="B37" i="12"/>
  <c r="E37" i="12"/>
  <c r="F37" i="12"/>
  <c r="C14" i="12"/>
  <c r="G14" i="12"/>
  <c r="D149" i="13"/>
  <c r="B149" i="13"/>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C138" i="12"/>
  <c r="E138" i="12"/>
  <c r="F138" i="12"/>
  <c r="C130" i="12"/>
  <c r="B130" i="12"/>
  <c r="F130" i="12"/>
  <c r="F126" i="12"/>
  <c r="E123" i="12"/>
  <c r="D103" i="12"/>
  <c r="F103" i="12"/>
  <c r="F89" i="12"/>
  <c r="D89" i="12"/>
  <c r="E62" i="12"/>
  <c r="G62" i="12"/>
  <c r="B44" i="12"/>
  <c r="C44" i="12"/>
  <c r="F44" i="12"/>
  <c r="D23" i="12"/>
  <c r="B23" i="12"/>
  <c r="F23" i="12"/>
  <c r="C158" i="13"/>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D176" i="13"/>
  <c r="F176" i="13"/>
  <c r="D157" i="13"/>
  <c r="B157" i="13"/>
  <c r="F157" i="13"/>
  <c r="G157" i="13"/>
  <c r="C49" i="12"/>
  <c r="F43" i="12"/>
  <c r="E122" i="13"/>
  <c r="F108" i="13"/>
  <c r="E104" i="13"/>
  <c r="E90" i="13"/>
  <c r="F86" i="13"/>
  <c r="F83" i="13"/>
  <c r="I60" i="11"/>
  <c r="I53" i="11"/>
  <c r="E151" i="12"/>
  <c r="F109" i="12"/>
  <c r="E99" i="12"/>
  <c r="E87" i="12"/>
  <c r="F63" i="12"/>
  <c r="G49" i="12"/>
  <c r="E40" i="12"/>
  <c r="C126" i="13"/>
  <c r="B122" i="13"/>
  <c r="G183" i="14"/>
  <c r="Q189" i="2"/>
  <c r="I189" i="2"/>
  <c r="C189" i="2"/>
  <c r="F189" i="2" s="1"/>
  <c r="Q163" i="2"/>
  <c r="I152" i="2"/>
  <c r="S150" i="2"/>
  <c r="S139" i="2"/>
  <c r="S136" i="2"/>
  <c r="E136" i="2"/>
  <c r="G136" i="2" s="1"/>
  <c r="Q124" i="2"/>
  <c r="P189" i="2"/>
  <c r="H189" i="2"/>
  <c r="B189" i="2"/>
  <c r="I187" i="2"/>
  <c r="I186" i="2"/>
  <c r="S184" i="2"/>
  <c r="S182" i="2"/>
  <c r="M181" i="2"/>
  <c r="H177" i="2"/>
  <c r="Q176" i="2"/>
  <c r="P175" i="2"/>
  <c r="H175" i="2"/>
  <c r="Q174" i="2"/>
  <c r="R171" i="2"/>
  <c r="I169" i="2"/>
  <c r="S166" i="2"/>
  <c r="L163" i="2"/>
  <c r="D160" i="2"/>
  <c r="E159" i="2"/>
  <c r="R155" i="2"/>
  <c r="D152" i="2"/>
  <c r="C150" i="2"/>
  <c r="H3" i="21" s="1"/>
  <c r="L148" i="2"/>
  <c r="Q147" i="2"/>
  <c r="E147" i="2"/>
  <c r="G147" i="2" s="1"/>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D88" i="2"/>
  <c r="F88" i="2" s="1"/>
  <c r="Q87" i="2"/>
  <c r="L85" i="2"/>
  <c r="R84" i="2"/>
  <c r="L84" i="2"/>
  <c r="D78" i="2"/>
  <c r="L78" i="2"/>
  <c r="B76" i="2"/>
  <c r="H76" i="2"/>
  <c r="M76" i="2"/>
  <c r="R76" i="2"/>
  <c r="I74" i="2"/>
  <c r="R72" i="2"/>
  <c r="H72" i="2"/>
  <c r="S68" i="2"/>
  <c r="L68" i="2"/>
  <c r="Q64" i="2"/>
  <c r="S59" i="2"/>
  <c r="E56" i="2"/>
  <c r="H56" i="2"/>
  <c r="S56" i="2"/>
  <c r="D48" i="2"/>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K160" i="3" s="1"/>
  <c r="Q160" i="3"/>
  <c r="F160" i="3"/>
  <c r="D158" i="3"/>
  <c r="M158" i="3"/>
  <c r="D153" i="3"/>
  <c r="I153" i="3"/>
  <c r="Q153" i="3"/>
  <c r="F147" i="3"/>
  <c r="B147" i="3"/>
  <c r="L147" i="3"/>
  <c r="G147" i="3"/>
  <c r="P147" i="3"/>
  <c r="D84" i="2"/>
  <c r="E84" i="2"/>
  <c r="L82" i="2"/>
  <c r="D82" i="2"/>
  <c r="I71" i="2"/>
  <c r="Q71" i="2"/>
  <c r="C68" i="2"/>
  <c r="I68" i="2"/>
  <c r="Q68" i="2"/>
  <c r="D45" i="2"/>
  <c r="L45" i="2"/>
  <c r="Q25" i="2"/>
  <c r="L25" i="2"/>
  <c r="B180" i="3"/>
  <c r="I180" i="3"/>
  <c r="I175" i="3"/>
  <c r="L174" i="3"/>
  <c r="M165" i="3"/>
  <c r="C163" i="3"/>
  <c r="E163" i="3" s="1"/>
  <c r="J163" i="3"/>
  <c r="P163" i="3"/>
  <c r="F163" i="3"/>
  <c r="N163" i="3"/>
  <c r="C162" i="3"/>
  <c r="E162" i="3" s="1"/>
  <c r="M162" i="3"/>
  <c r="I162" i="3"/>
  <c r="Q162" i="3"/>
  <c r="N159" i="3"/>
  <c r="F155" i="3"/>
  <c r="G155" i="3"/>
  <c r="P155" i="3"/>
  <c r="B155" i="3"/>
  <c r="L155" i="3"/>
  <c r="C192" i="2"/>
  <c r="R189" i="2"/>
  <c r="L189" i="2"/>
  <c r="P187" i="2"/>
  <c r="B187" i="2"/>
  <c r="L185" i="2"/>
  <c r="R177" i="2"/>
  <c r="L177" i="2"/>
  <c r="B177" i="2"/>
  <c r="L175" i="2"/>
  <c r="B175" i="2"/>
  <c r="C174" i="2"/>
  <c r="I172" i="2"/>
  <c r="M167" i="2"/>
  <c r="R163" i="2"/>
  <c r="B163" i="2"/>
  <c r="R159" i="2"/>
  <c r="B155" i="2"/>
  <c r="D149" i="2"/>
  <c r="S147" i="2"/>
  <c r="L147" i="2"/>
  <c r="B147" i="2"/>
  <c r="I145" i="2"/>
  <c r="L136" i="2"/>
  <c r="R124" i="2"/>
  <c r="H124" i="2"/>
  <c r="D121" i="2"/>
  <c r="C119" i="2"/>
  <c r="I117" i="2"/>
  <c r="Q116" i="2"/>
  <c r="I116" i="2"/>
  <c r="B116" i="2"/>
  <c r="Q114" i="2"/>
  <c r="C111" i="2"/>
  <c r="P108" i="2"/>
  <c r="D108" i="2"/>
  <c r="G108" i="2" s="1"/>
  <c r="L106" i="2"/>
  <c r="Q105" i="2"/>
  <c r="L102" i="2"/>
  <c r="Q100" i="2"/>
  <c r="P96" i="2"/>
  <c r="E96" i="2"/>
  <c r="G96" i="2" s="1"/>
  <c r="C95" i="2"/>
  <c r="P88" i="2"/>
  <c r="H88" i="2"/>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O154" i="3"/>
  <c r="C151" i="3"/>
  <c r="I151" i="3"/>
  <c r="G146" i="3"/>
  <c r="D146" i="3"/>
  <c r="O146" i="3"/>
  <c r="B142" i="3"/>
  <c r="C142" i="3"/>
  <c r="L142" i="3"/>
  <c r="Q142" i="3"/>
  <c r="D142" i="3"/>
  <c r="M142" i="3"/>
  <c r="G142" i="3"/>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E130" i="3" s="1"/>
  <c r="B129" i="3"/>
  <c r="G126" i="3"/>
  <c r="L123" i="3"/>
  <c r="L121" i="3"/>
  <c r="B121" i="3"/>
  <c r="Q119" i="3"/>
  <c r="M119" i="3"/>
  <c r="G119" i="3"/>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J98" i="3"/>
  <c r="Q98" i="3"/>
  <c r="N96" i="3"/>
  <c r="C96" i="3"/>
  <c r="N89" i="3"/>
  <c r="G87" i="3"/>
  <c r="I83" i="3"/>
  <c r="F82" i="3"/>
  <c r="P82" i="3"/>
  <c r="D79" i="3"/>
  <c r="E79" i="3" s="1"/>
  <c r="J74" i="3"/>
  <c r="L62" i="3"/>
  <c r="J61" i="3"/>
  <c r="L60" i="3"/>
  <c r="S36" i="2"/>
  <c r="I36" i="2"/>
  <c r="L33" i="2"/>
  <c r="R32" i="2"/>
  <c r="D32" i="2"/>
  <c r="G32" i="2" s="1"/>
  <c r="S27" i="2"/>
  <c r="M20" i="2"/>
  <c r="I12" i="2"/>
  <c r="N187" i="3"/>
  <c r="I187" i="3"/>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K112" i="3" s="1"/>
  <c r="P111" i="3"/>
  <c r="M108" i="3"/>
  <c r="F108" i="3"/>
  <c r="H108" i="3" s="1"/>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L52" i="3"/>
  <c r="D96" i="3"/>
  <c r="F96" i="3"/>
  <c r="M96" i="3"/>
  <c r="I89" i="3"/>
  <c r="F89" i="3"/>
  <c r="G83" i="3"/>
  <c r="Q83" i="3"/>
  <c r="B81" i="3"/>
  <c r="F81" i="3"/>
  <c r="G79" i="3"/>
  <c r="I79" i="3"/>
  <c r="Q79" i="3"/>
  <c r="F74" i="3"/>
  <c r="D74" i="3"/>
  <c r="N74" i="3"/>
  <c r="I74" i="3"/>
  <c r="P74" i="3"/>
  <c r="D62" i="3"/>
  <c r="N62" i="3"/>
  <c r="F62" i="3"/>
  <c r="Q62" i="3"/>
  <c r="B61" i="3"/>
  <c r="M61" i="3"/>
  <c r="F61" i="3"/>
  <c r="H61" i="3" s="1"/>
  <c r="O61" i="3"/>
  <c r="C60" i="3"/>
  <c r="B60" i="3"/>
  <c r="M60" i="3"/>
  <c r="F60" i="3"/>
  <c r="H60" i="3" s="1"/>
  <c r="P60" i="3"/>
  <c r="F58" i="3"/>
  <c r="N58" i="3"/>
  <c r="J50" i="3"/>
  <c r="L50" i="3"/>
  <c r="B38" i="3"/>
  <c r="F38" i="3"/>
  <c r="J37" i="3"/>
  <c r="C27" i="3"/>
  <c r="L27" i="3"/>
  <c r="J26" i="3"/>
  <c r="P23" i="3"/>
  <c r="M21" i="3"/>
  <c r="G13" i="3"/>
  <c r="Q13" i="3"/>
  <c r="J189" i="7"/>
  <c r="I162" i="7"/>
  <c r="M162" i="7"/>
  <c r="N148" i="7"/>
  <c r="F148" i="7"/>
  <c r="O47" i="3"/>
  <c r="G47" i="3"/>
  <c r="J45" i="3"/>
  <c r="P44" i="3"/>
  <c r="M42" i="3"/>
  <c r="F42" i="3"/>
  <c r="Q37" i="3"/>
  <c r="G37" i="3"/>
  <c r="F34" i="3"/>
  <c r="M34" i="3"/>
  <c r="G31" i="3"/>
  <c r="E31" i="5" s="1"/>
  <c r="F31" i="5" s="1"/>
  <c r="G31" i="5" s="1"/>
  <c r="L31" i="3"/>
  <c r="C28" i="3"/>
  <c r="I28" i="3"/>
  <c r="N28" i="3"/>
  <c r="Q26" i="3"/>
  <c r="D26" i="3"/>
  <c r="M23" i="3"/>
  <c r="J21" i="3"/>
  <c r="J13" i="3"/>
  <c r="I9" i="3"/>
  <c r="F9" i="3"/>
  <c r="C189" i="7"/>
  <c r="D189" i="7"/>
  <c r="I189" i="7"/>
  <c r="I189" i="12" s="1"/>
  <c r="N189" i="7"/>
  <c r="M148" i="7"/>
  <c r="M77" i="3"/>
  <c r="M72" i="3"/>
  <c r="F72" i="3"/>
  <c r="P71" i="3"/>
  <c r="M68" i="3"/>
  <c r="F68" i="3"/>
  <c r="O67" i="3"/>
  <c r="M66" i="3"/>
  <c r="M64" i="3"/>
  <c r="F64" i="3"/>
  <c r="N57" i="3"/>
  <c r="P56" i="3"/>
  <c r="G56" i="3"/>
  <c r="E56" i="5" s="1"/>
  <c r="M47" i="3"/>
  <c r="F45" i="3"/>
  <c r="H45" i="3" s="1"/>
  <c r="L44" i="3"/>
  <c r="Q42" i="3"/>
  <c r="L42" i="3"/>
  <c r="L39" i="3"/>
  <c r="G39" i="3"/>
  <c r="E39" i="5" s="1"/>
  <c r="F39" i="5" s="1"/>
  <c r="G39" i="5" s="1"/>
  <c r="O37" i="3"/>
  <c r="I35" i="3"/>
  <c r="G35" i="3"/>
  <c r="C32" i="3"/>
  <c r="I32" i="3"/>
  <c r="N32" i="3"/>
  <c r="Q30" i="3"/>
  <c r="M28" i="3"/>
  <c r="F28" i="3"/>
  <c r="Q27" i="3"/>
  <c r="N26" i="3"/>
  <c r="L23" i="3"/>
  <c r="C21" i="3"/>
  <c r="M18" i="3"/>
  <c r="C16" i="3"/>
  <c r="G16" i="3"/>
  <c r="F13" i="3"/>
  <c r="G11" i="3"/>
  <c r="F10" i="3"/>
  <c r="L10" i="3"/>
  <c r="D167" i="7"/>
  <c r="F37" i="3"/>
  <c r="N37" i="3"/>
  <c r="I26" i="3"/>
  <c r="P26" i="3"/>
  <c r="C8" i="3"/>
  <c r="I8" i="3"/>
  <c r="C148" i="7"/>
  <c r="G148" i="7"/>
  <c r="K148" i="7"/>
  <c r="O148" i="7"/>
  <c r="D148" i="7"/>
  <c r="H148" i="7"/>
  <c r="L148" i="7"/>
  <c r="H144" i="7"/>
  <c r="N132" i="7"/>
  <c r="I132" i="7"/>
  <c r="C132" i="7"/>
  <c r="N114" i="7"/>
  <c r="I107" i="7"/>
  <c r="G67" i="7"/>
  <c r="E67" i="7"/>
  <c r="L45" i="7"/>
  <c r="E30" i="7"/>
  <c r="F30" i="7"/>
  <c r="H30" i="7"/>
  <c r="E25" i="7"/>
  <c r="H22" i="7"/>
  <c r="C14" i="7"/>
  <c r="E14" i="7"/>
  <c r="L14" i="7"/>
  <c r="F14" i="7"/>
  <c r="M14" i="7"/>
  <c r="B7" i="7"/>
  <c r="G7" i="7"/>
  <c r="I7" i="7"/>
  <c r="C179" i="6"/>
  <c r="F179" i="6"/>
  <c r="I179" i="6"/>
  <c r="M179" i="12" s="1"/>
  <c r="I173" i="6"/>
  <c r="B172" i="6"/>
  <c r="E172" i="6"/>
  <c r="I172" i="6"/>
  <c r="Q172" i="12" s="1"/>
  <c r="D171" i="6"/>
  <c r="B171" i="6"/>
  <c r="J171" i="6"/>
  <c r="E171" i="6"/>
  <c r="L171" i="6"/>
  <c r="O171" i="12" s="1"/>
  <c r="I149" i="6"/>
  <c r="B148" i="6"/>
  <c r="C148" i="6"/>
  <c r="K148" i="6"/>
  <c r="E148" i="6"/>
  <c r="M148" i="6"/>
  <c r="G148" i="6"/>
  <c r="O148" i="6"/>
  <c r="D144" i="6"/>
  <c r="C144" i="6"/>
  <c r="K144" i="6"/>
  <c r="E144" i="6"/>
  <c r="L144" i="6"/>
  <c r="G144" i="6"/>
  <c r="M144" i="6"/>
  <c r="I180" i="7"/>
  <c r="M144" i="7"/>
  <c r="E144" i="7"/>
  <c r="L136" i="7"/>
  <c r="H136" i="7"/>
  <c r="M132" i="7"/>
  <c r="G132" i="7"/>
  <c r="B132" i="7"/>
  <c r="L114" i="7"/>
  <c r="K112" i="7"/>
  <c r="K111" i="7"/>
  <c r="G107" i="7"/>
  <c r="M105" i="7"/>
  <c r="M94" i="7"/>
  <c r="L92" i="7"/>
  <c r="M72" i="7"/>
  <c r="K41" i="7"/>
  <c r="M30" i="7"/>
  <c r="C18" i="7"/>
  <c r="D18" i="7"/>
  <c r="I18" i="7"/>
  <c r="N18" i="7"/>
  <c r="E18" i="7"/>
  <c r="J18" i="7"/>
  <c r="J14" i="7"/>
  <c r="O7" i="7"/>
  <c r="C187" i="6"/>
  <c r="D187" i="6"/>
  <c r="I187" i="6"/>
  <c r="M187" i="12" s="1"/>
  <c r="N187" i="6"/>
  <c r="E187" i="6"/>
  <c r="J187" i="6"/>
  <c r="N179" i="6"/>
  <c r="C177" i="6"/>
  <c r="G177" i="6"/>
  <c r="K177" i="6"/>
  <c r="O177" i="6"/>
  <c r="D177" i="6"/>
  <c r="H177" i="6"/>
  <c r="L177" i="6"/>
  <c r="D176" i="6"/>
  <c r="E176" i="6"/>
  <c r="M176" i="6"/>
  <c r="G176" i="6"/>
  <c r="O176" i="6"/>
  <c r="M171" i="6"/>
  <c r="B164" i="6"/>
  <c r="C164" i="6"/>
  <c r="O164" i="6"/>
  <c r="G164" i="6"/>
  <c r="C157" i="6"/>
  <c r="E157" i="6"/>
  <c r="I157" i="6"/>
  <c r="M157" i="6"/>
  <c r="B151" i="6"/>
  <c r="H151" i="6"/>
  <c r="M151" i="6"/>
  <c r="D151" i="6"/>
  <c r="I151" i="6"/>
  <c r="M151" i="12" s="1"/>
  <c r="N151" i="6"/>
  <c r="E151" i="6"/>
  <c r="J151" i="6"/>
  <c r="C143" i="6"/>
  <c r="E143" i="6"/>
  <c r="I143" i="6"/>
  <c r="M143" i="6"/>
  <c r="C45" i="7"/>
  <c r="D45" i="7"/>
  <c r="O45" i="7"/>
  <c r="G45" i="7"/>
  <c r="C22" i="7"/>
  <c r="B22" i="7"/>
  <c r="J22" i="7"/>
  <c r="E22" i="7"/>
  <c r="L22" i="7"/>
  <c r="E20" i="7"/>
  <c r="M20" i="7"/>
  <c r="B173" i="6"/>
  <c r="C173" i="6"/>
  <c r="K173" i="6"/>
  <c r="E173" i="6"/>
  <c r="M173" i="6"/>
  <c r="B160" i="6"/>
  <c r="C160" i="6"/>
  <c r="O160" i="6"/>
  <c r="G160" i="6"/>
  <c r="I160" i="6"/>
  <c r="B149" i="6"/>
  <c r="F149" i="6"/>
  <c r="J149" i="6"/>
  <c r="N149" i="6"/>
  <c r="C149" i="6"/>
  <c r="G149" i="6"/>
  <c r="K149" i="6"/>
  <c r="O149" i="6"/>
  <c r="D149" i="6"/>
  <c r="H149" i="6"/>
  <c r="P149" i="12" s="1"/>
  <c r="L149" i="6"/>
  <c r="B58" i="7"/>
  <c r="F58" i="7"/>
  <c r="L58" i="7"/>
  <c r="E41" i="7"/>
  <c r="C41" i="7"/>
  <c r="M41" i="7"/>
  <c r="G41" i="7"/>
  <c r="M22" i="7"/>
  <c r="C31" i="7"/>
  <c r="C13" i="7"/>
  <c r="I186" i="6"/>
  <c r="M186" i="12" s="1"/>
  <c r="M183" i="6"/>
  <c r="H183" i="6"/>
  <c r="B183" i="6"/>
  <c r="N181" i="6"/>
  <c r="J181" i="6"/>
  <c r="F181" i="6"/>
  <c r="K180" i="6"/>
  <c r="C180" i="6"/>
  <c r="N175" i="6"/>
  <c r="D175" i="6"/>
  <c r="F163" i="6"/>
  <c r="M161" i="6"/>
  <c r="H161" i="6"/>
  <c r="B161" i="6"/>
  <c r="L159" i="6"/>
  <c r="I156" i="6"/>
  <c r="Q156" i="12" s="1"/>
  <c r="I153" i="6"/>
  <c r="Q153" i="12" s="1"/>
  <c r="N147" i="6"/>
  <c r="D147" i="6"/>
  <c r="K142" i="6"/>
  <c r="R142" i="12" s="1"/>
  <c r="H141" i="6"/>
  <c r="O139" i="6"/>
  <c r="G139" i="6"/>
  <c r="N138" i="6"/>
  <c r="C138" i="6"/>
  <c r="H136" i="6"/>
  <c r="F133" i="6"/>
  <c r="J131" i="6"/>
  <c r="E131" i="6"/>
  <c r="N126" i="6"/>
  <c r="L125" i="6"/>
  <c r="F123" i="6"/>
  <c r="M120" i="6"/>
  <c r="O116" i="6"/>
  <c r="L115" i="6"/>
  <c r="K114" i="6"/>
  <c r="M112" i="6"/>
  <c r="H112" i="6"/>
  <c r="M111" i="6"/>
  <c r="G111" i="6"/>
  <c r="C108" i="6"/>
  <c r="I107" i="6"/>
  <c r="M107" i="12" s="1"/>
  <c r="G104" i="6"/>
  <c r="K103" i="6"/>
  <c r="C103" i="6"/>
  <c r="M101" i="6"/>
  <c r="H101" i="6"/>
  <c r="P101" i="12" s="1"/>
  <c r="O99" i="6"/>
  <c r="I99" i="6"/>
  <c r="D99" i="6"/>
  <c r="F97" i="6"/>
  <c r="G95" i="6"/>
  <c r="J93" i="6"/>
  <c r="E93" i="6"/>
  <c r="O92" i="6"/>
  <c r="L91" i="6"/>
  <c r="L89" i="6"/>
  <c r="K88" i="6"/>
  <c r="S88" i="12" s="1"/>
  <c r="L85" i="6"/>
  <c r="E85" i="6"/>
  <c r="K84" i="6"/>
  <c r="R84" i="12" s="1"/>
  <c r="H81" i="6"/>
  <c r="E80" i="6"/>
  <c r="I80" i="6"/>
  <c r="M80" i="12" s="1"/>
  <c r="L77" i="6"/>
  <c r="O77" i="12" s="1"/>
  <c r="E77" i="6"/>
  <c r="K76" i="6"/>
  <c r="D73" i="6"/>
  <c r="F73" i="6"/>
  <c r="M73" i="6"/>
  <c r="E72" i="6"/>
  <c r="C72" i="6"/>
  <c r="L72" i="5" s="1"/>
  <c r="O72" i="6"/>
  <c r="I67" i="6"/>
  <c r="F61" i="6"/>
  <c r="I55" i="6"/>
  <c r="M55" i="12" s="1"/>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S126" i="12" s="1"/>
  <c r="L121" i="6"/>
  <c r="L116" i="6"/>
  <c r="F115" i="6"/>
  <c r="G107" i="6"/>
  <c r="H105" i="6"/>
  <c r="M99" i="6"/>
  <c r="H99" i="6"/>
  <c r="M97" i="6"/>
  <c r="B97" i="6"/>
  <c r="O95" i="6"/>
  <c r="D95" i="6"/>
  <c r="N93" i="6"/>
  <c r="I93" i="6"/>
  <c r="D93" i="6"/>
  <c r="K92" i="6"/>
  <c r="S92" i="12" s="1"/>
  <c r="G91" i="6"/>
  <c r="H89" i="6"/>
  <c r="J85" i="6"/>
  <c r="F81" i="6"/>
  <c r="C79" i="6"/>
  <c r="I79" i="6"/>
  <c r="J77" i="6"/>
  <c r="C75" i="6"/>
  <c r="L75" i="5" s="1"/>
  <c r="I75" i="6"/>
  <c r="Q75" i="12" s="1"/>
  <c r="E71" i="6"/>
  <c r="I71" i="6"/>
  <c r="G68" i="6"/>
  <c r="C68" i="6"/>
  <c r="L68" i="5" s="1"/>
  <c r="G67" i="6"/>
  <c r="C63" i="6"/>
  <c r="E63" i="6"/>
  <c r="C59" i="6"/>
  <c r="B59" i="6"/>
  <c r="H59" i="6"/>
  <c r="M59" i="6"/>
  <c r="D59" i="6"/>
  <c r="I59" i="6"/>
  <c r="Q59" i="12" s="1"/>
  <c r="N59" i="6"/>
  <c r="D57" i="6"/>
  <c r="L57" i="6"/>
  <c r="O57" i="12" s="1"/>
  <c r="G55" i="6"/>
  <c r="L47" i="6"/>
  <c r="B43" i="6"/>
  <c r="F43" i="6"/>
  <c r="I43" i="6"/>
  <c r="E35" i="6"/>
  <c r="G35" i="6"/>
  <c r="O35" i="6"/>
  <c r="I35" i="6"/>
  <c r="J33" i="6"/>
  <c r="L25" i="6"/>
  <c r="L21" i="6"/>
  <c r="E19" i="6"/>
  <c r="H19" i="6"/>
  <c r="P19" i="12" s="1"/>
  <c r="H14" i="6"/>
  <c r="L14" i="12" s="1"/>
  <c r="E14" i="6"/>
  <c r="L14" i="6"/>
  <c r="D11" i="6"/>
  <c r="I11" i="6"/>
  <c r="N11" i="6"/>
  <c r="E11" i="6"/>
  <c r="J11" i="6"/>
  <c r="B181" i="10"/>
  <c r="C181" i="10"/>
  <c r="K181" i="10"/>
  <c r="E181" i="10"/>
  <c r="M181" i="10"/>
  <c r="G181" i="10"/>
  <c r="O181" i="10"/>
  <c r="K139" i="6"/>
  <c r="C139" i="6"/>
  <c r="L137" i="6"/>
  <c r="M131" i="6"/>
  <c r="H131" i="6"/>
  <c r="B131" i="6"/>
  <c r="G127" i="6"/>
  <c r="C126" i="6"/>
  <c r="F121" i="6"/>
  <c r="I117" i="6"/>
  <c r="D116" i="6"/>
  <c r="O107" i="6"/>
  <c r="D107" i="6"/>
  <c r="O100" i="6"/>
  <c r="M93" i="6"/>
  <c r="H93" i="6"/>
  <c r="P93" i="12" s="1"/>
  <c r="C92" i="6"/>
  <c r="L92" i="5" s="1"/>
  <c r="E89" i="6"/>
  <c r="B85" i="6"/>
  <c r="H85" i="6"/>
  <c r="P85" i="12" s="1"/>
  <c r="M85" i="6"/>
  <c r="G84" i="6"/>
  <c r="I84" i="6"/>
  <c r="Q84" i="12" s="1"/>
  <c r="M81" i="6"/>
  <c r="B77" i="6"/>
  <c r="H77" i="6"/>
  <c r="L77" i="12" s="1"/>
  <c r="M77" i="6"/>
  <c r="G76" i="6"/>
  <c r="I76" i="6"/>
  <c r="O67" i="6"/>
  <c r="D64" i="6"/>
  <c r="G64" i="6"/>
  <c r="K62" i="6"/>
  <c r="S62" i="12" s="1"/>
  <c r="N55" i="6"/>
  <c r="E46" i="6"/>
  <c r="C46" i="6"/>
  <c r="N46" i="6"/>
  <c r="F46" i="6"/>
  <c r="O46" i="6"/>
  <c r="F38" i="6"/>
  <c r="O38" i="6"/>
  <c r="G38" i="6"/>
  <c r="I28" i="6"/>
  <c r="L26" i="6"/>
  <c r="B25" i="6"/>
  <c r="F25" i="6"/>
  <c r="J25" i="6"/>
  <c r="N25" i="6"/>
  <c r="C25" i="6"/>
  <c r="G25" i="6"/>
  <c r="K25" i="6"/>
  <c r="S25" i="12" s="1"/>
  <c r="O25" i="6"/>
  <c r="L22" i="6"/>
  <c r="B21" i="6"/>
  <c r="F21" i="6"/>
  <c r="J21" i="6"/>
  <c r="N21" i="6"/>
  <c r="C21" i="6"/>
  <c r="G21" i="6"/>
  <c r="K21" i="6"/>
  <c r="S21" i="12" s="1"/>
  <c r="O21" i="6"/>
  <c r="C189" i="10"/>
  <c r="K189" i="10"/>
  <c r="E189" i="10"/>
  <c r="M189" i="10"/>
  <c r="G189" i="10"/>
  <c r="O189" i="10"/>
  <c r="D81" i="6"/>
  <c r="B81" i="6"/>
  <c r="J81" i="6"/>
  <c r="C67" i="6"/>
  <c r="L67" i="5" s="1"/>
  <c r="K67" i="6"/>
  <c r="N67" i="12" s="1"/>
  <c r="C55" i="6"/>
  <c r="E55" i="6"/>
  <c r="J55" i="6"/>
  <c r="O55" i="6"/>
  <c r="F55" i="6"/>
  <c r="K55" i="6"/>
  <c r="R55" i="12" s="1"/>
  <c r="C47" i="6"/>
  <c r="G47" i="6"/>
  <c r="I47" i="6"/>
  <c r="Q47" i="12" s="1"/>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6" i="2"/>
  <c r="F248" i="2"/>
  <c r="F54" i="8"/>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C48" i="5"/>
  <c r="K46" i="5"/>
  <c r="N45" i="5"/>
  <c r="O44" i="5"/>
  <c r="C44" i="5"/>
  <c r="K42" i="5"/>
  <c r="N41" i="5"/>
  <c r="O40" i="5"/>
  <c r="C40" i="5"/>
  <c r="K38" i="5"/>
  <c r="N37" i="5"/>
  <c r="O36" i="5"/>
  <c r="C36" i="5"/>
  <c r="K34" i="5"/>
  <c r="N33" i="5"/>
  <c r="O32" i="5"/>
  <c r="P32" i="5" s="1"/>
  <c r="C32" i="5"/>
  <c r="K30" i="5"/>
  <c r="N29" i="5"/>
  <c r="O28" i="5"/>
  <c r="C28" i="5"/>
  <c r="K26" i="5"/>
  <c r="N25" i="5"/>
  <c r="O24" i="5"/>
  <c r="C24" i="5"/>
  <c r="K22" i="5"/>
  <c r="N21" i="5"/>
  <c r="O20" i="5"/>
  <c r="P20" i="5" s="1"/>
  <c r="C20" i="5"/>
  <c r="K18" i="5"/>
  <c r="N17" i="5"/>
  <c r="O16" i="5"/>
  <c r="C16" i="5"/>
  <c r="K14" i="5"/>
  <c r="N13" i="5"/>
  <c r="O12" i="5"/>
  <c r="P12" i="5" s="1"/>
  <c r="C12" i="5"/>
  <c r="K10" i="5"/>
  <c r="N9" i="5"/>
  <c r="O8" i="5"/>
  <c r="P8" i="5" s="1"/>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N155" i="5"/>
  <c r="I150" i="5"/>
  <c r="N143" i="5"/>
  <c r="O137" i="5"/>
  <c r="P137" i="5" s="1"/>
  <c r="C135" i="5"/>
  <c r="I134" i="5"/>
  <c r="N127" i="5"/>
  <c r="O121" i="5"/>
  <c r="C119" i="5"/>
  <c r="I118" i="5"/>
  <c r="N111" i="5"/>
  <c r="N108" i="5"/>
  <c r="N107" i="5"/>
  <c r="P107" i="5" s="1"/>
  <c r="N104" i="5"/>
  <c r="N103" i="5"/>
  <c r="N100" i="5"/>
  <c r="N99" i="5"/>
  <c r="N96" i="5"/>
  <c r="N95" i="5"/>
  <c r="N92" i="5"/>
  <c r="N91" i="5"/>
  <c r="N88" i="5"/>
  <c r="N87" i="5"/>
  <c r="N84" i="5"/>
  <c r="N83" i="5"/>
  <c r="P83" i="5" s="1"/>
  <c r="N80" i="5"/>
  <c r="N79" i="5"/>
  <c r="N76" i="5"/>
  <c r="N75" i="5"/>
  <c r="N72" i="5"/>
  <c r="N71" i="5"/>
  <c r="N68" i="5"/>
  <c r="N67" i="5"/>
  <c r="P67" i="5" s="1"/>
  <c r="N64" i="5"/>
  <c r="N63" i="5"/>
  <c r="K48" i="5"/>
  <c r="K44" i="5"/>
  <c r="K40" i="5"/>
  <c r="K36" i="5"/>
  <c r="K32" i="5"/>
  <c r="K28" i="5"/>
  <c r="K24" i="5"/>
  <c r="K20" i="5"/>
  <c r="K16" i="5"/>
  <c r="K12" i="5"/>
  <c r="K8" i="5"/>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C179" i="13"/>
  <c r="E179" i="13"/>
  <c r="B168" i="13"/>
  <c r="E168" i="13"/>
  <c r="G154" i="13"/>
  <c r="B25" i="12"/>
  <c r="C25" i="12"/>
  <c r="G18" i="12"/>
  <c r="C18" i="12"/>
  <c r="D184" i="13"/>
  <c r="C184" i="13"/>
  <c r="E181" i="13"/>
  <c r="G181" i="13"/>
  <c r="B166" i="13"/>
  <c r="F166" i="13"/>
  <c r="D166" i="13"/>
  <c r="D162" i="13"/>
  <c r="B162" i="13"/>
  <c r="F162" i="13"/>
  <c r="C143" i="13"/>
  <c r="D143" i="13"/>
  <c r="D141" i="13"/>
  <c r="B141" i="13"/>
  <c r="G141" i="13"/>
  <c r="D133" i="13"/>
  <c r="F133" i="13"/>
  <c r="B133" i="13"/>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C174" i="13"/>
  <c r="G174" i="13"/>
  <c r="B170" i="13"/>
  <c r="F170" i="13"/>
  <c r="D170" i="13"/>
  <c r="G166" i="13"/>
  <c r="G162" i="13"/>
  <c r="D161" i="13"/>
  <c r="F161" i="13"/>
  <c r="D150" i="13"/>
  <c r="B150" i="13"/>
  <c r="F150" i="13"/>
  <c r="D146" i="13"/>
  <c r="B146" i="13"/>
  <c r="F146" i="13"/>
  <c r="B140" i="13"/>
  <c r="F140" i="13"/>
  <c r="B132" i="13"/>
  <c r="F132" i="13"/>
  <c r="E123" i="13"/>
  <c r="D123" i="13"/>
  <c r="G65" i="12"/>
  <c r="E54" i="12"/>
  <c r="E53" i="12"/>
  <c r="G46" i="12"/>
  <c r="E45" i="12"/>
  <c r="E31" i="12"/>
  <c r="C28" i="12"/>
  <c r="E28" i="12"/>
  <c r="G25" i="12"/>
  <c r="C21" i="12"/>
  <c r="B21" i="12"/>
  <c r="E13" i="12"/>
  <c r="F11" i="12"/>
  <c r="G180" i="13"/>
  <c r="C180" i="13"/>
  <c r="D169" i="13"/>
  <c r="C169" i="13"/>
  <c r="E166" i="13"/>
  <c r="B165" i="13"/>
  <c r="G165" i="13"/>
  <c r="E162" i="13"/>
  <c r="B154" i="13"/>
  <c r="F154" i="13"/>
  <c r="D154" i="13"/>
  <c r="D145" i="13"/>
  <c r="F145" i="13"/>
  <c r="C142" i="13"/>
  <c r="G142" i="13"/>
  <c r="D139" i="13"/>
  <c r="G139" i="13"/>
  <c r="G133" i="13"/>
  <c r="D131" i="13"/>
  <c r="E131" i="13"/>
  <c r="E149" i="13"/>
  <c r="G138" i="13"/>
  <c r="E126" i="13"/>
  <c r="F125" i="13"/>
  <c r="G122" i="13"/>
  <c r="D116" i="13"/>
  <c r="G114" i="13"/>
  <c r="D108" i="13"/>
  <c r="G106" i="13"/>
  <c r="D100" i="13"/>
  <c r="G98" i="13"/>
  <c r="D92" i="13"/>
  <c r="G90" i="13"/>
  <c r="C78" i="13"/>
  <c r="C76" i="13"/>
  <c r="B73" i="13"/>
  <c r="B72" i="13"/>
  <c r="F67" i="13"/>
  <c r="D65" i="13"/>
  <c r="B56" i="13"/>
  <c r="E51" i="13"/>
  <c r="F48" i="13"/>
  <c r="F47" i="13"/>
  <c r="E45" i="13"/>
  <c r="E43" i="13"/>
  <c r="F41" i="13"/>
  <c r="F27" i="13"/>
  <c r="B25" i="13"/>
  <c r="E25" i="13"/>
  <c r="E8" i="13"/>
  <c r="G8" i="13"/>
  <c r="E184" i="14"/>
  <c r="C183" i="14"/>
  <c r="F183" i="14"/>
  <c r="B176" i="14"/>
  <c r="G176" i="14" s="1"/>
  <c r="C176" i="14"/>
  <c r="B167" i="14"/>
  <c r="F167" i="14"/>
  <c r="C151" i="14"/>
  <c r="E151" i="14"/>
  <c r="B151" i="14"/>
  <c r="D144" i="14"/>
  <c r="C144" i="14"/>
  <c r="C110" i="14"/>
  <c r="E110" i="14"/>
  <c r="F68" i="13"/>
  <c r="E67" i="13"/>
  <c r="G65" i="13"/>
  <c r="C65" i="13"/>
  <c r="F61" i="13"/>
  <c r="F49" i="13"/>
  <c r="E48" i="13"/>
  <c r="E41" i="13"/>
  <c r="D35" i="13"/>
  <c r="E35" i="13"/>
  <c r="E27" i="13"/>
  <c r="C23" i="13"/>
  <c r="E23" i="13"/>
  <c r="C11" i="13"/>
  <c r="B11" i="13"/>
  <c r="F7" i="13"/>
  <c r="C187" i="14"/>
  <c r="E187" i="14"/>
  <c r="G187" i="14" s="1"/>
  <c r="D172" i="14"/>
  <c r="B172" i="14"/>
  <c r="G172" i="14" s="1"/>
  <c r="B169" i="14"/>
  <c r="D169" i="14"/>
  <c r="E154" i="14"/>
  <c r="C154" i="14"/>
  <c r="D146" i="14"/>
  <c r="E146" i="14"/>
  <c r="F3" i="21" s="1"/>
  <c r="C131" i="14"/>
  <c r="B131" i="14"/>
  <c r="E131" i="14"/>
  <c r="C122" i="14"/>
  <c r="E122" i="14"/>
  <c r="E81" i="13"/>
  <c r="E75" i="13"/>
  <c r="B67" i="13"/>
  <c r="F65" i="13"/>
  <c r="B61" i="13"/>
  <c r="F56" i="13"/>
  <c r="B49" i="13"/>
  <c r="C48" i="13"/>
  <c r="F44" i="13"/>
  <c r="G42" i="13"/>
  <c r="D25" i="13"/>
  <c r="E24" i="13"/>
  <c r="G24" i="13"/>
  <c r="F11" i="13"/>
  <c r="B9" i="13"/>
  <c r="E9" i="13"/>
  <c r="C177" i="14"/>
  <c r="D177" i="14"/>
  <c r="F172" i="14"/>
  <c r="D171" i="14"/>
  <c r="F169" i="14"/>
  <c r="C143" i="14"/>
  <c r="B143" i="14"/>
  <c r="G143" i="14" s="1"/>
  <c r="F143" i="14"/>
  <c r="F140" i="14"/>
  <c r="C128" i="14"/>
  <c r="E128" i="14"/>
  <c r="C27" i="13"/>
  <c r="B27" i="13"/>
  <c r="C7" i="13"/>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G97" i="14" s="1"/>
  <c r="B91" i="14"/>
  <c r="C89" i="14"/>
  <c r="E87" i="14"/>
  <c r="G87" i="14" s="1"/>
  <c r="E79" i="14"/>
  <c r="G79" i="14" s="1"/>
  <c r="B77" i="14"/>
  <c r="E75" i="14"/>
  <c r="B73" i="14"/>
  <c r="E71" i="14"/>
  <c r="B69" i="14"/>
  <c r="E67" i="14"/>
  <c r="B65" i="14"/>
  <c r="E63" i="14"/>
  <c r="B61" i="14"/>
  <c r="F57" i="14"/>
  <c r="B57" i="14"/>
  <c r="B49" i="14"/>
  <c r="D41" i="14"/>
  <c r="B35" i="14"/>
  <c r="D31" i="14"/>
  <c r="B27" i="14"/>
  <c r="F25" i="14"/>
  <c r="B25" i="14"/>
  <c r="E23" i="14"/>
  <c r="E21" i="14"/>
  <c r="B19" i="14"/>
  <c r="F17" i="14"/>
  <c r="B17" i="14"/>
  <c r="G17" i="14" s="1"/>
  <c r="E11" i="14"/>
  <c r="E10" i="14"/>
  <c r="D9" i="14"/>
  <c r="E8" i="14"/>
  <c r="G8" i="14" s="1"/>
  <c r="D7" i="14"/>
  <c r="F129" i="14"/>
  <c r="B123" i="14"/>
  <c r="B119" i="14"/>
  <c r="B111" i="14"/>
  <c r="F109" i="14"/>
  <c r="F103" i="14"/>
  <c r="E99" i="14"/>
  <c r="E96" i="14"/>
  <c r="F91" i="14"/>
  <c r="E77" i="14"/>
  <c r="E73" i="14"/>
  <c r="E69" i="14"/>
  <c r="E65" i="14"/>
  <c r="E61" i="14"/>
  <c r="F56" i="14"/>
  <c r="E49" i="14"/>
  <c r="F48" i="14"/>
  <c r="F41" i="14"/>
  <c r="F35" i="14"/>
  <c r="E34" i="14"/>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C185" i="2"/>
  <c r="D185" i="2"/>
  <c r="G185" i="2" s="1"/>
  <c r="P185" i="2"/>
  <c r="B185" i="2"/>
  <c r="H185" i="2"/>
  <c r="M185" i="2"/>
  <c r="R185" i="2"/>
  <c r="I185" i="2"/>
  <c r="S185" i="2"/>
  <c r="D193" i="2"/>
  <c r="P193" i="2"/>
  <c r="B193" i="2"/>
  <c r="H193" i="2"/>
  <c r="M193" i="2"/>
  <c r="R193" i="2"/>
  <c r="C193" i="2"/>
  <c r="I193" i="2"/>
  <c r="S193" i="2"/>
  <c r="R183" i="2"/>
  <c r="C180" i="2"/>
  <c r="Q180" i="2"/>
  <c r="I180" i="2"/>
  <c r="L193" i="2"/>
  <c r="Q185" i="2"/>
  <c r="L183"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P151" i="2"/>
  <c r="C151" i="2"/>
  <c r="Q150" i="2"/>
  <c r="Q149" i="2"/>
  <c r="L141" i="2"/>
  <c r="Q191" i="2"/>
  <c r="E191" i="2"/>
  <c r="S190" i="2"/>
  <c r="E190" i="2"/>
  <c r="R187" i="2"/>
  <c r="M187" i="2"/>
  <c r="E187" i="2"/>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Q127" i="2"/>
  <c r="S124" i="2"/>
  <c r="I124" i="2"/>
  <c r="C124" i="2"/>
  <c r="I123" i="2"/>
  <c r="I122" i="2"/>
  <c r="L121" i="2"/>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E162" i="5" s="1"/>
  <c r="O162" i="3"/>
  <c r="Q159" i="3"/>
  <c r="L159" i="3"/>
  <c r="O158" i="3"/>
  <c r="M155" i="3"/>
  <c r="J152" i="3"/>
  <c r="K152" i="3" s="1"/>
  <c r="P151" i="3"/>
  <c r="J151" i="3"/>
  <c r="M150" i="3"/>
  <c r="B148" i="3"/>
  <c r="I148" i="3"/>
  <c r="M147" i="3"/>
  <c r="P146" i="3"/>
  <c r="C143" i="3"/>
  <c r="I143" i="3"/>
  <c r="N143" i="3"/>
  <c r="P139" i="3"/>
  <c r="J139" i="3"/>
  <c r="M138" i="3"/>
  <c r="D137" i="3"/>
  <c r="Q137" i="3"/>
  <c r="Q134" i="3"/>
  <c r="L131" i="3"/>
  <c r="P130" i="3"/>
  <c r="N129" i="3"/>
  <c r="M127" i="3"/>
  <c r="B126" i="3"/>
  <c r="C126" i="3"/>
  <c r="O126" i="3"/>
  <c r="O123" i="3"/>
  <c r="M116" i="3"/>
  <c r="D115" i="3"/>
  <c r="O115" i="3"/>
  <c r="G115" i="3"/>
  <c r="Q115" i="3"/>
  <c r="B114" i="3"/>
  <c r="M114" i="3"/>
  <c r="F114" i="3"/>
  <c r="P114" i="3"/>
  <c r="Q111" i="3"/>
  <c r="D110" i="3"/>
  <c r="N110" i="3"/>
  <c r="F110" i="3"/>
  <c r="Q110" i="3"/>
  <c r="B109" i="3"/>
  <c r="M109" i="3"/>
  <c r="F109" i="3"/>
  <c r="H109" i="3" s="1"/>
  <c r="O109" i="3"/>
  <c r="G107" i="3"/>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4" i="21" s="1"/>
  <c r="I37" i="2"/>
  <c r="I31" i="2"/>
  <c r="C31" i="2"/>
  <c r="D29" i="2"/>
  <c r="L29" i="2"/>
  <c r="D24" i="2"/>
  <c r="I24" i="2"/>
  <c r="Q24" i="2"/>
  <c r="D185" i="3"/>
  <c r="M185" i="3"/>
  <c r="D181" i="3"/>
  <c r="P181" i="3"/>
  <c r="I173" i="3"/>
  <c r="Q173" i="3"/>
  <c r="D169" i="3"/>
  <c r="M169" i="3"/>
  <c r="D167" i="3"/>
  <c r="J167" i="3"/>
  <c r="O167" i="3"/>
  <c r="B158" i="3"/>
  <c r="C158" i="3"/>
  <c r="L158" i="3"/>
  <c r="Q158" i="3"/>
  <c r="B151" i="3"/>
  <c r="G151" i="3"/>
  <c r="E151" i="5" s="1"/>
  <c r="M151" i="3"/>
  <c r="Q151" i="3"/>
  <c r="B150" i="3"/>
  <c r="G150" i="3"/>
  <c r="O150" i="3"/>
  <c r="B139" i="3"/>
  <c r="G139" i="3"/>
  <c r="M139" i="3"/>
  <c r="Q139" i="3"/>
  <c r="B138" i="3"/>
  <c r="G138" i="3"/>
  <c r="O138" i="3"/>
  <c r="F136" i="3"/>
  <c r="Q136" i="3"/>
  <c r="B123" i="3"/>
  <c r="G123" i="3"/>
  <c r="E123" i="5" s="1"/>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P100" i="2"/>
  <c r="D100" i="2"/>
  <c r="L98" i="2"/>
  <c r="Q97" i="2"/>
  <c r="Q80" i="2"/>
  <c r="I80" i="2"/>
  <c r="D80" i="2"/>
  <c r="I73" i="2"/>
  <c r="Q73" i="2"/>
  <c r="M64" i="2"/>
  <c r="E64" i="2"/>
  <c r="B60" i="2"/>
  <c r="H60" i="2"/>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M170" i="3"/>
  <c r="B168" i="3"/>
  <c r="N168" i="3"/>
  <c r="M167" i="3"/>
  <c r="F167" i="3"/>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E116" i="5" s="1"/>
  <c r="L111" i="3"/>
  <c r="P100" i="3"/>
  <c r="L88" i="3"/>
  <c r="D80" i="3"/>
  <c r="J80" i="3"/>
  <c r="O80" i="3"/>
  <c r="B80" i="3"/>
  <c r="G80" i="3"/>
  <c r="M80" i="3"/>
  <c r="Q80" i="3"/>
  <c r="C80" i="3"/>
  <c r="I80" i="3"/>
  <c r="N80" i="3"/>
  <c r="M171" i="2"/>
  <c r="R151" i="2"/>
  <c r="M151" i="2"/>
  <c r="E151" i="2"/>
  <c r="L181" i="2"/>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P92" i="2"/>
  <c r="S91" i="2"/>
  <c r="Q89" i="2"/>
  <c r="P80" i="2"/>
  <c r="H80" i="2"/>
  <c r="L77" i="2"/>
  <c r="D69" i="2"/>
  <c r="I69" i="2"/>
  <c r="S67" i="2"/>
  <c r="S64" i="2"/>
  <c r="L64" i="2"/>
  <c r="D64" i="2"/>
  <c r="I63" i="2"/>
  <c r="C63" i="2"/>
  <c r="D61" i="2"/>
  <c r="L61" i="2"/>
  <c r="E60" i="2"/>
  <c r="L58" i="2"/>
  <c r="D56" i="2"/>
  <c r="I56" i="2"/>
  <c r="Q56" i="2"/>
  <c r="R52" i="2"/>
  <c r="L52" i="2"/>
  <c r="D52" i="2"/>
  <c r="C51" i="2"/>
  <c r="I51" i="2"/>
  <c r="D44" i="2"/>
  <c r="P44" i="2"/>
  <c r="I42" i="2"/>
  <c r="P40" i="2"/>
  <c r="E40" i="2"/>
  <c r="C32" i="2"/>
  <c r="H32" i="2"/>
  <c r="P32" i="2"/>
  <c r="S24" i="2"/>
  <c r="L24" i="2"/>
  <c r="C24" i="2"/>
  <c r="Q13" i="2"/>
  <c r="S12" i="2"/>
  <c r="L12" i="2"/>
  <c r="E12" i="2"/>
  <c r="G12" i="2" s="1"/>
  <c r="Q186" i="3"/>
  <c r="I186" i="3"/>
  <c r="Q185" i="3"/>
  <c r="J184" i="3"/>
  <c r="K184" i="3" s="1"/>
  <c r="L181" i="3"/>
  <c r="C179" i="3"/>
  <c r="I179" i="3"/>
  <c r="N179" i="3"/>
  <c r="J176" i="3"/>
  <c r="L173" i="3"/>
  <c r="Q170" i="3"/>
  <c r="I170" i="3"/>
  <c r="Q169" i="3"/>
  <c r="J168" i="3"/>
  <c r="K168" i="3" s="1"/>
  <c r="Q167" i="3"/>
  <c r="L167" i="3"/>
  <c r="C167" i="3"/>
  <c r="M160" i="3"/>
  <c r="B160" i="3"/>
  <c r="N160" i="3"/>
  <c r="M159" i="3"/>
  <c r="F159" i="3"/>
  <c r="H159" i="3" s="1"/>
  <c r="P158" i="3"/>
  <c r="G158" i="3"/>
  <c r="C155" i="3"/>
  <c r="I155" i="3"/>
  <c r="K155" i="3" s="1"/>
  <c r="N155" i="3"/>
  <c r="L151" i="3"/>
  <c r="D151" i="3"/>
  <c r="P150" i="3"/>
  <c r="D150" i="3"/>
  <c r="M149" i="3"/>
  <c r="D147" i="3"/>
  <c r="E147" i="3" s="1"/>
  <c r="J147" i="3"/>
  <c r="O147" i="3"/>
  <c r="I146" i="3"/>
  <c r="B140" i="3"/>
  <c r="Q140" i="3"/>
  <c r="L139" i="3"/>
  <c r="D139" i="3"/>
  <c r="E139" i="3" s="1"/>
  <c r="P138" i="3"/>
  <c r="D138" i="3"/>
  <c r="E138" i="3" s="1"/>
  <c r="I136" i="3"/>
  <c r="B134" i="3"/>
  <c r="D134" i="3"/>
  <c r="M134" i="3"/>
  <c r="N131" i="3"/>
  <c r="F131" i="3"/>
  <c r="Q130" i="3"/>
  <c r="I130" i="3"/>
  <c r="P129" i="3"/>
  <c r="I129" i="3"/>
  <c r="C127" i="3"/>
  <c r="I127" i="3"/>
  <c r="N127" i="3"/>
  <c r="P123" i="3"/>
  <c r="F123" i="3"/>
  <c r="M120" i="3"/>
  <c r="Q120" i="3"/>
  <c r="P116" i="3"/>
  <c r="F116" i="3"/>
  <c r="I111" i="3"/>
  <c r="F105" i="3"/>
  <c r="I105" i="3"/>
  <c r="L100" i="3"/>
  <c r="G95" i="3"/>
  <c r="O95" i="3"/>
  <c r="C95" i="3"/>
  <c r="L95" i="3"/>
  <c r="Q95" i="3"/>
  <c r="D95" i="3"/>
  <c r="M95" i="3"/>
  <c r="F90" i="3"/>
  <c r="M90" i="3"/>
  <c r="B90" i="3"/>
  <c r="J90" i="3"/>
  <c r="K90" i="3" s="1"/>
  <c r="P90" i="3"/>
  <c r="D90" i="3"/>
  <c r="L90" i="3"/>
  <c r="Q90" i="3"/>
  <c r="F88" i="3"/>
  <c r="F84" i="3"/>
  <c r="P80" i="3"/>
  <c r="O92" i="3"/>
  <c r="J92" i="3"/>
  <c r="D92" i="3"/>
  <c r="E92" i="3" s="1"/>
  <c r="Q91" i="3"/>
  <c r="I78" i="3"/>
  <c r="Q77" i="3"/>
  <c r="G77" i="3"/>
  <c r="E77" i="5" s="1"/>
  <c r="F73" i="3"/>
  <c r="L71" i="3"/>
  <c r="Q70" i="3"/>
  <c r="Q69" i="3"/>
  <c r="J69" i="3"/>
  <c r="C69" i="3"/>
  <c r="I67" i="3"/>
  <c r="Q66" i="3"/>
  <c r="J66" i="3"/>
  <c r="Q65" i="3"/>
  <c r="M63" i="3"/>
  <c r="D63" i="3"/>
  <c r="O60" i="3"/>
  <c r="J60" i="3"/>
  <c r="D60" i="3"/>
  <c r="Q59" i="3"/>
  <c r="Q58" i="3"/>
  <c r="L58" i="3"/>
  <c r="D58" i="3"/>
  <c r="N56" i="3"/>
  <c r="I56" i="3"/>
  <c r="D56" i="3"/>
  <c r="E56" i="3" s="1"/>
  <c r="Q55" i="3"/>
  <c r="G55" i="3"/>
  <c r="E55" i="5" s="1"/>
  <c r="L54" i="3"/>
  <c r="O52" i="3"/>
  <c r="J52" i="3"/>
  <c r="D52" i="3"/>
  <c r="Q51" i="3"/>
  <c r="G51" i="3"/>
  <c r="P50" i="3"/>
  <c r="F50" i="3"/>
  <c r="O48" i="3"/>
  <c r="J48" i="3"/>
  <c r="D48" i="3"/>
  <c r="E48" i="3" s="1"/>
  <c r="N44" i="3"/>
  <c r="I44" i="3"/>
  <c r="C44" i="3"/>
  <c r="E44" i="3" s="1"/>
  <c r="L43" i="3"/>
  <c r="I41" i="3"/>
  <c r="L34" i="3"/>
  <c r="Q31" i="3"/>
  <c r="I31" i="3"/>
  <c r="D30" i="3"/>
  <c r="N30" i="3"/>
  <c r="G29" i="3"/>
  <c r="H29" i="3" s="1"/>
  <c r="D24" i="3"/>
  <c r="J24" i="3"/>
  <c r="O24" i="3"/>
  <c r="B22" i="3"/>
  <c r="L22" i="3"/>
  <c r="B21" i="3"/>
  <c r="I21" i="3"/>
  <c r="O21" i="3"/>
  <c r="M20" i="3"/>
  <c r="F20" i="3"/>
  <c r="G19" i="3"/>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N92" i="3"/>
  <c r="I92" i="3"/>
  <c r="L91" i="3"/>
  <c r="M85" i="3"/>
  <c r="O79" i="3"/>
  <c r="Q78" i="3"/>
  <c r="O77" i="3"/>
  <c r="M74" i="3"/>
  <c r="Q73" i="3"/>
  <c r="C73" i="3"/>
  <c r="O72" i="3"/>
  <c r="J72" i="3"/>
  <c r="Q71" i="3"/>
  <c r="L70" i="3"/>
  <c r="O69" i="3"/>
  <c r="I69" i="3"/>
  <c r="B69" i="3"/>
  <c r="O68" i="3"/>
  <c r="J68" i="3"/>
  <c r="K68" i="3" s="1"/>
  <c r="Q67" i="3"/>
  <c r="P66" i="3"/>
  <c r="F65" i="3"/>
  <c r="O64" i="3"/>
  <c r="J64" i="3"/>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Q38" i="3"/>
  <c r="B37" i="3"/>
  <c r="I37" i="3"/>
  <c r="B33" i="3"/>
  <c r="Q33" i="3"/>
  <c r="P31" i="3"/>
  <c r="L30" i="3"/>
  <c r="Q29" i="3"/>
  <c r="F26" i="3"/>
  <c r="M26" i="3"/>
  <c r="C25" i="3"/>
  <c r="Q25" i="3"/>
  <c r="M24" i="3"/>
  <c r="F24" i="3"/>
  <c r="G23" i="3"/>
  <c r="E23" i="5" s="1"/>
  <c r="F23" i="5" s="1"/>
  <c r="G23" i="5" s="1"/>
  <c r="Q23" i="3"/>
  <c r="Q21" i="3"/>
  <c r="G21" i="3"/>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M69" i="3"/>
  <c r="O63" i="3"/>
  <c r="M58" i="3"/>
  <c r="Q54" i="3"/>
  <c r="Q50" i="3"/>
  <c r="O44" i="3"/>
  <c r="J44" i="3"/>
  <c r="Q43" i="3"/>
  <c r="J34" i="3"/>
  <c r="Q34" i="3"/>
  <c r="D31" i="3"/>
  <c r="E31" i="3" s="1"/>
  <c r="M31" i="3"/>
  <c r="J29" i="3"/>
  <c r="D20" i="3"/>
  <c r="E20" i="3" s="1"/>
  <c r="J20" i="3"/>
  <c r="O20" i="3"/>
  <c r="L18" i="3"/>
  <c r="D16" i="3"/>
  <c r="J16" i="3"/>
  <c r="O16" i="3"/>
  <c r="I15" i="3"/>
  <c r="C11" i="3"/>
  <c r="L11" i="3"/>
  <c r="B10" i="3"/>
  <c r="J10" i="3"/>
  <c r="P10" i="3"/>
  <c r="N8" i="3"/>
  <c r="F8" i="3"/>
  <c r="I184" i="7"/>
  <c r="I179" i="7"/>
  <c r="F173" i="7"/>
  <c r="O171" i="7"/>
  <c r="K171" i="7"/>
  <c r="G171" i="7"/>
  <c r="C171" i="7"/>
  <c r="I157" i="7"/>
  <c r="F151" i="7"/>
  <c r="K145" i="7"/>
  <c r="E145" i="7"/>
  <c r="O144" i="7"/>
  <c r="K144" i="7"/>
  <c r="G144" i="7"/>
  <c r="C144" i="7"/>
  <c r="I135" i="7"/>
  <c r="N134" i="7"/>
  <c r="I119" i="7"/>
  <c r="D118" i="7"/>
  <c r="N118" i="7"/>
  <c r="K113" i="7"/>
  <c r="B112" i="7"/>
  <c r="F112" i="7"/>
  <c r="J112" i="7"/>
  <c r="N112" i="7"/>
  <c r="K107" i="7"/>
  <c r="K105" i="7"/>
  <c r="N103" i="7"/>
  <c r="G92" i="7"/>
  <c r="K83" i="7"/>
  <c r="O180" i="7"/>
  <c r="G180" i="7"/>
  <c r="N171" i="7"/>
  <c r="J171" i="7"/>
  <c r="F171" i="7"/>
  <c r="H167" i="7"/>
  <c r="M166" i="7"/>
  <c r="K164" i="7"/>
  <c r="G157" i="7"/>
  <c r="L152" i="7"/>
  <c r="H152" i="7"/>
  <c r="N151" i="7"/>
  <c r="C151" i="7"/>
  <c r="O145" i="7"/>
  <c r="I145" i="7"/>
  <c r="D145" i="7"/>
  <c r="N144" i="7"/>
  <c r="J144" i="7"/>
  <c r="F144" i="7"/>
  <c r="F135" i="7"/>
  <c r="L132" i="7"/>
  <c r="H132" i="7"/>
  <c r="K119" i="7"/>
  <c r="B114" i="7"/>
  <c r="I114" i="7"/>
  <c r="D113" i="7"/>
  <c r="I113" i="7"/>
  <c r="O113" i="7"/>
  <c r="E107" i="7"/>
  <c r="J107" i="7"/>
  <c r="O107" i="7"/>
  <c r="F107" i="7"/>
  <c r="M107" i="7"/>
  <c r="G105" i="7"/>
  <c r="F103" i="7"/>
  <c r="M92" i="7"/>
  <c r="D82" i="7"/>
  <c r="E166" i="7"/>
  <c r="O157" i="7"/>
  <c r="D157" i="7"/>
  <c r="M145" i="7"/>
  <c r="H145" i="7"/>
  <c r="N135" i="7"/>
  <c r="C135" i="7"/>
  <c r="N130" i="7"/>
  <c r="C101" i="7"/>
  <c r="G101" i="7"/>
  <c r="L101" i="7"/>
  <c r="B92" i="7"/>
  <c r="F92" i="7"/>
  <c r="J92" i="7"/>
  <c r="N92" i="7"/>
  <c r="D92" i="7"/>
  <c r="I92" i="7"/>
  <c r="O92" i="7"/>
  <c r="E92" i="7"/>
  <c r="K92" i="7"/>
  <c r="D88" i="7"/>
  <c r="E105" i="7"/>
  <c r="L105" i="7"/>
  <c r="H105" i="7"/>
  <c r="B103" i="7"/>
  <c r="I103" i="7"/>
  <c r="K103" i="7"/>
  <c r="H92" i="7"/>
  <c r="F83" i="7"/>
  <c r="M83" i="7"/>
  <c r="E83" i="7"/>
  <c r="O83" i="7"/>
  <c r="G83" i="7"/>
  <c r="C93" i="7"/>
  <c r="G93" i="7"/>
  <c r="K84" i="7"/>
  <c r="B79" i="7"/>
  <c r="K79" i="7"/>
  <c r="B72" i="7"/>
  <c r="F72" i="7"/>
  <c r="J72" i="7"/>
  <c r="N72" i="7"/>
  <c r="K67" i="7"/>
  <c r="M64" i="7"/>
  <c r="E64" i="7"/>
  <c r="M60" i="7"/>
  <c r="E59" i="7"/>
  <c r="O59" i="7"/>
  <c r="C29" i="7"/>
  <c r="G29" i="7"/>
  <c r="C185" i="6"/>
  <c r="G185" i="6"/>
  <c r="K185" i="6"/>
  <c r="O185" i="6"/>
  <c r="D185" i="6"/>
  <c r="H185" i="6"/>
  <c r="L185" i="6"/>
  <c r="B185" i="6"/>
  <c r="F185" i="6"/>
  <c r="J185" i="6"/>
  <c r="N185" i="6"/>
  <c r="B98" i="7"/>
  <c r="D97" i="7"/>
  <c r="L93" i="7"/>
  <c r="K72" i="7"/>
  <c r="E72" i="7"/>
  <c r="B71" i="7"/>
  <c r="I71" i="7"/>
  <c r="K64" i="7"/>
  <c r="C20" i="7"/>
  <c r="G20" i="7"/>
  <c r="K20" i="7"/>
  <c r="O20" i="7"/>
  <c r="D20" i="7"/>
  <c r="H20" i="7"/>
  <c r="L20" i="7"/>
  <c r="B20" i="7"/>
  <c r="F20" i="7"/>
  <c r="J20" i="7"/>
  <c r="N20" i="7"/>
  <c r="C12" i="7"/>
  <c r="G12" i="7"/>
  <c r="K12" i="7"/>
  <c r="O12" i="7"/>
  <c r="D12" i="7"/>
  <c r="H12" i="7"/>
  <c r="L12" i="7"/>
  <c r="B12" i="7"/>
  <c r="F12" i="7"/>
  <c r="J12" i="7"/>
  <c r="N12" i="7"/>
  <c r="L166" i="5"/>
  <c r="D64" i="7"/>
  <c r="H64" i="7"/>
  <c r="L64" i="7"/>
  <c r="B64" i="7"/>
  <c r="F64" i="7"/>
  <c r="J64" i="7"/>
  <c r="N64" i="7"/>
  <c r="B60" i="7"/>
  <c r="C19" i="7"/>
  <c r="I19" i="7"/>
  <c r="M19" i="7"/>
  <c r="E19" i="7"/>
  <c r="D184" i="6"/>
  <c r="E184" i="6"/>
  <c r="M184" i="6"/>
  <c r="G184" i="6"/>
  <c r="O184" i="6"/>
  <c r="C184" i="6"/>
  <c r="K184" i="6"/>
  <c r="B74" i="7"/>
  <c r="L74" i="7"/>
  <c r="F67" i="7"/>
  <c r="M67" i="7"/>
  <c r="B67" i="7"/>
  <c r="J67" i="7"/>
  <c r="O64" i="7"/>
  <c r="G64" i="7"/>
  <c r="G11" i="7"/>
  <c r="I65" i="7"/>
  <c r="L46" i="7"/>
  <c r="L42" i="7"/>
  <c r="L41" i="7"/>
  <c r="F31" i="7"/>
  <c r="L30" i="7"/>
  <c r="N22" i="7"/>
  <c r="I22" i="7"/>
  <c r="D22" i="7"/>
  <c r="M21" i="7"/>
  <c r="N14" i="7"/>
  <c r="I14" i="7"/>
  <c r="D14" i="7"/>
  <c r="K8" i="7"/>
  <c r="M7" i="7"/>
  <c r="E7" i="7"/>
  <c r="J179" i="6"/>
  <c r="E179" i="6"/>
  <c r="I178" i="6"/>
  <c r="M178" i="12" s="1"/>
  <c r="J175" i="6"/>
  <c r="E175" i="6"/>
  <c r="L173" i="6"/>
  <c r="O173" i="12" s="1"/>
  <c r="H173" i="6"/>
  <c r="D173" i="6"/>
  <c r="O172" i="6"/>
  <c r="G172" i="6"/>
  <c r="N171" i="6"/>
  <c r="I171" i="6"/>
  <c r="Q171" i="12" s="1"/>
  <c r="L169" i="6"/>
  <c r="H169" i="6"/>
  <c r="L169" i="12" s="1"/>
  <c r="D169" i="6"/>
  <c r="O168" i="6"/>
  <c r="G168" i="6"/>
  <c r="N167" i="6"/>
  <c r="I167" i="6"/>
  <c r="O165" i="6"/>
  <c r="K165" i="6"/>
  <c r="G165" i="6"/>
  <c r="M164" i="6"/>
  <c r="E164" i="6"/>
  <c r="M163" i="6"/>
  <c r="H163" i="6"/>
  <c r="B163" i="6"/>
  <c r="O161" i="6"/>
  <c r="K161" i="6"/>
  <c r="G161" i="6"/>
  <c r="M160" i="6"/>
  <c r="E160" i="6"/>
  <c r="M159" i="6"/>
  <c r="H159" i="6"/>
  <c r="B159" i="6"/>
  <c r="N157" i="6"/>
  <c r="J157" i="6"/>
  <c r="F157" i="6"/>
  <c r="B157" i="6"/>
  <c r="K156" i="6"/>
  <c r="S156" i="12" s="1"/>
  <c r="C156" i="6"/>
  <c r="N153" i="6"/>
  <c r="J153" i="6"/>
  <c r="F153" i="6"/>
  <c r="B153" i="6"/>
  <c r="K152" i="6"/>
  <c r="C152" i="6"/>
  <c r="J147" i="6"/>
  <c r="E147" i="6"/>
  <c r="I146" i="6"/>
  <c r="Q146" i="12" s="1"/>
  <c r="O144" i="6"/>
  <c r="I144" i="6"/>
  <c r="M144" i="12" s="1"/>
  <c r="N143" i="6"/>
  <c r="J143" i="6"/>
  <c r="F143" i="6"/>
  <c r="B143" i="6"/>
  <c r="I142" i="6"/>
  <c r="M141" i="6"/>
  <c r="F141" i="6"/>
  <c r="L139" i="6"/>
  <c r="H139" i="6"/>
  <c r="D139" i="6"/>
  <c r="O138" i="6"/>
  <c r="J138" i="6"/>
  <c r="E138" i="6"/>
  <c r="N137" i="6"/>
  <c r="D137" i="6"/>
  <c r="K136" i="6"/>
  <c r="C136" i="6"/>
  <c r="M133" i="6"/>
  <c r="H133" i="6"/>
  <c r="B133" i="6"/>
  <c r="I132" i="6"/>
  <c r="Q132" i="12" s="1"/>
  <c r="O131" i="6"/>
  <c r="K131" i="6"/>
  <c r="G131" i="6"/>
  <c r="M130" i="6"/>
  <c r="F130" i="6"/>
  <c r="F129" i="6"/>
  <c r="L128" i="6"/>
  <c r="O128" i="12" s="1"/>
  <c r="M127" i="6"/>
  <c r="H127" i="6"/>
  <c r="P127" i="12" s="1"/>
  <c r="F125" i="6"/>
  <c r="M125" i="6"/>
  <c r="M123" i="6"/>
  <c r="G123" i="6"/>
  <c r="K122" i="6"/>
  <c r="R122" i="12" s="1"/>
  <c r="C120" i="6"/>
  <c r="K120" i="6"/>
  <c r="J117" i="6"/>
  <c r="M115" i="6"/>
  <c r="H115" i="6"/>
  <c r="F114" i="6"/>
  <c r="M114" i="6"/>
  <c r="D111" i="6"/>
  <c r="H111" i="6"/>
  <c r="P111" i="12" s="1"/>
  <c r="L111" i="6"/>
  <c r="B110" i="6"/>
  <c r="C110" i="6"/>
  <c r="N110" i="6"/>
  <c r="K107" i="6"/>
  <c r="S107" i="12" s="1"/>
  <c r="E107" i="6"/>
  <c r="J105" i="6"/>
  <c r="I104" i="6"/>
  <c r="O103" i="6"/>
  <c r="I103" i="6"/>
  <c r="M103" i="12" s="1"/>
  <c r="C100" i="6"/>
  <c r="B99" i="6"/>
  <c r="F99" i="6"/>
  <c r="J99" i="6"/>
  <c r="N99" i="6"/>
  <c r="L97" i="6"/>
  <c r="E96" i="6"/>
  <c r="M96" i="6"/>
  <c r="K95" i="6"/>
  <c r="E95" i="6"/>
  <c r="I92" i="6"/>
  <c r="M91" i="6"/>
  <c r="H91" i="6"/>
  <c r="P91" i="12" s="1"/>
  <c r="M89" i="6"/>
  <c r="F89" i="6"/>
  <c r="O88" i="6"/>
  <c r="B87" i="6"/>
  <c r="F87" i="6"/>
  <c r="J87" i="6"/>
  <c r="N87" i="6"/>
  <c r="M83" i="6"/>
  <c r="K79" i="6"/>
  <c r="S79" i="12" s="1"/>
  <c r="O75" i="6"/>
  <c r="G75" i="6"/>
  <c r="M71" i="6"/>
  <c r="C70" i="6"/>
  <c r="M70" i="6"/>
  <c r="E70" i="6"/>
  <c r="D67" i="6"/>
  <c r="H67" i="6"/>
  <c r="P67" i="12" s="1"/>
  <c r="L67" i="6"/>
  <c r="O67" i="12" s="1"/>
  <c r="B67" i="6"/>
  <c r="F67" i="6"/>
  <c r="J67" i="6"/>
  <c r="N67" i="6"/>
  <c r="O63" i="6"/>
  <c r="G63" i="6"/>
  <c r="N62" i="6"/>
  <c r="D61" i="6"/>
  <c r="N61" i="6"/>
  <c r="I61" i="6"/>
  <c r="Q61" i="12" s="1"/>
  <c r="C60" i="6"/>
  <c r="L60" i="5" s="1"/>
  <c r="K60" i="6"/>
  <c r="S60" i="12" s="1"/>
  <c r="G60" i="6"/>
  <c r="M60" i="6"/>
  <c r="I57" i="6"/>
  <c r="M57" i="12" s="1"/>
  <c r="O54" i="6"/>
  <c r="B127" i="6"/>
  <c r="F127" i="6"/>
  <c r="J127" i="6"/>
  <c r="N127" i="6"/>
  <c r="D123" i="6"/>
  <c r="H123" i="6"/>
  <c r="L123" i="6"/>
  <c r="B117" i="6"/>
  <c r="H117" i="6"/>
  <c r="P117" i="12" s="1"/>
  <c r="M117" i="6"/>
  <c r="C115" i="6"/>
  <c r="G115" i="6"/>
  <c r="K115" i="6"/>
  <c r="O115" i="6"/>
  <c r="D105" i="6"/>
  <c r="I105" i="6"/>
  <c r="M105" i="12" s="1"/>
  <c r="N105" i="6"/>
  <c r="C102" i="6"/>
  <c r="E102" i="6"/>
  <c r="B91" i="6"/>
  <c r="F91" i="6"/>
  <c r="J91" i="6"/>
  <c r="N91" i="6"/>
  <c r="E88" i="6"/>
  <c r="M88" i="6"/>
  <c r="D79" i="6"/>
  <c r="H79" i="6"/>
  <c r="L79" i="12" s="1"/>
  <c r="L79" i="6"/>
  <c r="B79" i="6"/>
  <c r="F79" i="6"/>
  <c r="J79" i="6"/>
  <c r="N79" i="6"/>
  <c r="B65" i="6"/>
  <c r="J65" i="6"/>
  <c r="F65" i="6"/>
  <c r="M65" i="6"/>
  <c r="E62" i="6"/>
  <c r="J62" i="6"/>
  <c r="O62" i="6"/>
  <c r="B62" i="6"/>
  <c r="G62" i="6"/>
  <c r="M62" i="6"/>
  <c r="D53" i="6"/>
  <c r="N53" i="6"/>
  <c r="L53" i="6"/>
  <c r="F53" i="6"/>
  <c r="I23" i="7"/>
  <c r="M179" i="6"/>
  <c r="H179" i="6"/>
  <c r="B179" i="6"/>
  <c r="M175" i="6"/>
  <c r="H175" i="6"/>
  <c r="B175" i="6"/>
  <c r="N173" i="6"/>
  <c r="J173" i="6"/>
  <c r="F173" i="6"/>
  <c r="K172" i="6"/>
  <c r="C172" i="6"/>
  <c r="N169" i="6"/>
  <c r="J169" i="6"/>
  <c r="F169" i="6"/>
  <c r="K168" i="6"/>
  <c r="C168" i="6"/>
  <c r="J163" i="6"/>
  <c r="E163" i="6"/>
  <c r="I162" i="6"/>
  <c r="J159" i="6"/>
  <c r="E159" i="6"/>
  <c r="L157" i="6"/>
  <c r="H157" i="6"/>
  <c r="D157" i="6"/>
  <c r="O156" i="6"/>
  <c r="G156" i="6"/>
  <c r="L153" i="6"/>
  <c r="H153" i="6"/>
  <c r="D153" i="6"/>
  <c r="O152" i="6"/>
  <c r="G152" i="6"/>
  <c r="M147" i="6"/>
  <c r="H147" i="6"/>
  <c r="L143" i="6"/>
  <c r="H143" i="6"/>
  <c r="P143" i="12" s="1"/>
  <c r="D143" i="6"/>
  <c r="N142" i="6"/>
  <c r="C142" i="6"/>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I116" i="6"/>
  <c r="Q116" i="12" s="1"/>
  <c r="J115" i="6"/>
  <c r="E115" i="6"/>
  <c r="M107" i="6"/>
  <c r="H107" i="6"/>
  <c r="M105" i="6"/>
  <c r="F105" i="6"/>
  <c r="O104" i="6"/>
  <c r="B103" i="6"/>
  <c r="F103" i="6"/>
  <c r="J103" i="6"/>
  <c r="N103" i="6"/>
  <c r="K100" i="6"/>
  <c r="D97" i="6"/>
  <c r="I97" i="6"/>
  <c r="M97" i="12" s="1"/>
  <c r="N97" i="6"/>
  <c r="M95" i="6"/>
  <c r="H95" i="6"/>
  <c r="P95" i="12" s="1"/>
  <c r="C94" i="6"/>
  <c r="E94" i="6"/>
  <c r="K91" i="6"/>
  <c r="E91" i="6"/>
  <c r="J89" i="6"/>
  <c r="I88" i="6"/>
  <c r="Q88" i="12" s="1"/>
  <c r="C86" i="6"/>
  <c r="M86" i="6"/>
  <c r="E86" i="6"/>
  <c r="D83" i="6"/>
  <c r="H83" i="6"/>
  <c r="L83" i="6"/>
  <c r="B83" i="6"/>
  <c r="F83" i="6"/>
  <c r="J83" i="6"/>
  <c r="N83" i="6"/>
  <c r="O79" i="6"/>
  <c r="G79" i="6"/>
  <c r="K75" i="6"/>
  <c r="S75" i="12" s="1"/>
  <c r="D71" i="6"/>
  <c r="H71" i="6"/>
  <c r="L71" i="12" s="1"/>
  <c r="L71" i="6"/>
  <c r="O71" i="12" s="1"/>
  <c r="B71" i="6"/>
  <c r="F71" i="6"/>
  <c r="J71" i="6"/>
  <c r="N71" i="6"/>
  <c r="L65" i="6"/>
  <c r="K63" i="6"/>
  <c r="S63" i="12" s="1"/>
  <c r="I62" i="6"/>
  <c r="M62" i="12" s="1"/>
  <c r="N57" i="6"/>
  <c r="N163" i="6"/>
  <c r="I163" i="6"/>
  <c r="Q163" i="12" s="1"/>
  <c r="N159" i="6"/>
  <c r="I159" i="6"/>
  <c r="O157" i="6"/>
  <c r="K157" i="6"/>
  <c r="S157" i="12" s="1"/>
  <c r="G157" i="6"/>
  <c r="M156" i="6"/>
  <c r="E156" i="6"/>
  <c r="O153" i="6"/>
  <c r="K153" i="6"/>
  <c r="G153" i="6"/>
  <c r="M152" i="6"/>
  <c r="E152" i="6"/>
  <c r="O143" i="6"/>
  <c r="K143" i="6"/>
  <c r="R143" i="12" s="1"/>
  <c r="G143" i="6"/>
  <c r="F137" i="6"/>
  <c r="L136" i="6"/>
  <c r="N133" i="6"/>
  <c r="I133" i="6"/>
  <c r="O127" i="6"/>
  <c r="I127" i="6"/>
  <c r="D127" i="6"/>
  <c r="N123" i="6"/>
  <c r="I123" i="6"/>
  <c r="C123" i="6"/>
  <c r="L117" i="6"/>
  <c r="E117" i="6"/>
  <c r="N115" i="6"/>
  <c r="I115" i="6"/>
  <c r="Q115" i="12" s="1"/>
  <c r="D115" i="6"/>
  <c r="B107" i="6"/>
  <c r="F107" i="6"/>
  <c r="J107" i="6"/>
  <c r="N107" i="6"/>
  <c r="L105" i="6"/>
  <c r="E105" i="6"/>
  <c r="E104" i="6"/>
  <c r="M104" i="6"/>
  <c r="M102" i="6"/>
  <c r="I100" i="6"/>
  <c r="B95" i="6"/>
  <c r="F95" i="6"/>
  <c r="J95" i="6"/>
  <c r="N95" i="6"/>
  <c r="O91" i="6"/>
  <c r="I91" i="6"/>
  <c r="M91" i="12" s="1"/>
  <c r="D91" i="6"/>
  <c r="D89" i="6"/>
  <c r="I89" i="6"/>
  <c r="Q89" i="12" s="1"/>
  <c r="N89" i="6"/>
  <c r="G88" i="6"/>
  <c r="M79" i="6"/>
  <c r="E79" i="6"/>
  <c r="C78" i="6"/>
  <c r="M78" i="6"/>
  <c r="E78" i="6"/>
  <c r="D75" i="6"/>
  <c r="H75" i="6"/>
  <c r="P75" i="12" s="1"/>
  <c r="L75" i="6"/>
  <c r="O75" i="12" s="1"/>
  <c r="B75" i="6"/>
  <c r="F75" i="6"/>
  <c r="J75" i="6"/>
  <c r="N75" i="6"/>
  <c r="H65" i="6"/>
  <c r="P65" i="12" s="1"/>
  <c r="D63" i="6"/>
  <c r="H63" i="6"/>
  <c r="L63" i="12" s="1"/>
  <c r="L63" i="6"/>
  <c r="B63" i="6"/>
  <c r="F63" i="6"/>
  <c r="J63" i="6"/>
  <c r="N63" i="6"/>
  <c r="F62" i="6"/>
  <c r="B57" i="6"/>
  <c r="H57" i="6"/>
  <c r="L57" i="12" s="1"/>
  <c r="M57" i="6"/>
  <c r="E57" i="6"/>
  <c r="J57" i="6"/>
  <c r="F54" i="6"/>
  <c r="M54" i="6"/>
  <c r="G54" i="6"/>
  <c r="B54" i="6"/>
  <c r="K54" i="6"/>
  <c r="S54" i="12" s="1"/>
  <c r="N81" i="6"/>
  <c r="I81" i="6"/>
  <c r="M80" i="6"/>
  <c r="N73" i="6"/>
  <c r="I73" i="6"/>
  <c r="M73" i="12" s="1"/>
  <c r="M72" i="6"/>
  <c r="L64" i="6"/>
  <c r="O64" i="12" s="1"/>
  <c r="O59" i="6"/>
  <c r="K59" i="6"/>
  <c r="G59" i="6"/>
  <c r="L55" i="6"/>
  <c r="H55" i="6"/>
  <c r="D55" i="6"/>
  <c r="D51" i="6"/>
  <c r="H51" i="6"/>
  <c r="P51" i="12" s="1"/>
  <c r="L51" i="6"/>
  <c r="O51" i="12" s="1"/>
  <c r="C50" i="6"/>
  <c r="L50" i="5" s="1"/>
  <c r="N50" i="6"/>
  <c r="L48" i="6"/>
  <c r="O48" i="12" s="1"/>
  <c r="M47" i="6"/>
  <c r="H47" i="6"/>
  <c r="K46" i="6"/>
  <c r="M43" i="6"/>
  <c r="G43" i="6"/>
  <c r="M39" i="6"/>
  <c r="H39" i="6"/>
  <c r="E38" i="6"/>
  <c r="K38" i="6"/>
  <c r="M35" i="6"/>
  <c r="D31" i="6"/>
  <c r="H31" i="6"/>
  <c r="P31" i="12" s="1"/>
  <c r="L31" i="6"/>
  <c r="O31" i="12" s="1"/>
  <c r="B31" i="6"/>
  <c r="F31" i="6"/>
  <c r="J31" i="6"/>
  <c r="N31" i="6"/>
  <c r="G30" i="6"/>
  <c r="O30" i="6"/>
  <c r="C30" i="6"/>
  <c r="K30" i="6"/>
  <c r="M27" i="6"/>
  <c r="I22" i="6"/>
  <c r="Q22" i="12" s="1"/>
  <c r="I18" i="6"/>
  <c r="Q18" i="12" s="1"/>
  <c r="D18" i="6"/>
  <c r="O18" i="6"/>
  <c r="C12" i="6"/>
  <c r="L12" i="5" s="1"/>
  <c r="K12" i="6"/>
  <c r="S12" i="12" s="1"/>
  <c r="K9" i="6"/>
  <c r="R9" i="12" s="1"/>
  <c r="B189" i="10"/>
  <c r="F189" i="10"/>
  <c r="J189" i="10"/>
  <c r="N189" i="10"/>
  <c r="D189" i="10"/>
  <c r="H189" i="10"/>
  <c r="L189" i="10"/>
  <c r="K185" i="10"/>
  <c r="B47" i="6"/>
  <c r="F47" i="6"/>
  <c r="J47" i="6"/>
  <c r="N47" i="6"/>
  <c r="D43" i="6"/>
  <c r="H43" i="6"/>
  <c r="P43" i="12" s="1"/>
  <c r="L43" i="6"/>
  <c r="O43" i="12" s="1"/>
  <c r="C42" i="6"/>
  <c r="L42" i="5" s="1"/>
  <c r="N42" i="6"/>
  <c r="B39" i="6"/>
  <c r="F39" i="6"/>
  <c r="J39" i="6"/>
  <c r="N39" i="6"/>
  <c r="D26" i="6"/>
  <c r="O26" i="6"/>
  <c r="I26" i="6"/>
  <c r="Q26" i="12" s="1"/>
  <c r="C24" i="6"/>
  <c r="B24" i="6"/>
  <c r="J24" i="6"/>
  <c r="F24" i="6"/>
  <c r="M24" i="6"/>
  <c r="G22" i="6"/>
  <c r="C20" i="6"/>
  <c r="K20" i="6"/>
  <c r="S20" i="12" s="1"/>
  <c r="D19" i="6"/>
  <c r="B19" i="6"/>
  <c r="J19" i="6"/>
  <c r="F19" i="6"/>
  <c r="M19" i="6"/>
  <c r="B9" i="6"/>
  <c r="F9" i="6"/>
  <c r="J9" i="6"/>
  <c r="N9" i="6"/>
  <c r="D9" i="6"/>
  <c r="H9" i="6"/>
  <c r="L9" i="6"/>
  <c r="D185" i="10"/>
  <c r="H185" i="10"/>
  <c r="L185" i="10"/>
  <c r="B185" i="10"/>
  <c r="F185" i="10"/>
  <c r="J185" i="10"/>
  <c r="N185" i="10"/>
  <c r="B49" i="6"/>
  <c r="J49" i="6"/>
  <c r="K47" i="6"/>
  <c r="E47" i="6"/>
  <c r="B46" i="6"/>
  <c r="G46" i="6"/>
  <c r="M46" i="6"/>
  <c r="O43" i="6"/>
  <c r="J43" i="6"/>
  <c r="E43" i="6"/>
  <c r="K42" i="6"/>
  <c r="N42" i="12" s="1"/>
  <c r="K39" i="6"/>
  <c r="E39" i="6"/>
  <c r="D37" i="6"/>
  <c r="F37" i="6"/>
  <c r="D35" i="6"/>
  <c r="H35" i="6"/>
  <c r="L35" i="12" s="1"/>
  <c r="L35" i="6"/>
  <c r="B35" i="6"/>
  <c r="F35" i="6"/>
  <c r="J35" i="6"/>
  <c r="D27" i="6"/>
  <c r="H27" i="6"/>
  <c r="L27" i="6"/>
  <c r="O27" i="12" s="1"/>
  <c r="B27" i="6"/>
  <c r="F27" i="6"/>
  <c r="J27" i="6"/>
  <c r="N27" i="6"/>
  <c r="K24" i="6"/>
  <c r="S24" i="12" s="1"/>
  <c r="O22" i="6"/>
  <c r="L19" i="6"/>
  <c r="O19" i="12" s="1"/>
  <c r="D14" i="6"/>
  <c r="C14" i="6"/>
  <c r="K14" i="6"/>
  <c r="S14" i="12" s="1"/>
  <c r="G14" i="6"/>
  <c r="M14" i="6"/>
  <c r="O9" i="6"/>
  <c r="G9" i="6"/>
  <c r="O185" i="10"/>
  <c r="G185" i="10"/>
  <c r="C22" i="6"/>
  <c r="L22" i="5" s="1"/>
  <c r="H22" i="6"/>
  <c r="M22" i="6"/>
  <c r="E22" i="6"/>
  <c r="K22" i="6"/>
  <c r="S22" i="12" s="1"/>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N34" i="12" s="1"/>
  <c r="L33" i="6"/>
  <c r="N29" i="6"/>
  <c r="I29" i="6"/>
  <c r="M29" i="12" s="1"/>
  <c r="D29" i="6"/>
  <c r="O17" i="6"/>
  <c r="K17" i="6"/>
  <c r="G17" i="6"/>
  <c r="N16" i="6"/>
  <c r="I16" i="6"/>
  <c r="Q16" i="12" s="1"/>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4" i="2"/>
  <c r="G248" i="2"/>
  <c r="C56" i="8"/>
  <c r="E55" i="8"/>
  <c r="H51" i="8"/>
  <c r="C51" i="8"/>
  <c r="G50" i="8"/>
  <c r="B50" i="8"/>
  <c r="E46" i="8"/>
  <c r="E38" i="8"/>
  <c r="I33" i="8"/>
  <c r="C32" i="8"/>
  <c r="E31" i="8"/>
  <c r="H27" i="8"/>
  <c r="C27" i="8"/>
  <c r="G26" i="8"/>
  <c r="B26" i="8"/>
  <c r="D25" i="8"/>
  <c r="C24" i="8"/>
  <c r="E23" i="8"/>
  <c r="I17" i="8"/>
  <c r="C16" i="8"/>
  <c r="E15" i="8"/>
  <c r="H11" i="8"/>
  <c r="C11" i="8"/>
  <c r="G10" i="8"/>
  <c r="B10" i="8"/>
  <c r="D9" i="8"/>
  <c r="C8" i="8"/>
  <c r="E7" i="8"/>
  <c r="C55" i="8"/>
  <c r="J46" i="8"/>
  <c r="B46" i="8"/>
  <c r="J38" i="8"/>
  <c r="B38" i="8"/>
  <c r="C31" i="8"/>
  <c r="C23" i="8"/>
  <c r="G21" i="8"/>
  <c r="C15" i="8"/>
  <c r="C7" i="8"/>
  <c r="G55" i="8"/>
  <c r="J54" i="8"/>
  <c r="B54"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I162" i="5"/>
  <c r="K160" i="5"/>
  <c r="C160" i="5"/>
  <c r="O160" i="5"/>
  <c r="P160" i="5" s="1"/>
  <c r="I156" i="5"/>
  <c r="C150" i="5"/>
  <c r="O150" i="5"/>
  <c r="P150" i="5" s="1"/>
  <c r="K150" i="5"/>
  <c r="K146" i="5"/>
  <c r="K142" i="5"/>
  <c r="K138" i="5"/>
  <c r="K134" i="5"/>
  <c r="K130" i="5"/>
  <c r="K126" i="5"/>
  <c r="K122" i="5"/>
  <c r="K118" i="5"/>
  <c r="K114" i="5"/>
  <c r="K110" i="5"/>
  <c r="O108" i="5"/>
  <c r="C108" i="5"/>
  <c r="K106" i="5"/>
  <c r="O104" i="5"/>
  <c r="C104" i="5"/>
  <c r="K102" i="5"/>
  <c r="O100" i="5"/>
  <c r="C100" i="5"/>
  <c r="K98" i="5"/>
  <c r="O96" i="5"/>
  <c r="C96" i="5"/>
  <c r="K94" i="5"/>
  <c r="O92" i="5"/>
  <c r="C92" i="5"/>
  <c r="K90" i="5"/>
  <c r="O88" i="5"/>
  <c r="C88" i="5"/>
  <c r="K86" i="5"/>
  <c r="O84" i="5"/>
  <c r="C84" i="5"/>
  <c r="K82" i="5"/>
  <c r="O80" i="5"/>
  <c r="C80" i="5"/>
  <c r="K78" i="5"/>
  <c r="O76" i="5"/>
  <c r="C76" i="5"/>
  <c r="K74" i="5"/>
  <c r="O72" i="5"/>
  <c r="C72" i="5"/>
  <c r="K70" i="5"/>
  <c r="O68" i="5"/>
  <c r="C68" i="5"/>
  <c r="K66" i="5"/>
  <c r="O64" i="5"/>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P7" i="5" s="1"/>
  <c r="C7" i="5"/>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O146" i="5"/>
  <c r="O142" i="5"/>
  <c r="O138" i="5"/>
  <c r="O134" i="5"/>
  <c r="O130" i="5"/>
  <c r="O126" i="5"/>
  <c r="O122" i="5"/>
  <c r="O118" i="5"/>
  <c r="O114" i="5"/>
  <c r="O110" i="5"/>
  <c r="K108" i="5"/>
  <c r="O106" i="5"/>
  <c r="K104" i="5"/>
  <c r="O102" i="5"/>
  <c r="K100" i="5"/>
  <c r="O98" i="5"/>
  <c r="P98" i="5" s="1"/>
  <c r="K96" i="5"/>
  <c r="O94" i="5"/>
  <c r="P93" i="5"/>
  <c r="K92" i="5"/>
  <c r="O90" i="5"/>
  <c r="P90" i="5" s="1"/>
  <c r="K88" i="5"/>
  <c r="O86" i="5"/>
  <c r="P85" i="5"/>
  <c r="K84" i="5"/>
  <c r="O82" i="5"/>
  <c r="K80" i="5"/>
  <c r="O78" i="5"/>
  <c r="K76" i="5"/>
  <c r="O74" i="5"/>
  <c r="K72" i="5"/>
  <c r="O70" i="5"/>
  <c r="K68" i="5"/>
  <c r="O66" i="5"/>
  <c r="K64" i="5"/>
  <c r="O49" i="5"/>
  <c r="C49" i="5"/>
  <c r="K47" i="5"/>
  <c r="I46" i="5"/>
  <c r="O45" i="5"/>
  <c r="C45" i="5"/>
  <c r="K43" i="5"/>
  <c r="I42" i="5"/>
  <c r="O41" i="5"/>
  <c r="C41" i="5"/>
  <c r="K39" i="5"/>
  <c r="I38" i="5"/>
  <c r="O37" i="5"/>
  <c r="C37" i="5"/>
  <c r="K35" i="5"/>
  <c r="I34" i="5"/>
  <c r="O33" i="5"/>
  <c r="C33" i="5"/>
  <c r="K31" i="5"/>
  <c r="I30" i="5"/>
  <c r="O29" i="5"/>
  <c r="C29" i="5"/>
  <c r="K27" i="5"/>
  <c r="I26" i="5"/>
  <c r="O25" i="5"/>
  <c r="C25" i="5"/>
  <c r="K23" i="5"/>
  <c r="I22" i="5"/>
  <c r="O21" i="5"/>
  <c r="C21" i="5"/>
  <c r="K19" i="5"/>
  <c r="I18" i="5"/>
  <c r="O17" i="5"/>
  <c r="C17" i="5"/>
  <c r="K15" i="5"/>
  <c r="I14" i="5"/>
  <c r="O13" i="5"/>
  <c r="C13" i="5"/>
  <c r="K11" i="5"/>
  <c r="I10" i="5"/>
  <c r="O9" i="5"/>
  <c r="C9" i="5"/>
  <c r="K7" i="5"/>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C183" i="13"/>
  <c r="E183" i="13"/>
  <c r="C182" i="13"/>
  <c r="D182" i="13"/>
  <c r="B180" i="13"/>
  <c r="F180" i="13"/>
  <c r="G176" i="13"/>
  <c r="B176" i="13"/>
  <c r="B174" i="13"/>
  <c r="F174" i="13"/>
  <c r="D173" i="13"/>
  <c r="E173" i="13"/>
  <c r="C167" i="13"/>
  <c r="G167" i="13"/>
  <c r="D165" i="13"/>
  <c r="C165" i="13"/>
  <c r="G158" i="13"/>
  <c r="E155" i="13"/>
  <c r="C155" i="13"/>
  <c r="C151" i="13"/>
  <c r="G151" i="13"/>
  <c r="D147" i="13"/>
  <c r="G147" i="13"/>
  <c r="C147" i="13"/>
  <c r="B144" i="13"/>
  <c r="E144" i="13"/>
  <c r="D136" i="13"/>
  <c r="B136" i="13"/>
  <c r="E136" i="13"/>
  <c r="F136" i="13"/>
  <c r="B128" i="13"/>
  <c r="D128" i="13"/>
  <c r="E128" i="13"/>
  <c r="D120" i="13"/>
  <c r="B120" i="13"/>
  <c r="E120" i="13"/>
  <c r="F120" i="13"/>
  <c r="B17" i="12"/>
  <c r="F17" i="12"/>
  <c r="D163" i="13"/>
  <c r="C163" i="13"/>
  <c r="B160" i="13"/>
  <c r="E160" i="13"/>
  <c r="D153" i="13"/>
  <c r="C153" i="13"/>
  <c r="E117" i="13"/>
  <c r="C117" i="13"/>
  <c r="G117" i="13"/>
  <c r="E109" i="13"/>
  <c r="C109" i="13"/>
  <c r="G109" i="13"/>
  <c r="E101" i="13"/>
  <c r="C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G184" i="13"/>
  <c r="B184" i="13"/>
  <c r="E182" i="13"/>
  <c r="C181" i="13"/>
  <c r="D180" i="13"/>
  <c r="E176" i="13"/>
  <c r="D174" i="13"/>
  <c r="F173" i="13"/>
  <c r="F169" i="13"/>
  <c r="E165" i="13"/>
  <c r="B164" i="13"/>
  <c r="D164" i="13"/>
  <c r="G155" i="13"/>
  <c r="B148" i="13"/>
  <c r="D148" i="13"/>
  <c r="F144" i="13"/>
  <c r="D142" i="13"/>
  <c r="B142" i="13"/>
  <c r="F142" i="13"/>
  <c r="G57" i="12"/>
  <c r="G33" i="12"/>
  <c r="D27" i="12"/>
  <c r="D17" i="12"/>
  <c r="C176" i="13"/>
  <c r="C175" i="13"/>
  <c r="G175" i="13"/>
  <c r="D168" i="13"/>
  <c r="F168" i="13"/>
  <c r="G163" i="13"/>
  <c r="F160" i="13"/>
  <c r="D158" i="13"/>
  <c r="B158" i="13"/>
  <c r="F158" i="13"/>
  <c r="D152" i="13"/>
  <c r="B152" i="13"/>
  <c r="F152" i="13"/>
  <c r="E139" i="13"/>
  <c r="C139" i="13"/>
  <c r="D137" i="13"/>
  <c r="C137" i="13"/>
  <c r="F137" i="13"/>
  <c r="D121" i="13"/>
  <c r="C121" i="13"/>
  <c r="F121" i="13"/>
  <c r="E113" i="13"/>
  <c r="C113" i="13"/>
  <c r="G113" i="13"/>
  <c r="E105" i="13"/>
  <c r="C105" i="13"/>
  <c r="G105" i="13"/>
  <c r="E97" i="13"/>
  <c r="C97" i="13"/>
  <c r="G97" i="13"/>
  <c r="C88" i="13"/>
  <c r="E88" i="13"/>
  <c r="C77" i="13"/>
  <c r="G77" i="13"/>
  <c r="D60" i="13"/>
  <c r="C60" i="13"/>
  <c r="F60" i="13"/>
  <c r="C57" i="13"/>
  <c r="G57" i="13"/>
  <c r="D57" i="13"/>
  <c r="C53" i="13"/>
  <c r="G53" i="13"/>
  <c r="D53" i="13"/>
  <c r="B39" i="13"/>
  <c r="F39" i="13"/>
  <c r="C33" i="13"/>
  <c r="G33" i="13"/>
  <c r="D33" i="13"/>
  <c r="C31" i="13"/>
  <c r="D31" i="13"/>
  <c r="E31" i="13"/>
  <c r="C26" i="13"/>
  <c r="E26" i="13"/>
  <c r="C17" i="13"/>
  <c r="G17" i="13"/>
  <c r="D17" i="13"/>
  <c r="C15" i="13"/>
  <c r="D15" i="13"/>
  <c r="E15" i="13"/>
  <c r="C10" i="13"/>
  <c r="E10" i="13"/>
  <c r="C181" i="14"/>
  <c r="B181" i="14"/>
  <c r="D181" i="14"/>
  <c r="E181" i="14"/>
  <c r="B179" i="14"/>
  <c r="F179" i="14"/>
  <c r="C179" i="14"/>
  <c r="D179" i="14"/>
  <c r="C170" i="14"/>
  <c r="E170" i="14"/>
  <c r="B45" i="14"/>
  <c r="F45" i="14"/>
  <c r="C45" i="14"/>
  <c r="D45" i="14"/>
  <c r="E45" i="14"/>
  <c r="C22" i="14"/>
  <c r="E22" i="14"/>
  <c r="G159" i="13"/>
  <c r="E157" i="13"/>
  <c r="C149" i="13"/>
  <c r="G143" i="13"/>
  <c r="E141" i="13"/>
  <c r="G135" i="13"/>
  <c r="C133" i="13"/>
  <c r="D132" i="13"/>
  <c r="C131" i="13"/>
  <c r="G127" i="13"/>
  <c r="F126" i="13"/>
  <c r="B126" i="13"/>
  <c r="E125" i="13"/>
  <c r="C123" i="13"/>
  <c r="G119" i="13"/>
  <c r="F88" i="13"/>
  <c r="C86" i="13"/>
  <c r="E85" i="13"/>
  <c r="G85" i="13"/>
  <c r="E77" i="13"/>
  <c r="D75" i="13"/>
  <c r="C73" i="13"/>
  <c r="G73" i="13"/>
  <c r="D72" i="13"/>
  <c r="F72" i="13"/>
  <c r="C70" i="13"/>
  <c r="D64" i="13"/>
  <c r="B64" i="13"/>
  <c r="G64" i="13"/>
  <c r="C64" i="13"/>
  <c r="F57" i="13"/>
  <c r="F53" i="13"/>
  <c r="C41" i="13"/>
  <c r="G41" i="13"/>
  <c r="D41" i="13"/>
  <c r="C37" i="13"/>
  <c r="G37" i="13"/>
  <c r="D37" i="13"/>
  <c r="F33" i="13"/>
  <c r="E32" i="13"/>
  <c r="C32" i="13"/>
  <c r="G32" i="13"/>
  <c r="E22" i="13"/>
  <c r="B21" i="13"/>
  <c r="F21" i="13"/>
  <c r="C21" i="13"/>
  <c r="G21" i="13"/>
  <c r="F17" i="13"/>
  <c r="E16" i="13"/>
  <c r="C16" i="13"/>
  <c r="G16" i="13"/>
  <c r="C162" i="14"/>
  <c r="D162" i="14"/>
  <c r="E162" i="14"/>
  <c r="C155" i="14"/>
  <c r="D155" i="14"/>
  <c r="F155" i="14"/>
  <c r="C147" i="14"/>
  <c r="F147" i="14"/>
  <c r="B145" i="14"/>
  <c r="F145" i="14"/>
  <c r="C145" i="14"/>
  <c r="D145" i="14"/>
  <c r="E145" i="14"/>
  <c r="G93" i="13"/>
  <c r="G89" i="13"/>
  <c r="D88" i="13"/>
  <c r="F79" i="13"/>
  <c r="D77" i="13"/>
  <c r="D71" i="13"/>
  <c r="F71" i="13"/>
  <c r="E57" i="13"/>
  <c r="E53" i="13"/>
  <c r="B45" i="13"/>
  <c r="F45" i="13"/>
  <c r="C45" i="13"/>
  <c r="G45" i="13"/>
  <c r="E33" i="13"/>
  <c r="F31" i="13"/>
  <c r="E28" i="13"/>
  <c r="G28" i="13"/>
  <c r="C19" i="13"/>
  <c r="B19" i="13"/>
  <c r="D19" i="13"/>
  <c r="E17" i="13"/>
  <c r="F15" i="13"/>
  <c r="E12" i="13"/>
  <c r="G12" i="13"/>
  <c r="C150" i="14"/>
  <c r="D150" i="14"/>
  <c r="C106" i="14"/>
  <c r="E106" i="14"/>
  <c r="G131" i="13"/>
  <c r="C93" i="13"/>
  <c r="C89" i="13"/>
  <c r="B88" i="13"/>
  <c r="C81" i="13"/>
  <c r="G81" i="13"/>
  <c r="D78" i="13"/>
  <c r="G78" i="13"/>
  <c r="B77" i="13"/>
  <c r="F75" i="13"/>
  <c r="D74" i="13"/>
  <c r="G70" i="13"/>
  <c r="B69" i="13"/>
  <c r="F69" i="13"/>
  <c r="C61" i="13"/>
  <c r="G61" i="13"/>
  <c r="D61" i="13"/>
  <c r="D59" i="13"/>
  <c r="E59" i="13"/>
  <c r="B57" i="13"/>
  <c r="B55" i="13"/>
  <c r="F55" i="13"/>
  <c r="B53" i="13"/>
  <c r="C49" i="13"/>
  <c r="G49" i="13"/>
  <c r="D49" i="13"/>
  <c r="D46" i="13"/>
  <c r="E46" i="13"/>
  <c r="G46" i="13"/>
  <c r="B43" i="13"/>
  <c r="D43" i="13"/>
  <c r="D39" i="13"/>
  <c r="B33" i="13"/>
  <c r="B31" i="13"/>
  <c r="B17" i="13"/>
  <c r="B15"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B51" i="13"/>
  <c r="G48" i="13"/>
  <c r="B48" i="13"/>
  <c r="C44" i="13"/>
  <c r="F36" i="13"/>
  <c r="B35" i="13"/>
  <c r="E30" i="13"/>
  <c r="F25" i="13"/>
  <c r="B23" i="13"/>
  <c r="C20" i="13"/>
  <c r="E14" i="13"/>
  <c r="F9" i="13"/>
  <c r="B7" i="13"/>
  <c r="D187" i="14"/>
  <c r="E186" i="14"/>
  <c r="D183" i="14"/>
  <c r="C182" i="14"/>
  <c r="E165" i="14"/>
  <c r="G165" i="14" s="1"/>
  <c r="B157" i="14"/>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C165" i="14"/>
  <c r="E159" i="14"/>
  <c r="G159" i="14" s="1"/>
  <c r="B153" i="14"/>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F21" i="14"/>
  <c r="B21" i="14"/>
  <c r="C20" i="14"/>
  <c r="C16" i="14"/>
  <c r="C12" i="14"/>
  <c r="C8" i="14"/>
  <c r="G95"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8" i="2"/>
  <c r="H244" i="2"/>
  <c r="B192" i="2"/>
  <c r="R192" i="2"/>
  <c r="D192" i="2"/>
  <c r="H192" i="2"/>
  <c r="L192" i="2"/>
  <c r="P192" i="2"/>
  <c r="E247"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G160" i="2" s="1"/>
  <c r="P160" i="2"/>
  <c r="C160" i="2"/>
  <c r="F160" i="2" s="1"/>
  <c r="H160" i="2"/>
  <c r="M160" i="2"/>
  <c r="S160" i="2"/>
  <c r="D158" i="2"/>
  <c r="H158" i="2"/>
  <c r="J158" i="2" s="1"/>
  <c r="K158" i="2" s="1"/>
  <c r="L158" i="2"/>
  <c r="P158" i="2"/>
  <c r="B158" i="2"/>
  <c r="M158" i="2"/>
  <c r="R158" i="2"/>
  <c r="E158" i="2"/>
  <c r="Q156" i="2"/>
  <c r="Q154" i="2"/>
  <c r="B152" i="2"/>
  <c r="R152" i="2"/>
  <c r="E152" i="2"/>
  <c r="P152" i="2"/>
  <c r="C152" i="2"/>
  <c r="H152" i="2"/>
  <c r="M152" i="2"/>
  <c r="N152" i="2" s="1"/>
  <c r="O152" i="2" s="1"/>
  <c r="S152" i="2"/>
  <c r="D150" i="2"/>
  <c r="I3" i="21" s="1"/>
  <c r="H150" i="2"/>
  <c r="L150" i="2"/>
  <c r="P150" i="2"/>
  <c r="B150" i="2"/>
  <c r="M150" i="2"/>
  <c r="R150" i="2"/>
  <c r="E150" i="2"/>
  <c r="J3" i="21" s="1"/>
  <c r="Q148" i="2"/>
  <c r="Q146" i="2"/>
  <c r="B144" i="2"/>
  <c r="R144" i="2"/>
  <c r="E144" i="2"/>
  <c r="G144" i="2" s="1"/>
  <c r="P144" i="2"/>
  <c r="C144" i="2"/>
  <c r="F144" i="2" s="1"/>
  <c r="H144" i="2"/>
  <c r="J144" i="2" s="1"/>
  <c r="K144" i="2" s="1"/>
  <c r="M144" i="2"/>
  <c r="S144" i="2"/>
  <c r="Q142" i="2"/>
  <c r="F140" i="2"/>
  <c r="C138" i="2"/>
  <c r="S138" i="2"/>
  <c r="B138" i="2"/>
  <c r="H138" i="2"/>
  <c r="M138" i="2"/>
  <c r="R138" i="2"/>
  <c r="E138" i="2"/>
  <c r="P138" i="2"/>
  <c r="S135" i="2"/>
  <c r="Q134" i="2"/>
  <c r="C130" i="2"/>
  <c r="S130" i="2"/>
  <c r="B130" i="2"/>
  <c r="H130" i="2"/>
  <c r="J130" i="2" s="1"/>
  <c r="K130" i="2" s="1"/>
  <c r="M130" i="2"/>
  <c r="R130" i="2"/>
  <c r="E130" i="2"/>
  <c r="P130" i="2"/>
  <c r="S127" i="2"/>
  <c r="Q126" i="2"/>
  <c r="F124" i="2"/>
  <c r="C122" i="2"/>
  <c r="S122" i="2"/>
  <c r="B122" i="2"/>
  <c r="H122" i="2"/>
  <c r="M122" i="2"/>
  <c r="N122" i="2" s="1"/>
  <c r="O122" i="2" s="1"/>
  <c r="R122" i="2"/>
  <c r="E122" i="2"/>
  <c r="P122" i="2"/>
  <c r="S119" i="2"/>
  <c r="Q118" i="2"/>
  <c r="C114" i="2"/>
  <c r="S114" i="2"/>
  <c r="B114" i="2"/>
  <c r="H114" i="2"/>
  <c r="M114" i="2"/>
  <c r="N114" i="2" s="1"/>
  <c r="O114" i="2" s="1"/>
  <c r="R114" i="2"/>
  <c r="E114" i="2"/>
  <c r="P114" i="2"/>
  <c r="S111" i="2"/>
  <c r="Q110" i="2"/>
  <c r="C106" i="2"/>
  <c r="S106" i="2"/>
  <c r="B106" i="2"/>
  <c r="H106" i="2"/>
  <c r="J106" i="2" s="1"/>
  <c r="K106" i="2" s="1"/>
  <c r="M106" i="2"/>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R82" i="2"/>
  <c r="E82" i="2"/>
  <c r="P82" i="2"/>
  <c r="S79" i="2"/>
  <c r="Q78" i="2"/>
  <c r="C74" i="2"/>
  <c r="S74" i="2"/>
  <c r="B74" i="2"/>
  <c r="H74" i="2"/>
  <c r="M74" i="2"/>
  <c r="R74" i="2"/>
  <c r="E74" i="2"/>
  <c r="P74" i="2"/>
  <c r="S71" i="2"/>
  <c r="Q70" i="2"/>
  <c r="C66" i="2"/>
  <c r="S66" i="2"/>
  <c r="B66" i="2"/>
  <c r="H66" i="2"/>
  <c r="M66" i="2"/>
  <c r="R66" i="2"/>
  <c r="E66" i="2"/>
  <c r="P66" i="2"/>
  <c r="S63" i="2"/>
  <c r="Q62" i="2"/>
  <c r="C58" i="2"/>
  <c r="F58" i="2" s="1"/>
  <c r="S58" i="2"/>
  <c r="B58" i="2"/>
  <c r="H58" i="2"/>
  <c r="M58" i="2"/>
  <c r="R58" i="2"/>
  <c r="E58" i="2"/>
  <c r="G58" i="2" s="1"/>
  <c r="P58" i="2"/>
  <c r="S55" i="2"/>
  <c r="Q54" i="2"/>
  <c r="C50" i="2"/>
  <c r="S50" i="2"/>
  <c r="B50" i="2"/>
  <c r="H50" i="2"/>
  <c r="J50" i="2" s="1"/>
  <c r="K50" i="2" s="1"/>
  <c r="M50" i="2"/>
  <c r="R50" i="2"/>
  <c r="E50" i="2"/>
  <c r="P50" i="2"/>
  <c r="S47" i="2"/>
  <c r="Q46" i="2"/>
  <c r="C42" i="2"/>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B6" i="28"/>
  <c r="D11" i="2"/>
  <c r="H11" i="2"/>
  <c r="L11" i="2"/>
  <c r="P11" i="2"/>
  <c r="C11" i="2"/>
  <c r="I11" i="2"/>
  <c r="S11" i="2"/>
  <c r="E11" i="2"/>
  <c r="B11" i="2"/>
  <c r="M11" i="2"/>
  <c r="R11" i="2"/>
  <c r="B188" i="2"/>
  <c r="R188" i="2"/>
  <c r="D188" i="2"/>
  <c r="H188" i="2"/>
  <c r="J188" i="2" s="1"/>
  <c r="K188" i="2" s="1"/>
  <c r="L188" i="2"/>
  <c r="P188" i="2"/>
  <c r="D186" i="2"/>
  <c r="H186" i="2"/>
  <c r="L186" i="2"/>
  <c r="P186" i="2"/>
  <c r="B186" i="2"/>
  <c r="R186" i="2"/>
  <c r="B180" i="2"/>
  <c r="R180" i="2"/>
  <c r="D180" i="2"/>
  <c r="H180" i="2"/>
  <c r="L180" i="2"/>
  <c r="P180" i="2"/>
  <c r="D178" i="2"/>
  <c r="H178" i="2"/>
  <c r="L178" i="2"/>
  <c r="P178" i="2"/>
  <c r="B178" i="2"/>
  <c r="R178" i="2"/>
  <c r="B172" i="2"/>
  <c r="R172" i="2"/>
  <c r="D172" i="2"/>
  <c r="H172" i="2"/>
  <c r="L172" i="2"/>
  <c r="P172" i="2"/>
  <c r="S170" i="2"/>
  <c r="C170" i="2"/>
  <c r="C169" i="2"/>
  <c r="F169" i="2" s="1"/>
  <c r="S169" i="2"/>
  <c r="B169" i="2"/>
  <c r="H169" i="2"/>
  <c r="M169" i="2"/>
  <c r="R169" i="2"/>
  <c r="E169" i="2"/>
  <c r="G169" i="2" s="1"/>
  <c r="P169" i="2"/>
  <c r="D164" i="2"/>
  <c r="C161" i="2"/>
  <c r="F161" i="2" s="1"/>
  <c r="S161" i="2"/>
  <c r="B161" i="2"/>
  <c r="H161" i="2"/>
  <c r="M161" i="2"/>
  <c r="R161" i="2"/>
  <c r="E161" i="2"/>
  <c r="G161" i="2" s="1"/>
  <c r="P161" i="2"/>
  <c r="D156" i="2"/>
  <c r="C153" i="2"/>
  <c r="S153" i="2"/>
  <c r="B153" i="2"/>
  <c r="H153" i="2"/>
  <c r="M153" i="2"/>
  <c r="R153" i="2"/>
  <c r="E153" i="2"/>
  <c r="P153" i="2"/>
  <c r="C145" i="2"/>
  <c r="F145" i="2" s="1"/>
  <c r="S145" i="2"/>
  <c r="B145" i="2"/>
  <c r="H145" i="2"/>
  <c r="M145" i="2"/>
  <c r="R145" i="2"/>
  <c r="E145" i="2"/>
  <c r="G145" i="2" s="1"/>
  <c r="P145" i="2"/>
  <c r="B141" i="2"/>
  <c r="R141" i="2"/>
  <c r="C141" i="2"/>
  <c r="F141" i="2" s="1"/>
  <c r="H141" i="2"/>
  <c r="M141" i="2"/>
  <c r="S141" i="2"/>
  <c r="E141" i="2"/>
  <c r="G141" i="2" s="1"/>
  <c r="P141" i="2"/>
  <c r="D139" i="2"/>
  <c r="H139" i="2"/>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L123" i="2"/>
  <c r="P123" i="2"/>
  <c r="E123" i="2"/>
  <c r="B123" i="2"/>
  <c r="M123" i="2"/>
  <c r="R123" i="2"/>
  <c r="B117" i="2"/>
  <c r="R117" i="2"/>
  <c r="C117" i="2"/>
  <c r="F117" i="2" s="1"/>
  <c r="H117" i="2"/>
  <c r="M117" i="2"/>
  <c r="S117" i="2"/>
  <c r="E117" i="2"/>
  <c r="G117" i="2" s="1"/>
  <c r="P117" i="2"/>
  <c r="D115" i="2"/>
  <c r="H115" i="2"/>
  <c r="J115" i="2" s="1"/>
  <c r="K115" i="2" s="1"/>
  <c r="L115" i="2"/>
  <c r="P115" i="2"/>
  <c r="E115" i="2"/>
  <c r="B115" i="2"/>
  <c r="M115" i="2"/>
  <c r="R115" i="2"/>
  <c r="B109" i="2"/>
  <c r="R109" i="2"/>
  <c r="C109" i="2"/>
  <c r="F109" i="2" s="1"/>
  <c r="H109" i="2"/>
  <c r="M109" i="2"/>
  <c r="S109" i="2"/>
  <c r="E109" i="2"/>
  <c r="G109" i="2" s="1"/>
  <c r="P109" i="2"/>
  <c r="D107" i="2"/>
  <c r="H107" i="2"/>
  <c r="L107" i="2"/>
  <c r="P107" i="2"/>
  <c r="E107" i="2"/>
  <c r="B107" i="2"/>
  <c r="M107" i="2"/>
  <c r="R107" i="2"/>
  <c r="B101" i="2"/>
  <c r="R101" i="2"/>
  <c r="C101" i="2"/>
  <c r="F101" i="2" s="1"/>
  <c r="H101" i="2"/>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S85" i="2"/>
  <c r="E85" i="2"/>
  <c r="G85" i="2" s="1"/>
  <c r="P85" i="2"/>
  <c r="D83" i="2"/>
  <c r="H83" i="2"/>
  <c r="L83" i="2"/>
  <c r="P83" i="2"/>
  <c r="E83" i="2"/>
  <c r="B83" i="2"/>
  <c r="M83" i="2"/>
  <c r="R83" i="2"/>
  <c r="B77" i="2"/>
  <c r="R77" i="2"/>
  <c r="C77" i="2"/>
  <c r="F77" i="2" s="1"/>
  <c r="H77" i="2"/>
  <c r="M77" i="2"/>
  <c r="S77" i="2"/>
  <c r="E77" i="2"/>
  <c r="G77" i="2" s="1"/>
  <c r="P77" i="2"/>
  <c r="D75" i="2"/>
  <c r="H75" i="2"/>
  <c r="L75" i="2"/>
  <c r="P75" i="2"/>
  <c r="E75" i="2"/>
  <c r="B75" i="2"/>
  <c r="M75" i="2"/>
  <c r="R75" i="2"/>
  <c r="B69" i="2"/>
  <c r="R69" i="2"/>
  <c r="C69" i="2"/>
  <c r="H69" i="2"/>
  <c r="M69" i="2"/>
  <c r="N69" i="2" s="1"/>
  <c r="O69" i="2" s="1"/>
  <c r="S69" i="2"/>
  <c r="E69" i="2"/>
  <c r="P69" i="2"/>
  <c r="D67" i="2"/>
  <c r="H67" i="2"/>
  <c r="L67" i="2"/>
  <c r="P67" i="2"/>
  <c r="E67" i="2"/>
  <c r="B67" i="2"/>
  <c r="M67" i="2"/>
  <c r="R67" i="2"/>
  <c r="B61" i="2"/>
  <c r="R61" i="2"/>
  <c r="C61" i="2"/>
  <c r="H61" i="2"/>
  <c r="J61" i="2" s="1"/>
  <c r="K61" i="2" s="1"/>
  <c r="M61" i="2"/>
  <c r="S61" i="2"/>
  <c r="E61" i="2"/>
  <c r="P61" i="2"/>
  <c r="D59" i="2"/>
  <c r="H59" i="2"/>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S45" i="2"/>
  <c r="E45" i="2"/>
  <c r="P45" i="2"/>
  <c r="D43" i="2"/>
  <c r="H43" i="2"/>
  <c r="J43" i="2" s="1"/>
  <c r="K43" i="2" s="1"/>
  <c r="L43" i="2"/>
  <c r="P43" i="2"/>
  <c r="E43" i="2"/>
  <c r="B43" i="2"/>
  <c r="M43" i="2"/>
  <c r="R43" i="2"/>
  <c r="B37" i="2"/>
  <c r="R37" i="2"/>
  <c r="E4" i="21" s="1"/>
  <c r="C37" i="2"/>
  <c r="H4" i="21" s="1"/>
  <c r="H37" i="2"/>
  <c r="B4" i="21" s="1"/>
  <c r="M37" i="2"/>
  <c r="N37" i="2" s="1"/>
  <c r="O37" i="2" s="1"/>
  <c r="S37" i="2"/>
  <c r="E37" i="2"/>
  <c r="J4" i="21" s="1"/>
  <c r="P37" i="2"/>
  <c r="D4" i="21" s="1"/>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45" i="2"/>
  <c r="L164" i="2"/>
  <c r="D162" i="2"/>
  <c r="H162" i="2"/>
  <c r="L162" i="2"/>
  <c r="P162" i="2"/>
  <c r="E162" i="2"/>
  <c r="B162" i="2"/>
  <c r="M162" i="2"/>
  <c r="R162" i="2"/>
  <c r="L156" i="2"/>
  <c r="D154" i="2"/>
  <c r="H154" i="2"/>
  <c r="L154" i="2"/>
  <c r="P154" i="2"/>
  <c r="E154" i="2"/>
  <c r="B154" i="2"/>
  <c r="M154" i="2"/>
  <c r="R154" i="2"/>
  <c r="B148" i="2"/>
  <c r="R148" i="2"/>
  <c r="C148" i="2"/>
  <c r="F148" i="2" s="1"/>
  <c r="H148" i="2"/>
  <c r="M148" i="2"/>
  <c r="S148" i="2"/>
  <c r="E148" i="2"/>
  <c r="G148" i="2" s="1"/>
  <c r="P148" i="2"/>
  <c r="D146" i="2"/>
  <c r="H146" i="2"/>
  <c r="L146" i="2"/>
  <c r="P146" i="2"/>
  <c r="D3" i="21" s="1"/>
  <c r="E146" i="2"/>
  <c r="B146" i="2"/>
  <c r="M146" i="2"/>
  <c r="R146" i="2"/>
  <c r="E3" i="21" s="1"/>
  <c r="C142" i="2"/>
  <c r="S142" i="2"/>
  <c r="E142" i="2"/>
  <c r="P142" i="2"/>
  <c r="B142" i="2"/>
  <c r="H142" i="2"/>
  <c r="M142" i="2"/>
  <c r="R142" i="2"/>
  <c r="C134" i="2"/>
  <c r="S134" i="2"/>
  <c r="E134" i="2"/>
  <c r="P134" i="2"/>
  <c r="B134" i="2"/>
  <c r="H134" i="2"/>
  <c r="M134" i="2"/>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R102" i="2"/>
  <c r="C94" i="2"/>
  <c r="F94" i="2" s="1"/>
  <c r="S94" i="2"/>
  <c r="E94" i="2"/>
  <c r="G94" i="2" s="1"/>
  <c r="P94" i="2"/>
  <c r="B94" i="2"/>
  <c r="H94" i="2"/>
  <c r="M94" i="2"/>
  <c r="R94" i="2"/>
  <c r="C86" i="2"/>
  <c r="F86" i="2" s="1"/>
  <c r="S86" i="2"/>
  <c r="E86" i="2"/>
  <c r="G86" i="2" s="1"/>
  <c r="P86" i="2"/>
  <c r="B86" i="2"/>
  <c r="H86" i="2"/>
  <c r="M86" i="2"/>
  <c r="R86" i="2"/>
  <c r="C78" i="2"/>
  <c r="S78" i="2"/>
  <c r="E78" i="2"/>
  <c r="P78" i="2"/>
  <c r="B78" i="2"/>
  <c r="H78" i="2"/>
  <c r="M78" i="2"/>
  <c r="R78" i="2"/>
  <c r="C70" i="2"/>
  <c r="F70" i="2" s="1"/>
  <c r="S70" i="2"/>
  <c r="E70" i="2"/>
  <c r="G70" i="2" s="1"/>
  <c r="P70" i="2"/>
  <c r="B70" i="2"/>
  <c r="H70" i="2"/>
  <c r="M70" i="2"/>
  <c r="R70" i="2"/>
  <c r="C62" i="2"/>
  <c r="F62" i="2" s="1"/>
  <c r="S62" i="2"/>
  <c r="E62" i="2"/>
  <c r="G62" i="2" s="1"/>
  <c r="P62" i="2"/>
  <c r="B62" i="2"/>
  <c r="H62" i="2"/>
  <c r="M62" i="2"/>
  <c r="R62" i="2"/>
  <c r="C54" i="2"/>
  <c r="F54" i="2" s="1"/>
  <c r="S54" i="2"/>
  <c r="E54" i="2"/>
  <c r="G54" i="2" s="1"/>
  <c r="P54" i="2"/>
  <c r="B54" i="2"/>
  <c r="H54" i="2"/>
  <c r="M54" i="2"/>
  <c r="R54" i="2"/>
  <c r="C46" i="2"/>
  <c r="S46" i="2"/>
  <c r="E46" i="2"/>
  <c r="P46" i="2"/>
  <c r="B46" i="2"/>
  <c r="H46" i="2"/>
  <c r="M46" i="2"/>
  <c r="R46" i="2"/>
  <c r="C38" i="2"/>
  <c r="S38" i="2"/>
  <c r="E38" i="2"/>
  <c r="P38" i="2"/>
  <c r="B38" i="2"/>
  <c r="H38" i="2"/>
  <c r="M38" i="2"/>
  <c r="R38" i="2"/>
  <c r="C30" i="2"/>
  <c r="S30" i="2"/>
  <c r="E30" i="2"/>
  <c r="P30" i="2"/>
  <c r="B30" i="2"/>
  <c r="H30" i="2"/>
  <c r="M30" i="2"/>
  <c r="R30" i="2"/>
  <c r="C14" i="2"/>
  <c r="S14" i="2"/>
  <c r="D14" i="2"/>
  <c r="I14" i="2"/>
  <c r="E14" i="2"/>
  <c r="P14" i="2"/>
  <c r="B14" i="2"/>
  <c r="H14" i="2"/>
  <c r="M14" i="2"/>
  <c r="N14" i="2" s="1"/>
  <c r="O14" i="2" s="1"/>
  <c r="R14" i="2"/>
  <c r="I170" i="2"/>
  <c r="Q192" i="2"/>
  <c r="I192" i="2"/>
  <c r="D190" i="2"/>
  <c r="H190" i="2"/>
  <c r="J190" i="2" s="1"/>
  <c r="K190" i="2" s="1"/>
  <c r="L190" i="2"/>
  <c r="P190" i="2"/>
  <c r="B190" i="2"/>
  <c r="R190" i="2"/>
  <c r="M188" i="2"/>
  <c r="E188" i="2"/>
  <c r="M186" i="2"/>
  <c r="E186" i="2"/>
  <c r="B184" i="2"/>
  <c r="R184" i="2"/>
  <c r="D184" i="2"/>
  <c r="H184" i="2"/>
  <c r="L184" i="2"/>
  <c r="P184" i="2"/>
  <c r="D182" i="2"/>
  <c r="H182" i="2"/>
  <c r="L182" i="2"/>
  <c r="N182" i="2" s="1"/>
  <c r="O182" i="2" s="1"/>
  <c r="P182" i="2"/>
  <c r="B182" i="2"/>
  <c r="R182" i="2"/>
  <c r="M180" i="2"/>
  <c r="E180" i="2"/>
  <c r="M178" i="2"/>
  <c r="E178" i="2"/>
  <c r="B176" i="2"/>
  <c r="R176" i="2"/>
  <c r="D176" i="2"/>
  <c r="H176" i="2"/>
  <c r="J176" i="2" s="1"/>
  <c r="K176" i="2" s="1"/>
  <c r="L176" i="2"/>
  <c r="P176" i="2"/>
  <c r="D174" i="2"/>
  <c r="H174" i="2"/>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R157" i="2"/>
  <c r="I156" i="2"/>
  <c r="S154" i="2"/>
  <c r="I154" i="2"/>
  <c r="Q153" i="2"/>
  <c r="C149" i="2"/>
  <c r="S149" i="2"/>
  <c r="E149" i="2"/>
  <c r="P149" i="2"/>
  <c r="B149" i="2"/>
  <c r="H149" i="2"/>
  <c r="J149" i="2" s="1"/>
  <c r="K149" i="2" s="1"/>
  <c r="M149" i="2"/>
  <c r="R149" i="2"/>
  <c r="I148" i="2"/>
  <c r="S146" i="2"/>
  <c r="I146" i="2"/>
  <c r="Q145" i="2"/>
  <c r="D143" i="2"/>
  <c r="H143" i="2"/>
  <c r="J143" i="2" s="1"/>
  <c r="M143" i="2"/>
  <c r="Q143" i="2"/>
  <c r="B143" i="2"/>
  <c r="S143" i="2"/>
  <c r="E143" i="2"/>
  <c r="P143" i="2"/>
  <c r="I142" i="2"/>
  <c r="Q141" i="2"/>
  <c r="Q139" i="2"/>
  <c r="B137" i="2"/>
  <c r="R137" i="2"/>
  <c r="E137" i="2"/>
  <c r="P137" i="2"/>
  <c r="C137" i="2"/>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H127" i="2"/>
  <c r="J127" i="2" s="1"/>
  <c r="K127" i="2" s="1"/>
  <c r="L127" i="2"/>
  <c r="P127" i="2"/>
  <c r="B127" i="2"/>
  <c r="M127" i="2"/>
  <c r="R127" i="2"/>
  <c r="E127" i="2"/>
  <c r="I126" i="2"/>
  <c r="Q125" i="2"/>
  <c r="Q123" i="2"/>
  <c r="B121" i="2"/>
  <c r="R121" i="2"/>
  <c r="E121" i="2"/>
  <c r="P121" i="2"/>
  <c r="C121" i="2"/>
  <c r="H121" i="2"/>
  <c r="J121" i="2" s="1"/>
  <c r="K121" i="2" s="1"/>
  <c r="M121" i="2"/>
  <c r="S121" i="2"/>
  <c r="D119" i="2"/>
  <c r="H119" i="2"/>
  <c r="L119" i="2"/>
  <c r="P119" i="2"/>
  <c r="B119" i="2"/>
  <c r="M119" i="2"/>
  <c r="R119" i="2"/>
  <c r="E119" i="2"/>
  <c r="I118" i="2"/>
  <c r="Q117" i="2"/>
  <c r="Q115" i="2"/>
  <c r="B113" i="2"/>
  <c r="R113" i="2"/>
  <c r="E113" i="2"/>
  <c r="G113" i="2" s="1"/>
  <c r="P113" i="2"/>
  <c r="C113" i="2"/>
  <c r="F113" i="2" s="1"/>
  <c r="H113" i="2"/>
  <c r="M113" i="2"/>
  <c r="S113" i="2"/>
  <c r="D111" i="2"/>
  <c r="H111" i="2"/>
  <c r="J111" i="2" s="1"/>
  <c r="K111" i="2" s="1"/>
  <c r="L111" i="2"/>
  <c r="P111" i="2"/>
  <c r="B111" i="2"/>
  <c r="M111" i="2"/>
  <c r="R111" i="2"/>
  <c r="E111" i="2"/>
  <c r="I110" i="2"/>
  <c r="Q109" i="2"/>
  <c r="Q107" i="2"/>
  <c r="B105" i="2"/>
  <c r="R105" i="2"/>
  <c r="E105" i="2"/>
  <c r="P105" i="2"/>
  <c r="C105" i="2"/>
  <c r="H105" i="2"/>
  <c r="J105" i="2" s="1"/>
  <c r="K105" i="2" s="1"/>
  <c r="M105" i="2"/>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P89" i="2"/>
  <c r="C89" i="2"/>
  <c r="H89" i="2"/>
  <c r="J89" i="2" s="1"/>
  <c r="K89" i="2" s="1"/>
  <c r="M89" i="2"/>
  <c r="S89" i="2"/>
  <c r="D87" i="2"/>
  <c r="H87" i="2"/>
  <c r="J87" i="2" s="1"/>
  <c r="K87" i="2" s="1"/>
  <c r="L87" i="2"/>
  <c r="P87" i="2"/>
  <c r="B87" i="2"/>
  <c r="M87" i="2"/>
  <c r="R87" i="2"/>
  <c r="E87" i="2"/>
  <c r="I86" i="2"/>
  <c r="Q85" i="2"/>
  <c r="Q83" i="2"/>
  <c r="B81" i="2"/>
  <c r="R81" i="2"/>
  <c r="E81" i="2"/>
  <c r="P81" i="2"/>
  <c r="C81" i="2"/>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S65" i="2"/>
  <c r="D63" i="2"/>
  <c r="H63" i="2"/>
  <c r="L63" i="2"/>
  <c r="P63" i="2"/>
  <c r="B63" i="2"/>
  <c r="M63" i="2"/>
  <c r="R63" i="2"/>
  <c r="E63" i="2"/>
  <c r="I62" i="2"/>
  <c r="Q61" i="2"/>
  <c r="Q59" i="2"/>
  <c r="B57" i="2"/>
  <c r="R57" i="2"/>
  <c r="E57" i="2"/>
  <c r="P57" i="2"/>
  <c r="C57" i="2"/>
  <c r="F57" i="2" s="1"/>
  <c r="H57" i="2"/>
  <c r="J57" i="2" s="1"/>
  <c r="K57" i="2" s="1"/>
  <c r="M57" i="2"/>
  <c r="S57" i="2"/>
  <c r="D55" i="2"/>
  <c r="H55" i="2"/>
  <c r="L55" i="2"/>
  <c r="P55" i="2"/>
  <c r="B55" i="2"/>
  <c r="M55" i="2"/>
  <c r="R55" i="2"/>
  <c r="E55" i="2"/>
  <c r="I54" i="2"/>
  <c r="Q53" i="2"/>
  <c r="Q51" i="2"/>
  <c r="B49" i="2"/>
  <c r="R49" i="2"/>
  <c r="E49" i="2"/>
  <c r="P49" i="2"/>
  <c r="C49" i="2"/>
  <c r="H49" i="2"/>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L39" i="2"/>
  <c r="P39" i="2"/>
  <c r="B39" i="2"/>
  <c r="M39" i="2"/>
  <c r="R39" i="2"/>
  <c r="E39" i="2"/>
  <c r="I38" i="2"/>
  <c r="Q37" i="2"/>
  <c r="Q35" i="2"/>
  <c r="B33" i="2"/>
  <c r="R33" i="2"/>
  <c r="E33" i="2"/>
  <c r="G33" i="2" s="1"/>
  <c r="P33" i="2"/>
  <c r="C33" i="2"/>
  <c r="F33" i="2" s="1"/>
  <c r="H33" i="2"/>
  <c r="M33" i="2"/>
  <c r="S33" i="2"/>
  <c r="D31" i="2"/>
  <c r="H31" i="2"/>
  <c r="L31" i="2"/>
  <c r="P31" i="2"/>
  <c r="B31" i="2"/>
  <c r="M31" i="2"/>
  <c r="R31" i="2"/>
  <c r="E31" i="2"/>
  <c r="I30" i="2"/>
  <c r="Q29" i="2"/>
  <c r="Q27" i="2"/>
  <c r="B25" i="2"/>
  <c r="R25" i="2"/>
  <c r="E25" i="2"/>
  <c r="P25" i="2"/>
  <c r="C25" i="2"/>
  <c r="H25" i="2"/>
  <c r="M25" i="2"/>
  <c r="S25" i="2"/>
  <c r="L22" i="2"/>
  <c r="D19" i="2"/>
  <c r="H19" i="2"/>
  <c r="L19" i="2"/>
  <c r="P19" i="2"/>
  <c r="C19" i="2"/>
  <c r="I19" i="2"/>
  <c r="S19" i="2"/>
  <c r="E19" i="2"/>
  <c r="B19" i="2"/>
  <c r="M19" i="2"/>
  <c r="R19" i="2"/>
  <c r="Q14" i="2"/>
  <c r="D23" i="2"/>
  <c r="H23" i="2"/>
  <c r="L23" i="2"/>
  <c r="P23" i="2"/>
  <c r="B21" i="2"/>
  <c r="R21" i="2"/>
  <c r="L18" i="2"/>
  <c r="Q15" i="2"/>
  <c r="S191" i="2"/>
  <c r="S187" i="2"/>
  <c r="S183" i="2"/>
  <c r="S179" i="2"/>
  <c r="S175" i="2"/>
  <c r="E23" i="2"/>
  <c r="P21" i="2"/>
  <c r="E21" i="2"/>
  <c r="P18" i="2"/>
  <c r="E18" i="2"/>
  <c r="E15" i="2"/>
  <c r="P13" i="2"/>
  <c r="E13" i="2"/>
  <c r="P185" i="3"/>
  <c r="D184" i="3"/>
  <c r="L184" i="3"/>
  <c r="P184" i="3"/>
  <c r="C184" i="3"/>
  <c r="G184" i="3"/>
  <c r="O184" i="3"/>
  <c r="C181" i="3"/>
  <c r="G181" i="3"/>
  <c r="O181" i="3"/>
  <c r="B181" i="3"/>
  <c r="F181" i="3"/>
  <c r="J181" i="3"/>
  <c r="K181" i="3" s="1"/>
  <c r="N181" i="3"/>
  <c r="J180" i="3"/>
  <c r="L177" i="3"/>
  <c r="N172" i="3"/>
  <c r="F172" i="3"/>
  <c r="P169" i="3"/>
  <c r="D168" i="3"/>
  <c r="L168" i="3"/>
  <c r="P168" i="3"/>
  <c r="C168" i="3"/>
  <c r="G168" i="3"/>
  <c r="O168" i="3"/>
  <c r="C165" i="3"/>
  <c r="G165" i="3"/>
  <c r="O165" i="3"/>
  <c r="B165" i="3"/>
  <c r="F165" i="3"/>
  <c r="J165" i="3"/>
  <c r="K165" i="3" s="1"/>
  <c r="N165" i="3"/>
  <c r="J164" i="3"/>
  <c r="L161" i="3"/>
  <c r="N156" i="3"/>
  <c r="F156" i="3"/>
  <c r="P153" i="3"/>
  <c r="D152" i="3"/>
  <c r="L152" i="3"/>
  <c r="P152" i="3"/>
  <c r="C152" i="3"/>
  <c r="G152" i="3"/>
  <c r="O152" i="3"/>
  <c r="C149" i="3"/>
  <c r="G149" i="3"/>
  <c r="O149" i="3"/>
  <c r="B149" i="3"/>
  <c r="F149" i="3"/>
  <c r="J149" i="3"/>
  <c r="N149" i="3"/>
  <c r="J148" i="3"/>
  <c r="L145" i="3"/>
  <c r="N140" i="3"/>
  <c r="F140" i="3"/>
  <c r="P137" i="3"/>
  <c r="D136" i="3"/>
  <c r="L136" i="3"/>
  <c r="P136" i="3"/>
  <c r="C136" i="3"/>
  <c r="G136" i="3"/>
  <c r="O136" i="3"/>
  <c r="C133" i="3"/>
  <c r="G133" i="3"/>
  <c r="O133" i="3"/>
  <c r="B133" i="3"/>
  <c r="F133" i="3"/>
  <c r="J133" i="3"/>
  <c r="K133" i="3" s="1"/>
  <c r="N133" i="3"/>
  <c r="J132" i="3"/>
  <c r="K132" i="3" s="1"/>
  <c r="D124" i="3"/>
  <c r="L124" i="3"/>
  <c r="P124" i="3"/>
  <c r="B124" i="3"/>
  <c r="F124" i="3"/>
  <c r="J124" i="3"/>
  <c r="N124" i="3"/>
  <c r="C124" i="3"/>
  <c r="G124" i="3"/>
  <c r="O124" i="3"/>
  <c r="Q113" i="3"/>
  <c r="Q107" i="3"/>
  <c r="Q97" i="3"/>
  <c r="D180" i="3"/>
  <c r="L180" i="3"/>
  <c r="P180" i="3"/>
  <c r="C180" i="3"/>
  <c r="G180" i="3"/>
  <c r="O180" i="3"/>
  <c r="C177" i="3"/>
  <c r="G177" i="3"/>
  <c r="O177" i="3"/>
  <c r="B177" i="3"/>
  <c r="F177" i="3"/>
  <c r="J177" i="3"/>
  <c r="N177" i="3"/>
  <c r="D164" i="3"/>
  <c r="L164" i="3"/>
  <c r="P164" i="3"/>
  <c r="C164" i="3"/>
  <c r="G164" i="3"/>
  <c r="E164" i="5" s="1"/>
  <c r="O164" i="3"/>
  <c r="C161" i="3"/>
  <c r="G161" i="3"/>
  <c r="O161" i="3"/>
  <c r="B161" i="3"/>
  <c r="F161" i="3"/>
  <c r="J161" i="3"/>
  <c r="K161" i="3" s="1"/>
  <c r="N161" i="3"/>
  <c r="D148" i="3"/>
  <c r="L148" i="3"/>
  <c r="P148" i="3"/>
  <c r="C148" i="3"/>
  <c r="G148" i="3"/>
  <c r="O148" i="3"/>
  <c r="C145" i="3"/>
  <c r="G145" i="3"/>
  <c r="E145" i="5" s="1"/>
  <c r="O145" i="3"/>
  <c r="B145" i="3"/>
  <c r="F145" i="3"/>
  <c r="J145" i="3"/>
  <c r="N145" i="3"/>
  <c r="D132" i="3"/>
  <c r="L132" i="3"/>
  <c r="P132" i="3"/>
  <c r="C132" i="3"/>
  <c r="G132" i="3"/>
  <c r="O132" i="3"/>
  <c r="D128" i="3"/>
  <c r="L128" i="3"/>
  <c r="P128" i="3"/>
  <c r="B128" i="3"/>
  <c r="F128" i="3"/>
  <c r="J128" i="3"/>
  <c r="N128" i="3"/>
  <c r="C128" i="3"/>
  <c r="G128" i="3"/>
  <c r="O128" i="3"/>
  <c r="C118" i="3"/>
  <c r="G118" i="3"/>
  <c r="H118" i="3" s="1"/>
  <c r="J118" i="3"/>
  <c r="N118" i="3"/>
  <c r="B118" i="3"/>
  <c r="L118" i="3"/>
  <c r="P118" i="3"/>
  <c r="D118" i="3"/>
  <c r="I118" i="3"/>
  <c r="M118" i="3"/>
  <c r="Q118" i="3"/>
  <c r="C102" i="3"/>
  <c r="G102" i="3"/>
  <c r="H102" i="3" s="1"/>
  <c r="O102" i="3"/>
  <c r="J102" i="3"/>
  <c r="P102" i="3"/>
  <c r="B102" i="3"/>
  <c r="M102" i="3"/>
  <c r="D102" i="3"/>
  <c r="I102" i="3"/>
  <c r="N102" i="3"/>
  <c r="C248" i="2"/>
  <c r="R23" i="2"/>
  <c r="M23" i="2"/>
  <c r="B23" i="2"/>
  <c r="S21" i="2"/>
  <c r="M21" i="2"/>
  <c r="N21" i="2" s="1"/>
  <c r="O21" i="2" s="1"/>
  <c r="H21" i="2"/>
  <c r="C21" i="2"/>
  <c r="R18" i="2"/>
  <c r="M18" i="2"/>
  <c r="H18" i="2"/>
  <c r="J18" i="2" s="1"/>
  <c r="K18" i="2" s="1"/>
  <c r="R15" i="2"/>
  <c r="M15" i="2"/>
  <c r="S13" i="2"/>
  <c r="M13" i="2"/>
  <c r="N13" i="2" s="1"/>
  <c r="O13" i="2" s="1"/>
  <c r="H13" i="2"/>
  <c r="J13" i="2" s="1"/>
  <c r="K13" i="2" s="1"/>
  <c r="D188" i="3"/>
  <c r="L188" i="3"/>
  <c r="P188" i="3"/>
  <c r="L185" i="3"/>
  <c r="M184" i="3"/>
  <c r="N180" i="3"/>
  <c r="F180" i="3"/>
  <c r="P177" i="3"/>
  <c r="D176" i="3"/>
  <c r="L176" i="3"/>
  <c r="P176" i="3"/>
  <c r="C176" i="3"/>
  <c r="G176" i="3"/>
  <c r="O176" i="3"/>
  <c r="C173" i="3"/>
  <c r="G173" i="3"/>
  <c r="O173" i="3"/>
  <c r="B173" i="3"/>
  <c r="F173" i="3"/>
  <c r="J173" i="3"/>
  <c r="N173" i="3"/>
  <c r="J172" i="3"/>
  <c r="L169" i="3"/>
  <c r="M168" i="3"/>
  <c r="N164" i="3"/>
  <c r="F164" i="3"/>
  <c r="P161" i="3"/>
  <c r="D160" i="3"/>
  <c r="L160" i="3"/>
  <c r="P160" i="3"/>
  <c r="C160" i="3"/>
  <c r="G160" i="3"/>
  <c r="O160" i="3"/>
  <c r="C157" i="3"/>
  <c r="E157" i="3" s="1"/>
  <c r="G157" i="3"/>
  <c r="E157" i="5" s="1"/>
  <c r="O157" i="3"/>
  <c r="B157" i="3"/>
  <c r="F157" i="3"/>
  <c r="J157" i="3"/>
  <c r="K157" i="3" s="1"/>
  <c r="N157" i="3"/>
  <c r="J156" i="3"/>
  <c r="L153" i="3"/>
  <c r="M152" i="3"/>
  <c r="N148" i="3"/>
  <c r="F148" i="3"/>
  <c r="P145" i="3"/>
  <c r="D144" i="3"/>
  <c r="L144" i="3"/>
  <c r="P144" i="3"/>
  <c r="C144" i="3"/>
  <c r="G144" i="3"/>
  <c r="O144" i="3"/>
  <c r="C141" i="3"/>
  <c r="G141" i="3"/>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E153" i="3" s="1"/>
  <c r="G153" i="3"/>
  <c r="E153" i="5" s="1"/>
  <c r="O153" i="3"/>
  <c r="B153" i="3"/>
  <c r="F153" i="3"/>
  <c r="J153" i="3"/>
  <c r="N153" i="3"/>
  <c r="M148" i="3"/>
  <c r="M145" i="3"/>
  <c r="D140" i="3"/>
  <c r="L140" i="3"/>
  <c r="P140" i="3"/>
  <c r="C140" i="3"/>
  <c r="G140" i="3"/>
  <c r="E140" i="5" s="1"/>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G110" i="3"/>
  <c r="O110" i="3"/>
  <c r="D105" i="3"/>
  <c r="L105" i="3"/>
  <c r="P105" i="3"/>
  <c r="B99" i="3"/>
  <c r="F99" i="3"/>
  <c r="J99" i="3"/>
  <c r="K99" i="3" s="1"/>
  <c r="N99" i="3"/>
  <c r="C94" i="3"/>
  <c r="E94" i="3" s="1"/>
  <c r="G94" i="3"/>
  <c r="O94" i="3"/>
  <c r="O91" i="3"/>
  <c r="I91" i="3"/>
  <c r="D91" i="3"/>
  <c r="E91" i="3" s="1"/>
  <c r="D89" i="3"/>
  <c r="E89" i="3" s="1"/>
  <c r="L89" i="3"/>
  <c r="P89" i="3"/>
  <c r="N86" i="3"/>
  <c r="I86" i="3"/>
  <c r="D86" i="3"/>
  <c r="B83" i="3"/>
  <c r="F83" i="3"/>
  <c r="J83" i="3"/>
  <c r="N83" i="3"/>
  <c r="N81" i="3"/>
  <c r="I81" i="3"/>
  <c r="C81" i="3"/>
  <c r="C78" i="3"/>
  <c r="G78" i="3"/>
  <c r="O78" i="3"/>
  <c r="O75" i="3"/>
  <c r="I75" i="3"/>
  <c r="D75" i="3"/>
  <c r="D73" i="3"/>
  <c r="L73" i="3"/>
  <c r="P73" i="3"/>
  <c r="N70" i="3"/>
  <c r="I70" i="3"/>
  <c r="D70" i="3"/>
  <c r="B67" i="3"/>
  <c r="F67" i="3"/>
  <c r="H67" i="3" s="1"/>
  <c r="J67" i="3"/>
  <c r="N67" i="3"/>
  <c r="N65" i="3"/>
  <c r="I65" i="3"/>
  <c r="C65" i="3"/>
  <c r="C62" i="3"/>
  <c r="G62" i="3"/>
  <c r="O62" i="3"/>
  <c r="O59" i="3"/>
  <c r="I59" i="3"/>
  <c r="D59" i="3"/>
  <c r="E59" i="3" s="1"/>
  <c r="D57" i="3"/>
  <c r="L57" i="3"/>
  <c r="P57" i="3"/>
  <c r="N54" i="3"/>
  <c r="I54" i="3"/>
  <c r="D54" i="3"/>
  <c r="B51" i="3"/>
  <c r="F51" i="3"/>
  <c r="J51" i="3"/>
  <c r="K51" i="3" s="1"/>
  <c r="N51" i="3"/>
  <c r="N49" i="3"/>
  <c r="I49" i="3"/>
  <c r="C49" i="3"/>
  <c r="C46" i="3"/>
  <c r="G46" i="3"/>
  <c r="O46" i="3"/>
  <c r="O43" i="3"/>
  <c r="I43" i="3"/>
  <c r="D43" i="3"/>
  <c r="E43" i="3" s="1"/>
  <c r="D41" i="3"/>
  <c r="L41" i="3"/>
  <c r="P41" i="3"/>
  <c r="N38" i="3"/>
  <c r="I38" i="3"/>
  <c r="D38" i="3"/>
  <c r="B35" i="3"/>
  <c r="F35" i="3"/>
  <c r="J35" i="3"/>
  <c r="N35" i="3"/>
  <c r="N33" i="3"/>
  <c r="I33" i="3"/>
  <c r="C33" i="3"/>
  <c r="C30" i="3"/>
  <c r="G30" i="3"/>
  <c r="O30" i="3"/>
  <c r="O27" i="3"/>
  <c r="I27" i="3"/>
  <c r="D27" i="3"/>
  <c r="D25" i="3"/>
  <c r="L25" i="3"/>
  <c r="P25" i="3"/>
  <c r="N22" i="3"/>
  <c r="I22" i="3"/>
  <c r="D22" i="3"/>
  <c r="B19" i="3"/>
  <c r="F19" i="3"/>
  <c r="J19" i="3"/>
  <c r="N19" i="3"/>
  <c r="N17" i="3"/>
  <c r="I17" i="3"/>
  <c r="C17" i="3"/>
  <c r="C14" i="3"/>
  <c r="G14" i="3"/>
  <c r="O14" i="3"/>
  <c r="O11" i="3"/>
  <c r="I11" i="3"/>
  <c r="D11" i="3"/>
  <c r="D9" i="3"/>
  <c r="E9" i="3" s="1"/>
  <c r="L9" i="3"/>
  <c r="P9" i="3"/>
  <c r="D62" i="5"/>
  <c r="I62" i="5"/>
  <c r="O62" i="5"/>
  <c r="D61" i="5"/>
  <c r="H61" i="5"/>
  <c r="D60" i="5"/>
  <c r="H60" i="5"/>
  <c r="D59" i="5"/>
  <c r="H59" i="5"/>
  <c r="D58" i="5"/>
  <c r="H58" i="5"/>
  <c r="D57" i="5"/>
  <c r="H57" i="5"/>
  <c r="D56" i="5"/>
  <c r="H56" i="5"/>
  <c r="D55" i="5"/>
  <c r="H55" i="5"/>
  <c r="D54" i="5"/>
  <c r="H54" i="5"/>
  <c r="D53" i="5"/>
  <c r="H53" i="5"/>
  <c r="D52" i="5"/>
  <c r="H52" i="5"/>
  <c r="D51" i="5"/>
  <c r="H51" i="5"/>
  <c r="D50" i="5"/>
  <c r="H50" i="5"/>
  <c r="E12" i="5"/>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L126" i="3"/>
  <c r="D126" i="3"/>
  <c r="P122" i="3"/>
  <c r="L122" i="3"/>
  <c r="D122" i="3"/>
  <c r="P115" i="3"/>
  <c r="C114" i="3"/>
  <c r="G114" i="3"/>
  <c r="H114" i="3" s="1"/>
  <c r="O114" i="3"/>
  <c r="P110" i="3"/>
  <c r="J110" i="3"/>
  <c r="K110" i="3" s="1"/>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P78" i="3"/>
  <c r="J78" i="3"/>
  <c r="D77" i="3"/>
  <c r="L77" i="3"/>
  <c r="P77" i="3"/>
  <c r="M75" i="3"/>
  <c r="O73" i="3"/>
  <c r="J73" i="3"/>
  <c r="K73" i="3" s="1"/>
  <c r="B71" i="3"/>
  <c r="F71" i="3"/>
  <c r="H71" i="3" s="1"/>
  <c r="J71" i="3"/>
  <c r="N71" i="3"/>
  <c r="M70" i="3"/>
  <c r="P67" i="3"/>
  <c r="C66" i="3"/>
  <c r="G66" i="3"/>
  <c r="H66" i="3" s="1"/>
  <c r="O66" i="3"/>
  <c r="M65" i="3"/>
  <c r="G65" i="3"/>
  <c r="P62" i="3"/>
  <c r="J62" i="3"/>
  <c r="K62" i="3" s="1"/>
  <c r="D61" i="3"/>
  <c r="L61" i="3"/>
  <c r="P61" i="3"/>
  <c r="M59" i="3"/>
  <c r="O57" i="3"/>
  <c r="J57" i="3"/>
  <c r="K57" i="3" s="1"/>
  <c r="B55" i="3"/>
  <c r="F55" i="3"/>
  <c r="J55" i="3"/>
  <c r="N55" i="3"/>
  <c r="M54" i="3"/>
  <c r="P51" i="3"/>
  <c r="C50" i="3"/>
  <c r="G50" i="3"/>
  <c r="O50" i="3"/>
  <c r="M49" i="3"/>
  <c r="G49" i="3"/>
  <c r="E49" i="5" s="1"/>
  <c r="F49" i="5" s="1"/>
  <c r="G49" i="5" s="1"/>
  <c r="P46" i="3"/>
  <c r="J46" i="3"/>
  <c r="K46" i="3" s="1"/>
  <c r="D45" i="3"/>
  <c r="L45" i="3"/>
  <c r="P45" i="3"/>
  <c r="M43" i="3"/>
  <c r="O41" i="3"/>
  <c r="J41" i="3"/>
  <c r="B39" i="3"/>
  <c r="F39" i="3"/>
  <c r="J39" i="3"/>
  <c r="N39" i="3"/>
  <c r="M38" i="3"/>
  <c r="P35" i="3"/>
  <c r="C34" i="3"/>
  <c r="G34" i="3"/>
  <c r="O34" i="3"/>
  <c r="M33" i="3"/>
  <c r="G33" i="3"/>
  <c r="E33" i="5" s="1"/>
  <c r="F33" i="5" s="1"/>
  <c r="G33" i="5" s="1"/>
  <c r="P30" i="3"/>
  <c r="J30" i="3"/>
  <c r="K30" i="3" s="1"/>
  <c r="D29" i="3"/>
  <c r="L29" i="3"/>
  <c r="P29" i="3"/>
  <c r="M27" i="3"/>
  <c r="O25" i="3"/>
  <c r="J25" i="3"/>
  <c r="K25" i="3" s="1"/>
  <c r="B23" i="3"/>
  <c r="F23" i="3"/>
  <c r="J23" i="3"/>
  <c r="N23" i="3"/>
  <c r="M22" i="3"/>
  <c r="P19" i="3"/>
  <c r="C18" i="3"/>
  <c r="G18" i="3"/>
  <c r="O18" i="3"/>
  <c r="M17" i="3"/>
  <c r="G17" i="3"/>
  <c r="E17" i="5" s="1"/>
  <c r="F17" i="5" s="1"/>
  <c r="G17" i="5" s="1"/>
  <c r="P14" i="3"/>
  <c r="J14" i="3"/>
  <c r="K14" i="3" s="1"/>
  <c r="D13" i="3"/>
  <c r="L13" i="3"/>
  <c r="P13" i="3"/>
  <c r="M11" i="3"/>
  <c r="O9" i="3"/>
  <c r="J9" i="3"/>
  <c r="B7" i="3"/>
  <c r="F7" i="3"/>
  <c r="J7" i="3"/>
  <c r="N7" i="3"/>
  <c r="E166" i="5"/>
  <c r="E109" i="5"/>
  <c r="E103" i="5"/>
  <c r="E101" i="5"/>
  <c r="E93" i="5"/>
  <c r="E71" i="5"/>
  <c r="E67" i="5"/>
  <c r="N62" i="5"/>
  <c r="K61" i="5"/>
  <c r="K60" i="5"/>
  <c r="K59" i="5"/>
  <c r="K58" i="5"/>
  <c r="K57" i="5"/>
  <c r="K56" i="5"/>
  <c r="K55" i="5"/>
  <c r="K54" i="5"/>
  <c r="K53" i="5"/>
  <c r="K52" i="5"/>
  <c r="K51" i="5"/>
  <c r="K50" i="5"/>
  <c r="L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J59" i="3"/>
  <c r="N59" i="3"/>
  <c r="C54" i="3"/>
  <c r="G54" i="3"/>
  <c r="O54" i="3"/>
  <c r="D49" i="3"/>
  <c r="L49" i="3"/>
  <c r="P49" i="3"/>
  <c r="B43" i="3"/>
  <c r="F43" i="3"/>
  <c r="J43" i="3"/>
  <c r="N43" i="3"/>
  <c r="C38" i="3"/>
  <c r="G38" i="3"/>
  <c r="O38" i="3"/>
  <c r="D33" i="3"/>
  <c r="L33" i="3"/>
  <c r="P33" i="3"/>
  <c r="B27" i="3"/>
  <c r="F27" i="3"/>
  <c r="H27" i="3" s="1"/>
  <c r="J27" i="3"/>
  <c r="N27" i="3"/>
  <c r="C22" i="3"/>
  <c r="G22" i="3"/>
  <c r="H22" i="3" s="1"/>
  <c r="O22" i="3"/>
  <c r="D17" i="3"/>
  <c r="L17" i="3"/>
  <c r="P17" i="3"/>
  <c r="B11" i="3"/>
  <c r="F11" i="3"/>
  <c r="J11" i="3"/>
  <c r="N11" i="3"/>
  <c r="E61" i="5"/>
  <c r="E60" i="5"/>
  <c r="E47" i="5"/>
  <c r="F47" i="5" s="1"/>
  <c r="G47" i="5" s="1"/>
  <c r="E43" i="5"/>
  <c r="F43" i="5" s="1"/>
  <c r="G43" i="5" s="1"/>
  <c r="E13" i="5"/>
  <c r="F13" i="5" s="1"/>
  <c r="G13" i="5" s="1"/>
  <c r="F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K182" i="3" s="1"/>
  <c r="F182" i="3"/>
  <c r="H182" i="3" s="1"/>
  <c r="N178" i="3"/>
  <c r="J178" i="3"/>
  <c r="F178" i="3"/>
  <c r="N174" i="3"/>
  <c r="J174" i="3"/>
  <c r="F174" i="3"/>
  <c r="N170" i="3"/>
  <c r="J170" i="3"/>
  <c r="F170" i="3"/>
  <c r="H170" i="3" s="1"/>
  <c r="N166" i="3"/>
  <c r="J166" i="3"/>
  <c r="K166" i="3" s="1"/>
  <c r="F166" i="3"/>
  <c r="H166" i="3" s="1"/>
  <c r="N162" i="3"/>
  <c r="J162" i="3"/>
  <c r="F162" i="3"/>
  <c r="N158" i="3"/>
  <c r="J158" i="3"/>
  <c r="F158" i="3"/>
  <c r="N154" i="3"/>
  <c r="J154" i="3"/>
  <c r="F154" i="3"/>
  <c r="N150" i="3"/>
  <c r="J150" i="3"/>
  <c r="F150" i="3"/>
  <c r="N146" i="3"/>
  <c r="J146" i="3"/>
  <c r="F146" i="3"/>
  <c r="N142" i="3"/>
  <c r="J142" i="3"/>
  <c r="K142" i="3" s="1"/>
  <c r="F142" i="3"/>
  <c r="N138" i="3"/>
  <c r="J138" i="3"/>
  <c r="F138" i="3"/>
  <c r="N134" i="3"/>
  <c r="J134" i="3"/>
  <c r="F134" i="3"/>
  <c r="N130" i="3"/>
  <c r="J130" i="3"/>
  <c r="K130" i="3" s="1"/>
  <c r="F130" i="3"/>
  <c r="O129" i="3"/>
  <c r="G129" i="3"/>
  <c r="H129" i="3" s="1"/>
  <c r="N126" i="3"/>
  <c r="J126" i="3"/>
  <c r="F126" i="3"/>
  <c r="O125" i="3"/>
  <c r="G125" i="3"/>
  <c r="N122" i="3"/>
  <c r="J122" i="3"/>
  <c r="F122" i="3"/>
  <c r="O121" i="3"/>
  <c r="G121" i="3"/>
  <c r="D117" i="3"/>
  <c r="L117" i="3"/>
  <c r="P117" i="3"/>
  <c r="M115" i="3"/>
  <c r="C115" i="3"/>
  <c r="N114" i="3"/>
  <c r="I114" i="3"/>
  <c r="K114" i="3" s="1"/>
  <c r="D114" i="3"/>
  <c r="B111" i="3"/>
  <c r="F111" i="3"/>
  <c r="J111" i="3"/>
  <c r="K111" i="3" s="1"/>
  <c r="N111" i="3"/>
  <c r="M110" i="3"/>
  <c r="B110" i="3"/>
  <c r="N109" i="3"/>
  <c r="I109" i="3"/>
  <c r="K109" i="3" s="1"/>
  <c r="C109" i="3"/>
  <c r="C106" i="3"/>
  <c r="E106" i="3" s="1"/>
  <c r="G106" i="3"/>
  <c r="O106" i="3"/>
  <c r="M105" i="3"/>
  <c r="G105" i="3"/>
  <c r="E105" i="5" s="1"/>
  <c r="B105" i="3"/>
  <c r="O103" i="3"/>
  <c r="I103" i="3"/>
  <c r="D103" i="3"/>
  <c r="D101" i="3"/>
  <c r="E101" i="3" s="1"/>
  <c r="L101" i="3"/>
  <c r="P101" i="3"/>
  <c r="M99" i="3"/>
  <c r="C99" i="3"/>
  <c r="E99" i="3" s="1"/>
  <c r="N98" i="3"/>
  <c r="I98" i="3"/>
  <c r="D98" i="3"/>
  <c r="B95" i="3"/>
  <c r="F95" i="3"/>
  <c r="J95" i="3"/>
  <c r="N95" i="3"/>
  <c r="M94" i="3"/>
  <c r="B94" i="3"/>
  <c r="N93" i="3"/>
  <c r="I93" i="3"/>
  <c r="K93" i="3" s="1"/>
  <c r="C93" i="3"/>
  <c r="P91" i="3"/>
  <c r="C90" i="3"/>
  <c r="G90" i="3"/>
  <c r="O90" i="3"/>
  <c r="M89" i="3"/>
  <c r="G89" i="3"/>
  <c r="E89" i="5" s="1"/>
  <c r="B89" i="3"/>
  <c r="O87" i="3"/>
  <c r="I87" i="3"/>
  <c r="D87" i="3"/>
  <c r="E87" i="3" s="1"/>
  <c r="P86" i="3"/>
  <c r="J86" i="3"/>
  <c r="D85" i="3"/>
  <c r="E85" i="3" s="1"/>
  <c r="L85" i="3"/>
  <c r="P85" i="3"/>
  <c r="M83" i="3"/>
  <c r="C83" i="3"/>
  <c r="E83" i="3" s="1"/>
  <c r="N82" i="3"/>
  <c r="I82" i="3"/>
  <c r="D82" i="3"/>
  <c r="O81" i="3"/>
  <c r="J81" i="3"/>
  <c r="B79" i="3"/>
  <c r="F79" i="3"/>
  <c r="J79" i="3"/>
  <c r="N79" i="3"/>
  <c r="M78" i="3"/>
  <c r="B78" i="3"/>
  <c r="N77" i="3"/>
  <c r="I77" i="3"/>
  <c r="C77" i="3"/>
  <c r="P75" i="3"/>
  <c r="C74" i="3"/>
  <c r="G74" i="3"/>
  <c r="O74" i="3"/>
  <c r="M73" i="3"/>
  <c r="G73" i="3"/>
  <c r="E73" i="5" s="1"/>
  <c r="B73" i="3"/>
  <c r="O71" i="3"/>
  <c r="I71" i="3"/>
  <c r="D71" i="3"/>
  <c r="P70" i="3"/>
  <c r="J70" i="3"/>
  <c r="D69" i="3"/>
  <c r="L69" i="3"/>
  <c r="P69" i="3"/>
  <c r="M67" i="3"/>
  <c r="C67" i="3"/>
  <c r="N66" i="3"/>
  <c r="I66" i="3"/>
  <c r="D66" i="3"/>
  <c r="O65" i="3"/>
  <c r="J65" i="3"/>
  <c r="B63" i="3"/>
  <c r="F63" i="3"/>
  <c r="J63" i="3"/>
  <c r="K63" i="3" s="1"/>
  <c r="N63" i="3"/>
  <c r="M62" i="3"/>
  <c r="B62" i="3"/>
  <c r="N61" i="3"/>
  <c r="I61" i="3"/>
  <c r="C61" i="3"/>
  <c r="P59" i="3"/>
  <c r="C58" i="3"/>
  <c r="G58" i="3"/>
  <c r="H58" i="3" s="1"/>
  <c r="O58" i="3"/>
  <c r="M57" i="3"/>
  <c r="G57" i="3"/>
  <c r="B57" i="3"/>
  <c r="O55" i="3"/>
  <c r="I55" i="3"/>
  <c r="D55" i="3"/>
  <c r="P54" i="3"/>
  <c r="J54" i="3"/>
  <c r="D53" i="3"/>
  <c r="L53" i="3"/>
  <c r="P53" i="3"/>
  <c r="M51" i="3"/>
  <c r="C51" i="3"/>
  <c r="N50" i="3"/>
  <c r="I50" i="3"/>
  <c r="D50" i="3"/>
  <c r="O49" i="3"/>
  <c r="J49" i="3"/>
  <c r="B47" i="3"/>
  <c r="F47" i="3"/>
  <c r="H47" i="3" s="1"/>
  <c r="J47" i="3"/>
  <c r="N47" i="3"/>
  <c r="M46" i="3"/>
  <c r="B46" i="3"/>
  <c r="N45" i="3"/>
  <c r="I45" i="3"/>
  <c r="C45" i="3"/>
  <c r="P43" i="3"/>
  <c r="C42" i="3"/>
  <c r="E42" i="3" s="1"/>
  <c r="G42" i="3"/>
  <c r="H42" i="3" s="1"/>
  <c r="O42" i="3"/>
  <c r="M41" i="3"/>
  <c r="G41" i="3"/>
  <c r="B41" i="3"/>
  <c r="O39" i="3"/>
  <c r="I39" i="3"/>
  <c r="D39" i="3"/>
  <c r="P38" i="3"/>
  <c r="J38" i="3"/>
  <c r="D37" i="3"/>
  <c r="E37" i="3" s="1"/>
  <c r="L37" i="3"/>
  <c r="P37" i="3"/>
  <c r="M35" i="3"/>
  <c r="C35" i="3"/>
  <c r="E35" i="3" s="1"/>
  <c r="N34" i="3"/>
  <c r="I34" i="3"/>
  <c r="D34" i="3"/>
  <c r="O33" i="3"/>
  <c r="J33" i="3"/>
  <c r="B31" i="3"/>
  <c r="F31" i="3"/>
  <c r="J31" i="3"/>
  <c r="N31" i="3"/>
  <c r="M30" i="3"/>
  <c r="B30" i="3"/>
  <c r="N29" i="3"/>
  <c r="I29" i="3"/>
  <c r="C29" i="3"/>
  <c r="P27" i="3"/>
  <c r="C26" i="3"/>
  <c r="G26" i="3"/>
  <c r="O26" i="3"/>
  <c r="M25" i="3"/>
  <c r="G25" i="3"/>
  <c r="B25" i="3"/>
  <c r="O23" i="3"/>
  <c r="I23" i="3"/>
  <c r="D23" i="3"/>
  <c r="E23" i="3" s="1"/>
  <c r="P22" i="3"/>
  <c r="J22" i="3"/>
  <c r="D21" i="3"/>
  <c r="L21" i="3"/>
  <c r="P21" i="3"/>
  <c r="M19" i="3"/>
  <c r="C19" i="3"/>
  <c r="E19" i="3" s="1"/>
  <c r="N18" i="3"/>
  <c r="I18" i="3"/>
  <c r="D18" i="3"/>
  <c r="O17" i="3"/>
  <c r="J17" i="3"/>
  <c r="B15" i="3"/>
  <c r="F15" i="3"/>
  <c r="J15" i="3"/>
  <c r="N15" i="3"/>
  <c r="M14" i="3"/>
  <c r="B14" i="3"/>
  <c r="N13" i="3"/>
  <c r="I13" i="3"/>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D156" i="5"/>
  <c r="H156" i="5"/>
  <c r="D155" i="5"/>
  <c r="H155" i="5"/>
  <c r="J155" i="5" s="1"/>
  <c r="D154" i="5"/>
  <c r="H154" i="5"/>
  <c r="J154" i="5" s="1"/>
  <c r="D153" i="5"/>
  <c r="H153" i="5"/>
  <c r="J153" i="5" s="1"/>
  <c r="D152" i="5"/>
  <c r="H152" i="5"/>
  <c r="D151" i="5"/>
  <c r="H151" i="5"/>
  <c r="J151" i="5" s="1"/>
  <c r="D150" i="5"/>
  <c r="H150" i="5"/>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D139" i="5"/>
  <c r="H139" i="5"/>
  <c r="J139" i="5" s="1"/>
  <c r="D138" i="5"/>
  <c r="H138" i="5"/>
  <c r="D137" i="5"/>
  <c r="H137" i="5"/>
  <c r="J137" i="5" s="1"/>
  <c r="D136" i="5"/>
  <c r="H136" i="5"/>
  <c r="D135" i="5"/>
  <c r="H135" i="5"/>
  <c r="J135" i="5" s="1"/>
  <c r="D134" i="5"/>
  <c r="H134" i="5"/>
  <c r="D133" i="5"/>
  <c r="H133" i="5"/>
  <c r="J133" i="5" s="1"/>
  <c r="D132" i="5"/>
  <c r="H132" i="5"/>
  <c r="D131" i="5"/>
  <c r="H131" i="5"/>
  <c r="J131" i="5" s="1"/>
  <c r="D130" i="5"/>
  <c r="H130" i="5"/>
  <c r="J130" i="5" s="1"/>
  <c r="D129" i="5"/>
  <c r="H129" i="5"/>
  <c r="D128" i="5"/>
  <c r="H128" i="5"/>
  <c r="D127" i="5"/>
  <c r="H127" i="5"/>
  <c r="J127" i="5" s="1"/>
  <c r="D126" i="5"/>
  <c r="H126" i="5"/>
  <c r="D125" i="5"/>
  <c r="H125" i="5"/>
  <c r="J125" i="5" s="1"/>
  <c r="D124" i="5"/>
  <c r="H124" i="5"/>
  <c r="D123" i="5"/>
  <c r="H123" i="5"/>
  <c r="J123" i="5" s="1"/>
  <c r="D122" i="5"/>
  <c r="H122" i="5"/>
  <c r="J122" i="5" s="1"/>
  <c r="D121" i="5"/>
  <c r="H121" i="5"/>
  <c r="D120" i="5"/>
  <c r="H120" i="5"/>
  <c r="D119" i="5"/>
  <c r="H119" i="5"/>
  <c r="J119" i="5" s="1"/>
  <c r="D118" i="5"/>
  <c r="H118" i="5"/>
  <c r="D117" i="5"/>
  <c r="H117" i="5"/>
  <c r="D116" i="5"/>
  <c r="H116" i="5"/>
  <c r="D115" i="5"/>
  <c r="H115" i="5"/>
  <c r="J115" i="5" s="1"/>
  <c r="D114" i="5"/>
  <c r="H114" i="5"/>
  <c r="J114" i="5" s="1"/>
  <c r="D113" i="5"/>
  <c r="H113" i="5"/>
  <c r="J113" i="5" s="1"/>
  <c r="D112" i="5"/>
  <c r="H112" i="5"/>
  <c r="D111" i="5"/>
  <c r="H111" i="5"/>
  <c r="J111" i="5" s="1"/>
  <c r="D110" i="5"/>
  <c r="H110" i="5"/>
  <c r="D109" i="5"/>
  <c r="H109" i="5"/>
  <c r="J109" i="5" s="1"/>
  <c r="D108" i="5"/>
  <c r="H108" i="5"/>
  <c r="J108" i="5" s="1"/>
  <c r="D107" i="5"/>
  <c r="H107" i="5"/>
  <c r="J107" i="5" s="1"/>
  <c r="D106" i="5"/>
  <c r="H106" i="5"/>
  <c r="D105" i="5"/>
  <c r="H105" i="5"/>
  <c r="J105" i="5" s="1"/>
  <c r="D104" i="5"/>
  <c r="H104" i="5"/>
  <c r="J104" i="5" s="1"/>
  <c r="D103" i="5"/>
  <c r="H103" i="5"/>
  <c r="J103" i="5" s="1"/>
  <c r="D102" i="5"/>
  <c r="H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D87" i="5"/>
  <c r="H87" i="5"/>
  <c r="J87" i="5" s="1"/>
  <c r="D86" i="5"/>
  <c r="H86" i="5"/>
  <c r="D85" i="5"/>
  <c r="H85" i="5"/>
  <c r="J85" i="5" s="1"/>
  <c r="D84" i="5"/>
  <c r="H84" i="5"/>
  <c r="J84" i="5" s="1"/>
  <c r="L84" i="5"/>
  <c r="D83" i="5"/>
  <c r="H83" i="5"/>
  <c r="J83" i="5" s="1"/>
  <c r="D82" i="5"/>
  <c r="H82" i="5"/>
  <c r="D81" i="5"/>
  <c r="H81" i="5"/>
  <c r="J81" i="5" s="1"/>
  <c r="D80" i="5"/>
  <c r="H80" i="5"/>
  <c r="J80" i="5" s="1"/>
  <c r="L80" i="5"/>
  <c r="D79" i="5"/>
  <c r="H79" i="5"/>
  <c r="J79" i="5" s="1"/>
  <c r="D78" i="5"/>
  <c r="H78" i="5"/>
  <c r="D77" i="5"/>
  <c r="H77" i="5"/>
  <c r="J77" i="5" s="1"/>
  <c r="D76" i="5"/>
  <c r="H76" i="5"/>
  <c r="J76" i="5" s="1"/>
  <c r="D75" i="5"/>
  <c r="H75" i="5"/>
  <c r="J75" i="5" s="1"/>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C182" i="7"/>
  <c r="G182" i="7"/>
  <c r="K182" i="7"/>
  <c r="O182" i="7"/>
  <c r="D182" i="7"/>
  <c r="H182" i="7"/>
  <c r="L182" i="7"/>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H180" i="7"/>
  <c r="D180" i="7"/>
  <c r="H176" i="7"/>
  <c r="L172" i="7"/>
  <c r="H172" i="7"/>
  <c r="D172" i="7"/>
  <c r="L164" i="7"/>
  <c r="H164" i="7"/>
  <c r="D164" i="7"/>
  <c r="L160" i="7"/>
  <c r="D160" i="7"/>
  <c r="O158" i="7"/>
  <c r="K157" i="7"/>
  <c r="E157" i="7"/>
  <c r="O151" i="7"/>
  <c r="J151" i="7"/>
  <c r="E151" i="7"/>
  <c r="O135" i="7"/>
  <c r="J135" i="7"/>
  <c r="E135" i="7"/>
  <c r="L131" i="7"/>
  <c r="O119" i="7"/>
  <c r="J119" i="7"/>
  <c r="E119" i="7"/>
  <c r="J114" i="7"/>
  <c r="E114" i="7"/>
  <c r="M111" i="7"/>
  <c r="G111" i="7"/>
  <c r="K109" i="7"/>
  <c r="E109" i="7"/>
  <c r="M106" i="7"/>
  <c r="B105" i="7"/>
  <c r="F105" i="7"/>
  <c r="J105" i="7"/>
  <c r="N105" i="7"/>
  <c r="O103" i="7"/>
  <c r="J103" i="7"/>
  <c r="E103" i="7"/>
  <c r="M101" i="7"/>
  <c r="H101" i="7"/>
  <c r="D99" i="7"/>
  <c r="H99" i="7"/>
  <c r="M95" i="7"/>
  <c r="G95" i="7"/>
  <c r="C94" i="7"/>
  <c r="G94" i="7"/>
  <c r="K94" i="7"/>
  <c r="O94" i="7"/>
  <c r="K93" i="7"/>
  <c r="E93" i="7"/>
  <c r="H90" i="7"/>
  <c r="D83" i="7"/>
  <c r="H83" i="7"/>
  <c r="L83" i="7"/>
  <c r="M79" i="7"/>
  <c r="G79" i="7"/>
  <c r="K77" i="7"/>
  <c r="E77" i="7"/>
  <c r="M74" i="7"/>
  <c r="H74" i="7"/>
  <c r="O71" i="7"/>
  <c r="J71" i="7"/>
  <c r="E71" i="7"/>
  <c r="D67" i="7"/>
  <c r="H67" i="7"/>
  <c r="L67" i="7"/>
  <c r="M63" i="7"/>
  <c r="G63" i="7"/>
  <c r="G62" i="7"/>
  <c r="M58" i="7"/>
  <c r="H58" i="7"/>
  <c r="B57" i="7"/>
  <c r="F57" i="7"/>
  <c r="J57" i="7"/>
  <c r="N57" i="7"/>
  <c r="J50" i="7"/>
  <c r="E50" i="7"/>
  <c r="C46" i="7"/>
  <c r="G46" i="7"/>
  <c r="K46" i="7"/>
  <c r="O46" i="7"/>
  <c r="K45" i="7"/>
  <c r="E45" i="7"/>
  <c r="M42" i="7"/>
  <c r="H42" i="7"/>
  <c r="B41" i="7"/>
  <c r="F41" i="7"/>
  <c r="J41" i="7"/>
  <c r="N41" i="7"/>
  <c r="M37" i="7"/>
  <c r="H37" i="7"/>
  <c r="H35" i="7"/>
  <c r="M31" i="7"/>
  <c r="G31" i="7"/>
  <c r="C30" i="7"/>
  <c r="G30" i="7"/>
  <c r="K30" i="7"/>
  <c r="O30" i="7"/>
  <c r="K29" i="7"/>
  <c r="E29" i="7"/>
  <c r="M26" i="7"/>
  <c r="H26" i="7"/>
  <c r="B25" i="7"/>
  <c r="J25" i="7"/>
  <c r="O23" i="7"/>
  <c r="G23" i="7"/>
  <c r="K19" i="7"/>
  <c r="M182" i="6"/>
  <c r="M174" i="6"/>
  <c r="M166" i="6"/>
  <c r="M158" i="6"/>
  <c r="M150" i="6"/>
  <c r="C145" i="6"/>
  <c r="G145" i="6"/>
  <c r="K145" i="6"/>
  <c r="B145" i="6"/>
  <c r="H145" i="6"/>
  <c r="M145" i="6"/>
  <c r="D145" i="6"/>
  <c r="I145" i="6"/>
  <c r="Q145" i="12" s="1"/>
  <c r="N145" i="6"/>
  <c r="E145" i="6"/>
  <c r="J145" i="6"/>
  <c r="O145" i="6"/>
  <c r="D118" i="6"/>
  <c r="H118" i="6"/>
  <c r="L118" i="12" s="1"/>
  <c r="L118" i="6"/>
  <c r="O118" i="12" s="1"/>
  <c r="B118" i="6"/>
  <c r="G118" i="6"/>
  <c r="M118" i="6"/>
  <c r="C118" i="6"/>
  <c r="L118" i="5" s="1"/>
  <c r="I118" i="6"/>
  <c r="Q118" i="12" s="1"/>
  <c r="N118" i="6"/>
  <c r="E118" i="6"/>
  <c r="J118" i="6"/>
  <c r="O118" i="6"/>
  <c r="C113" i="6"/>
  <c r="G113" i="6"/>
  <c r="K113" i="6"/>
  <c r="R113" i="12" s="1"/>
  <c r="O113" i="6"/>
  <c r="B113" i="6"/>
  <c r="H113" i="6"/>
  <c r="M113" i="6"/>
  <c r="D113" i="6"/>
  <c r="I113" i="6"/>
  <c r="N113" i="6"/>
  <c r="E113" i="6"/>
  <c r="J113" i="6"/>
  <c r="H127" i="7"/>
  <c r="K122" i="7"/>
  <c r="D111" i="7"/>
  <c r="H111" i="7"/>
  <c r="L111" i="7"/>
  <c r="B101" i="7"/>
  <c r="F101" i="7"/>
  <c r="J101" i="7"/>
  <c r="N101" i="7"/>
  <c r="D95" i="7"/>
  <c r="H95" i="7"/>
  <c r="L95" i="7"/>
  <c r="C90" i="7"/>
  <c r="D79" i="7"/>
  <c r="H79" i="7"/>
  <c r="L79" i="7"/>
  <c r="C74" i="7"/>
  <c r="G74" i="7"/>
  <c r="K74" i="7"/>
  <c r="O74" i="7"/>
  <c r="D63" i="7"/>
  <c r="H63" i="7"/>
  <c r="L63" i="7"/>
  <c r="C58" i="7"/>
  <c r="G58" i="7"/>
  <c r="K58" i="7"/>
  <c r="O58" i="7"/>
  <c r="F53" i="7"/>
  <c r="N53" i="7"/>
  <c r="C42" i="7"/>
  <c r="G42" i="7"/>
  <c r="K42" i="7"/>
  <c r="O42" i="7"/>
  <c r="B37" i="7"/>
  <c r="F37" i="7"/>
  <c r="J37" i="7"/>
  <c r="N37" i="7"/>
  <c r="D31" i="7"/>
  <c r="H31" i="7"/>
  <c r="L31" i="7"/>
  <c r="O29" i="7"/>
  <c r="I29" i="7"/>
  <c r="D29" i="7"/>
  <c r="O26" i="7"/>
  <c r="M23" i="7"/>
  <c r="E23" i="7"/>
  <c r="D19" i="7"/>
  <c r="H19" i="7"/>
  <c r="L19" i="7"/>
  <c r="B19" i="7"/>
  <c r="F19" i="7"/>
  <c r="J19" i="7"/>
  <c r="N19" i="7"/>
  <c r="M15" i="7"/>
  <c r="B186" i="6"/>
  <c r="F186" i="6"/>
  <c r="J186" i="6"/>
  <c r="N186" i="6"/>
  <c r="C186" i="6"/>
  <c r="G186" i="6"/>
  <c r="K186" i="6"/>
  <c r="O186" i="6"/>
  <c r="D186" i="6"/>
  <c r="H186" i="6"/>
  <c r="L186" i="12" s="1"/>
  <c r="L186" i="6"/>
  <c r="O186" i="12" s="1"/>
  <c r="I182" i="6"/>
  <c r="M182" i="12" s="1"/>
  <c r="B178" i="6"/>
  <c r="F178" i="6"/>
  <c r="J178" i="6"/>
  <c r="N178" i="6"/>
  <c r="C178" i="6"/>
  <c r="G178" i="6"/>
  <c r="K178" i="6"/>
  <c r="O178" i="6"/>
  <c r="D178" i="6"/>
  <c r="H178" i="6"/>
  <c r="L178" i="12" s="1"/>
  <c r="L178" i="6"/>
  <c r="O178" i="12" s="1"/>
  <c r="I174" i="6"/>
  <c r="M174" i="12" s="1"/>
  <c r="Q170" i="12"/>
  <c r="B170" i="6"/>
  <c r="F170" i="6"/>
  <c r="J170" i="6"/>
  <c r="N170" i="6"/>
  <c r="C170" i="6"/>
  <c r="G170" i="6"/>
  <c r="K170" i="6"/>
  <c r="O170" i="6"/>
  <c r="D170" i="6"/>
  <c r="H170" i="6"/>
  <c r="L170" i="6"/>
  <c r="I166" i="6"/>
  <c r="Q166" i="12" s="1"/>
  <c r="Q162" i="12"/>
  <c r="B162" i="6"/>
  <c r="F162" i="6"/>
  <c r="J162" i="6"/>
  <c r="N162" i="6"/>
  <c r="C162" i="6"/>
  <c r="G162" i="6"/>
  <c r="K162" i="6"/>
  <c r="R162" i="12" s="1"/>
  <c r="O162" i="6"/>
  <c r="D162" i="6"/>
  <c r="H162" i="6"/>
  <c r="P162" i="12" s="1"/>
  <c r="L162" i="6"/>
  <c r="I158" i="6"/>
  <c r="Q158" i="12" s="1"/>
  <c r="B154" i="6"/>
  <c r="F154" i="6"/>
  <c r="J154" i="6"/>
  <c r="N154" i="6"/>
  <c r="C154" i="6"/>
  <c r="G154" i="6"/>
  <c r="K154" i="6"/>
  <c r="S154" i="12" s="1"/>
  <c r="O154" i="6"/>
  <c r="D154" i="6"/>
  <c r="H154" i="6"/>
  <c r="L154" i="6"/>
  <c r="I150" i="6"/>
  <c r="Q150" i="12" s="1"/>
  <c r="B146" i="6"/>
  <c r="F146" i="6"/>
  <c r="J146" i="6"/>
  <c r="N146" i="6"/>
  <c r="C146" i="6"/>
  <c r="G146" i="6"/>
  <c r="K146" i="6"/>
  <c r="O146" i="6"/>
  <c r="D146" i="6"/>
  <c r="H146" i="6"/>
  <c r="L146" i="12" s="1"/>
  <c r="L146" i="6"/>
  <c r="O146" i="12" s="1"/>
  <c r="L140" i="6"/>
  <c r="O140" i="12" s="1"/>
  <c r="B124" i="6"/>
  <c r="F124" i="6"/>
  <c r="J124" i="6"/>
  <c r="N124" i="6"/>
  <c r="C124" i="6"/>
  <c r="H124" i="6"/>
  <c r="L124" i="12" s="1"/>
  <c r="M124" i="6"/>
  <c r="D124" i="6"/>
  <c r="I124" i="6"/>
  <c r="O124" i="6"/>
  <c r="E124" i="6"/>
  <c r="K124" i="6"/>
  <c r="H49" i="5"/>
  <c r="H48" i="5"/>
  <c r="H47" i="5"/>
  <c r="H46" i="5"/>
  <c r="H45" i="5"/>
  <c r="H44" i="5"/>
  <c r="H43" i="5"/>
  <c r="H42" i="5"/>
  <c r="H41" i="5"/>
  <c r="J41" i="5" s="1"/>
  <c r="H40" i="5"/>
  <c r="H39" i="5"/>
  <c r="H38" i="5"/>
  <c r="H37" i="5"/>
  <c r="H36" i="5"/>
  <c r="H35" i="5"/>
  <c r="L34" i="5"/>
  <c r="H34" i="5"/>
  <c r="H33" i="5"/>
  <c r="H32" i="5"/>
  <c r="J32" i="5" s="1"/>
  <c r="H31" i="5"/>
  <c r="H30" i="5"/>
  <c r="L29" i="5"/>
  <c r="H29" i="5"/>
  <c r="H28" i="5"/>
  <c r="J28" i="5" s="1"/>
  <c r="H27" i="5"/>
  <c r="J27" i="5" s="1"/>
  <c r="H26" i="5"/>
  <c r="H25" i="5"/>
  <c r="H24" i="5"/>
  <c r="H23" i="5"/>
  <c r="H22" i="5"/>
  <c r="H21" i="5"/>
  <c r="J21" i="5" s="1"/>
  <c r="H20" i="5"/>
  <c r="H19" i="5"/>
  <c r="H18" i="5"/>
  <c r="H17" i="5"/>
  <c r="L16" i="5"/>
  <c r="H16" i="5"/>
  <c r="H15" i="5"/>
  <c r="H14" i="5"/>
  <c r="H13" i="5"/>
  <c r="H12" i="5"/>
  <c r="J12" i="5" s="1"/>
  <c r="H11" i="5"/>
  <c r="H10" i="5"/>
  <c r="H9" i="5"/>
  <c r="L8" i="5"/>
  <c r="H8" i="5"/>
  <c r="H7" i="5"/>
  <c r="O189" i="7"/>
  <c r="K189" i="7"/>
  <c r="J189" i="12" s="1"/>
  <c r="G189" i="7"/>
  <c r="O185" i="7"/>
  <c r="K185" i="7"/>
  <c r="G185" i="7"/>
  <c r="N184" i="7"/>
  <c r="J184" i="7"/>
  <c r="F184" i="7"/>
  <c r="N180" i="7"/>
  <c r="J180" i="7"/>
  <c r="F180" i="7"/>
  <c r="O177" i="7"/>
  <c r="K177" i="7"/>
  <c r="G177" i="7"/>
  <c r="O173" i="7"/>
  <c r="K173" i="7"/>
  <c r="G173" i="7"/>
  <c r="N172" i="7"/>
  <c r="J172" i="7"/>
  <c r="F172" i="7"/>
  <c r="N164" i="7"/>
  <c r="J164" i="7"/>
  <c r="F164" i="7"/>
  <c r="K161" i="7"/>
  <c r="G161" i="7"/>
  <c r="M157" i="7"/>
  <c r="H157" i="7"/>
  <c r="M151" i="7"/>
  <c r="G151" i="7"/>
  <c r="B145" i="7"/>
  <c r="F145" i="7"/>
  <c r="J145" i="7"/>
  <c r="N145" i="7"/>
  <c r="H141" i="7"/>
  <c r="M135" i="7"/>
  <c r="G135" i="7"/>
  <c r="N131" i="7"/>
  <c r="E127" i="7"/>
  <c r="M119" i="7"/>
  <c r="G119" i="7"/>
  <c r="M114" i="7"/>
  <c r="H114" i="7"/>
  <c r="B113" i="7"/>
  <c r="F113" i="7"/>
  <c r="J113" i="7"/>
  <c r="N113" i="7"/>
  <c r="O111" i="7"/>
  <c r="J111" i="7"/>
  <c r="E111" i="7"/>
  <c r="M109" i="7"/>
  <c r="H109" i="7"/>
  <c r="D107" i="7"/>
  <c r="H107" i="7"/>
  <c r="L107" i="7"/>
  <c r="J106" i="7"/>
  <c r="O105" i="7"/>
  <c r="I105" i="7"/>
  <c r="D105" i="7"/>
  <c r="M103" i="7"/>
  <c r="G103" i="7"/>
  <c r="K101" i="7"/>
  <c r="E101" i="7"/>
  <c r="I99" i="7"/>
  <c r="M98" i="7"/>
  <c r="B97" i="7"/>
  <c r="F97" i="7"/>
  <c r="J97" i="7"/>
  <c r="N97" i="7"/>
  <c r="O95" i="7"/>
  <c r="J95" i="7"/>
  <c r="E95" i="7"/>
  <c r="N94" i="7"/>
  <c r="I94" i="7"/>
  <c r="D94" i="7"/>
  <c r="M93" i="7"/>
  <c r="H93" i="7"/>
  <c r="H91" i="7"/>
  <c r="C86" i="7"/>
  <c r="G86" i="7"/>
  <c r="K86" i="7"/>
  <c r="O86" i="7"/>
  <c r="N83" i="7"/>
  <c r="I83" i="7"/>
  <c r="C83" i="7"/>
  <c r="M82" i="7"/>
  <c r="H82" i="7"/>
  <c r="B81" i="7"/>
  <c r="F81" i="7"/>
  <c r="J81" i="7"/>
  <c r="N81" i="7"/>
  <c r="O79" i="7"/>
  <c r="J79" i="7"/>
  <c r="E79" i="7"/>
  <c r="M77" i="7"/>
  <c r="H77" i="7"/>
  <c r="J74" i="7"/>
  <c r="E74" i="7"/>
  <c r="M71" i="7"/>
  <c r="G71" i="7"/>
  <c r="C70" i="7"/>
  <c r="N67" i="7"/>
  <c r="I67" i="7"/>
  <c r="C67" i="7"/>
  <c r="B65" i="7"/>
  <c r="F65" i="7"/>
  <c r="J65" i="7"/>
  <c r="N65" i="7"/>
  <c r="O63" i="7"/>
  <c r="J63" i="7"/>
  <c r="E63" i="7"/>
  <c r="D59" i="7"/>
  <c r="H59" i="7"/>
  <c r="L59" i="7"/>
  <c r="J58" i="7"/>
  <c r="E58" i="7"/>
  <c r="O57" i="7"/>
  <c r="I57" i="7"/>
  <c r="D57" i="7"/>
  <c r="G54" i="7"/>
  <c r="K53" i="7"/>
  <c r="M50" i="7"/>
  <c r="B49" i="7"/>
  <c r="F49" i="7"/>
  <c r="J49" i="7"/>
  <c r="N49" i="7"/>
  <c r="N46" i="7"/>
  <c r="I46" i="7"/>
  <c r="D46" i="7"/>
  <c r="M45" i="7"/>
  <c r="H45" i="7"/>
  <c r="J42" i="7"/>
  <c r="E42" i="7"/>
  <c r="O41" i="7"/>
  <c r="I41" i="7"/>
  <c r="D41" i="7"/>
  <c r="K37" i="7"/>
  <c r="E37" i="7"/>
  <c r="N35" i="7"/>
  <c r="C35" i="7"/>
  <c r="O31" i="7"/>
  <c r="J31" i="7"/>
  <c r="E31" i="7"/>
  <c r="N30" i="7"/>
  <c r="I30" i="7"/>
  <c r="D30" i="7"/>
  <c r="M29" i="7"/>
  <c r="H29" i="7"/>
  <c r="D27" i="7"/>
  <c r="H27" i="7"/>
  <c r="L27" i="7"/>
  <c r="J26" i="7"/>
  <c r="E26" i="7"/>
  <c r="K23" i="7"/>
  <c r="B21" i="7"/>
  <c r="F21" i="7"/>
  <c r="J21" i="7"/>
  <c r="N21" i="7"/>
  <c r="D21" i="7"/>
  <c r="H21" i="7"/>
  <c r="L21" i="7"/>
  <c r="O19" i="7"/>
  <c r="G19" i="7"/>
  <c r="L13" i="7"/>
  <c r="M186" i="6"/>
  <c r="M178" i="6"/>
  <c r="M170" i="6"/>
  <c r="M162" i="6"/>
  <c r="M154" i="6"/>
  <c r="M146" i="6"/>
  <c r="L145" i="6"/>
  <c r="S134" i="12"/>
  <c r="D134" i="6"/>
  <c r="H134" i="6"/>
  <c r="L134" i="12" s="1"/>
  <c r="L134" i="6"/>
  <c r="O134" i="12" s="1"/>
  <c r="B134" i="6"/>
  <c r="G134" i="6"/>
  <c r="M134" i="6"/>
  <c r="C134" i="6"/>
  <c r="I134" i="6"/>
  <c r="Q134" i="12" s="1"/>
  <c r="N134" i="6"/>
  <c r="E134" i="6"/>
  <c r="J134" i="6"/>
  <c r="O134" i="6"/>
  <c r="C129" i="6"/>
  <c r="G129" i="6"/>
  <c r="K129" i="6"/>
  <c r="O129" i="6"/>
  <c r="B129" i="6"/>
  <c r="H129" i="6"/>
  <c r="M129" i="6"/>
  <c r="D129" i="6"/>
  <c r="I129" i="6"/>
  <c r="N129" i="6"/>
  <c r="E129" i="6"/>
  <c r="J129" i="6"/>
  <c r="K118" i="6"/>
  <c r="S118" i="12" s="1"/>
  <c r="L113" i="6"/>
  <c r="O113" i="12" s="1"/>
  <c r="Q106" i="12"/>
  <c r="D106" i="6"/>
  <c r="H106" i="6"/>
  <c r="L106" i="12" s="1"/>
  <c r="L106" i="6"/>
  <c r="B106" i="6"/>
  <c r="F106" i="6"/>
  <c r="J106" i="6"/>
  <c r="N106" i="6"/>
  <c r="C106" i="6"/>
  <c r="K106" i="6"/>
  <c r="S106" i="12" s="1"/>
  <c r="E106" i="6"/>
  <c r="M106" i="6"/>
  <c r="G106" i="6"/>
  <c r="O106" i="6"/>
  <c r="B157" i="7"/>
  <c r="F157" i="7"/>
  <c r="J157" i="7"/>
  <c r="N157" i="7"/>
  <c r="D151" i="7"/>
  <c r="H151" i="7"/>
  <c r="L151" i="7"/>
  <c r="B141" i="7"/>
  <c r="J141" i="7"/>
  <c r="D135" i="7"/>
  <c r="H135" i="7"/>
  <c r="L135" i="7"/>
  <c r="D119" i="7"/>
  <c r="H119" i="7"/>
  <c r="L119" i="7"/>
  <c r="C114" i="7"/>
  <c r="G114" i="7"/>
  <c r="K114" i="7"/>
  <c r="O114" i="7"/>
  <c r="N111" i="7"/>
  <c r="I111" i="7"/>
  <c r="C111" i="7"/>
  <c r="B109" i="7"/>
  <c r="F109" i="7"/>
  <c r="J109" i="7"/>
  <c r="N109" i="7"/>
  <c r="D103" i="7"/>
  <c r="H103" i="7"/>
  <c r="L103" i="7"/>
  <c r="O101" i="7"/>
  <c r="I101" i="7"/>
  <c r="D101" i="7"/>
  <c r="G98" i="7"/>
  <c r="O98" i="7"/>
  <c r="N95" i="7"/>
  <c r="I95" i="7"/>
  <c r="C95" i="7"/>
  <c r="B93" i="7"/>
  <c r="F93" i="7"/>
  <c r="J93" i="7"/>
  <c r="N93" i="7"/>
  <c r="D90" i="7"/>
  <c r="D87" i="7"/>
  <c r="C82" i="7"/>
  <c r="G82" i="7"/>
  <c r="K82" i="7"/>
  <c r="O82" i="7"/>
  <c r="N79" i="7"/>
  <c r="I79" i="7"/>
  <c r="C79" i="7"/>
  <c r="B77" i="7"/>
  <c r="F77" i="7"/>
  <c r="J77" i="7"/>
  <c r="N77" i="7"/>
  <c r="N74" i="7"/>
  <c r="I74" i="7"/>
  <c r="D74" i="7"/>
  <c r="D71" i="7"/>
  <c r="H71" i="7"/>
  <c r="L71" i="7"/>
  <c r="O66" i="7"/>
  <c r="N63" i="7"/>
  <c r="I63" i="7"/>
  <c r="C63" i="7"/>
  <c r="N58" i="7"/>
  <c r="I58" i="7"/>
  <c r="D58" i="7"/>
  <c r="O53" i="7"/>
  <c r="D53" i="7"/>
  <c r="O50" i="7"/>
  <c r="B45" i="7"/>
  <c r="F45" i="7"/>
  <c r="J45" i="7"/>
  <c r="N45" i="7"/>
  <c r="N42" i="7"/>
  <c r="I42" i="7"/>
  <c r="D42" i="7"/>
  <c r="B29" i="7"/>
  <c r="F29" i="7"/>
  <c r="J29" i="7"/>
  <c r="N29" i="7"/>
  <c r="D23" i="7"/>
  <c r="H23" i="7"/>
  <c r="L23" i="7"/>
  <c r="B23" i="7"/>
  <c r="F23" i="7"/>
  <c r="J23" i="7"/>
  <c r="N23" i="7"/>
  <c r="H15" i="7"/>
  <c r="B15" i="7"/>
  <c r="B182" i="6"/>
  <c r="F182" i="6"/>
  <c r="J182" i="6"/>
  <c r="N182" i="6"/>
  <c r="C182" i="6"/>
  <c r="G182" i="6"/>
  <c r="K182" i="6"/>
  <c r="O182" i="6"/>
  <c r="D182" i="6"/>
  <c r="H182" i="6"/>
  <c r="L182" i="12" s="1"/>
  <c r="L182" i="6"/>
  <c r="O182" i="12" s="1"/>
  <c r="B174" i="6"/>
  <c r="F174" i="6"/>
  <c r="J174" i="6"/>
  <c r="N174" i="6"/>
  <c r="C174" i="6"/>
  <c r="G174" i="6"/>
  <c r="K174" i="6"/>
  <c r="O174" i="6"/>
  <c r="D174" i="6"/>
  <c r="H174" i="6"/>
  <c r="L174" i="6"/>
  <c r="B166" i="6"/>
  <c r="F166" i="6"/>
  <c r="J166" i="6"/>
  <c r="N166" i="6"/>
  <c r="C166" i="6"/>
  <c r="G166" i="6"/>
  <c r="K166" i="6"/>
  <c r="O166" i="6"/>
  <c r="D166" i="6"/>
  <c r="H166" i="6"/>
  <c r="L166" i="12" s="1"/>
  <c r="L166" i="6"/>
  <c r="B158" i="6"/>
  <c r="F158" i="6"/>
  <c r="J158" i="6"/>
  <c r="N158" i="6"/>
  <c r="C158" i="6"/>
  <c r="G158" i="6"/>
  <c r="K158" i="6"/>
  <c r="O158" i="6"/>
  <c r="D158" i="6"/>
  <c r="H158" i="6"/>
  <c r="L158" i="6"/>
  <c r="B150" i="6"/>
  <c r="F150" i="6"/>
  <c r="J150" i="6"/>
  <c r="N150" i="6"/>
  <c r="C150" i="6"/>
  <c r="G150" i="6"/>
  <c r="K150" i="6"/>
  <c r="O150" i="6"/>
  <c r="D150" i="6"/>
  <c r="H150" i="6"/>
  <c r="L150" i="6"/>
  <c r="B140" i="6"/>
  <c r="F140" i="6"/>
  <c r="J140" i="6"/>
  <c r="N140" i="6"/>
  <c r="C140" i="6"/>
  <c r="H140" i="6"/>
  <c r="L140" i="12" s="1"/>
  <c r="M140" i="6"/>
  <c r="D140" i="6"/>
  <c r="I140" i="6"/>
  <c r="O140" i="6"/>
  <c r="E140" i="6"/>
  <c r="K140" i="6"/>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P66" i="12" s="1"/>
  <c r="L66" i="6"/>
  <c r="O66" i="12" s="1"/>
  <c r="B66" i="6"/>
  <c r="F66" i="6"/>
  <c r="J66" i="6"/>
  <c r="N66" i="6"/>
  <c r="D58" i="6"/>
  <c r="H58" i="6"/>
  <c r="P58" i="12" s="1"/>
  <c r="L58" i="6"/>
  <c r="O58" i="12" s="1"/>
  <c r="B58" i="6"/>
  <c r="G58" i="6"/>
  <c r="M58" i="6"/>
  <c r="E58" i="6"/>
  <c r="J58" i="6"/>
  <c r="O58" i="6"/>
  <c r="B40" i="6"/>
  <c r="F40" i="6"/>
  <c r="J40" i="6"/>
  <c r="N40" i="6"/>
  <c r="E40" i="6"/>
  <c r="K40" i="6"/>
  <c r="C40" i="6"/>
  <c r="L43" i="5" s="1"/>
  <c r="H40" i="6"/>
  <c r="L40" i="12" s="1"/>
  <c r="M40" i="6"/>
  <c r="B32" i="6"/>
  <c r="F32" i="6"/>
  <c r="J32" i="6"/>
  <c r="N32" i="6"/>
  <c r="C32" i="6"/>
  <c r="H32" i="6"/>
  <c r="P32" i="12" s="1"/>
  <c r="M32" i="6"/>
  <c r="E32" i="6"/>
  <c r="K32" i="6"/>
  <c r="M23" i="12"/>
  <c r="O25" i="12"/>
  <c r="M13" i="12"/>
  <c r="M25" i="12"/>
  <c r="M61" i="12"/>
  <c r="O40" i="12"/>
  <c r="M46" i="12"/>
  <c r="M74" i="12"/>
  <c r="M78" i="12"/>
  <c r="O61" i="12"/>
  <c r="O65" i="12"/>
  <c r="M82" i="12"/>
  <c r="M86" i="12"/>
  <c r="M90" i="12"/>
  <c r="M94" i="12"/>
  <c r="M98" i="12"/>
  <c r="M85" i="12"/>
  <c r="M111" i="12"/>
  <c r="M156" i="12"/>
  <c r="M160" i="12"/>
  <c r="N134" i="12"/>
  <c r="N135" i="12"/>
  <c r="M161" i="12"/>
  <c r="M185" i="12"/>
  <c r="M184" i="12"/>
  <c r="L165" i="12"/>
  <c r="C7" i="6"/>
  <c r="G7" i="6"/>
  <c r="K7" i="6"/>
  <c r="O7" i="6"/>
  <c r="E7" i="6"/>
  <c r="J7" i="6"/>
  <c r="B7" i="6"/>
  <c r="H7" i="6"/>
  <c r="M7" i="6"/>
  <c r="D7" i="6"/>
  <c r="N7" i="6"/>
  <c r="I7" i="6"/>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G141" i="6"/>
  <c r="K141" i="6"/>
  <c r="N141" i="12" s="1"/>
  <c r="O141" i="6"/>
  <c r="M137" i="6"/>
  <c r="H137" i="6"/>
  <c r="B136" i="6"/>
  <c r="F136" i="6"/>
  <c r="J136" i="6"/>
  <c r="N136" i="6"/>
  <c r="M132" i="6"/>
  <c r="H132" i="6"/>
  <c r="R130" i="12"/>
  <c r="D130" i="6"/>
  <c r="H130" i="6"/>
  <c r="P130" i="12" s="1"/>
  <c r="L130" i="6"/>
  <c r="O130" i="12" s="1"/>
  <c r="M126" i="6"/>
  <c r="G126" i="6"/>
  <c r="C125" i="6"/>
  <c r="L125" i="5" s="1"/>
  <c r="M125" i="5" s="1"/>
  <c r="G125" i="6"/>
  <c r="K125" i="6"/>
  <c r="N125" i="12" s="1"/>
  <c r="O125" i="6"/>
  <c r="M121" i="6"/>
  <c r="H121" i="6"/>
  <c r="B120" i="6"/>
  <c r="F120" i="6"/>
  <c r="J120" i="6"/>
  <c r="N120" i="6"/>
  <c r="M116" i="6"/>
  <c r="H116" i="6"/>
  <c r="P116" i="12" s="1"/>
  <c r="D114" i="6"/>
  <c r="H114" i="6"/>
  <c r="L114" i="6"/>
  <c r="M110" i="6"/>
  <c r="G110" i="6"/>
  <c r="B108" i="6"/>
  <c r="F108" i="6"/>
  <c r="J108" i="6"/>
  <c r="N108" i="6"/>
  <c r="D108" i="6"/>
  <c r="H108" i="6"/>
  <c r="L108" i="6"/>
  <c r="O108" i="12" s="1"/>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4" i="6"/>
  <c r="O84" i="12" s="1"/>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L56" i="5" s="1"/>
  <c r="H56" i="6"/>
  <c r="P56" i="12" s="1"/>
  <c r="M56" i="6"/>
  <c r="B48" i="6"/>
  <c r="F48" i="6"/>
  <c r="J48" i="6"/>
  <c r="N48" i="6"/>
  <c r="C48" i="6"/>
  <c r="H48" i="6"/>
  <c r="P48" i="12" s="1"/>
  <c r="M48" i="6"/>
  <c r="E48" i="6"/>
  <c r="K48" i="6"/>
  <c r="N45" i="6"/>
  <c r="I40" i="6"/>
  <c r="Q40" i="12" s="1"/>
  <c r="N37" i="6"/>
  <c r="N34" i="6"/>
  <c r="I32" i="6"/>
  <c r="B10" i="6"/>
  <c r="F10" i="6"/>
  <c r="J10" i="6"/>
  <c r="N10" i="6"/>
  <c r="C10" i="6"/>
  <c r="L10" i="5" s="1"/>
  <c r="H10" i="6"/>
  <c r="L10" i="12" s="1"/>
  <c r="M10" i="6"/>
  <c r="E10" i="6"/>
  <c r="K10" i="6"/>
  <c r="S10" i="12" s="1"/>
  <c r="I10" i="6"/>
  <c r="M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60" i="12"/>
  <c r="Q148" i="12"/>
  <c r="D142" i="6"/>
  <c r="H142" i="6"/>
  <c r="L142" i="6"/>
  <c r="O142" i="12" s="1"/>
  <c r="C137" i="6"/>
  <c r="G137" i="6"/>
  <c r="K137" i="6"/>
  <c r="R137" i="12" s="1"/>
  <c r="O137" i="6"/>
  <c r="B132" i="6"/>
  <c r="F132" i="6"/>
  <c r="J132" i="6"/>
  <c r="N132" i="6"/>
  <c r="D126" i="6"/>
  <c r="H126" i="6"/>
  <c r="P126" i="12" s="1"/>
  <c r="L126" i="6"/>
  <c r="O126" i="12" s="1"/>
  <c r="Q121" i="12"/>
  <c r="C121" i="6"/>
  <c r="L122" i="5" s="1"/>
  <c r="G121" i="6"/>
  <c r="K121" i="6"/>
  <c r="O121" i="6"/>
  <c r="B116" i="6"/>
  <c r="F116" i="6"/>
  <c r="J116" i="6"/>
  <c r="N116" i="6"/>
  <c r="D110" i="6"/>
  <c r="H110" i="6"/>
  <c r="P110" i="12" s="1"/>
  <c r="L110" i="6"/>
  <c r="Q102" i="12"/>
  <c r="D102" i="6"/>
  <c r="H102" i="6"/>
  <c r="L102" i="6"/>
  <c r="B102" i="6"/>
  <c r="F102" i="6"/>
  <c r="J102" i="6"/>
  <c r="N102" i="6"/>
  <c r="M98" i="6"/>
  <c r="E98" i="6"/>
  <c r="D94" i="6"/>
  <c r="H94" i="6"/>
  <c r="L94" i="6"/>
  <c r="O94" i="12" s="1"/>
  <c r="B94" i="6"/>
  <c r="F94" i="6"/>
  <c r="J94" i="6"/>
  <c r="N94" i="6"/>
  <c r="M90" i="6"/>
  <c r="E90" i="6"/>
  <c r="Q86" i="12"/>
  <c r="D86" i="6"/>
  <c r="H86" i="6"/>
  <c r="L86" i="6"/>
  <c r="O87" i="12" s="1"/>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L64" i="5" s="1"/>
  <c r="H64" i="6"/>
  <c r="P64" i="12" s="1"/>
  <c r="M64" i="6"/>
  <c r="E64" i="6"/>
  <c r="K64" i="6"/>
  <c r="R64" i="12" s="1"/>
  <c r="F58" i="6"/>
  <c r="C45" i="6"/>
  <c r="L45" i="5" s="1"/>
  <c r="G45" i="6"/>
  <c r="K45" i="6"/>
  <c r="N45" i="12" s="1"/>
  <c r="O45" i="6"/>
  <c r="E45" i="6"/>
  <c r="J45" i="6"/>
  <c r="B45" i="6"/>
  <c r="H45" i="6"/>
  <c r="M45" i="6"/>
  <c r="G40" i="6"/>
  <c r="C37" i="6"/>
  <c r="G37" i="6"/>
  <c r="K37" i="6"/>
  <c r="O37" i="6"/>
  <c r="B37" i="6"/>
  <c r="H37" i="6"/>
  <c r="M37" i="6"/>
  <c r="E37" i="6"/>
  <c r="J37" i="6"/>
  <c r="D34" i="6"/>
  <c r="H34" i="6"/>
  <c r="L34" i="12" s="1"/>
  <c r="L34" i="6"/>
  <c r="E34" i="6"/>
  <c r="J34" i="6"/>
  <c r="O34" i="6"/>
  <c r="B34" i="6"/>
  <c r="G34" i="6"/>
  <c r="M34" i="6"/>
  <c r="G32" i="6"/>
  <c r="D28" i="6"/>
  <c r="H28" i="6"/>
  <c r="L28" i="12" s="1"/>
  <c r="L28" i="6"/>
  <c r="O28" i="12" s="1"/>
  <c r="B28" i="6"/>
  <c r="F28" i="6"/>
  <c r="J28" i="6"/>
  <c r="N28" i="6"/>
  <c r="G28" i="6"/>
  <c r="O28" i="6"/>
  <c r="C28" i="6"/>
  <c r="K28" i="6"/>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O22" i="7"/>
  <c r="K22" i="7"/>
  <c r="G22" i="7"/>
  <c r="O18" i="7"/>
  <c r="K18" i="7"/>
  <c r="G18" i="7"/>
  <c r="O14" i="7"/>
  <c r="K14" i="7"/>
  <c r="G14" i="7"/>
  <c r="L11" i="7"/>
  <c r="H11" i="7"/>
  <c r="O10" i="7"/>
  <c r="K10" i="7"/>
  <c r="G10" i="7"/>
  <c r="L7" i="7"/>
  <c r="H7" i="7"/>
  <c r="D7" i="7"/>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O175" i="6"/>
  <c r="K175" i="6"/>
  <c r="N175" i="12" s="1"/>
  <c r="G175" i="6"/>
  <c r="L172" i="6"/>
  <c r="H172" i="6"/>
  <c r="L172" i="12" s="1"/>
  <c r="D172" i="6"/>
  <c r="O171" i="6"/>
  <c r="K171" i="6"/>
  <c r="G171" i="6"/>
  <c r="C171" i="6"/>
  <c r="S169" i="12"/>
  <c r="L168" i="6"/>
  <c r="H168" i="6"/>
  <c r="L167" i="12" s="1"/>
  <c r="D168" i="6"/>
  <c r="O167" i="6"/>
  <c r="K167" i="6"/>
  <c r="R167" i="12" s="1"/>
  <c r="G167" i="6"/>
  <c r="C167" i="6"/>
  <c r="P165" i="12"/>
  <c r="L164" i="6"/>
  <c r="H164" i="6"/>
  <c r="D164" i="6"/>
  <c r="O163" i="6"/>
  <c r="K163" i="6"/>
  <c r="S163" i="12" s="1"/>
  <c r="G163" i="6"/>
  <c r="C163" i="6"/>
  <c r="Q161" i="12"/>
  <c r="L160" i="6"/>
  <c r="H160" i="6"/>
  <c r="P160" i="12" s="1"/>
  <c r="D160" i="6"/>
  <c r="O159" i="6"/>
  <c r="K159" i="6"/>
  <c r="G159" i="6"/>
  <c r="C159" i="6"/>
  <c r="L156" i="6"/>
  <c r="O156" i="12" s="1"/>
  <c r="H156" i="6"/>
  <c r="P156" i="12" s="1"/>
  <c r="D156" i="6"/>
  <c r="O155" i="6"/>
  <c r="K155" i="6"/>
  <c r="N155" i="12" s="1"/>
  <c r="G155" i="6"/>
  <c r="C155" i="6"/>
  <c r="L152" i="6"/>
  <c r="O152" i="12" s="1"/>
  <c r="H152" i="6"/>
  <c r="L152" i="12" s="1"/>
  <c r="D152" i="6"/>
  <c r="O151" i="6"/>
  <c r="K151" i="6"/>
  <c r="G151" i="6"/>
  <c r="C151" i="6"/>
  <c r="L151" i="5" s="1"/>
  <c r="L148" i="6"/>
  <c r="O148" i="12" s="1"/>
  <c r="H148" i="6"/>
  <c r="P148" i="12" s="1"/>
  <c r="D148" i="6"/>
  <c r="O147" i="6"/>
  <c r="K147" i="6"/>
  <c r="G147" i="6"/>
  <c r="C147" i="6"/>
  <c r="L147" i="5" s="1"/>
  <c r="M147" i="5" s="1"/>
  <c r="Q144" i="12"/>
  <c r="B144" i="6"/>
  <c r="F144" i="6"/>
  <c r="J144" i="6"/>
  <c r="N144" i="6"/>
  <c r="O142" i="6"/>
  <c r="J142" i="6"/>
  <c r="E142" i="6"/>
  <c r="N141" i="6"/>
  <c r="I141" i="6"/>
  <c r="M141" i="12" s="1"/>
  <c r="D141" i="6"/>
  <c r="D138" i="6"/>
  <c r="H138" i="6"/>
  <c r="L138" i="12" s="1"/>
  <c r="L138" i="6"/>
  <c r="O138" i="12" s="1"/>
  <c r="J137" i="6"/>
  <c r="E137" i="6"/>
  <c r="O136" i="6"/>
  <c r="I136" i="6"/>
  <c r="M136" i="12" s="1"/>
  <c r="D136" i="6"/>
  <c r="Q133" i="12"/>
  <c r="C133" i="6"/>
  <c r="L132" i="5" s="1"/>
  <c r="G133" i="6"/>
  <c r="K133" i="6"/>
  <c r="R133" i="12" s="1"/>
  <c r="O133" i="6"/>
  <c r="K132" i="6"/>
  <c r="E132" i="6"/>
  <c r="N130" i="6"/>
  <c r="I130" i="6"/>
  <c r="Q130" i="12" s="1"/>
  <c r="C130" i="6"/>
  <c r="B128" i="6"/>
  <c r="F128" i="6"/>
  <c r="J128" i="6"/>
  <c r="N128" i="6"/>
  <c r="O126" i="6"/>
  <c r="J126" i="6"/>
  <c r="E126" i="6"/>
  <c r="N125" i="6"/>
  <c r="I125" i="6"/>
  <c r="D125" i="6"/>
  <c r="D122" i="6"/>
  <c r="H122" i="6"/>
  <c r="L122" i="6"/>
  <c r="O122" i="12" s="1"/>
  <c r="J121" i="6"/>
  <c r="E121" i="6"/>
  <c r="O120" i="6"/>
  <c r="I120" i="6"/>
  <c r="Q120" i="12" s="1"/>
  <c r="D120" i="6"/>
  <c r="C117" i="6"/>
  <c r="G117" i="6"/>
  <c r="K117" i="6"/>
  <c r="S117" i="12" s="1"/>
  <c r="O117" i="6"/>
  <c r="K116" i="6"/>
  <c r="N116" i="12" s="1"/>
  <c r="E116" i="6"/>
  <c r="N114" i="6"/>
  <c r="I114" i="6"/>
  <c r="M114" i="12" s="1"/>
  <c r="C114" i="6"/>
  <c r="B112" i="6"/>
  <c r="F112" i="6"/>
  <c r="J112" i="6"/>
  <c r="N112" i="6"/>
  <c r="O110" i="6"/>
  <c r="J110" i="6"/>
  <c r="E110" i="6"/>
  <c r="M108" i="6"/>
  <c r="E108" i="6"/>
  <c r="B104" i="6"/>
  <c r="F104" i="6"/>
  <c r="J104" i="6"/>
  <c r="N104" i="6"/>
  <c r="D104" i="6"/>
  <c r="H104" i="6"/>
  <c r="P104" i="12" s="1"/>
  <c r="L104" i="6"/>
  <c r="O102" i="6"/>
  <c r="G102" i="6"/>
  <c r="M100" i="6"/>
  <c r="E100" i="6"/>
  <c r="K98" i="6"/>
  <c r="S98" i="12" s="1"/>
  <c r="C98" i="6"/>
  <c r="B96" i="6"/>
  <c r="F96" i="6"/>
  <c r="J96" i="6"/>
  <c r="N96" i="6"/>
  <c r="D96" i="6"/>
  <c r="H96" i="6"/>
  <c r="P96" i="12" s="1"/>
  <c r="L96" i="6"/>
  <c r="O96" i="12" s="1"/>
  <c r="O94" i="6"/>
  <c r="G94" i="6"/>
  <c r="M92" i="6"/>
  <c r="E92" i="6"/>
  <c r="K90" i="6"/>
  <c r="S90" i="12" s="1"/>
  <c r="C90" i="6"/>
  <c r="B88" i="6"/>
  <c r="F88" i="6"/>
  <c r="J88" i="6"/>
  <c r="N88" i="6"/>
  <c r="D88" i="6"/>
  <c r="H88" i="6"/>
  <c r="L88" i="6"/>
  <c r="O88" i="12" s="1"/>
  <c r="O86" i="6"/>
  <c r="G86" i="6"/>
  <c r="M84" i="6"/>
  <c r="E84" i="6"/>
  <c r="K82" i="6"/>
  <c r="R82" i="12" s="1"/>
  <c r="C82" i="6"/>
  <c r="B80" i="6"/>
  <c r="F80" i="6"/>
  <c r="J80" i="6"/>
  <c r="N80" i="6"/>
  <c r="D80" i="6"/>
  <c r="H80" i="6"/>
  <c r="L80" i="6"/>
  <c r="O80" i="12" s="1"/>
  <c r="O78" i="6"/>
  <c r="G78" i="6"/>
  <c r="M76" i="6"/>
  <c r="E76" i="6"/>
  <c r="K74" i="6"/>
  <c r="R74" i="12" s="1"/>
  <c r="C74" i="6"/>
  <c r="B72" i="6"/>
  <c r="F72" i="6"/>
  <c r="J72" i="6"/>
  <c r="N72" i="6"/>
  <c r="D72" i="6"/>
  <c r="H72" i="6"/>
  <c r="L72" i="12" s="1"/>
  <c r="L72" i="6"/>
  <c r="O72" i="12" s="1"/>
  <c r="O70" i="6"/>
  <c r="G70" i="6"/>
  <c r="M68" i="6"/>
  <c r="E68" i="6"/>
  <c r="K66" i="6"/>
  <c r="S66" i="12" s="1"/>
  <c r="C66" i="6"/>
  <c r="I64" i="6"/>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O50" i="12" s="1"/>
  <c r="E50" i="6"/>
  <c r="J50" i="6"/>
  <c r="O50" i="6"/>
  <c r="B50" i="6"/>
  <c r="G50" i="6"/>
  <c r="M50" i="6"/>
  <c r="G48" i="6"/>
  <c r="I45" i="6"/>
  <c r="D42" i="6"/>
  <c r="H42" i="6"/>
  <c r="L42" i="12" s="1"/>
  <c r="L42" i="6"/>
  <c r="B42" i="6"/>
  <c r="G42" i="6"/>
  <c r="M42" i="6"/>
  <c r="E42" i="6"/>
  <c r="J42" i="6"/>
  <c r="O42" i="6"/>
  <c r="O40" i="6"/>
  <c r="D40" i="6"/>
  <c r="I37" i="6"/>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97" i="12"/>
  <c r="P89" i="12"/>
  <c r="Q85" i="12"/>
  <c r="Q77" i="12"/>
  <c r="Q73" i="12"/>
  <c r="C65" i="6"/>
  <c r="G65" i="6"/>
  <c r="K65" i="6"/>
  <c r="N65" i="12" s="1"/>
  <c r="O65" i="6"/>
  <c r="B60" i="6"/>
  <c r="F60" i="6"/>
  <c r="J60" i="6"/>
  <c r="N60" i="6"/>
  <c r="D54" i="6"/>
  <c r="H54" i="6"/>
  <c r="L54" i="12" s="1"/>
  <c r="L54" i="6"/>
  <c r="O54" i="12" s="1"/>
  <c r="C49" i="6"/>
  <c r="L49" i="5" s="1"/>
  <c r="G49" i="6"/>
  <c r="K49" i="6"/>
  <c r="N49" i="12" s="1"/>
  <c r="O49" i="6"/>
  <c r="S44" i="12"/>
  <c r="B44" i="6"/>
  <c r="F44" i="6"/>
  <c r="J44" i="6"/>
  <c r="N44" i="6"/>
  <c r="D38" i="6"/>
  <c r="H38" i="6"/>
  <c r="P38" i="12" s="1"/>
  <c r="L38" i="6"/>
  <c r="C33" i="6"/>
  <c r="L33" i="5" s="1"/>
  <c r="G33" i="6"/>
  <c r="K33" i="6"/>
  <c r="N33" i="12" s="1"/>
  <c r="O33" i="6"/>
  <c r="Q23" i="12"/>
  <c r="C23" i="6"/>
  <c r="L23" i="5" s="1"/>
  <c r="G23" i="6"/>
  <c r="K23" i="6"/>
  <c r="S23" i="12" s="1"/>
  <c r="O23" i="6"/>
  <c r="E23" i="6"/>
  <c r="J23" i="6"/>
  <c r="B23" i="6"/>
  <c r="H23" i="6"/>
  <c r="M23" i="6"/>
  <c r="D20" i="6"/>
  <c r="H20" i="6"/>
  <c r="P20" i="12" s="1"/>
  <c r="L20" i="6"/>
  <c r="B20" i="6"/>
  <c r="G20" i="6"/>
  <c r="M20" i="6"/>
  <c r="E20" i="6"/>
  <c r="J20" i="6"/>
  <c r="O20" i="6"/>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R135" i="12"/>
  <c r="S127" i="12"/>
  <c r="R127" i="12"/>
  <c r="P119" i="12"/>
  <c r="R111" i="12"/>
  <c r="O109" i="6"/>
  <c r="K109" i="6"/>
  <c r="G109" i="6"/>
  <c r="C109" i="6"/>
  <c r="L109" i="5" s="1"/>
  <c r="M109" i="5" s="1"/>
  <c r="O105" i="6"/>
  <c r="K105" i="6"/>
  <c r="S105" i="12" s="1"/>
  <c r="G105" i="6"/>
  <c r="C105" i="6"/>
  <c r="S103" i="12"/>
  <c r="R103" i="12"/>
  <c r="O101" i="6"/>
  <c r="K101" i="6"/>
  <c r="S101" i="12" s="1"/>
  <c r="G101" i="6"/>
  <c r="C101" i="6"/>
  <c r="O97" i="6"/>
  <c r="K97" i="6"/>
  <c r="S97" i="12" s="1"/>
  <c r="G97" i="6"/>
  <c r="C97" i="6"/>
  <c r="L97" i="5" s="1"/>
  <c r="S95" i="12"/>
  <c r="O93" i="6"/>
  <c r="K93" i="6"/>
  <c r="N93" i="12" s="1"/>
  <c r="G93" i="6"/>
  <c r="C93" i="6"/>
  <c r="R91" i="12"/>
  <c r="S91" i="12"/>
  <c r="O89" i="6"/>
  <c r="K89" i="6"/>
  <c r="N89" i="12" s="1"/>
  <c r="G89" i="6"/>
  <c r="C89" i="6"/>
  <c r="L89" i="5" s="1"/>
  <c r="O85" i="6"/>
  <c r="K85" i="6"/>
  <c r="N85" i="12" s="1"/>
  <c r="G85" i="6"/>
  <c r="C85" i="6"/>
  <c r="L85" i="5" s="1"/>
  <c r="P83" i="12"/>
  <c r="O81" i="6"/>
  <c r="K81" i="6"/>
  <c r="R81" i="12" s="1"/>
  <c r="G81" i="6"/>
  <c r="C81" i="6"/>
  <c r="O77" i="6"/>
  <c r="K77" i="6"/>
  <c r="S77" i="12" s="1"/>
  <c r="G77" i="6"/>
  <c r="C77" i="6"/>
  <c r="L77" i="5" s="1"/>
  <c r="O73" i="6"/>
  <c r="K73" i="6"/>
  <c r="R73" i="12" s="1"/>
  <c r="G73" i="6"/>
  <c r="C73" i="6"/>
  <c r="O69" i="6"/>
  <c r="K69" i="6"/>
  <c r="N69" i="12" s="1"/>
  <c r="G69" i="6"/>
  <c r="C69" i="6"/>
  <c r="L69" i="5" s="1"/>
  <c r="M69" i="5" s="1"/>
  <c r="N65" i="6"/>
  <c r="I65" i="6"/>
  <c r="D65" i="6"/>
  <c r="D62" i="6"/>
  <c r="H62" i="6"/>
  <c r="L62" i="6"/>
  <c r="O62" i="12" s="1"/>
  <c r="O60" i="6"/>
  <c r="I60" i="6"/>
  <c r="Q60" i="12" s="1"/>
  <c r="D60" i="6"/>
  <c r="C57" i="6"/>
  <c r="G57" i="6"/>
  <c r="K57" i="6"/>
  <c r="N57" i="12" s="1"/>
  <c r="O57" i="6"/>
  <c r="N54" i="6"/>
  <c r="I54" i="6"/>
  <c r="Q54" i="12" s="1"/>
  <c r="C54" i="6"/>
  <c r="L54" i="5" s="1"/>
  <c r="B52" i="6"/>
  <c r="F52" i="6"/>
  <c r="J52" i="6"/>
  <c r="N52" i="6"/>
  <c r="N49" i="6"/>
  <c r="I49" i="6"/>
  <c r="Q48" i="12" s="1"/>
  <c r="D49" i="6"/>
  <c r="Q46" i="12"/>
  <c r="D46" i="6"/>
  <c r="H46" i="6"/>
  <c r="P46" i="12" s="1"/>
  <c r="L46" i="6"/>
  <c r="O46" i="12" s="1"/>
  <c r="O44" i="6"/>
  <c r="I44" i="6"/>
  <c r="D44" i="6"/>
  <c r="C41" i="6"/>
  <c r="G41" i="6"/>
  <c r="K41" i="6"/>
  <c r="O41" i="6"/>
  <c r="N38" i="6"/>
  <c r="I38" i="6"/>
  <c r="M38" i="12" s="1"/>
  <c r="C38" i="6"/>
  <c r="L38" i="5" s="1"/>
  <c r="B36" i="6"/>
  <c r="F36" i="6"/>
  <c r="J36" i="6"/>
  <c r="N36" i="6"/>
  <c r="N33" i="6"/>
  <c r="I33" i="6"/>
  <c r="Q33" i="12" s="1"/>
  <c r="D33" i="6"/>
  <c r="Q30" i="12"/>
  <c r="B30" i="6"/>
  <c r="F30" i="6"/>
  <c r="J30" i="6"/>
  <c r="N30" i="6"/>
  <c r="D30" i="6"/>
  <c r="H30" i="6"/>
  <c r="L30" i="12" s="1"/>
  <c r="L30" i="6"/>
  <c r="O30" i="12" s="1"/>
  <c r="B26" i="6"/>
  <c r="F26" i="6"/>
  <c r="J26" i="6"/>
  <c r="N26" i="6"/>
  <c r="C26" i="6"/>
  <c r="L26" i="5" s="1"/>
  <c r="H26" i="6"/>
  <c r="M26" i="6"/>
  <c r="E26" i="6"/>
  <c r="K26" i="6"/>
  <c r="S26" i="12" s="1"/>
  <c r="F23" i="6"/>
  <c r="F20" i="6"/>
  <c r="B18" i="6"/>
  <c r="F18" i="6"/>
  <c r="J18" i="6"/>
  <c r="N18" i="6"/>
  <c r="E18" i="6"/>
  <c r="K18" i="6"/>
  <c r="S18" i="12" s="1"/>
  <c r="C18" i="6"/>
  <c r="H18" i="6"/>
  <c r="M18" i="6"/>
  <c r="F12" i="6"/>
  <c r="D56" i="8"/>
  <c r="H56" i="8"/>
  <c r="B56" i="8"/>
  <c r="G56" i="8"/>
  <c r="E56" i="8"/>
  <c r="J56" i="8"/>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P47" i="12"/>
  <c r="O29" i="6"/>
  <c r="K29" i="6"/>
  <c r="G29" i="6"/>
  <c r="N24" i="6"/>
  <c r="I24" i="6"/>
  <c r="M24" i="12" s="1"/>
  <c r="B22" i="6"/>
  <c r="F22" i="6"/>
  <c r="J22" i="6"/>
  <c r="N22" i="6"/>
  <c r="N19" i="6"/>
  <c r="I19" i="6"/>
  <c r="D16" i="6"/>
  <c r="H16" i="6"/>
  <c r="P16" i="12" s="1"/>
  <c r="L16" i="6"/>
  <c r="O16" i="12" s="1"/>
  <c r="O14" i="6"/>
  <c r="I14" i="6"/>
  <c r="Q11" i="12"/>
  <c r="C11" i="6"/>
  <c r="G11" i="6"/>
  <c r="K11" i="6"/>
  <c r="N11" i="12" s="1"/>
  <c r="O11" i="6"/>
  <c r="N8" i="6"/>
  <c r="I8" i="6"/>
  <c r="I55" i="8"/>
  <c r="I54" i="8"/>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C19" i="6"/>
  <c r="G19" i="6"/>
  <c r="K19" i="6"/>
  <c r="N19" i="12" s="1"/>
  <c r="O19" i="6"/>
  <c r="B14" i="6"/>
  <c r="F14" i="6"/>
  <c r="J14" i="6"/>
  <c r="N14" i="6"/>
  <c r="D8" i="6"/>
  <c r="H8" i="6"/>
  <c r="L8" i="6"/>
  <c r="B55" i="8"/>
  <c r="F55" i="8"/>
  <c r="J55" i="8"/>
  <c r="D54" i="8"/>
  <c r="H54" i="8"/>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Q25" i="12"/>
  <c r="Q21" i="12"/>
  <c r="S17" i="12"/>
  <c r="Q17" i="12"/>
  <c r="P17" i="12"/>
  <c r="R17" i="12"/>
  <c r="Q13" i="12"/>
  <c r="R13" i="12"/>
  <c r="P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G172" i="12"/>
  <c r="D170" i="12"/>
  <c r="B170" i="12"/>
  <c r="F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4" i="12"/>
  <c r="F184" i="12"/>
  <c r="N184" i="12"/>
  <c r="D184" i="12"/>
  <c r="B180" i="12"/>
  <c r="F180" i="12"/>
  <c r="D180" i="12"/>
  <c r="B176" i="12"/>
  <c r="F176" i="12"/>
  <c r="N176" i="12"/>
  <c r="D176" i="12"/>
  <c r="M172" i="12"/>
  <c r="E172" i="12"/>
  <c r="E168" i="12"/>
  <c r="E164" i="12"/>
  <c r="C162" i="12"/>
  <c r="G162" i="12"/>
  <c r="D162" i="12"/>
  <c r="B162" i="12"/>
  <c r="F162" i="12"/>
  <c r="C154" i="12"/>
  <c r="G154" i="12"/>
  <c r="D154" i="12"/>
  <c r="B154" i="12"/>
  <c r="F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D186" i="12"/>
  <c r="B186" i="12"/>
  <c r="F186" i="12"/>
  <c r="G184" i="12"/>
  <c r="D182" i="12"/>
  <c r="B182" i="12"/>
  <c r="F182" i="12"/>
  <c r="G180" i="12"/>
  <c r="D178" i="12"/>
  <c r="B178" i="12"/>
  <c r="F178" i="12"/>
  <c r="G176" i="12"/>
  <c r="D174" i="12"/>
  <c r="B174" i="12"/>
  <c r="F174" i="12"/>
  <c r="M170" i="12"/>
  <c r="E170" i="12"/>
  <c r="S168" i="12"/>
  <c r="E166" i="12"/>
  <c r="S164" i="12"/>
  <c r="M162"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B168" i="12"/>
  <c r="F168" i="12"/>
  <c r="N168" i="12"/>
  <c r="R168" i="12"/>
  <c r="D168" i="12"/>
  <c r="B164" i="12"/>
  <c r="F164" i="12"/>
  <c r="N164" i="12"/>
  <c r="R164" i="12"/>
  <c r="D164" i="12"/>
  <c r="C158" i="12"/>
  <c r="G158" i="12"/>
  <c r="D158" i="12"/>
  <c r="B158" i="12"/>
  <c r="F158" i="12"/>
  <c r="O16" i="11"/>
  <c r="K16" i="11"/>
  <c r="G16" i="11"/>
  <c r="O12" i="11"/>
  <c r="K12" i="11"/>
  <c r="G12" i="11"/>
  <c r="O8" i="11"/>
  <c r="K8" i="11"/>
  <c r="G8" i="11"/>
  <c r="O187" i="12"/>
  <c r="G187" i="12"/>
  <c r="O183" i="12"/>
  <c r="G183" i="12"/>
  <c r="O179" i="12"/>
  <c r="G179" i="12"/>
  <c r="O175" i="12"/>
  <c r="G175" i="12"/>
  <c r="G171" i="12"/>
  <c r="O167" i="12"/>
  <c r="G167" i="12"/>
  <c r="G163" i="12"/>
  <c r="L160" i="12"/>
  <c r="D160" i="12"/>
  <c r="G159" i="12"/>
  <c r="D156" i="12"/>
  <c r="O155" i="12"/>
  <c r="G155" i="12"/>
  <c r="D152" i="12"/>
  <c r="G151" i="12"/>
  <c r="F150" i="12"/>
  <c r="B150" i="12"/>
  <c r="D148" i="12"/>
  <c r="G147" i="12"/>
  <c r="F146" i="12"/>
  <c r="B146" i="12"/>
  <c r="P144" i="12"/>
  <c r="L144" i="12"/>
  <c r="D144" i="12"/>
  <c r="G142" i="12"/>
  <c r="E141" i="12"/>
  <c r="D138" i="12"/>
  <c r="B136" i="12"/>
  <c r="F136" i="12"/>
  <c r="E134" i="12"/>
  <c r="M133" i="12"/>
  <c r="E132" i="12"/>
  <c r="S130" i="12"/>
  <c r="N130" i="12"/>
  <c r="C129" i="12"/>
  <c r="G129" i="12"/>
  <c r="O129" i="12"/>
  <c r="G126" i="12"/>
  <c r="E125" i="12"/>
  <c r="D122" i="12"/>
  <c r="B118" i="12"/>
  <c r="F118" i="12"/>
  <c r="D118" i="12"/>
  <c r="B114" i="12"/>
  <c r="F114" i="12"/>
  <c r="R114" i="12"/>
  <c r="D114" i="12"/>
  <c r="B110" i="12"/>
  <c r="F110" i="12"/>
  <c r="R110" i="12"/>
  <c r="D110" i="12"/>
  <c r="S108" i="12"/>
  <c r="B106" i="12"/>
  <c r="F106" i="12"/>
  <c r="D106" i="12"/>
  <c r="B102" i="12"/>
  <c r="F102" i="12"/>
  <c r="N102" i="12"/>
  <c r="D102" i="12"/>
  <c r="D142" i="12"/>
  <c r="B140" i="12"/>
  <c r="F140" i="12"/>
  <c r="C133" i="12"/>
  <c r="G133" i="12"/>
  <c r="D126" i="12"/>
  <c r="B124" i="12"/>
  <c r="F124" i="12"/>
  <c r="D120" i="12"/>
  <c r="P120" i="12"/>
  <c r="B120" i="12"/>
  <c r="F120" i="12"/>
  <c r="D116" i="12"/>
  <c r="B116" i="12"/>
  <c r="F116" i="12"/>
  <c r="D112" i="12"/>
  <c r="P112" i="12"/>
  <c r="B112" i="12"/>
  <c r="F112" i="12"/>
  <c r="R112" i="12"/>
  <c r="D108" i="12"/>
  <c r="B108" i="12"/>
  <c r="F108" i="12"/>
  <c r="D104" i="12"/>
  <c r="B104" i="12"/>
  <c r="F104" i="12"/>
  <c r="D100" i="12"/>
  <c r="B100" i="12"/>
  <c r="F100" i="12"/>
  <c r="F160" i="12"/>
  <c r="F156" i="12"/>
  <c r="F152" i="12"/>
  <c r="D150" i="12"/>
  <c r="F148" i="12"/>
  <c r="D146" i="12"/>
  <c r="F144" i="12"/>
  <c r="E142" i="12"/>
  <c r="E140" i="12"/>
  <c r="C137" i="12"/>
  <c r="G137" i="12"/>
  <c r="R134" i="12"/>
  <c r="G134" i="12"/>
  <c r="E133" i="12"/>
  <c r="D130" i="12"/>
  <c r="B128" i="12"/>
  <c r="F128" i="12"/>
  <c r="E126" i="12"/>
  <c r="E124" i="12"/>
  <c r="G120" i="12"/>
  <c r="G116" i="12"/>
  <c r="G112" i="12"/>
  <c r="G108" i="12"/>
  <c r="M106" i="12"/>
  <c r="E106" i="12"/>
  <c r="G104" i="12"/>
  <c r="M102" i="12"/>
  <c r="E102" i="12"/>
  <c r="G100" i="12"/>
  <c r="C96" i="12"/>
  <c r="G96" i="12"/>
  <c r="S96" i="12"/>
  <c r="D96" i="12"/>
  <c r="B96" i="12"/>
  <c r="F96" i="12"/>
  <c r="N96" i="12"/>
  <c r="R96" i="12"/>
  <c r="G150" i="12"/>
  <c r="G146" i="12"/>
  <c r="S142" i="12"/>
  <c r="N142" i="12"/>
  <c r="C142" i="12"/>
  <c r="C141" i="12"/>
  <c r="G141" i="12"/>
  <c r="D140" i="12"/>
  <c r="D134" i="12"/>
  <c r="D133" i="12"/>
  <c r="B132" i="12"/>
  <c r="F132" i="12"/>
  <c r="C126" i="12"/>
  <c r="C125" i="12"/>
  <c r="G125" i="12"/>
  <c r="D124" i="12"/>
  <c r="E120" i="12"/>
  <c r="E116" i="12"/>
  <c r="M112" i="12"/>
  <c r="E112" i="12"/>
  <c r="E108" i="12"/>
  <c r="E104" i="12"/>
  <c r="E100" i="12"/>
  <c r="G121" i="12"/>
  <c r="G117" i="12"/>
  <c r="G113" i="12"/>
  <c r="G109" i="12"/>
  <c r="G105" i="12"/>
  <c r="O101" i="12"/>
  <c r="G101" i="12"/>
  <c r="D98" i="12"/>
  <c r="G97" i="12"/>
  <c r="D94" i="12"/>
  <c r="G93" i="12"/>
  <c r="R92" i="12"/>
  <c r="N92" i="12"/>
  <c r="F92" i="12"/>
  <c r="B92" i="12"/>
  <c r="D90" i="12"/>
  <c r="G89" i="12"/>
  <c r="N88" i="12"/>
  <c r="F88" i="12"/>
  <c r="B88" i="12"/>
  <c r="D86" i="12"/>
  <c r="G85" i="12"/>
  <c r="F84" i="12"/>
  <c r="B84" i="12"/>
  <c r="C80" i="12"/>
  <c r="G80" i="12"/>
  <c r="S80" i="12"/>
  <c r="M77" i="12"/>
  <c r="G77" i="12"/>
  <c r="E76" i="12"/>
  <c r="D73" i="12"/>
  <c r="B71" i="12"/>
  <c r="F71" i="12"/>
  <c r="D71" i="12"/>
  <c r="G69" i="12"/>
  <c r="R68" i="12"/>
  <c r="D60" i="12"/>
  <c r="L60" i="12"/>
  <c r="P60" i="12"/>
  <c r="B60" i="12"/>
  <c r="G60" i="12"/>
  <c r="E60" i="12"/>
  <c r="Q52" i="12"/>
  <c r="N51" i="12"/>
  <c r="D77" i="12"/>
  <c r="P77" i="12"/>
  <c r="B75" i="12"/>
  <c r="F75" i="12"/>
  <c r="B66" i="12"/>
  <c r="F66" i="12"/>
  <c r="E66" i="12"/>
  <c r="C66" i="12"/>
  <c r="C51" i="12"/>
  <c r="G51" i="12"/>
  <c r="S51" i="12"/>
  <c r="B51" i="12"/>
  <c r="R51" i="12"/>
  <c r="E51" i="12"/>
  <c r="B50" i="12"/>
  <c r="F50" i="12"/>
  <c r="N50" i="12"/>
  <c r="R50" i="12"/>
  <c r="D50" i="12"/>
  <c r="E50" i="12"/>
  <c r="C50" i="12"/>
  <c r="S50" i="12"/>
  <c r="F98" i="12"/>
  <c r="F94" i="12"/>
  <c r="D92" i="12"/>
  <c r="F90" i="12"/>
  <c r="D88" i="12"/>
  <c r="N86" i="12"/>
  <c r="F86" i="12"/>
  <c r="D84" i="12"/>
  <c r="D81" i="12"/>
  <c r="B79" i="12"/>
  <c r="F79" i="12"/>
  <c r="E77" i="12"/>
  <c r="E75" i="12"/>
  <c r="N68" i="12"/>
  <c r="C67" i="12"/>
  <c r="G67" i="12"/>
  <c r="S67" i="12"/>
  <c r="B67" i="12"/>
  <c r="E67" i="12"/>
  <c r="N59" i="12"/>
  <c r="B58" i="12"/>
  <c r="F58" i="12"/>
  <c r="N58" i="12"/>
  <c r="R58" i="12"/>
  <c r="C58" i="12"/>
  <c r="H58" i="12"/>
  <c r="S58" i="12"/>
  <c r="E58" i="12"/>
  <c r="K58" i="12"/>
  <c r="D52" i="12"/>
  <c r="L52" i="12"/>
  <c r="P52" i="12"/>
  <c r="E52" i="12"/>
  <c r="B52" i="12"/>
  <c r="G52" i="12"/>
  <c r="M52" i="12"/>
  <c r="G92" i="12"/>
  <c r="G88" i="12"/>
  <c r="G84" i="12"/>
  <c r="C77" i="12"/>
  <c r="C76" i="12"/>
  <c r="G76" i="12"/>
  <c r="D75" i="12"/>
  <c r="D69" i="12"/>
  <c r="B69" i="12"/>
  <c r="F69" i="12"/>
  <c r="D68" i="12"/>
  <c r="E68" i="12"/>
  <c r="S68" i="12"/>
  <c r="B68" i="12"/>
  <c r="G68" i="12"/>
  <c r="M68" i="12"/>
  <c r="Q68" i="12"/>
  <c r="G66" i="12"/>
  <c r="C59" i="12"/>
  <c r="G59" i="12"/>
  <c r="S59" i="12"/>
  <c r="E59" i="12"/>
  <c r="B59" i="12"/>
  <c r="R59" i="12"/>
  <c r="Q51" i="12"/>
  <c r="F51" i="12"/>
  <c r="D64" i="12"/>
  <c r="B62" i="12"/>
  <c r="F62" i="12"/>
  <c r="R62" i="12"/>
  <c r="C55" i="12"/>
  <c r="G55" i="12"/>
  <c r="O55" i="12"/>
  <c r="S55" i="12"/>
  <c r="D48" i="12"/>
  <c r="B46" i="12"/>
  <c r="F46" i="12"/>
  <c r="O44" i="12"/>
  <c r="E44" i="12"/>
  <c r="R43" i="12"/>
  <c r="E42" i="12"/>
  <c r="C39" i="12"/>
  <c r="G39" i="12"/>
  <c r="O39" i="12"/>
  <c r="R36" i="12"/>
  <c r="G36" i="12"/>
  <c r="D34" i="12"/>
  <c r="B34" i="12"/>
  <c r="F34" i="12"/>
  <c r="O32" i="12"/>
  <c r="G32" i="12"/>
  <c r="D30" i="12"/>
  <c r="B30" i="12"/>
  <c r="F30" i="12"/>
  <c r="G28" i="12"/>
  <c r="D26" i="12"/>
  <c r="B26" i="12"/>
  <c r="F26" i="12"/>
  <c r="G24" i="12"/>
  <c r="D22" i="12"/>
  <c r="L22" i="12"/>
  <c r="P22" i="12"/>
  <c r="B22" i="12"/>
  <c r="F22" i="12"/>
  <c r="G20" i="12"/>
  <c r="D18" i="12"/>
  <c r="B18" i="12"/>
  <c r="F18" i="12"/>
  <c r="G16" i="12"/>
  <c r="D14" i="12"/>
  <c r="B14" i="12"/>
  <c r="F14" i="12"/>
  <c r="G12" i="12"/>
  <c r="D10" i="12"/>
  <c r="B10" i="12"/>
  <c r="F10" i="12"/>
  <c r="G8" i="12"/>
  <c r="C43" i="12"/>
  <c r="G43" i="12"/>
  <c r="S43" i="12"/>
  <c r="D36" i="12"/>
  <c r="L36" i="12"/>
  <c r="P36" i="12"/>
  <c r="E8" i="12"/>
  <c r="B183" i="13"/>
  <c r="F183" i="13"/>
  <c r="D183" i="13"/>
  <c r="B179" i="13"/>
  <c r="F179" i="13"/>
  <c r="D179" i="13"/>
  <c r="G72" i="12"/>
  <c r="C64" i="12"/>
  <c r="C63" i="12"/>
  <c r="G63" i="12"/>
  <c r="O63" i="12"/>
  <c r="D62" i="12"/>
  <c r="D56" i="12"/>
  <c r="N55" i="12"/>
  <c r="D55" i="12"/>
  <c r="B54" i="12"/>
  <c r="F54" i="12"/>
  <c r="C48" i="12"/>
  <c r="C47" i="12"/>
  <c r="G47" i="12"/>
  <c r="O47" i="12"/>
  <c r="D46" i="12"/>
  <c r="R44" i="12"/>
  <c r="G44" i="12"/>
  <c r="E43" i="12"/>
  <c r="D40" i="12"/>
  <c r="D39" i="12"/>
  <c r="B38" i="12"/>
  <c r="F38" i="12"/>
  <c r="O36" i="12"/>
  <c r="E36" i="12"/>
  <c r="E34" i="12"/>
  <c r="M30" i="12"/>
  <c r="E30" i="12"/>
  <c r="E26" i="12"/>
  <c r="E22" i="12"/>
  <c r="E18" i="12"/>
  <c r="E14" i="12"/>
  <c r="E10" i="12"/>
  <c r="D185" i="13"/>
  <c r="B185" i="13"/>
  <c r="F185" i="13"/>
  <c r="G183" i="13"/>
  <c r="D181" i="13"/>
  <c r="B181" i="13"/>
  <c r="F181" i="13"/>
  <c r="G179" i="13"/>
  <c r="C172" i="13"/>
  <c r="G172" i="13"/>
  <c r="B172" i="13"/>
  <c r="D172" i="13"/>
  <c r="E172" i="13"/>
  <c r="D44" i="12"/>
  <c r="L44" i="12"/>
  <c r="P44" i="12"/>
  <c r="N43" i="12"/>
  <c r="D43" i="12"/>
  <c r="B42" i="12"/>
  <c r="F42" i="12"/>
  <c r="S36" i="12"/>
  <c r="N36" i="12"/>
  <c r="C36" i="12"/>
  <c r="B32" i="12"/>
  <c r="F32" i="12"/>
  <c r="D32" i="12"/>
  <c r="B28" i="12"/>
  <c r="F28" i="12"/>
  <c r="D28" i="12"/>
  <c r="B24" i="12"/>
  <c r="F24" i="12"/>
  <c r="D24" i="12"/>
  <c r="B20" i="12"/>
  <c r="F20" i="12"/>
  <c r="D20" i="12"/>
  <c r="B16" i="12"/>
  <c r="F16" i="12"/>
  <c r="R16" i="12"/>
  <c r="D16" i="12"/>
  <c r="B12" i="12"/>
  <c r="F12" i="12"/>
  <c r="R12" i="12"/>
  <c r="D12" i="12"/>
  <c r="B8" i="12"/>
  <c r="F8" i="12"/>
  <c r="D8" i="12"/>
  <c r="O35" i="12"/>
  <c r="G35" i="12"/>
  <c r="G31" i="12"/>
  <c r="S27" i="12"/>
  <c r="G27" i="12"/>
  <c r="G23" i="12"/>
  <c r="G19" i="12"/>
  <c r="O15" i="12"/>
  <c r="G15" i="12"/>
  <c r="G11" i="12"/>
  <c r="G7" i="12"/>
  <c r="G186" i="13"/>
  <c r="G182" i="13"/>
  <c r="G178" i="13"/>
  <c r="F177" i="13"/>
  <c r="B177" i="13"/>
  <c r="C173" i="13"/>
  <c r="B171" i="13"/>
  <c r="F171" i="13"/>
  <c r="G169" i="13"/>
  <c r="B169" i="13"/>
  <c r="E167" i="13"/>
  <c r="E161" i="13"/>
  <c r="C160" i="13"/>
  <c r="G160" i="13"/>
  <c r="C157" i="13"/>
  <c r="E156" i="13"/>
  <c r="B155" i="13"/>
  <c r="F155" i="13"/>
  <c r="G153" i="13"/>
  <c r="B153" i="13"/>
  <c r="E151" i="13"/>
  <c r="E145" i="13"/>
  <c r="C144" i="13"/>
  <c r="G144" i="13"/>
  <c r="C141" i="13"/>
  <c r="E140" i="13"/>
  <c r="B139" i="13"/>
  <c r="F139" i="13"/>
  <c r="G137" i="13"/>
  <c r="B137" i="13"/>
  <c r="E135" i="13"/>
  <c r="E129" i="13"/>
  <c r="C128" i="13"/>
  <c r="G128" i="13"/>
  <c r="C125" i="13"/>
  <c r="E124" i="13"/>
  <c r="B123" i="13"/>
  <c r="F123" i="13"/>
  <c r="G121" i="13"/>
  <c r="B121" i="13"/>
  <c r="E119" i="13"/>
  <c r="G115" i="13"/>
  <c r="G111" i="13"/>
  <c r="G107" i="13"/>
  <c r="G103" i="13"/>
  <c r="G99" i="13"/>
  <c r="G95" i="13"/>
  <c r="G91" i="13"/>
  <c r="G87" i="13"/>
  <c r="B82" i="13"/>
  <c r="F82" i="13"/>
  <c r="C82" i="13"/>
  <c r="E82" i="13"/>
  <c r="C79" i="13"/>
  <c r="G79" i="13"/>
  <c r="E79" i="13"/>
  <c r="B79" i="13"/>
  <c r="D68" i="13"/>
  <c r="E68" i="13"/>
  <c r="B68" i="13"/>
  <c r="G68" i="13"/>
  <c r="B175" i="13"/>
  <c r="F175" i="13"/>
  <c r="D167" i="13"/>
  <c r="C164" i="13"/>
  <c r="G164" i="13"/>
  <c r="C161" i="13"/>
  <c r="B159" i="13"/>
  <c r="F159" i="13"/>
  <c r="D156" i="13"/>
  <c r="D151" i="13"/>
  <c r="C148" i="13"/>
  <c r="G148" i="13"/>
  <c r="C145" i="13"/>
  <c r="B143" i="13"/>
  <c r="F143" i="13"/>
  <c r="D140" i="13"/>
  <c r="D135" i="13"/>
  <c r="C132" i="13"/>
  <c r="G132" i="13"/>
  <c r="C129" i="13"/>
  <c r="B127" i="13"/>
  <c r="F127" i="13"/>
  <c r="D124" i="13"/>
  <c r="D119" i="13"/>
  <c r="E115" i="13"/>
  <c r="E111" i="13"/>
  <c r="E107" i="13"/>
  <c r="E103" i="13"/>
  <c r="E99" i="13"/>
  <c r="E95" i="13"/>
  <c r="E91" i="13"/>
  <c r="E87" i="13"/>
  <c r="D84" i="13"/>
  <c r="E84" i="13"/>
  <c r="B84" i="13"/>
  <c r="G84" i="13"/>
  <c r="C71" i="13"/>
  <c r="G71" i="13"/>
  <c r="B71" i="13"/>
  <c r="E71" i="13"/>
  <c r="G66" i="13"/>
  <c r="E175" i="13"/>
  <c r="E169" i="13"/>
  <c r="C168" i="13"/>
  <c r="G168" i="13"/>
  <c r="E164" i="13"/>
  <c r="B163" i="13"/>
  <c r="F163" i="13"/>
  <c r="G161" i="13"/>
  <c r="B161" i="13"/>
  <c r="E159" i="13"/>
  <c r="E153" i="13"/>
  <c r="C152" i="13"/>
  <c r="G152" i="13"/>
  <c r="E148" i="13"/>
  <c r="B147" i="13"/>
  <c r="F147" i="13"/>
  <c r="G145" i="13"/>
  <c r="B145" i="13"/>
  <c r="E143" i="13"/>
  <c r="E137" i="13"/>
  <c r="C136" i="13"/>
  <c r="G136" i="13"/>
  <c r="E132" i="13"/>
  <c r="B131" i="13"/>
  <c r="F131" i="13"/>
  <c r="G129" i="13"/>
  <c r="B129" i="13"/>
  <c r="E127" i="13"/>
  <c r="E121" i="13"/>
  <c r="C120" i="13"/>
  <c r="G120" i="13"/>
  <c r="B117" i="13"/>
  <c r="F117" i="13"/>
  <c r="D117" i="13"/>
  <c r="B113" i="13"/>
  <c r="F113" i="13"/>
  <c r="D113" i="13"/>
  <c r="B109" i="13"/>
  <c r="F109" i="13"/>
  <c r="D109" i="13"/>
  <c r="B105" i="13"/>
  <c r="F105" i="13"/>
  <c r="D105" i="13"/>
  <c r="B101" i="13"/>
  <c r="F101" i="13"/>
  <c r="D101" i="13"/>
  <c r="B97" i="13"/>
  <c r="F97" i="13"/>
  <c r="D97" i="13"/>
  <c r="B93" i="13"/>
  <c r="F93" i="13"/>
  <c r="D93" i="13"/>
  <c r="B89" i="13"/>
  <c r="F89" i="13"/>
  <c r="D89" i="13"/>
  <c r="B85" i="13"/>
  <c r="F85" i="13"/>
  <c r="D85" i="13"/>
  <c r="D76" i="13"/>
  <c r="B76" i="13"/>
  <c r="G76" i="13"/>
  <c r="E76" i="13"/>
  <c r="B74" i="13"/>
  <c r="F74" i="13"/>
  <c r="E74" i="13"/>
  <c r="C74" i="13"/>
  <c r="C63" i="13"/>
  <c r="G63" i="13"/>
  <c r="D63" i="13"/>
  <c r="E63" i="13"/>
  <c r="B63" i="13"/>
  <c r="B167" i="13"/>
  <c r="F167" i="13"/>
  <c r="C156" i="13"/>
  <c r="G156" i="13"/>
  <c r="B151" i="13"/>
  <c r="F151" i="13"/>
  <c r="C140" i="13"/>
  <c r="G140" i="13"/>
  <c r="B135" i="13"/>
  <c r="F135" i="13"/>
  <c r="C124" i="13"/>
  <c r="G124" i="13"/>
  <c r="B119" i="13"/>
  <c r="F119" i="13"/>
  <c r="D115" i="13"/>
  <c r="B115" i="13"/>
  <c r="F115" i="13"/>
  <c r="D111" i="13"/>
  <c r="B111" i="13"/>
  <c r="F111" i="13"/>
  <c r="D107" i="13"/>
  <c r="B107" i="13"/>
  <c r="F107" i="13"/>
  <c r="D103" i="13"/>
  <c r="B103" i="13"/>
  <c r="F103" i="13"/>
  <c r="D99" i="13"/>
  <c r="B99" i="13"/>
  <c r="F99" i="13"/>
  <c r="D95" i="13"/>
  <c r="B95" i="13"/>
  <c r="F95" i="13"/>
  <c r="D91" i="13"/>
  <c r="B91" i="13"/>
  <c r="F91" i="13"/>
  <c r="D87" i="13"/>
  <c r="B87" i="13"/>
  <c r="F87" i="13"/>
  <c r="B66" i="13"/>
  <c r="F66" i="13"/>
  <c r="C66" i="13"/>
  <c r="E66" i="13"/>
  <c r="B58" i="13"/>
  <c r="F58" i="13"/>
  <c r="D58" i="13"/>
  <c r="E58" i="13"/>
  <c r="C58" i="13"/>
  <c r="G116" i="13"/>
  <c r="G112" i="13"/>
  <c r="G108" i="13"/>
  <c r="G104" i="13"/>
  <c r="G100" i="13"/>
  <c r="G96" i="13"/>
  <c r="G92" i="13"/>
  <c r="G88" i="13"/>
  <c r="C75" i="13"/>
  <c r="G75" i="13"/>
  <c r="C72" i="13"/>
  <c r="B70" i="13"/>
  <c r="F70" i="13"/>
  <c r="E60" i="13"/>
  <c r="C59" i="13"/>
  <c r="G59" i="13"/>
  <c r="C56" i="13"/>
  <c r="E55" i="13"/>
  <c r="B54" i="13"/>
  <c r="F54" i="13"/>
  <c r="G52" i="13"/>
  <c r="B52" i="13"/>
  <c r="E50" i="13"/>
  <c r="E44" i="13"/>
  <c r="C43" i="13"/>
  <c r="G43" i="13"/>
  <c r="C40" i="13"/>
  <c r="E39" i="13"/>
  <c r="B38" i="13"/>
  <c r="F38" i="13"/>
  <c r="G36" i="13"/>
  <c r="B36" i="13"/>
  <c r="E34" i="13"/>
  <c r="G30" i="13"/>
  <c r="G26" i="13"/>
  <c r="G22" i="13"/>
  <c r="G18" i="13"/>
  <c r="G14" i="13"/>
  <c r="G10" i="13"/>
  <c r="G6" i="13"/>
  <c r="B184" i="14"/>
  <c r="G184" i="14" s="1"/>
  <c r="F184" i="14"/>
  <c r="D184" i="14"/>
  <c r="C47" i="13"/>
  <c r="G47" i="13"/>
  <c r="B42" i="13"/>
  <c r="F42" i="13"/>
  <c r="D178" i="14"/>
  <c r="B178" i="14"/>
  <c r="F178" i="14"/>
  <c r="D168" i="14"/>
  <c r="C168" i="14"/>
  <c r="E168" i="14"/>
  <c r="B168" i="14"/>
  <c r="C83" i="13"/>
  <c r="G83" i="13"/>
  <c r="B78" i="13"/>
  <c r="F78" i="13"/>
  <c r="C67" i="13"/>
  <c r="G67" i="13"/>
  <c r="B62" i="13"/>
  <c r="F62" i="13"/>
  <c r="G60" i="13"/>
  <c r="B60" i="13"/>
  <c r="E52" i="13"/>
  <c r="C51" i="13"/>
  <c r="G51" i="13"/>
  <c r="E47" i="13"/>
  <c r="B46" i="13"/>
  <c r="F46" i="13"/>
  <c r="G44" i="13"/>
  <c r="B44" i="13"/>
  <c r="E42" i="13"/>
  <c r="E36" i="13"/>
  <c r="C35" i="13"/>
  <c r="G35" i="13"/>
  <c r="D32" i="13"/>
  <c r="B32" i="13"/>
  <c r="F32" i="13"/>
  <c r="D28" i="13"/>
  <c r="B28" i="13"/>
  <c r="F28" i="13"/>
  <c r="D24" i="13"/>
  <c r="B24" i="13"/>
  <c r="F24" i="13"/>
  <c r="D20" i="13"/>
  <c r="B20" i="13"/>
  <c r="F20" i="13"/>
  <c r="D16" i="13"/>
  <c r="B16" i="13"/>
  <c r="F16" i="13"/>
  <c r="D12" i="13"/>
  <c r="B12" i="13"/>
  <c r="F12" i="13"/>
  <c r="D8" i="13"/>
  <c r="B8" i="13"/>
  <c r="F8" i="13"/>
  <c r="D182" i="14"/>
  <c r="B182" i="14"/>
  <c r="G182" i="14" s="1"/>
  <c r="F182" i="14"/>
  <c r="C174" i="14"/>
  <c r="D174" i="14"/>
  <c r="B174" i="14"/>
  <c r="G174" i="14" s="1"/>
  <c r="F174" i="14"/>
  <c r="C55" i="13"/>
  <c r="G55" i="13"/>
  <c r="C52" i="13"/>
  <c r="B50" i="13"/>
  <c r="F50" i="13"/>
  <c r="D47" i="13"/>
  <c r="D42" i="13"/>
  <c r="C39" i="13"/>
  <c r="G39" i="13"/>
  <c r="C36" i="13"/>
  <c r="B34" i="13"/>
  <c r="F34" i="13"/>
  <c r="B30" i="13"/>
  <c r="F30" i="13"/>
  <c r="D30" i="13"/>
  <c r="B26" i="13"/>
  <c r="F26" i="13"/>
  <c r="D26" i="13"/>
  <c r="B22" i="13"/>
  <c r="F22" i="13"/>
  <c r="D22" i="13"/>
  <c r="B18" i="13"/>
  <c r="F18" i="13"/>
  <c r="D18" i="13"/>
  <c r="B14" i="13"/>
  <c r="F14" i="13"/>
  <c r="D14" i="13"/>
  <c r="B10" i="13"/>
  <c r="F10" i="13"/>
  <c r="D10" i="13"/>
  <c r="B6" i="13"/>
  <c r="F6" i="13"/>
  <c r="D6" i="13"/>
  <c r="D186" i="14"/>
  <c r="B186" i="14"/>
  <c r="F186" i="14"/>
  <c r="B180" i="14"/>
  <c r="G180" i="14" s="1"/>
  <c r="F180" i="14"/>
  <c r="D180" i="14"/>
  <c r="E178" i="14"/>
  <c r="D176" i="14"/>
  <c r="E171" i="14"/>
  <c r="B170" i="14"/>
  <c r="F170" i="14"/>
  <c r="E166" i="14"/>
  <c r="B163" i="14"/>
  <c r="E160" i="14"/>
  <c r="E155" i="14"/>
  <c r="B154" i="14"/>
  <c r="G154" i="14" s="1"/>
  <c r="F154" i="14"/>
  <c r="B152" i="14"/>
  <c r="E150" i="14"/>
  <c r="B147" i="14"/>
  <c r="E144" i="14"/>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F162" i="14"/>
  <c r="B160" i="14"/>
  <c r="D159" i="14"/>
  <c r="E158" i="14"/>
  <c r="B155" i="14"/>
  <c r="D154" i="14"/>
  <c r="E152" i="14"/>
  <c r="C148" i="14"/>
  <c r="E147" i="14"/>
  <c r="B146" i="14"/>
  <c r="G3" i="21" s="1"/>
  <c r="F146" i="14"/>
  <c r="B144" i="14"/>
  <c r="D143" i="14"/>
  <c r="E142" i="14"/>
  <c r="B139" i="14"/>
  <c r="D138" i="14"/>
  <c r="E136" i="14"/>
  <c r="E130" i="14"/>
  <c r="B128" i="14"/>
  <c r="F128" i="14"/>
  <c r="D128" i="14"/>
  <c r="D122" i="14"/>
  <c r="B122" i="14"/>
  <c r="F122" i="14"/>
  <c r="E120" i="14"/>
  <c r="E114" i="14"/>
  <c r="B112" i="14"/>
  <c r="F112" i="14"/>
  <c r="D112" i="14"/>
  <c r="D106" i="14"/>
  <c r="B106" i="14"/>
  <c r="F106" i="14"/>
  <c r="E104" i="14"/>
  <c r="E98" i="14"/>
  <c r="B96" i="14"/>
  <c r="F96" i="14"/>
  <c r="D96" i="14"/>
  <c r="D90" i="14"/>
  <c r="B90" i="14"/>
  <c r="F90" i="14"/>
  <c r="E88" i="14"/>
  <c r="C82" i="14"/>
  <c r="D82" i="14"/>
  <c r="B82" i="14"/>
  <c r="G82" i="14" s="1"/>
  <c r="F82" i="14"/>
  <c r="B166" i="14"/>
  <c r="F166" i="14"/>
  <c r="D163" i="14"/>
  <c r="D158" i="14"/>
  <c r="C152" i="14"/>
  <c r="B150" i="14"/>
  <c r="F150" i="14"/>
  <c r="D147"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F94" i="14"/>
  <c r="E92" i="14"/>
  <c r="E86" i="14"/>
  <c r="D84" i="14"/>
  <c r="D80" i="14"/>
  <c r="F78" i="14"/>
  <c r="B78" i="14"/>
  <c r="G78" i="14" s="1"/>
  <c r="D76" i="14"/>
  <c r="F74" i="14"/>
  <c r="B74" i="14"/>
  <c r="G74" i="14" s="1"/>
  <c r="D72" i="14"/>
  <c r="F70" i="14"/>
  <c r="B70" i="14"/>
  <c r="D68" i="14"/>
  <c r="F66" i="14"/>
  <c r="B66" i="14"/>
  <c r="D64" i="14"/>
  <c r="E62" i="14"/>
  <c r="B59" i="14"/>
  <c r="E56" i="14"/>
  <c r="C52" i="14"/>
  <c r="E51" i="14"/>
  <c r="B50" i="14"/>
  <c r="G50" i="14" s="1"/>
  <c r="F50" i="14"/>
  <c r="B48" i="14"/>
  <c r="B44" i="14"/>
  <c r="G44" i="14" s="1"/>
  <c r="F44" i="14"/>
  <c r="D44" i="14"/>
  <c r="D38" i="14"/>
  <c r="B38" i="14"/>
  <c r="G38" i="14" s="1"/>
  <c r="F38" i="14"/>
  <c r="B28" i="14"/>
  <c r="F28" i="14"/>
  <c r="D28" i="14"/>
  <c r="D22" i="14"/>
  <c r="B22" i="14"/>
  <c r="F22" i="14"/>
  <c r="B54" i="14"/>
  <c r="F54" i="14"/>
  <c r="D42" i="14"/>
  <c r="B42" i="14"/>
  <c r="F42" i="14"/>
  <c r="E40" i="14"/>
  <c r="G37" i="14"/>
  <c r="B32" i="14"/>
  <c r="F32" i="14"/>
  <c r="D32" i="14"/>
  <c r="D26" i="14"/>
  <c r="B26" i="14"/>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F34" i="14"/>
  <c r="E32" i="14"/>
  <c r="B24" i="14"/>
  <c r="F24" i="14"/>
  <c r="D24" i="14"/>
  <c r="D20" i="14"/>
  <c r="F18" i="14"/>
  <c r="B18" i="14"/>
  <c r="G18" i="14" s="1"/>
  <c r="D16" i="14"/>
  <c r="F14" i="14"/>
  <c r="B14" i="14"/>
  <c r="G14" i="14" s="1"/>
  <c r="D12" i="14"/>
  <c r="F10" i="14"/>
  <c r="B10" i="14"/>
  <c r="D8" i="14"/>
  <c r="F20" i="14"/>
  <c r="D18" i="14"/>
  <c r="F16" i="14"/>
  <c r="D14" i="14"/>
  <c r="F12" i="14"/>
  <c r="D10" i="14"/>
  <c r="F8" i="14"/>
  <c r="G57" i="2" l="1"/>
  <c r="P139" i="5"/>
  <c r="P149" i="5"/>
  <c r="E227" i="11"/>
  <c r="J227" i="11"/>
  <c r="H227" i="11"/>
  <c r="N120" i="2"/>
  <c r="O120" i="2" s="1"/>
  <c r="D227" i="11"/>
  <c r="G227" i="11"/>
  <c r="I228" i="2"/>
  <c r="H228" i="2"/>
  <c r="K227" i="11"/>
  <c r="M227" i="11"/>
  <c r="N227" i="11"/>
  <c r="I60" i="8"/>
  <c r="F60" i="8"/>
  <c r="F61" i="8" s="1"/>
  <c r="C8" i="28"/>
  <c r="E50" i="5"/>
  <c r="E60" i="8"/>
  <c r="E61" i="8" s="1"/>
  <c r="E64" i="5"/>
  <c r="H60" i="8"/>
  <c r="H13" i="3"/>
  <c r="H36" i="3"/>
  <c r="E7" i="5"/>
  <c r="F7" i="5" s="1"/>
  <c r="G7" i="5" s="1"/>
  <c r="G231" i="3"/>
  <c r="E81" i="5"/>
  <c r="E84" i="5"/>
  <c r="E21" i="5"/>
  <c r="F21" i="5" s="1"/>
  <c r="G21" i="5" s="1"/>
  <c r="E51" i="5"/>
  <c r="E76" i="5"/>
  <c r="I231" i="3"/>
  <c r="J231" i="3"/>
  <c r="E132" i="5"/>
  <c r="H43" i="3"/>
  <c r="F231" i="3"/>
  <c r="E149" i="5"/>
  <c r="E19" i="5"/>
  <c r="F19" i="5" s="1"/>
  <c r="G19" i="5" s="1"/>
  <c r="E227" i="6"/>
  <c r="C227" i="6"/>
  <c r="S7" i="12"/>
  <c r="L227" i="6"/>
  <c r="M7" i="12"/>
  <c r="I227" i="6"/>
  <c r="L7" i="12"/>
  <c r="H227" i="6"/>
  <c r="F227" i="6"/>
  <c r="G227" i="6" s="1"/>
  <c r="N227" i="6"/>
  <c r="B227" i="6"/>
  <c r="K227" i="6"/>
  <c r="M18" i="12"/>
  <c r="P69" i="12"/>
  <c r="Q80" i="12"/>
  <c r="R86" i="12"/>
  <c r="P76" i="12"/>
  <c r="N112" i="12"/>
  <c r="Q55" i="12"/>
  <c r="P79" i="12"/>
  <c r="O177" i="12"/>
  <c r="M12" i="12"/>
  <c r="N22" i="12"/>
  <c r="M108" i="12"/>
  <c r="N12" i="12"/>
  <c r="L9" i="12"/>
  <c r="Q62" i="12"/>
  <c r="O181" i="12"/>
  <c r="R27" i="12"/>
  <c r="L162" i="12"/>
  <c r="H23" i="3"/>
  <c r="G78" i="2"/>
  <c r="J109" i="2"/>
  <c r="K109" i="2" s="1"/>
  <c r="K18" i="3"/>
  <c r="J23" i="2"/>
  <c r="K23" i="2" s="1"/>
  <c r="N57" i="2"/>
  <c r="O57" i="2" s="1"/>
  <c r="N89" i="2"/>
  <c r="O89" i="2" s="1"/>
  <c r="F42" i="2"/>
  <c r="N106" i="2"/>
  <c r="O106" i="2" s="1"/>
  <c r="E67" i="3"/>
  <c r="N46" i="2"/>
  <c r="O46" i="2" s="1"/>
  <c r="N142" i="2"/>
  <c r="O142" i="2" s="1"/>
  <c r="G138" i="2"/>
  <c r="H25" i="3"/>
  <c r="H38" i="3"/>
  <c r="E46" i="3"/>
  <c r="J119" i="2"/>
  <c r="K119" i="2" s="1"/>
  <c r="N143" i="2"/>
  <c r="O143" i="2" s="1"/>
  <c r="N157" i="2"/>
  <c r="O157" i="2" s="1"/>
  <c r="F78" i="2"/>
  <c r="N148" i="2"/>
  <c r="O148" i="2" s="1"/>
  <c r="J59" i="2"/>
  <c r="K59" i="2" s="1"/>
  <c r="J139" i="2"/>
  <c r="K139" i="2" s="1"/>
  <c r="F138" i="2"/>
  <c r="J128" i="2"/>
  <c r="K128" i="2" s="1"/>
  <c r="K21" i="3"/>
  <c r="P57" i="12"/>
  <c r="J38" i="5"/>
  <c r="N54" i="12"/>
  <c r="M88" i="12"/>
  <c r="R54" i="12"/>
  <c r="M64" i="5"/>
  <c r="Q91" i="12"/>
  <c r="M26" i="12"/>
  <c r="R22" i="12"/>
  <c r="P134" i="12"/>
  <c r="P169" i="12"/>
  <c r="L175" i="12"/>
  <c r="N82" i="2"/>
  <c r="O82" i="2" s="1"/>
  <c r="N163" i="7"/>
  <c r="I177" i="7"/>
  <c r="B119" i="7"/>
  <c r="H162" i="3"/>
  <c r="F12" i="5"/>
  <c r="G12" i="5" s="1"/>
  <c r="E165" i="3"/>
  <c r="I64" i="12"/>
  <c r="K42" i="3"/>
  <c r="E110" i="3"/>
  <c r="F44" i="2"/>
  <c r="C163" i="7"/>
  <c r="M26" i="5"/>
  <c r="M38" i="5"/>
  <c r="M34" i="5"/>
  <c r="E21" i="3"/>
  <c r="K126" i="3"/>
  <c r="E177" i="3"/>
  <c r="P86" i="5"/>
  <c r="M22" i="5"/>
  <c r="E143" i="3"/>
  <c r="G122" i="14"/>
  <c r="G22" i="14"/>
  <c r="G94" i="14"/>
  <c r="M10" i="5"/>
  <c r="J7" i="5"/>
  <c r="J39" i="5"/>
  <c r="H94" i="3"/>
  <c r="E149" i="3"/>
  <c r="J36" i="5"/>
  <c r="H41" i="3"/>
  <c r="K180" i="3"/>
  <c r="P126" i="5"/>
  <c r="C57" i="7"/>
  <c r="D49" i="7"/>
  <c r="M97" i="7"/>
  <c r="E183" i="7"/>
  <c r="P48" i="5"/>
  <c r="H163" i="7"/>
  <c r="H163" i="12" s="1"/>
  <c r="J163" i="7"/>
  <c r="J150" i="2"/>
  <c r="K150" i="2" s="1"/>
  <c r="B3" i="21"/>
  <c r="G48" i="2"/>
  <c r="O158" i="12"/>
  <c r="O154" i="12"/>
  <c r="O162" i="12"/>
  <c r="O33" i="12"/>
  <c r="P55" i="12"/>
  <c r="L142" i="5"/>
  <c r="M142" i="5" s="1"/>
  <c r="O143" i="12"/>
  <c r="O53" i="12"/>
  <c r="E95" i="5"/>
  <c r="F95" i="5" s="1"/>
  <c r="G95" i="5" s="1"/>
  <c r="E138" i="5"/>
  <c r="F138" i="5" s="1"/>
  <c r="G138" i="5" s="1"/>
  <c r="L47" i="5"/>
  <c r="L164" i="5"/>
  <c r="M164" i="5" s="1"/>
  <c r="E99" i="5"/>
  <c r="F99" i="5" s="1"/>
  <c r="G99" i="5" s="1"/>
  <c r="E142" i="5"/>
  <c r="F142" i="5" s="1"/>
  <c r="G142" i="5" s="1"/>
  <c r="M36" i="12"/>
  <c r="M51" i="12"/>
  <c r="M147" i="12"/>
  <c r="L95" i="5"/>
  <c r="M95" i="5" s="1"/>
  <c r="E85" i="5"/>
  <c r="F85" i="5" s="1"/>
  <c r="G85" i="5" s="1"/>
  <c r="R52" i="12"/>
  <c r="M169" i="12"/>
  <c r="L32" i="5"/>
  <c r="M32" i="5" s="1"/>
  <c r="S40" i="12"/>
  <c r="O150" i="12"/>
  <c r="L154" i="12"/>
  <c r="E159" i="5"/>
  <c r="F159" i="5" s="1"/>
  <c r="G159" i="5" s="1"/>
  <c r="E141" i="5"/>
  <c r="F141" i="5" s="1"/>
  <c r="G141" i="5" s="1"/>
  <c r="S39" i="12"/>
  <c r="L156" i="5"/>
  <c r="M156" i="5" s="1"/>
  <c r="E107" i="5"/>
  <c r="F107" i="5" s="1"/>
  <c r="G107" i="5" s="1"/>
  <c r="L99" i="12"/>
  <c r="N149" i="12"/>
  <c r="L143" i="5"/>
  <c r="M143" i="5" s="1"/>
  <c r="E53" i="5"/>
  <c r="E154" i="5"/>
  <c r="F154" i="5" s="1"/>
  <c r="G154" i="5" s="1"/>
  <c r="N88" i="2"/>
  <c r="O88" i="2" s="1"/>
  <c r="R35" i="12"/>
  <c r="M50" i="12"/>
  <c r="S31" i="12"/>
  <c r="M138" i="12"/>
  <c r="M175" i="12"/>
  <c r="F119" i="7"/>
  <c r="J120" i="2"/>
  <c r="K120" i="2" s="1"/>
  <c r="Q31" i="12"/>
  <c r="I100" i="7"/>
  <c r="I100" i="12" s="1"/>
  <c r="J40" i="2"/>
  <c r="K40" i="2" s="1"/>
  <c r="E108" i="5"/>
  <c r="F108" i="5" s="1"/>
  <c r="G108" i="5" s="1"/>
  <c r="M96" i="12"/>
  <c r="Q37" i="12"/>
  <c r="N28" i="12"/>
  <c r="L141" i="5"/>
  <c r="M141" i="5" s="1"/>
  <c r="L117" i="12"/>
  <c r="O131" i="12"/>
  <c r="M121" i="12"/>
  <c r="L31" i="12"/>
  <c r="O174" i="12"/>
  <c r="E133" i="5"/>
  <c r="N47" i="12"/>
  <c r="L39" i="12"/>
  <c r="S46" i="12"/>
  <c r="M100" i="12"/>
  <c r="L153" i="12"/>
  <c r="O123" i="12"/>
  <c r="O97" i="12"/>
  <c r="E158" i="5"/>
  <c r="M39" i="12"/>
  <c r="L55" i="5"/>
  <c r="O85" i="12"/>
  <c r="O115" i="12"/>
  <c r="N180" i="12"/>
  <c r="O144" i="12"/>
  <c r="L119" i="12"/>
  <c r="L31" i="5"/>
  <c r="M31" i="5" s="1"/>
  <c r="M176" i="12"/>
  <c r="E48" i="5"/>
  <c r="F48" i="5" s="1"/>
  <c r="G48" i="5" s="1"/>
  <c r="E134" i="5"/>
  <c r="Q41" i="12"/>
  <c r="K21" i="7"/>
  <c r="J21" i="12" s="1"/>
  <c r="O112" i="12"/>
  <c r="M180" i="7"/>
  <c r="E32" i="5"/>
  <c r="F32" i="5" s="1"/>
  <c r="G32" i="5" s="1"/>
  <c r="E52" i="5"/>
  <c r="F52" i="5" s="1"/>
  <c r="G52" i="5" s="1"/>
  <c r="M44" i="12"/>
  <c r="L37" i="5"/>
  <c r="M37" i="5" s="1"/>
  <c r="O127" i="12"/>
  <c r="M115" i="12"/>
  <c r="O49" i="12"/>
  <c r="L47" i="12"/>
  <c r="O166" i="12"/>
  <c r="L174" i="12"/>
  <c r="L106" i="5"/>
  <c r="M106" i="5" s="1"/>
  <c r="L134" i="5"/>
  <c r="M134" i="5" s="1"/>
  <c r="L39" i="5"/>
  <c r="M39" i="5" s="1"/>
  <c r="L102" i="5"/>
  <c r="L110" i="5"/>
  <c r="L152" i="5"/>
  <c r="M152" i="5" s="1"/>
  <c r="E150" i="5"/>
  <c r="L46" i="5"/>
  <c r="L126" i="5"/>
  <c r="M126" i="5" s="1"/>
  <c r="Q35" i="12"/>
  <c r="Q43" i="12"/>
  <c r="M93" i="12"/>
  <c r="L105" i="12"/>
  <c r="L160" i="5"/>
  <c r="E35" i="5"/>
  <c r="F35" i="5" s="1"/>
  <c r="G35" i="5" s="1"/>
  <c r="E147" i="5"/>
  <c r="F147" i="5" s="1"/>
  <c r="G147" i="5" s="1"/>
  <c r="O141" i="12"/>
  <c r="O147" i="12"/>
  <c r="M180" i="12"/>
  <c r="O95" i="12"/>
  <c r="O52" i="12"/>
  <c r="J14" i="5"/>
  <c r="K41" i="3"/>
  <c r="E30" i="3"/>
  <c r="J26" i="5"/>
  <c r="P40" i="12"/>
  <c r="E60" i="3"/>
  <c r="K146" i="3"/>
  <c r="R90" i="12"/>
  <c r="O7" i="12"/>
  <c r="M80" i="5"/>
  <c r="P72" i="5"/>
  <c r="L96" i="12"/>
  <c r="N62" i="2"/>
  <c r="O62" i="2" s="1"/>
  <c r="P49" i="5"/>
  <c r="P130" i="5"/>
  <c r="R102" i="12"/>
  <c r="H65" i="3"/>
  <c r="H51" i="3"/>
  <c r="H167" i="3"/>
  <c r="K135" i="7"/>
  <c r="J135" i="12" s="1"/>
  <c r="C119" i="7"/>
  <c r="P10" i="5"/>
  <c r="D54" i="7"/>
  <c r="M83" i="5"/>
  <c r="E36" i="3"/>
  <c r="H171" i="3"/>
  <c r="P163" i="5"/>
  <c r="E155" i="7"/>
  <c r="R88" i="12"/>
  <c r="Q138" i="12"/>
  <c r="L89" i="12"/>
  <c r="L155" i="7"/>
  <c r="M54" i="7"/>
  <c r="O68" i="7"/>
  <c r="P105" i="12"/>
  <c r="O54" i="7"/>
  <c r="H155" i="7"/>
  <c r="F73" i="7"/>
  <c r="J55" i="2"/>
  <c r="K55" i="2" s="1"/>
  <c r="J67" i="2"/>
  <c r="K67" i="2" s="1"/>
  <c r="J60" i="2"/>
  <c r="K60" i="2" s="1"/>
  <c r="H54" i="7"/>
  <c r="K54" i="7"/>
  <c r="J54" i="12" s="1"/>
  <c r="D155" i="7"/>
  <c r="H110" i="3"/>
  <c r="P119" i="5"/>
  <c r="B54" i="7"/>
  <c r="F158" i="7"/>
  <c r="C54" i="7"/>
  <c r="K158" i="7"/>
  <c r="P134" i="5"/>
  <c r="K64" i="3"/>
  <c r="D183" i="7"/>
  <c r="S35" i="12"/>
  <c r="L13" i="12"/>
  <c r="D158" i="7"/>
  <c r="G158" i="7"/>
  <c r="E117" i="3"/>
  <c r="H92" i="3"/>
  <c r="Q66" i="12"/>
  <c r="I158" i="7"/>
  <c r="J80" i="12"/>
  <c r="C158" i="7"/>
  <c r="J32" i="2"/>
  <c r="K32" i="2" s="1"/>
  <c r="M33" i="5"/>
  <c r="M49" i="5"/>
  <c r="N158" i="7"/>
  <c r="H39" i="3"/>
  <c r="O80" i="7"/>
  <c r="F183" i="7"/>
  <c r="P87" i="5"/>
  <c r="L80" i="7"/>
  <c r="K80" i="12" s="1"/>
  <c r="H20" i="3"/>
  <c r="O146" i="7"/>
  <c r="E146" i="7"/>
  <c r="H59" i="3"/>
  <c r="E57" i="3"/>
  <c r="N54" i="7"/>
  <c r="F68" i="7"/>
  <c r="J54" i="7"/>
  <c r="K72" i="12"/>
  <c r="N184" i="2"/>
  <c r="O184" i="2" s="1"/>
  <c r="N50" i="2"/>
  <c r="O50" i="2" s="1"/>
  <c r="H24" i="3"/>
  <c r="F155" i="7"/>
  <c r="P22" i="5"/>
  <c r="Q169" i="12"/>
  <c r="I53" i="7"/>
  <c r="I53" i="12" s="1"/>
  <c r="B33" i="7"/>
  <c r="H98" i="7"/>
  <c r="N69" i="7"/>
  <c r="K95" i="12"/>
  <c r="F25" i="7"/>
  <c r="L35" i="7"/>
  <c r="M90" i="7"/>
  <c r="H160" i="7"/>
  <c r="H160" i="12" s="1"/>
  <c r="M88" i="5"/>
  <c r="E29" i="5"/>
  <c r="F29" i="5" s="1"/>
  <c r="G29" i="5" s="1"/>
  <c r="N33" i="2"/>
  <c r="O33" i="2" s="1"/>
  <c r="N94" i="2"/>
  <c r="O94" i="2" s="1"/>
  <c r="I98" i="7"/>
  <c r="E80" i="7"/>
  <c r="G117" i="7"/>
  <c r="M164" i="7"/>
  <c r="O13" i="7"/>
  <c r="N68" i="7"/>
  <c r="L183" i="7"/>
  <c r="I13" i="7"/>
  <c r="I13" i="12" s="1"/>
  <c r="K91" i="7"/>
  <c r="G96" i="14"/>
  <c r="N62" i="12"/>
  <c r="Q27" i="12"/>
  <c r="K98" i="7"/>
  <c r="I35" i="7"/>
  <c r="J53" i="7"/>
  <c r="D35" i="7"/>
  <c r="E90" i="3"/>
  <c r="K122" i="3"/>
  <c r="K156" i="3"/>
  <c r="L25" i="7"/>
  <c r="K25" i="12" s="1"/>
  <c r="K20" i="3"/>
  <c r="K88" i="7"/>
  <c r="F134" i="7"/>
  <c r="M158" i="7"/>
  <c r="O155" i="7"/>
  <c r="B183" i="7"/>
  <c r="I96" i="7"/>
  <c r="I96" i="12" s="1"/>
  <c r="O88" i="7"/>
  <c r="H134" i="7"/>
  <c r="G35" i="7"/>
  <c r="E28" i="3"/>
  <c r="D33" i="7"/>
  <c r="L104" i="12"/>
  <c r="R24" i="12"/>
  <c r="N156" i="12"/>
  <c r="L135" i="12"/>
  <c r="I90" i="7"/>
  <c r="C98" i="7"/>
  <c r="H13" i="7"/>
  <c r="H13" i="12" s="1"/>
  <c r="O127" i="7"/>
  <c r="J160" i="7"/>
  <c r="B53" i="7"/>
  <c r="D170" i="7"/>
  <c r="G46" i="2"/>
  <c r="N134" i="2"/>
  <c r="O134" i="2" s="1"/>
  <c r="G69" i="7"/>
  <c r="M91" i="7"/>
  <c r="J88" i="7"/>
  <c r="M134" i="7"/>
  <c r="G155" i="7"/>
  <c r="J183" i="7"/>
  <c r="P111" i="5"/>
  <c r="O35" i="7"/>
  <c r="L158" i="7"/>
  <c r="B155" i="7"/>
  <c r="O33" i="7"/>
  <c r="H183" i="7"/>
  <c r="R46" i="12"/>
  <c r="R156" i="12"/>
  <c r="M168" i="12"/>
  <c r="N90" i="7"/>
  <c r="D13" i="7"/>
  <c r="N160" i="7"/>
  <c r="J47" i="5"/>
  <c r="E73" i="3"/>
  <c r="K145" i="3"/>
  <c r="K35" i="7"/>
  <c r="E88" i="7"/>
  <c r="M155" i="7"/>
  <c r="N183" i="7"/>
  <c r="F35" i="7"/>
  <c r="J134" i="7"/>
  <c r="E158" i="7"/>
  <c r="B52" i="7"/>
  <c r="L134" i="7"/>
  <c r="K134" i="12" s="1"/>
  <c r="N104" i="2"/>
  <c r="O104" i="2" s="1"/>
  <c r="N13" i="7"/>
  <c r="O134" i="7"/>
  <c r="H77" i="3"/>
  <c r="F46" i="2"/>
  <c r="J180" i="2"/>
  <c r="K180" i="2" s="1"/>
  <c r="M13" i="7"/>
  <c r="M51" i="7"/>
  <c r="D24" i="7"/>
  <c r="E73" i="7"/>
  <c r="N88" i="7"/>
  <c r="C183" i="7"/>
  <c r="E155" i="3"/>
  <c r="E35" i="7"/>
  <c r="K155" i="7"/>
  <c r="D61" i="7"/>
  <c r="R26" i="12"/>
  <c r="J13" i="7"/>
  <c r="H51" i="7"/>
  <c r="K50" i="3"/>
  <c r="K78" i="3"/>
  <c r="N145" i="2"/>
  <c r="O145" i="2" s="1"/>
  <c r="J51" i="7"/>
  <c r="K24" i="7"/>
  <c r="J24" i="12" s="1"/>
  <c r="F91" i="7"/>
  <c r="N96" i="7"/>
  <c r="G88" i="7"/>
  <c r="I88" i="7"/>
  <c r="I88" i="12" s="1"/>
  <c r="F88" i="7"/>
  <c r="G183" i="7"/>
  <c r="J52" i="7"/>
  <c r="M25" i="7"/>
  <c r="J158" i="7"/>
  <c r="C73" i="7"/>
  <c r="B158" i="7"/>
  <c r="G162" i="14"/>
  <c r="G26" i="14"/>
  <c r="M146" i="12"/>
  <c r="F13" i="7"/>
  <c r="D25" i="7"/>
  <c r="G134" i="7"/>
  <c r="O90" i="7"/>
  <c r="H53" i="7"/>
  <c r="M127" i="7"/>
  <c r="H182" i="12"/>
  <c r="J150" i="5"/>
  <c r="H57" i="3"/>
  <c r="F6" i="3"/>
  <c r="N30" i="2"/>
  <c r="O30" i="2" s="1"/>
  <c r="G53" i="7"/>
  <c r="J96" i="7"/>
  <c r="C88" i="7"/>
  <c r="C155" i="7"/>
  <c r="K183" i="7"/>
  <c r="J183" i="12" s="1"/>
  <c r="N52" i="7"/>
  <c r="K187" i="3"/>
  <c r="P34" i="5"/>
  <c r="O61" i="7"/>
  <c r="P65" i="5"/>
  <c r="L19" i="12"/>
  <c r="F160" i="7"/>
  <c r="K134" i="7"/>
  <c r="S83" i="12"/>
  <c r="B13" i="7"/>
  <c r="I25" i="7"/>
  <c r="I25" i="12" s="1"/>
  <c r="I51" i="7"/>
  <c r="E90" i="7"/>
  <c r="C134" i="7"/>
  <c r="K90" i="7"/>
  <c r="M53" i="7"/>
  <c r="E98" i="7"/>
  <c r="K158" i="3"/>
  <c r="L6" i="3"/>
  <c r="C53" i="7"/>
  <c r="E96" i="7"/>
  <c r="F96" i="7"/>
  <c r="L88" i="7"/>
  <c r="D134" i="7"/>
  <c r="I155" i="7"/>
  <c r="O183" i="7"/>
  <c r="K147" i="3"/>
  <c r="M35" i="7"/>
  <c r="H25" i="7"/>
  <c r="I91" i="7"/>
  <c r="I91" i="12" s="1"/>
  <c r="B90" i="7"/>
  <c r="N190" i="2"/>
  <c r="O190" i="2" s="1"/>
  <c r="R47" i="12"/>
  <c r="O103" i="12"/>
  <c r="L101" i="12"/>
  <c r="I117" i="7"/>
  <c r="O25" i="7"/>
  <c r="E53" i="7"/>
  <c r="J90" i="7"/>
  <c r="G90" i="7"/>
  <c r="N25" i="7"/>
  <c r="J98" i="7"/>
  <c r="J157" i="5"/>
  <c r="K95" i="3"/>
  <c r="I6" i="3"/>
  <c r="N113" i="2"/>
  <c r="O113" i="2" s="1"/>
  <c r="K96" i="7"/>
  <c r="J96" i="12" s="1"/>
  <c r="B96" i="7"/>
  <c r="H88" i="7"/>
  <c r="M88" i="7"/>
  <c r="I134" i="7"/>
  <c r="I134" i="12" s="1"/>
  <c r="N155" i="7"/>
  <c r="G25" i="7"/>
  <c r="M183" i="7"/>
  <c r="F52" i="2"/>
  <c r="P146" i="12"/>
  <c r="P172" i="12"/>
  <c r="R154" i="12"/>
  <c r="P124" i="12"/>
  <c r="N154" i="12"/>
  <c r="P30" i="12"/>
  <c r="S69" i="12"/>
  <c r="P159" i="5"/>
  <c r="O172" i="12"/>
  <c r="B236" i="2"/>
  <c r="L10" i="7"/>
  <c r="K10" i="12" s="1"/>
  <c r="M56" i="5"/>
  <c r="L32" i="12"/>
  <c r="S137" i="12"/>
  <c r="L110" i="12"/>
  <c r="O104" i="12"/>
  <c r="P102" i="12"/>
  <c r="S116" i="12"/>
  <c r="L98" i="12"/>
  <c r="N137" i="12"/>
  <c r="S155" i="12"/>
  <c r="H48" i="3"/>
  <c r="L109" i="12"/>
  <c r="O107" i="12"/>
  <c r="S150" i="12"/>
  <c r="Q124" i="12"/>
  <c r="S162" i="12"/>
  <c r="R145" i="12"/>
  <c r="L108" i="5"/>
  <c r="M108" i="5" s="1"/>
  <c r="O105" i="12"/>
  <c r="R100" i="12"/>
  <c r="L107" i="12"/>
  <c r="O153" i="12"/>
  <c r="P157" i="12"/>
  <c r="P123" i="12"/>
  <c r="L100" i="5"/>
  <c r="R131" i="12"/>
  <c r="O121" i="12"/>
  <c r="R148" i="12"/>
  <c r="M173" i="12"/>
  <c r="O151" i="12"/>
  <c r="N160" i="12"/>
  <c r="E117" i="5"/>
  <c r="F117" i="5" s="1"/>
  <c r="G117" i="5" s="1"/>
  <c r="O135" i="12"/>
  <c r="M122" i="12"/>
  <c r="Q112" i="12"/>
  <c r="O109" i="12"/>
  <c r="L121" i="12"/>
  <c r="S124" i="12"/>
  <c r="L124" i="5"/>
  <c r="M124" i="5" s="1"/>
  <c r="L146" i="5"/>
  <c r="M146" i="5" s="1"/>
  <c r="R170" i="12"/>
  <c r="E128" i="5"/>
  <c r="O117" i="12"/>
  <c r="L116" i="5"/>
  <c r="M116" i="5" s="1"/>
  <c r="Q128" i="12"/>
  <c r="O157" i="12"/>
  <c r="R115" i="12"/>
  <c r="N152" i="12"/>
  <c r="E139" i="5"/>
  <c r="F139" i="5" s="1"/>
  <c r="G139" i="5" s="1"/>
  <c r="E115" i="5"/>
  <c r="F115" i="5" s="1"/>
  <c r="G115" i="5" s="1"/>
  <c r="O137" i="12"/>
  <c r="N126" i="12"/>
  <c r="P141" i="12"/>
  <c r="M153" i="12"/>
  <c r="M143" i="12"/>
  <c r="M157" i="12"/>
  <c r="S110" i="12"/>
  <c r="Q152" i="12"/>
  <c r="P125" i="12"/>
  <c r="Q109" i="12"/>
  <c r="N169" i="12"/>
  <c r="N128" i="12"/>
  <c r="S104" i="12"/>
  <c r="R119" i="12"/>
  <c r="Q140" i="12"/>
  <c r="L150" i="5"/>
  <c r="Q113" i="12"/>
  <c r="L113" i="5"/>
  <c r="M113" i="5" s="1"/>
  <c r="P145" i="12"/>
  <c r="L145" i="5"/>
  <c r="M145" i="5" s="1"/>
  <c r="N120" i="12"/>
  <c r="P139" i="12"/>
  <c r="R165" i="12"/>
  <c r="Q117" i="12"/>
  <c r="S114" i="12"/>
  <c r="L151" i="12"/>
  <c r="E119" i="5"/>
  <c r="S123" i="12"/>
  <c r="P155" i="12"/>
  <c r="L128" i="5"/>
  <c r="M128" i="5" s="1"/>
  <c r="L137" i="12"/>
  <c r="S140" i="12"/>
  <c r="L140" i="5"/>
  <c r="M140" i="5" s="1"/>
  <c r="S158" i="12"/>
  <c r="L129" i="5"/>
  <c r="M129" i="5" s="1"/>
  <c r="E124" i="5"/>
  <c r="F124" i="5" s="1"/>
  <c r="G124" i="5" s="1"/>
  <c r="Q123" i="12"/>
  <c r="N157" i="12"/>
  <c r="P153" i="12"/>
  <c r="Q104" i="12"/>
  <c r="O139" i="12"/>
  <c r="O116" i="12"/>
  <c r="O125" i="12"/>
  <c r="R149" i="12"/>
  <c r="L157" i="5"/>
  <c r="M157" i="5" s="1"/>
  <c r="M149" i="12"/>
  <c r="O163" i="12"/>
  <c r="Q135" i="12"/>
  <c r="N108" i="12"/>
  <c r="P128" i="12"/>
  <c r="O120" i="12"/>
  <c r="C11" i="28"/>
  <c r="B8" i="28"/>
  <c r="E235" i="2"/>
  <c r="K10" i="3"/>
  <c r="N182" i="12"/>
  <c r="M177" i="12"/>
  <c r="N174" i="12"/>
  <c r="N178" i="12"/>
  <c r="N185" i="12"/>
  <c r="N177" i="12"/>
  <c r="E29" i="3"/>
  <c r="N96" i="2"/>
  <c r="O96" i="2" s="1"/>
  <c r="G163" i="2"/>
  <c r="L146" i="7"/>
  <c r="F193" i="2"/>
  <c r="P165" i="5"/>
  <c r="P13" i="5"/>
  <c r="P37" i="5"/>
  <c r="P73" i="5"/>
  <c r="P71" i="12"/>
  <c r="S89" i="12"/>
  <c r="M97" i="5"/>
  <c r="S115" i="12"/>
  <c r="O132" i="12"/>
  <c r="L51" i="12"/>
  <c r="M20" i="12"/>
  <c r="L15" i="7"/>
  <c r="K15" i="12" s="1"/>
  <c r="D117" i="7"/>
  <c r="C51" i="7"/>
  <c r="D91" i="7"/>
  <c r="J127" i="7"/>
  <c r="E15" i="7"/>
  <c r="L127" i="7"/>
  <c r="D51" i="7"/>
  <c r="C62" i="7"/>
  <c r="B188" i="7"/>
  <c r="H170" i="7"/>
  <c r="J49" i="2"/>
  <c r="K49" i="2" s="1"/>
  <c r="F89" i="2"/>
  <c r="N105" i="2"/>
  <c r="O105" i="2" s="1"/>
  <c r="P108" i="5"/>
  <c r="I15" i="7"/>
  <c r="O8" i="7"/>
  <c r="F51" i="7"/>
  <c r="D16" i="7"/>
  <c r="O24" i="7"/>
  <c r="N91" i="7"/>
  <c r="E60" i="7"/>
  <c r="C84" i="7"/>
  <c r="I118" i="7"/>
  <c r="I170" i="7"/>
  <c r="P36" i="5"/>
  <c r="M16" i="7"/>
  <c r="E52" i="7"/>
  <c r="M38" i="7"/>
  <c r="F38" i="7"/>
  <c r="H65" i="7"/>
  <c r="H65" i="12" s="1"/>
  <c r="C65" i="7"/>
  <c r="I33" i="7"/>
  <c r="I33" i="12" s="1"/>
  <c r="C8" i="7"/>
  <c r="N181" i="7"/>
  <c r="J69" i="7"/>
  <c r="O170" i="7"/>
  <c r="H14" i="3"/>
  <c r="H168" i="3"/>
  <c r="N38" i="2"/>
  <c r="O38" i="2" s="1"/>
  <c r="P25" i="5"/>
  <c r="P64" i="5"/>
  <c r="B51" i="7"/>
  <c r="C69" i="7"/>
  <c r="G24" i="7"/>
  <c r="G91" i="7"/>
  <c r="C117" i="7"/>
  <c r="F118" i="7"/>
  <c r="K96" i="3"/>
  <c r="G23" i="14"/>
  <c r="J38" i="7"/>
  <c r="I52" i="7"/>
  <c r="I52" i="12" s="1"/>
  <c r="M62" i="7"/>
  <c r="N20" i="2"/>
  <c r="O20" i="2" s="1"/>
  <c r="R39" i="12"/>
  <c r="G89" i="2"/>
  <c r="J101" i="2"/>
  <c r="K101" i="2" s="1"/>
  <c r="L68" i="12"/>
  <c r="P92" i="12"/>
  <c r="N104" i="12"/>
  <c r="R123" i="12"/>
  <c r="S128" i="12"/>
  <c r="P159" i="12"/>
  <c r="K117" i="7"/>
  <c r="F69" i="7"/>
  <c r="J86" i="5"/>
  <c r="K13" i="3"/>
  <c r="H74" i="3"/>
  <c r="K170" i="7"/>
  <c r="G61" i="2"/>
  <c r="C24" i="7"/>
  <c r="J43" i="7"/>
  <c r="B91" i="7"/>
  <c r="G187" i="2"/>
  <c r="G123" i="14"/>
  <c r="E38" i="7"/>
  <c r="D52" i="7"/>
  <c r="I60" i="7"/>
  <c r="I60" i="12" s="1"/>
  <c r="F62" i="7"/>
  <c r="J118" i="7"/>
  <c r="L52" i="7"/>
  <c r="K52" i="12" s="1"/>
  <c r="H86" i="7"/>
  <c r="H86" i="12" s="1"/>
  <c r="J169" i="7"/>
  <c r="G33" i="7"/>
  <c r="C4" i="21" s="1"/>
  <c r="F127" i="7"/>
  <c r="E117" i="7"/>
  <c r="S34" i="12"/>
  <c r="S152" i="12"/>
  <c r="O118" i="7"/>
  <c r="B69" i="7"/>
  <c r="H181" i="12"/>
  <c r="K78" i="7"/>
  <c r="J78" i="12" s="1"/>
  <c r="H31" i="3"/>
  <c r="E74" i="3"/>
  <c r="G170" i="7"/>
  <c r="E25" i="3"/>
  <c r="F121" i="2"/>
  <c r="G167" i="14"/>
  <c r="P66" i="5"/>
  <c r="G52" i="7"/>
  <c r="K11" i="7"/>
  <c r="J11" i="12" s="1"/>
  <c r="N60" i="7"/>
  <c r="K60" i="7"/>
  <c r="J60" i="12" s="1"/>
  <c r="N123" i="7"/>
  <c r="K129" i="3"/>
  <c r="N38" i="7"/>
  <c r="C52" i="7"/>
  <c r="C60" i="7"/>
  <c r="E62" i="7"/>
  <c r="E86" i="7"/>
  <c r="F167" i="7"/>
  <c r="I188" i="7"/>
  <c r="I188" i="12" s="1"/>
  <c r="N136" i="2"/>
  <c r="O136" i="2" s="1"/>
  <c r="F86" i="7"/>
  <c r="M170" i="7"/>
  <c r="M52" i="7"/>
  <c r="K127" i="7"/>
  <c r="J127" i="12" s="1"/>
  <c r="E33" i="7"/>
  <c r="L33" i="7"/>
  <c r="Q97" i="12"/>
  <c r="R69" i="12"/>
  <c r="R128" i="12"/>
  <c r="R152" i="12"/>
  <c r="R25" i="12"/>
  <c r="K15" i="7"/>
  <c r="J15" i="12" s="1"/>
  <c r="O38" i="7"/>
  <c r="K118" i="7"/>
  <c r="H117" i="7"/>
  <c r="G188" i="7"/>
  <c r="C170" i="7"/>
  <c r="E27" i="3"/>
  <c r="K164" i="3"/>
  <c r="N85" i="2"/>
  <c r="O85" i="2" s="1"/>
  <c r="F106" i="2"/>
  <c r="P84" i="5"/>
  <c r="K52" i="7"/>
  <c r="J52" i="12" s="1"/>
  <c r="C11" i="7"/>
  <c r="G60" i="7"/>
  <c r="N24" i="7"/>
  <c r="J60" i="7"/>
  <c r="D129" i="7"/>
  <c r="K56" i="3"/>
  <c r="E170" i="3"/>
  <c r="M67" i="5"/>
  <c r="I38" i="7"/>
  <c r="I38" i="12" s="1"/>
  <c r="L65" i="7"/>
  <c r="K65" i="12" s="1"/>
  <c r="O164" i="7"/>
  <c r="H38" i="7"/>
  <c r="J86" i="7"/>
  <c r="I169" i="7"/>
  <c r="I169" i="12" s="1"/>
  <c r="C188" i="7"/>
  <c r="J68" i="2"/>
  <c r="K68" i="2" s="1"/>
  <c r="J177" i="2"/>
  <c r="K177" i="2" s="1"/>
  <c r="K65" i="7"/>
  <c r="J65" i="12" s="1"/>
  <c r="M86" i="7"/>
  <c r="E170" i="7"/>
  <c r="F181" i="7"/>
  <c r="N39" i="12"/>
  <c r="M124" i="12"/>
  <c r="Q122" i="12"/>
  <c r="R34" i="12"/>
  <c r="N98" i="12"/>
  <c r="R75" i="12"/>
  <c r="M75" i="12"/>
  <c r="R116" i="12"/>
  <c r="M166" i="12"/>
  <c r="R72" i="12"/>
  <c r="M151" i="5"/>
  <c r="M89" i="12"/>
  <c r="C127" i="7"/>
  <c r="K38" i="7"/>
  <c r="D62" i="7"/>
  <c r="G118" i="7"/>
  <c r="H69" i="7"/>
  <c r="H69" i="12" s="1"/>
  <c r="M117" i="7"/>
  <c r="O188" i="7"/>
  <c r="J110" i="5"/>
  <c r="L188" i="7"/>
  <c r="K188" i="12" s="1"/>
  <c r="L178" i="7"/>
  <c r="N102" i="2"/>
  <c r="O102" i="2" s="1"/>
  <c r="O52" i="7"/>
  <c r="O11" i="7"/>
  <c r="O60" i="7"/>
  <c r="J24" i="7"/>
  <c r="F60" i="7"/>
  <c r="I24" i="7"/>
  <c r="I129" i="7"/>
  <c r="P99" i="5"/>
  <c r="D38" i="7"/>
  <c r="E65" i="7"/>
  <c r="L181" i="7"/>
  <c r="K181" i="12" s="1"/>
  <c r="N175" i="2"/>
  <c r="O175" i="2" s="1"/>
  <c r="B86" i="7"/>
  <c r="M181" i="7"/>
  <c r="E178" i="3"/>
  <c r="M65" i="7"/>
  <c r="D15" i="7"/>
  <c r="R98" i="12"/>
  <c r="I127" i="7"/>
  <c r="G38" i="7"/>
  <c r="I62" i="7"/>
  <c r="I62" i="12" s="1"/>
  <c r="E69" i="7"/>
  <c r="C118" i="7"/>
  <c r="J63" i="12"/>
  <c r="N117" i="7"/>
  <c r="M69" i="7"/>
  <c r="K77" i="3"/>
  <c r="H188" i="7"/>
  <c r="H188" i="12" s="1"/>
  <c r="N170" i="7"/>
  <c r="K188" i="7"/>
  <c r="J188" i="12" s="1"/>
  <c r="F61" i="2"/>
  <c r="N169" i="2"/>
  <c r="O169" i="2" s="1"/>
  <c r="G157" i="14"/>
  <c r="F24" i="7"/>
  <c r="E181" i="7"/>
  <c r="M8" i="7"/>
  <c r="D65" i="7"/>
  <c r="E129" i="7"/>
  <c r="O51" i="7"/>
  <c r="D181" i="7"/>
  <c r="H33" i="7"/>
  <c r="H33" i="12" s="1"/>
  <c r="D86" i="7"/>
  <c r="O117" i="7"/>
  <c r="D127" i="7"/>
  <c r="R126" i="12"/>
  <c r="R106" i="12"/>
  <c r="N15" i="7"/>
  <c r="D69" i="7"/>
  <c r="N127" i="7"/>
  <c r="N33" i="7"/>
  <c r="C38" i="7"/>
  <c r="N62" i="7"/>
  <c r="K69" i="7"/>
  <c r="J69" i="12" s="1"/>
  <c r="G181" i="7"/>
  <c r="J117" i="7"/>
  <c r="G15" i="7"/>
  <c r="H95" i="3"/>
  <c r="D188" i="7"/>
  <c r="J170" i="7"/>
  <c r="E161" i="3"/>
  <c r="J113" i="2"/>
  <c r="K113" i="2" s="1"/>
  <c r="N176" i="2"/>
  <c r="O176" i="2" s="1"/>
  <c r="J75" i="2"/>
  <c r="K75" i="2" s="1"/>
  <c r="J123" i="2"/>
  <c r="K123" i="2" s="1"/>
  <c r="N130" i="2"/>
  <c r="O130" i="2" s="1"/>
  <c r="E236" i="2"/>
  <c r="O65" i="7"/>
  <c r="M11" i="7"/>
  <c r="B24" i="7"/>
  <c r="L60" i="7"/>
  <c r="K60" i="12" s="1"/>
  <c r="J99" i="7"/>
  <c r="J181" i="7"/>
  <c r="P143" i="5"/>
  <c r="I86" i="7"/>
  <c r="E51" i="7"/>
  <c r="H64" i="3"/>
  <c r="K28" i="3"/>
  <c r="I181" i="7"/>
  <c r="I180" i="12" s="1"/>
  <c r="M33" i="7"/>
  <c r="K129" i="7"/>
  <c r="E91" i="7"/>
  <c r="K33" i="7"/>
  <c r="J91" i="7"/>
  <c r="P152" i="12"/>
  <c r="N51" i="7"/>
  <c r="Q103" i="12"/>
  <c r="J15" i="7"/>
  <c r="I69" i="7"/>
  <c r="I69" i="12" s="1"/>
  <c r="J33" i="7"/>
  <c r="M55" i="7"/>
  <c r="K181" i="7"/>
  <c r="J181" i="12" s="1"/>
  <c r="F117" i="7"/>
  <c r="O15" i="7"/>
  <c r="O62" i="7"/>
  <c r="H172" i="12"/>
  <c r="J152" i="5"/>
  <c r="K162" i="3"/>
  <c r="N188" i="7"/>
  <c r="F170" i="7"/>
  <c r="H30" i="3"/>
  <c r="N45" i="2"/>
  <c r="O45" i="2" s="1"/>
  <c r="N117" i="2"/>
  <c r="O117" i="2" s="1"/>
  <c r="E11" i="7"/>
  <c r="L24" i="7"/>
  <c r="K24" i="12" s="1"/>
  <c r="H60" i="7"/>
  <c r="H60" i="12" s="1"/>
  <c r="K51" i="7"/>
  <c r="J51" i="12" s="1"/>
  <c r="B99" i="7"/>
  <c r="N86" i="7"/>
  <c r="G51" i="7"/>
  <c r="B181" i="7"/>
  <c r="L38" i="7"/>
  <c r="G31" i="14"/>
  <c r="O91" i="7"/>
  <c r="M75" i="5"/>
  <c r="K69" i="12"/>
  <c r="M56" i="12"/>
  <c r="L55" i="12"/>
  <c r="F15" i="7"/>
  <c r="O69" i="7"/>
  <c r="F33" i="7"/>
  <c r="L91" i="7"/>
  <c r="K91" i="12" s="1"/>
  <c r="L123" i="7"/>
  <c r="O181" i="7"/>
  <c r="B117" i="7"/>
  <c r="J89" i="7"/>
  <c r="G127" i="7"/>
  <c r="K172" i="12"/>
  <c r="K182" i="12"/>
  <c r="M84" i="5"/>
  <c r="E53" i="3"/>
  <c r="J188" i="7"/>
  <c r="N161" i="2"/>
  <c r="O161" i="2" s="1"/>
  <c r="D11" i="7"/>
  <c r="H24" i="7"/>
  <c r="H24" i="12" s="1"/>
  <c r="C164" i="7"/>
  <c r="M24" i="7"/>
  <c r="H52" i="7"/>
  <c r="H52" i="12" s="1"/>
  <c r="C181" i="7"/>
  <c r="H187" i="3"/>
  <c r="K136" i="3"/>
  <c r="E76" i="3"/>
  <c r="P10" i="12"/>
  <c r="S125" i="12"/>
  <c r="G40" i="2"/>
  <c r="N181" i="2"/>
  <c r="O181" i="2" s="1"/>
  <c r="J88" i="2"/>
  <c r="K88" i="2" s="1"/>
  <c r="D98" i="7"/>
  <c r="O132" i="7"/>
  <c r="B134" i="7"/>
  <c r="B144" i="7"/>
  <c r="K136" i="7"/>
  <c r="M136" i="7"/>
  <c r="G13" i="7"/>
  <c r="D136" i="7"/>
  <c r="E100" i="7"/>
  <c r="P101" i="5"/>
  <c r="C96" i="7"/>
  <c r="B100" i="7"/>
  <c r="G136" i="7"/>
  <c r="H96" i="7"/>
  <c r="H96" i="12" s="1"/>
  <c r="M96" i="7"/>
  <c r="E183" i="3"/>
  <c r="O96" i="7"/>
  <c r="J95" i="12"/>
  <c r="R125" i="12"/>
  <c r="H68" i="3"/>
  <c r="G122" i="2"/>
  <c r="H100" i="7"/>
  <c r="H100" i="12" s="1"/>
  <c r="F98" i="7"/>
  <c r="E132" i="7"/>
  <c r="B136" i="7"/>
  <c r="K132" i="7"/>
  <c r="L144" i="7"/>
  <c r="K144" i="12" s="1"/>
  <c r="E13" i="7"/>
  <c r="N136" i="7"/>
  <c r="N92" i="2"/>
  <c r="O92" i="2" s="1"/>
  <c r="J100" i="7"/>
  <c r="M188" i="7"/>
  <c r="P69" i="5"/>
  <c r="L96" i="7"/>
  <c r="K96" i="12" s="1"/>
  <c r="K100" i="7"/>
  <c r="D100" i="7"/>
  <c r="K171" i="3"/>
  <c r="L90" i="7"/>
  <c r="G100" i="7"/>
  <c r="M100" i="7"/>
  <c r="P131" i="5"/>
  <c r="L100" i="7"/>
  <c r="J35" i="7"/>
  <c r="C107" i="7"/>
  <c r="D132" i="7"/>
  <c r="J136" i="7"/>
  <c r="L121" i="7"/>
  <c r="I136" i="7"/>
  <c r="I136" i="12" s="1"/>
  <c r="P42" i="5"/>
  <c r="O100" i="7"/>
  <c r="D96" i="7"/>
  <c r="C100" i="7"/>
  <c r="L113" i="7"/>
  <c r="K113" i="12" s="1"/>
  <c r="N100" i="7"/>
  <c r="C25" i="7"/>
  <c r="N24" i="12"/>
  <c r="S28" i="12"/>
  <c r="N110" i="12"/>
  <c r="P63" i="12"/>
  <c r="Q157" i="12"/>
  <c r="M128" i="12"/>
  <c r="L43" i="7"/>
  <c r="H123" i="7"/>
  <c r="H123" i="12" s="1"/>
  <c r="G78" i="7"/>
  <c r="F89" i="7"/>
  <c r="H178" i="7"/>
  <c r="G137" i="2"/>
  <c r="F134" i="2"/>
  <c r="O16" i="7"/>
  <c r="E43" i="7"/>
  <c r="K55" i="7"/>
  <c r="E16" i="7"/>
  <c r="C121" i="7"/>
  <c r="C89" i="7"/>
  <c r="E89" i="7"/>
  <c r="F123" i="7"/>
  <c r="M77" i="5"/>
  <c r="H43" i="7"/>
  <c r="G87" i="7"/>
  <c r="D123" i="7"/>
  <c r="C78" i="7"/>
  <c r="B89" i="7"/>
  <c r="N121" i="7"/>
  <c r="D178" i="7"/>
  <c r="K16" i="7"/>
  <c r="J16" i="12" s="1"/>
  <c r="M43" i="7"/>
  <c r="F78" i="7"/>
  <c r="H121" i="7"/>
  <c r="H121" i="12" s="1"/>
  <c r="K87" i="7"/>
  <c r="M178" i="7"/>
  <c r="M121" i="7"/>
  <c r="L89" i="7"/>
  <c r="K89" i="12" s="1"/>
  <c r="O123" i="7"/>
  <c r="S131" i="12"/>
  <c r="Q93" i="12"/>
  <c r="N122" i="12"/>
  <c r="D43" i="7"/>
  <c r="M87" i="7"/>
  <c r="I126" i="7"/>
  <c r="N133" i="7"/>
  <c r="J121" i="7"/>
  <c r="O178" i="7"/>
  <c r="E133" i="3"/>
  <c r="K148" i="3"/>
  <c r="J122" i="2"/>
  <c r="K122" i="2" s="1"/>
  <c r="G16" i="7"/>
  <c r="G43" i="7"/>
  <c r="M78" i="7"/>
  <c r="G123" i="7"/>
  <c r="I87" i="7"/>
  <c r="I87" i="12" s="1"/>
  <c r="I178" i="7"/>
  <c r="I178" i="12" s="1"/>
  <c r="I43" i="7"/>
  <c r="E123" i="7"/>
  <c r="P97" i="5"/>
  <c r="N66" i="2"/>
  <c r="O66" i="2" s="1"/>
  <c r="C16" i="7"/>
  <c r="B43" i="7"/>
  <c r="B78" i="7"/>
  <c r="M123" i="7"/>
  <c r="N87" i="7"/>
  <c r="E178" i="7"/>
  <c r="F43" i="7"/>
  <c r="M89" i="7"/>
  <c r="B123" i="7"/>
  <c r="H89" i="7"/>
  <c r="G66" i="14"/>
  <c r="R28" i="12"/>
  <c r="L56" i="12"/>
  <c r="L123" i="12"/>
  <c r="H55" i="7"/>
  <c r="H55" i="12" s="1"/>
  <c r="D133" i="7"/>
  <c r="I89" i="7"/>
  <c r="I89" i="12" s="1"/>
  <c r="F133" i="7"/>
  <c r="B121" i="7"/>
  <c r="G178" i="7"/>
  <c r="K149" i="3"/>
  <c r="J39" i="2"/>
  <c r="K39" i="2" s="1"/>
  <c r="N65" i="2"/>
  <c r="O65" i="2" s="1"/>
  <c r="H78" i="7"/>
  <c r="H78" i="12" s="1"/>
  <c r="C87" i="7"/>
  <c r="C43" i="7"/>
  <c r="E126" i="7"/>
  <c r="K89" i="7"/>
  <c r="J89" i="12" s="1"/>
  <c r="D89" i="7"/>
  <c r="J133" i="7"/>
  <c r="F121" i="7"/>
  <c r="K178" i="7"/>
  <c r="J178" i="12" s="1"/>
  <c r="P35" i="12"/>
  <c r="S122" i="12"/>
  <c r="D55" i="7"/>
  <c r="I133" i="7"/>
  <c r="I133" i="12" s="1"/>
  <c r="O89" i="7"/>
  <c r="B133" i="7"/>
  <c r="J116" i="5"/>
  <c r="H26" i="3"/>
  <c r="E39" i="3"/>
  <c r="C178" i="7"/>
  <c r="F122" i="2"/>
  <c r="G153" i="14"/>
  <c r="N16" i="7"/>
  <c r="L78" i="7"/>
  <c r="K78" i="12" s="1"/>
  <c r="B87" i="7"/>
  <c r="G121" i="7"/>
  <c r="N76" i="2"/>
  <c r="O76" i="2" s="1"/>
  <c r="L126" i="7"/>
  <c r="R20" i="12"/>
  <c r="O9" i="12"/>
  <c r="O133" i="7"/>
  <c r="D78" i="7"/>
  <c r="E55" i="7"/>
  <c r="N186" i="7"/>
  <c r="F21" i="2"/>
  <c r="J25" i="2"/>
  <c r="K25" i="2" s="1"/>
  <c r="N160" i="2"/>
  <c r="O160" i="2" s="1"/>
  <c r="J16" i="7"/>
  <c r="I16" i="7"/>
  <c r="I16" i="12" s="1"/>
  <c r="E78" i="7"/>
  <c r="G191" i="2"/>
  <c r="G133" i="7"/>
  <c r="K123" i="7"/>
  <c r="J123" i="12" s="1"/>
  <c r="L55" i="7"/>
  <c r="N20" i="12"/>
  <c r="P168" i="12"/>
  <c r="Q143" i="12"/>
  <c r="I78" i="7"/>
  <c r="I78" i="12" s="1"/>
  <c r="E133" i="7"/>
  <c r="J55" i="7"/>
  <c r="E87" i="7"/>
  <c r="J128" i="5"/>
  <c r="N178" i="7"/>
  <c r="F16" i="7"/>
  <c r="N55" i="7"/>
  <c r="N170" i="12"/>
  <c r="L168" i="12"/>
  <c r="Q107" i="12"/>
  <c r="N78" i="7"/>
  <c r="D121" i="7"/>
  <c r="K133" i="7"/>
  <c r="J133" i="12" s="1"/>
  <c r="O55" i="7"/>
  <c r="J87" i="7"/>
  <c r="H133" i="7"/>
  <c r="J140" i="5"/>
  <c r="J178" i="7"/>
  <c r="F81" i="2"/>
  <c r="B16" i="7"/>
  <c r="C55" i="7"/>
  <c r="K121" i="7"/>
  <c r="J121" i="12" s="1"/>
  <c r="S113" i="12"/>
  <c r="R124" i="12"/>
  <c r="L87" i="7"/>
  <c r="K87" i="12" s="1"/>
  <c r="I121" i="7"/>
  <c r="O87" i="7"/>
  <c r="M133" i="7"/>
  <c r="F178" i="7"/>
  <c r="J174" i="2"/>
  <c r="K174" i="2" s="1"/>
  <c r="L16" i="7"/>
  <c r="K16" i="12" s="1"/>
  <c r="I55" i="7"/>
  <c r="C123" i="7"/>
  <c r="L133" i="7"/>
  <c r="K133" i="12" s="1"/>
  <c r="M186" i="7"/>
  <c r="N124" i="12"/>
  <c r="H87" i="7"/>
  <c r="H87" i="12" s="1"/>
  <c r="G55" i="7"/>
  <c r="O121" i="7"/>
  <c r="O78" i="7"/>
  <c r="N89" i="7"/>
  <c r="G81" i="2"/>
  <c r="F137" i="2"/>
  <c r="G134" i="2"/>
  <c r="B55" i="7"/>
  <c r="O43" i="7"/>
  <c r="N43" i="7"/>
  <c r="I123" i="7"/>
  <c r="G21" i="7"/>
  <c r="S11" i="12"/>
  <c r="F123" i="5"/>
  <c r="G123" i="5" s="1"/>
  <c r="O168" i="12"/>
  <c r="N90" i="12"/>
  <c r="M134" i="12"/>
  <c r="L116" i="12"/>
  <c r="E97" i="5"/>
  <c r="N98" i="7"/>
  <c r="M49" i="7"/>
  <c r="D163" i="7"/>
  <c r="H97" i="7"/>
  <c r="H97" i="12" s="1"/>
  <c r="J180" i="12"/>
  <c r="L97" i="7"/>
  <c r="K97" i="12" s="1"/>
  <c r="N106" i="12"/>
  <c r="H121" i="3"/>
  <c r="H49" i="7"/>
  <c r="G49" i="7"/>
  <c r="O163" i="7"/>
  <c r="O175" i="7"/>
  <c r="P81" i="5"/>
  <c r="G116" i="7"/>
  <c r="P107" i="12"/>
  <c r="L111" i="12"/>
  <c r="O97" i="7"/>
  <c r="C49" i="7"/>
  <c r="K163" i="7"/>
  <c r="J163" i="12" s="1"/>
  <c r="E182" i="7"/>
  <c r="L109" i="7"/>
  <c r="J175" i="7"/>
  <c r="F111" i="7"/>
  <c r="P80" i="5"/>
  <c r="G37" i="7"/>
  <c r="I97" i="7"/>
  <c r="I97" i="12" s="1"/>
  <c r="D177" i="7"/>
  <c r="G163" i="7"/>
  <c r="I182" i="7"/>
  <c r="I182" i="12" s="1"/>
  <c r="E175" i="7"/>
  <c r="K97" i="7"/>
  <c r="J97" i="12" s="1"/>
  <c r="G175" i="7"/>
  <c r="I116" i="7"/>
  <c r="I116" i="12" s="1"/>
  <c r="D175" i="7"/>
  <c r="E116" i="7"/>
  <c r="N116" i="7"/>
  <c r="P154" i="12"/>
  <c r="B177" i="7"/>
  <c r="N177" i="7"/>
  <c r="G100" i="2"/>
  <c r="H116" i="7"/>
  <c r="J140" i="2"/>
  <c r="K140" i="2" s="1"/>
  <c r="I109" i="7"/>
  <c r="J177" i="7"/>
  <c r="E118" i="7"/>
  <c r="B118" i="7"/>
  <c r="G69" i="2"/>
  <c r="H177" i="7"/>
  <c r="L116" i="7"/>
  <c r="G57" i="7"/>
  <c r="C177" i="7"/>
  <c r="M118" i="7"/>
  <c r="J73" i="2"/>
  <c r="K73" i="2" s="1"/>
  <c r="M177" i="7"/>
  <c r="E151" i="3"/>
  <c r="K49" i="7"/>
  <c r="M57" i="7"/>
  <c r="L37" i="7"/>
  <c r="K37" i="12" s="1"/>
  <c r="F175" i="7"/>
  <c r="F154" i="7"/>
  <c r="F116" i="7"/>
  <c r="M171" i="12"/>
  <c r="L57" i="7"/>
  <c r="K57" i="12" s="1"/>
  <c r="E163" i="7"/>
  <c r="I37" i="7"/>
  <c r="I37" i="12" s="1"/>
  <c r="G109" i="7"/>
  <c r="L118" i="7"/>
  <c r="K118" i="12" s="1"/>
  <c r="M175" i="7"/>
  <c r="F177" i="7"/>
  <c r="S167" i="12"/>
  <c r="J162" i="5"/>
  <c r="N49" i="2"/>
  <c r="O49" i="2" s="1"/>
  <c r="P104" i="5"/>
  <c r="E57" i="7"/>
  <c r="O49" i="7"/>
  <c r="H175" i="7"/>
  <c r="M163" i="7"/>
  <c r="D37" i="7"/>
  <c r="I163" i="7"/>
  <c r="O109" i="7"/>
  <c r="K175" i="7"/>
  <c r="B175" i="7"/>
  <c r="C97" i="7"/>
  <c r="L20" i="12"/>
  <c r="J31" i="5"/>
  <c r="F69" i="2"/>
  <c r="K57" i="7"/>
  <c r="J57" i="12" s="1"/>
  <c r="I49" i="7"/>
  <c r="I49" i="12" s="1"/>
  <c r="L175" i="7"/>
  <c r="F163" i="7"/>
  <c r="L163" i="7"/>
  <c r="K163" i="12" s="1"/>
  <c r="C37" i="7"/>
  <c r="L177" i="7"/>
  <c r="E97" i="7"/>
  <c r="D13" i="28"/>
  <c r="D12" i="28"/>
  <c r="G153" i="2"/>
  <c r="E158" i="3"/>
  <c r="F179" i="2"/>
  <c r="K53" i="3"/>
  <c r="E142" i="3"/>
  <c r="F153" i="2"/>
  <c r="S85" i="12"/>
  <c r="J153" i="2"/>
  <c r="K153" i="2" s="1"/>
  <c r="P155" i="5"/>
  <c r="B10" i="28"/>
  <c r="J171" i="2"/>
  <c r="K171" i="2" s="1"/>
  <c r="D10" i="28"/>
  <c r="E237" i="2"/>
  <c r="D11" i="28"/>
  <c r="I171" i="12"/>
  <c r="P151" i="5"/>
  <c r="G74" i="2"/>
  <c r="N75" i="12"/>
  <c r="M158" i="12"/>
  <c r="J66" i="5"/>
  <c r="K170" i="3"/>
  <c r="K172" i="3"/>
  <c r="B82" i="7"/>
  <c r="C179" i="7"/>
  <c r="B10" i="7"/>
  <c r="N26" i="7"/>
  <c r="E10" i="7"/>
  <c r="J58" i="12"/>
  <c r="L90" i="12"/>
  <c r="S141" i="12"/>
  <c r="O161" i="7"/>
  <c r="K26" i="7"/>
  <c r="J26" i="12" s="1"/>
  <c r="I179" i="12"/>
  <c r="H131" i="7"/>
  <c r="J74" i="2"/>
  <c r="K74" i="2" s="1"/>
  <c r="P68" i="5"/>
  <c r="N70" i="7"/>
  <c r="N179" i="7"/>
  <c r="E131" i="7"/>
  <c r="F161" i="7"/>
  <c r="F131" i="7"/>
  <c r="H10" i="7"/>
  <c r="H10" i="12" s="1"/>
  <c r="H161" i="7"/>
  <c r="H161" i="12" s="1"/>
  <c r="J10" i="7"/>
  <c r="Q149" i="12"/>
  <c r="G26" i="7"/>
  <c r="M118" i="5"/>
  <c r="D131" i="7"/>
  <c r="I70" i="7"/>
  <c r="I70" i="12" s="1"/>
  <c r="E161" i="7"/>
  <c r="J179" i="7"/>
  <c r="H44" i="3"/>
  <c r="K131" i="7"/>
  <c r="J131" i="12" s="1"/>
  <c r="M161" i="7"/>
  <c r="M131" i="7"/>
  <c r="M10" i="7"/>
  <c r="C161" i="7"/>
  <c r="O131" i="7"/>
  <c r="K116" i="7"/>
  <c r="C26" i="7"/>
  <c r="G18" i="2"/>
  <c r="J83" i="2"/>
  <c r="K83" i="2" s="1"/>
  <c r="D70" i="7"/>
  <c r="J161" i="7"/>
  <c r="F179" i="7"/>
  <c r="I26" i="7"/>
  <c r="I26" i="12" s="1"/>
  <c r="J70" i="7"/>
  <c r="E165" i="7"/>
  <c r="L26" i="7"/>
  <c r="K26" i="12" s="1"/>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I131" i="7"/>
  <c r="O165" i="7"/>
  <c r="M16" i="5"/>
  <c r="E82" i="7"/>
  <c r="F73" i="2"/>
  <c r="P92" i="5"/>
  <c r="H165" i="7"/>
  <c r="H165" i="12" s="1"/>
  <c r="D165" i="7"/>
  <c r="H179" i="7"/>
  <c r="H179" i="12" s="1"/>
  <c r="D26" i="7"/>
  <c r="D161" i="7"/>
  <c r="M70" i="7"/>
  <c r="F10" i="7"/>
  <c r="C116" i="7"/>
  <c r="L8" i="12"/>
  <c r="R169" i="12"/>
  <c r="N35" i="12"/>
  <c r="O70" i="7"/>
  <c r="J83" i="12"/>
  <c r="J82" i="7"/>
  <c r="N34" i="2"/>
  <c r="O34" i="2" s="1"/>
  <c r="F26" i="7"/>
  <c r="L82" i="7"/>
  <c r="K82" i="12" s="1"/>
  <c r="M165" i="7"/>
  <c r="I165" i="7"/>
  <c r="I165" i="12" s="1"/>
  <c r="D179" i="7"/>
  <c r="F32" i="2"/>
  <c r="F165" i="7"/>
  <c r="L165" i="7"/>
  <c r="K165" i="12" s="1"/>
  <c r="O116" i="7"/>
  <c r="L130" i="12"/>
  <c r="R141" i="12"/>
  <c r="M150" i="12"/>
  <c r="K70" i="7"/>
  <c r="J70" i="12" s="1"/>
  <c r="K83" i="12"/>
  <c r="K79" i="3"/>
  <c r="E188" i="3"/>
  <c r="I82" i="7"/>
  <c r="I82" i="12" s="1"/>
  <c r="O179" i="7"/>
  <c r="D10" i="7"/>
  <c r="H70" i="7"/>
  <c r="H70" i="12" s="1"/>
  <c r="M34" i="12"/>
  <c r="G70" i="7"/>
  <c r="H83" i="12"/>
  <c r="H164" i="12"/>
  <c r="F18" i="2"/>
  <c r="F98" i="2"/>
  <c r="N82" i="7"/>
  <c r="M150" i="7"/>
  <c r="I10" i="7"/>
  <c r="B116" i="7"/>
  <c r="L70" i="7"/>
  <c r="K70" i="12" s="1"/>
  <c r="G19" i="14"/>
  <c r="H22" i="12"/>
  <c r="H135" i="3"/>
  <c r="H52" i="3"/>
  <c r="J116" i="7"/>
  <c r="M160" i="5"/>
  <c r="K40" i="3"/>
  <c r="H131" i="3"/>
  <c r="H96" i="3"/>
  <c r="K119" i="3"/>
  <c r="P79" i="5"/>
  <c r="P123" i="5"/>
  <c r="K32" i="3"/>
  <c r="H112" i="3"/>
  <c r="L64" i="12"/>
  <c r="D47" i="7"/>
  <c r="N73" i="2"/>
  <c r="O73" i="2" s="1"/>
  <c r="G152" i="2"/>
  <c r="O156" i="7"/>
  <c r="D187" i="7"/>
  <c r="J187" i="7"/>
  <c r="I47" i="7"/>
  <c r="I47" i="12" s="1"/>
  <c r="N47" i="7"/>
  <c r="M29" i="5"/>
  <c r="C6" i="28"/>
  <c r="D6" i="28" s="1"/>
  <c r="N164" i="2"/>
  <c r="O164" i="2" s="1"/>
  <c r="J125" i="2"/>
  <c r="K125" i="2" s="1"/>
  <c r="J59" i="7"/>
  <c r="N120" i="7"/>
  <c r="D130" i="7"/>
  <c r="G75" i="14"/>
  <c r="G85" i="7"/>
  <c r="N16" i="12"/>
  <c r="P39" i="12"/>
  <c r="E47" i="7"/>
  <c r="J10" i="5"/>
  <c r="J172" i="2"/>
  <c r="K172" i="2" s="1"/>
  <c r="O172" i="7"/>
  <c r="P103" i="5"/>
  <c r="M75" i="7"/>
  <c r="L126" i="12"/>
  <c r="P118" i="12"/>
  <c r="J47" i="7"/>
  <c r="J11" i="5"/>
  <c r="E185" i="3"/>
  <c r="J48" i="7"/>
  <c r="E76" i="7"/>
  <c r="G172" i="7"/>
  <c r="L130" i="7"/>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E172" i="7"/>
  <c r="H88" i="3"/>
  <c r="K59" i="7"/>
  <c r="J59" i="12" s="1"/>
  <c r="B47" i="7"/>
  <c r="J116" i="2"/>
  <c r="K116" i="2" s="1"/>
  <c r="R71" i="12"/>
  <c r="P166" i="12"/>
  <c r="O130" i="7"/>
  <c r="H130" i="7"/>
  <c r="J34" i="5"/>
  <c r="G49" i="2"/>
  <c r="J26" i="2"/>
  <c r="K26" i="2" s="1"/>
  <c r="P19" i="5"/>
  <c r="K172" i="7"/>
  <c r="J172" i="12" s="1"/>
  <c r="E159" i="3"/>
  <c r="F59" i="7"/>
  <c r="G112" i="14"/>
  <c r="O8" i="12"/>
  <c r="N71" i="12"/>
  <c r="K130" i="7"/>
  <c r="M130" i="7"/>
  <c r="J25" i="5"/>
  <c r="E143" i="5"/>
  <c r="N141" i="2"/>
  <c r="O141" i="2" s="1"/>
  <c r="D234" i="2"/>
  <c r="K47" i="7"/>
  <c r="J47" i="12" s="1"/>
  <c r="C172" i="7"/>
  <c r="P129" i="5"/>
  <c r="B176" i="7"/>
  <c r="K144" i="3"/>
  <c r="S143" i="12"/>
  <c r="M45" i="5"/>
  <c r="G130" i="7"/>
  <c r="G47" i="7"/>
  <c r="H85" i="7"/>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I187" i="12" s="1"/>
  <c r="N143" i="12"/>
  <c r="M113" i="12"/>
  <c r="C47" i="7"/>
  <c r="J130" i="7"/>
  <c r="H87" i="3"/>
  <c r="J178" i="2"/>
  <c r="K178" i="2" s="1"/>
  <c r="J66" i="2"/>
  <c r="K66" i="2" s="1"/>
  <c r="F130" i="2"/>
  <c r="B59" i="7"/>
  <c r="N155" i="2"/>
  <c r="O155" i="2" s="1"/>
  <c r="E96" i="3"/>
  <c r="P45" i="5"/>
  <c r="P46" i="5"/>
  <c r="J173" i="2"/>
  <c r="K173" i="2" s="1"/>
  <c r="K121" i="3"/>
  <c r="P28" i="5"/>
  <c r="G55" i="14"/>
  <c r="M9" i="5"/>
  <c r="F108" i="2"/>
  <c r="G107" i="14"/>
  <c r="P91" i="5"/>
  <c r="P77" i="5"/>
  <c r="M100" i="5"/>
  <c r="E150" i="3"/>
  <c r="P43" i="5"/>
  <c r="N191" i="2"/>
  <c r="O191" i="2" s="1"/>
  <c r="P94" i="12"/>
  <c r="L94" i="12"/>
  <c r="P170" i="12"/>
  <c r="L170" i="12"/>
  <c r="N162" i="12"/>
  <c r="N146" i="12"/>
  <c r="R146" i="12"/>
  <c r="S146" i="12"/>
  <c r="H28" i="3"/>
  <c r="P87" i="12"/>
  <c r="L87" i="12"/>
  <c r="S160" i="12"/>
  <c r="R160" i="12"/>
  <c r="Q125" i="12"/>
  <c r="M125" i="12"/>
  <c r="L125" i="7"/>
  <c r="M125" i="7"/>
  <c r="K125" i="7"/>
  <c r="H125" i="7"/>
  <c r="H126" i="12" s="1"/>
  <c r="B125" i="7"/>
  <c r="E125" i="7"/>
  <c r="F125" i="7"/>
  <c r="J125" i="7"/>
  <c r="O125" i="7"/>
  <c r="N125" i="7"/>
  <c r="D125" i="7"/>
  <c r="G125" i="7"/>
  <c r="B122" i="7"/>
  <c r="L122" i="7"/>
  <c r="K122" i="12" s="1"/>
  <c r="O122" i="7"/>
  <c r="M122" i="7"/>
  <c r="H122" i="7"/>
  <c r="H122" i="12" s="1"/>
  <c r="J122" i="7"/>
  <c r="N122" i="7"/>
  <c r="E122" i="7"/>
  <c r="I122" i="7"/>
  <c r="F122" i="7"/>
  <c r="G122" i="7"/>
  <c r="B48" i="7"/>
  <c r="H72" i="3"/>
  <c r="D102" i="7"/>
  <c r="I102" i="7"/>
  <c r="I102" i="12" s="1"/>
  <c r="N102" i="7"/>
  <c r="L102" i="7"/>
  <c r="K102" i="12" s="1"/>
  <c r="F102" i="7"/>
  <c r="M102" i="7"/>
  <c r="C102" i="7"/>
  <c r="G102" i="7"/>
  <c r="K102" i="7"/>
  <c r="J102" i="12" s="1"/>
  <c r="O102" i="7"/>
  <c r="G137" i="7"/>
  <c r="O137" i="7"/>
  <c r="E137" i="7"/>
  <c r="I157" i="12"/>
  <c r="I137" i="7"/>
  <c r="I137" i="12" s="1"/>
  <c r="K154" i="12"/>
  <c r="D137" i="7"/>
  <c r="H162" i="12"/>
  <c r="M137" i="7"/>
  <c r="K112" i="12"/>
  <c r="H154" i="12"/>
  <c r="C137" i="7"/>
  <c r="H112" i="12"/>
  <c r="H132" i="12"/>
  <c r="H137" i="7"/>
  <c r="H137" i="12" s="1"/>
  <c r="H144" i="12"/>
  <c r="K162" i="12"/>
  <c r="L148" i="12"/>
  <c r="K66" i="3"/>
  <c r="Q42" i="12"/>
  <c r="M42" i="12"/>
  <c r="C153" i="7"/>
  <c r="O153" i="7"/>
  <c r="I153" i="7"/>
  <c r="I153" i="12" s="1"/>
  <c r="B153" i="7"/>
  <c r="F153" i="7"/>
  <c r="J153" i="7"/>
  <c r="M153" i="7"/>
  <c r="H40" i="3"/>
  <c r="E40" i="5"/>
  <c r="F40" i="5" s="1"/>
  <c r="G40" i="5" s="1"/>
  <c r="I141" i="7"/>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J56" i="12" s="1"/>
  <c r="H56" i="7"/>
  <c r="H56" i="12" s="1"/>
  <c r="C56" i="7"/>
  <c r="L56" i="7"/>
  <c r="K56" i="12" s="1"/>
  <c r="I56" i="7"/>
  <c r="I56" i="12" s="1"/>
  <c r="O56" i="7"/>
  <c r="G56" i="7"/>
  <c r="L114" i="12"/>
  <c r="P114" i="12"/>
  <c r="K34" i="7"/>
  <c r="J34" i="12" s="1"/>
  <c r="P129" i="12"/>
  <c r="L129" i="12"/>
  <c r="M76" i="12"/>
  <c r="Q76" i="12"/>
  <c r="P131" i="12"/>
  <c r="L131" i="12"/>
  <c r="M71" i="12"/>
  <c r="Q71" i="12"/>
  <c r="L49" i="12"/>
  <c r="P49" i="12"/>
  <c r="S76" i="12"/>
  <c r="R76" i="12"/>
  <c r="N76" i="12"/>
  <c r="R144" i="12"/>
  <c r="N144" i="12"/>
  <c r="S144" i="12"/>
  <c r="G17" i="7"/>
  <c r="I17" i="7"/>
  <c r="B17" i="7"/>
  <c r="M17" i="7"/>
  <c r="F17" i="7"/>
  <c r="E17" i="7"/>
  <c r="J17" i="7"/>
  <c r="N17" i="7"/>
  <c r="D17" i="7"/>
  <c r="H17" i="7"/>
  <c r="H17" i="12" s="1"/>
  <c r="L17" i="7"/>
  <c r="K17" i="12" s="1"/>
  <c r="K17" i="7"/>
  <c r="J17" i="12" s="1"/>
  <c r="C17" i="7"/>
  <c r="O17" i="7"/>
  <c r="C122" i="7"/>
  <c r="L48" i="12"/>
  <c r="J134"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K48" i="12" s="1"/>
  <c r="E48" i="7"/>
  <c r="O48" i="7"/>
  <c r="I48" i="7"/>
  <c r="I48" i="12" s="1"/>
  <c r="F48" i="7"/>
  <c r="L163" i="12"/>
  <c r="L164" i="12"/>
  <c r="P164" i="12"/>
  <c r="R129" i="12"/>
  <c r="S129" i="12"/>
  <c r="N192" i="2"/>
  <c r="O192" i="2" s="1"/>
  <c r="L103" i="12"/>
  <c r="P103" i="12"/>
  <c r="E174" i="7"/>
  <c r="I174" i="7"/>
  <c r="I174" i="12" s="1"/>
  <c r="K174" i="7"/>
  <c r="J174" i="12" s="1"/>
  <c r="M174" i="7"/>
  <c r="O174" i="7"/>
  <c r="D174" i="7"/>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93" i="12"/>
  <c r="L11" i="12"/>
  <c r="Q151" i="12"/>
  <c r="H50" i="7"/>
  <c r="H50" i="12" s="1"/>
  <c r="N99" i="7"/>
  <c r="E106" i="7"/>
  <c r="J45" i="5"/>
  <c r="H95" i="12"/>
  <c r="H89" i="12"/>
  <c r="B73" i="7"/>
  <c r="L99" i="7"/>
  <c r="K99" i="12" s="1"/>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K129" i="12" s="1"/>
  <c r="G137" i="14"/>
  <c r="F84" i="7"/>
  <c r="D169" i="7"/>
  <c r="C129" i="7"/>
  <c r="H84" i="7"/>
  <c r="H84" i="12" s="1"/>
  <c r="K31" i="3"/>
  <c r="K150" i="3"/>
  <c r="H81" i="12"/>
  <c r="H92" i="12"/>
  <c r="H90" i="12"/>
  <c r="H94" i="12"/>
  <c r="M116" i="12"/>
  <c r="Q57" i="12"/>
  <c r="S149" i="12"/>
  <c r="K50" i="7"/>
  <c r="J50" i="12" s="1"/>
  <c r="N61" i="7"/>
  <c r="K146" i="7"/>
  <c r="J148" i="12" s="1"/>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C3" i="21" s="1"/>
  <c r="J129" i="7"/>
  <c r="F176" i="7"/>
  <c r="J9" i="5"/>
  <c r="K79" i="12"/>
  <c r="J77" i="12"/>
  <c r="M76" i="5"/>
  <c r="J118" i="5"/>
  <c r="K45" i="3"/>
  <c r="H138" i="3"/>
  <c r="H154" i="3"/>
  <c r="G93" i="2"/>
  <c r="J84" i="7"/>
  <c r="D80" i="7"/>
  <c r="O99" i="7"/>
  <c r="N132" i="2"/>
  <c r="O132" i="2" s="1"/>
  <c r="E32" i="3"/>
  <c r="H169" i="7"/>
  <c r="H169" i="12" s="1"/>
  <c r="B84" i="7"/>
  <c r="M99" i="7"/>
  <c r="I61" i="7"/>
  <c r="I61" i="12" s="1"/>
  <c r="L61" i="7"/>
  <c r="K61" i="12" s="1"/>
  <c r="L169" i="7"/>
  <c r="K169" i="12" s="1"/>
  <c r="M73" i="7"/>
  <c r="P94" i="5"/>
  <c r="N8" i="12"/>
  <c r="R14" i="12"/>
  <c r="M59" i="12"/>
  <c r="C50" i="7"/>
  <c r="F61" i="7"/>
  <c r="C146" i="7"/>
  <c r="F129" i="7"/>
  <c r="H146" i="7"/>
  <c r="H148" i="12" s="1"/>
  <c r="J176" i="7"/>
  <c r="J30" i="5"/>
  <c r="H79" i="12"/>
  <c r="H72"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K61" i="7"/>
  <c r="J61" i="12" s="1"/>
  <c r="J102" i="5"/>
  <c r="F25" i="2"/>
  <c r="F105" i="2"/>
  <c r="J138" i="2"/>
  <c r="K138" i="2" s="1"/>
  <c r="D50" i="7"/>
  <c r="I80" i="7"/>
  <c r="I80" i="12" s="1"/>
  <c r="H129" i="7"/>
  <c r="K99" i="7"/>
  <c r="J99" i="12" s="1"/>
  <c r="G44" i="2"/>
  <c r="H68" i="7"/>
  <c r="H68" i="12" s="1"/>
  <c r="I167" i="7"/>
  <c r="C169" i="7"/>
  <c r="N108" i="2"/>
  <c r="O108" i="2" s="1"/>
  <c r="F8" i="7"/>
  <c r="B146" i="7"/>
  <c r="I176" i="7"/>
  <c r="I175" i="12" s="1"/>
  <c r="N84" i="7"/>
  <c r="K173" i="3"/>
  <c r="G100" i="14"/>
  <c r="G132" i="14"/>
  <c r="K63" i="12"/>
  <c r="J62" i="12"/>
  <c r="J67" i="12"/>
  <c r="J94" i="12"/>
  <c r="H77" i="12"/>
  <c r="M89" i="5"/>
  <c r="L181" i="12"/>
  <c r="I106" i="7"/>
  <c r="I106" i="12" s="1"/>
  <c r="H151" i="12"/>
  <c r="H59" i="12"/>
  <c r="G169" i="7"/>
  <c r="K106" i="7"/>
  <c r="J106" i="12" s="1"/>
  <c r="I93" i="12"/>
  <c r="H142" i="3"/>
  <c r="H158" i="3"/>
  <c r="H174" i="3"/>
  <c r="H46" i="3"/>
  <c r="J69" i="2"/>
  <c r="K69" i="2" s="1"/>
  <c r="J117" i="2"/>
  <c r="K117" i="2" s="1"/>
  <c r="P102" i="5"/>
  <c r="I50" i="7"/>
  <c r="I50" i="12" s="1"/>
  <c r="C80" i="7"/>
  <c r="M129" i="7"/>
  <c r="C176" i="7"/>
  <c r="P75" i="5"/>
  <c r="L68" i="7"/>
  <c r="K68" i="12" s="1"/>
  <c r="J167" i="7"/>
  <c r="C167" i="7"/>
  <c r="O167" i="7"/>
  <c r="K163" i="3"/>
  <c r="M68" i="7"/>
  <c r="L8" i="7"/>
  <c r="K8" i="12" s="1"/>
  <c r="G7" i="14"/>
  <c r="N146" i="7"/>
  <c r="H176" i="12"/>
  <c r="Q36" i="12"/>
  <c r="I63" i="12"/>
  <c r="N106" i="7"/>
  <c r="D73" i="7"/>
  <c r="H93" i="12"/>
  <c r="K169" i="7"/>
  <c r="J42" i="5"/>
  <c r="G106" i="7"/>
  <c r="K81" i="12"/>
  <c r="K82" i="3"/>
  <c r="E103" i="3"/>
  <c r="K67" i="3"/>
  <c r="G25" i="2"/>
  <c r="G105" i="2"/>
  <c r="J184" i="2"/>
  <c r="K184" i="2" s="1"/>
  <c r="F93" i="2"/>
  <c r="P138" i="5"/>
  <c r="P88" i="5"/>
  <c r="B50" i="7"/>
  <c r="M80" i="7"/>
  <c r="F106" i="7"/>
  <c r="I146" i="7"/>
  <c r="K176" i="7"/>
  <c r="J176" i="12" s="1"/>
  <c r="E176" i="7"/>
  <c r="E8" i="3"/>
  <c r="C68" i="7"/>
  <c r="M167" i="7"/>
  <c r="I68" i="7"/>
  <c r="I68" i="12" s="1"/>
  <c r="G176" i="7"/>
  <c r="E8" i="7"/>
  <c r="J8" i="5"/>
  <c r="P33" i="5"/>
  <c r="P73" i="12"/>
  <c r="G58" i="14"/>
  <c r="G146" i="14"/>
  <c r="M104" i="12"/>
  <c r="O81" i="12"/>
  <c r="H61" i="7"/>
  <c r="H61" i="12" s="1"/>
  <c r="I73" i="7"/>
  <c r="I73" i="12" s="1"/>
  <c r="O169" i="7"/>
  <c r="J33" i="5"/>
  <c r="C106" i="7"/>
  <c r="J64"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K92" i="12"/>
  <c r="J92" i="12"/>
  <c r="R79" i="12"/>
  <c r="H88" i="12"/>
  <c r="M61" i="7"/>
  <c r="I67" i="12"/>
  <c r="O73" i="7"/>
  <c r="D126" i="7"/>
  <c r="J43" i="5"/>
  <c r="I92" i="12"/>
  <c r="J73" i="7"/>
  <c r="D176" i="7"/>
  <c r="J126" i="5"/>
  <c r="E11" i="5"/>
  <c r="F11" i="5" s="1"/>
  <c r="G11" i="5" s="1"/>
  <c r="K94" i="3"/>
  <c r="G21" i="14"/>
  <c r="P146" i="5"/>
  <c r="B80" i="7"/>
  <c r="F163" i="2"/>
  <c r="G57" i="14"/>
  <c r="H8" i="7"/>
  <c r="H8" i="12" s="1"/>
  <c r="B68" i="7"/>
  <c r="M126" i="7"/>
  <c r="K68" i="7"/>
  <c r="J68" i="12" s="1"/>
  <c r="B167" i="7"/>
  <c r="D8" i="7"/>
  <c r="K167" i="7"/>
  <c r="J167" i="12" s="1"/>
  <c r="G103" i="14"/>
  <c r="H147" i="3"/>
  <c r="N24" i="2"/>
  <c r="O24" i="2" s="1"/>
  <c r="F72" i="5"/>
  <c r="G72" i="5" s="1"/>
  <c r="J191" i="2"/>
  <c r="K191" i="2" s="1"/>
  <c r="F84" i="2"/>
  <c r="F60" i="2"/>
  <c r="G29" i="14"/>
  <c r="G148" i="14"/>
  <c r="K88" i="3"/>
  <c r="C235" i="2"/>
  <c r="E65" i="5"/>
  <c r="F65" i="5" s="1"/>
  <c r="G65" i="5" s="1"/>
  <c r="N26" i="12"/>
  <c r="H81" i="3"/>
  <c r="H164" i="3"/>
  <c r="K44" i="3"/>
  <c r="G27" i="14"/>
  <c r="L187" i="12"/>
  <c r="L171" i="12"/>
  <c r="L159" i="12"/>
  <c r="L162" i="5"/>
  <c r="M162" i="5" s="1"/>
  <c r="N186" i="12"/>
  <c r="N161" i="12"/>
  <c r="O169" i="12"/>
  <c r="E104" i="3"/>
  <c r="O161" i="12"/>
  <c r="K36" i="3"/>
  <c r="G173" i="2"/>
  <c r="P163" i="12"/>
  <c r="P167" i="12"/>
  <c r="P171" i="12"/>
  <c r="S166" i="12"/>
  <c r="E163" i="5"/>
  <c r="F163" i="5" s="1"/>
  <c r="G163" i="5" s="1"/>
  <c r="O159" i="12"/>
  <c r="N112" i="2"/>
  <c r="O112" i="2" s="1"/>
  <c r="L173" i="12"/>
  <c r="Q165" i="12"/>
  <c r="B235" i="2"/>
  <c r="L179" i="12"/>
  <c r="S170" i="12"/>
  <c r="L161" i="5"/>
  <c r="M161" i="5" s="1"/>
  <c r="J112" i="12"/>
  <c r="P95" i="5"/>
  <c r="F166" i="5"/>
  <c r="G166" i="5" s="1"/>
  <c r="E102" i="5"/>
  <c r="F102" i="5" s="1"/>
  <c r="G102" i="5" s="1"/>
  <c r="M72" i="5"/>
  <c r="J120" i="5"/>
  <c r="E118" i="5"/>
  <c r="F118" i="5" s="1"/>
  <c r="G118" i="5" s="1"/>
  <c r="F137" i="5"/>
  <c r="G137" i="5" s="1"/>
  <c r="H18" i="3"/>
  <c r="P63" i="5"/>
  <c r="E171" i="3"/>
  <c r="J132" i="5"/>
  <c r="J144" i="5"/>
  <c r="H183" i="3"/>
  <c r="K117" i="3"/>
  <c r="G15" i="14"/>
  <c r="J35" i="5"/>
  <c r="K179" i="3"/>
  <c r="G90" i="14"/>
  <c r="P27" i="5"/>
  <c r="K131" i="3"/>
  <c r="E119" i="3"/>
  <c r="J90" i="5"/>
  <c r="H111" i="3"/>
  <c r="K37" i="3"/>
  <c r="E70" i="3"/>
  <c r="H93" i="3"/>
  <c r="E88" i="3"/>
  <c r="E98" i="5"/>
  <c r="F98" i="5" s="1"/>
  <c r="G98" i="5" s="1"/>
  <c r="M12" i="5"/>
  <c r="K16" i="3"/>
  <c r="H139" i="3"/>
  <c r="F71" i="5"/>
  <c r="G71" i="5" s="1"/>
  <c r="K52" i="3"/>
  <c r="K159" i="3"/>
  <c r="H20" i="12"/>
  <c r="H18" i="12"/>
  <c r="N46" i="12"/>
  <c r="J84" i="12"/>
  <c r="N114" i="12"/>
  <c r="S120" i="12"/>
  <c r="Q96" i="12"/>
  <c r="Q147" i="12"/>
  <c r="L75" i="7"/>
  <c r="K75" i="12" s="1"/>
  <c r="N85" i="7"/>
  <c r="K74" i="12"/>
  <c r="M85" i="7"/>
  <c r="F165" i="5"/>
  <c r="G165" i="5" s="1"/>
  <c r="E181" i="3"/>
  <c r="J76" i="7"/>
  <c r="J120" i="7"/>
  <c r="H120" i="7"/>
  <c r="H120" i="12" s="1"/>
  <c r="G60" i="2"/>
  <c r="M108" i="7"/>
  <c r="C76" i="7"/>
  <c r="N139" i="7"/>
  <c r="J14" i="12"/>
  <c r="H75" i="7"/>
  <c r="J85" i="7"/>
  <c r="M166" i="5"/>
  <c r="H117" i="3"/>
  <c r="N93" i="2"/>
  <c r="O93" i="2" s="1"/>
  <c r="O76" i="7"/>
  <c r="F120" i="7"/>
  <c r="M120" i="7"/>
  <c r="K76" i="7"/>
  <c r="J76" i="12" s="1"/>
  <c r="J12" i="12"/>
  <c r="J46" i="12"/>
  <c r="K27" i="12"/>
  <c r="R10" i="12"/>
  <c r="L84" i="12"/>
  <c r="L155" i="12"/>
  <c r="D75" i="7"/>
  <c r="F85" i="7"/>
  <c r="J112" i="5"/>
  <c r="E55" i="3"/>
  <c r="E126" i="3"/>
  <c r="D235" i="2"/>
  <c r="B120" i="7"/>
  <c r="N75" i="7"/>
  <c r="C128" i="7"/>
  <c r="K20" i="12"/>
  <c r="N10" i="12"/>
  <c r="P84" i="12"/>
  <c r="P106" i="12"/>
  <c r="M152" i="12"/>
  <c r="M87" i="12"/>
  <c r="M117" i="12"/>
  <c r="N60" i="12"/>
  <c r="D85" i="7"/>
  <c r="B85" i="7"/>
  <c r="J124" i="5"/>
  <c r="J129" i="5"/>
  <c r="F90" i="2"/>
  <c r="D120" i="7"/>
  <c r="K108" i="3"/>
  <c r="J20" i="2"/>
  <c r="K20" i="2" s="1"/>
  <c r="L156" i="7"/>
  <c r="K156" i="12" s="1"/>
  <c r="M156" i="7"/>
  <c r="J20" i="12"/>
  <c r="P14" i="12"/>
  <c r="P99" i="12"/>
  <c r="I85" i="7"/>
  <c r="I85" i="12" s="1"/>
  <c r="H86" i="3"/>
  <c r="B2" i="28"/>
  <c r="J35" i="2"/>
  <c r="K35" i="2" s="1"/>
  <c r="N108" i="7"/>
  <c r="I120" i="7"/>
  <c r="I120" i="12" s="1"/>
  <c r="L85" i="7"/>
  <c r="K85" i="12" s="1"/>
  <c r="H16" i="12"/>
  <c r="J8" i="12"/>
  <c r="P140" i="12"/>
  <c r="M85" i="5"/>
  <c r="R107" i="12"/>
  <c r="S161" i="12"/>
  <c r="N63" i="12"/>
  <c r="O85" i="7"/>
  <c r="K86" i="12"/>
  <c r="H85" i="3"/>
  <c r="H70" i="3"/>
  <c r="N53" i="2"/>
  <c r="O53" i="2" s="1"/>
  <c r="P82" i="5"/>
  <c r="I108" i="7"/>
  <c r="I108" i="12" s="1"/>
  <c r="O120" i="7"/>
  <c r="E179" i="3"/>
  <c r="I156" i="7"/>
  <c r="I156" i="12" s="1"/>
  <c r="L120" i="7"/>
  <c r="K120" i="12" s="1"/>
  <c r="H14" i="12"/>
  <c r="J22" i="12"/>
  <c r="R120" i="12"/>
  <c r="H118" i="12"/>
  <c r="R31" i="12"/>
  <c r="R63" i="12"/>
  <c r="Q72" i="12"/>
  <c r="R161" i="12"/>
  <c r="J136" i="5"/>
  <c r="H62" i="3"/>
  <c r="J53" i="2"/>
  <c r="K53" i="2" s="1"/>
  <c r="C108" i="7"/>
  <c r="B156" i="7"/>
  <c r="G120" i="7"/>
  <c r="K19" i="12"/>
  <c r="H26" i="12"/>
  <c r="N129" i="12"/>
  <c r="E26" i="3"/>
  <c r="N22" i="2"/>
  <c r="O22" i="2" s="1"/>
  <c r="G37" i="2"/>
  <c r="L76" i="7"/>
  <c r="K76" i="12" s="1"/>
  <c r="L108" i="7"/>
  <c r="K108" i="12" s="1"/>
  <c r="J108" i="7"/>
  <c r="E108" i="7"/>
  <c r="E120" i="7"/>
  <c r="G71" i="14"/>
  <c r="K75" i="7"/>
  <c r="J75" i="12" s="1"/>
  <c r="I75" i="7"/>
  <c r="I75" i="12" s="1"/>
  <c r="C120" i="7"/>
  <c r="K7" i="12"/>
  <c r="K12" i="12"/>
  <c r="O76" i="12"/>
  <c r="J120" i="12"/>
  <c r="J118" i="12"/>
  <c r="M43" i="5"/>
  <c r="E85" i="7"/>
  <c r="F142" i="2"/>
  <c r="O75" i="7"/>
  <c r="H76" i="7"/>
  <c r="H76" i="12" s="1"/>
  <c r="H108" i="7"/>
  <c r="F156" i="7"/>
  <c r="K108" i="7"/>
  <c r="J108" i="12" s="1"/>
  <c r="C156" i="7"/>
  <c r="B76" i="7"/>
  <c r="G108" i="7"/>
  <c r="G75" i="7"/>
  <c r="O108" i="7"/>
  <c r="K51" i="12"/>
  <c r="R60" i="12"/>
  <c r="S52" i="12"/>
  <c r="K85" i="7"/>
  <c r="J85" i="12" s="1"/>
  <c r="J49" i="5"/>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M86" i="5" s="1"/>
  <c r="L101" i="5"/>
  <c r="M101" i="5" s="1"/>
  <c r="L107" i="5"/>
  <c r="M107" i="5" s="1"/>
  <c r="L105" i="5"/>
  <c r="M105" i="5" s="1"/>
  <c r="L111" i="5"/>
  <c r="M111" i="5" s="1"/>
  <c r="L65" i="5"/>
  <c r="M65" i="5" s="1"/>
  <c r="L70" i="5"/>
  <c r="M70" i="5" s="1"/>
  <c r="N15" i="12"/>
  <c r="N17" i="12"/>
  <c r="O42" i="12"/>
  <c r="O45" i="12"/>
  <c r="Q45" i="12"/>
  <c r="M48" i="12"/>
  <c r="L82" i="5"/>
  <c r="M82" i="5" s="1"/>
  <c r="L87" i="5"/>
  <c r="M87" i="5" s="1"/>
  <c r="L98" i="5"/>
  <c r="M98" i="5" s="1"/>
  <c r="L104" i="5"/>
  <c r="M104" i="5" s="1"/>
  <c r="N117" i="12"/>
  <c r="N123" i="12"/>
  <c r="L156" i="12"/>
  <c r="L159" i="5"/>
  <c r="M159" i="5" s="1"/>
  <c r="D236" i="2"/>
  <c r="O164" i="12"/>
  <c r="N171" i="12"/>
  <c r="L176" i="12"/>
  <c r="L185" i="12"/>
  <c r="B234" i="2"/>
  <c r="P142" i="12"/>
  <c r="L149" i="12"/>
  <c r="O24" i="12"/>
  <c r="O26" i="12"/>
  <c r="L11" i="5"/>
  <c r="M11" i="5" s="1"/>
  <c r="L13" i="5"/>
  <c r="M13" i="5" s="1"/>
  <c r="L18" i="5"/>
  <c r="M18" i="5" s="1"/>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36" i="2"/>
  <c r="P78" i="12"/>
  <c r="L83" i="12"/>
  <c r="L121" i="5"/>
  <c r="M121" i="5" s="1"/>
  <c r="L127" i="5"/>
  <c r="M127" i="5" s="1"/>
  <c r="Q10" i="12"/>
  <c r="M11" i="12"/>
  <c r="M19" i="12"/>
  <c r="M21" i="12"/>
  <c r="L26" i="12"/>
  <c r="Q44" i="12"/>
  <c r="M47" i="12"/>
  <c r="Q49" i="12"/>
  <c r="M53" i="12"/>
  <c r="P62" i="12"/>
  <c r="L67" i="12"/>
  <c r="L73" i="5"/>
  <c r="M73" i="5" s="1"/>
  <c r="L78" i="5"/>
  <c r="M78" i="5" s="1"/>
  <c r="L93" i="5"/>
  <c r="M93" i="5" s="1"/>
  <c r="L99" i="5"/>
  <c r="M99" i="5" s="1"/>
  <c r="R101" i="12"/>
  <c r="N107" i="12"/>
  <c r="N105" i="12"/>
  <c r="N111" i="12"/>
  <c r="N109" i="12"/>
  <c r="N115" i="12"/>
  <c r="L23" i="12"/>
  <c r="L25" i="12"/>
  <c r="L15" i="5"/>
  <c r="M15" i="5" s="1"/>
  <c r="L17" i="5"/>
  <c r="M17" i="5" s="1"/>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L28" i="5"/>
  <c r="M28" i="5" s="1"/>
  <c r="L30" i="5"/>
  <c r="M30" i="5" s="1"/>
  <c r="C234" i="2"/>
  <c r="L45" i="12"/>
  <c r="O86" i="12"/>
  <c r="O91" i="12"/>
  <c r="O102" i="12"/>
  <c r="O110" i="12"/>
  <c r="L137" i="5"/>
  <c r="M137" i="5" s="1"/>
  <c r="L144" i="5"/>
  <c r="M144" i="5" s="1"/>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34" i="2"/>
  <c r="O34" i="12"/>
  <c r="O37" i="12"/>
  <c r="P86" i="12"/>
  <c r="L91" i="12"/>
  <c r="L102" i="12"/>
  <c r="N121" i="12"/>
  <c r="N127" i="12"/>
  <c r="Q32" i="12"/>
  <c r="M35" i="12"/>
  <c r="N70" i="12"/>
  <c r="N78" i="12"/>
  <c r="L100" i="12"/>
  <c r="L127" i="12"/>
  <c r="I58" i="12"/>
  <c r="O145" i="12"/>
  <c r="J90" i="12"/>
  <c r="J87" i="12"/>
  <c r="L131" i="5"/>
  <c r="M131" i="5" s="1"/>
  <c r="E45" i="5"/>
  <c r="F45" i="5" s="1"/>
  <c r="G45" i="5" s="1"/>
  <c r="E91" i="5"/>
  <c r="F91" i="5" s="1"/>
  <c r="G91" i="5" s="1"/>
  <c r="J154" i="12"/>
  <c r="E24" i="5"/>
  <c r="F24" i="5" s="1"/>
  <c r="G24" i="5" s="1"/>
  <c r="L94" i="5"/>
  <c r="O185" i="12"/>
  <c r="M28" i="12"/>
  <c r="O21" i="12"/>
  <c r="L59" i="5"/>
  <c r="M59" i="5" s="1"/>
  <c r="L79" i="5"/>
  <c r="M79" i="5" s="1"/>
  <c r="O89" i="12"/>
  <c r="L103" i="5"/>
  <c r="M103" i="5" s="1"/>
  <c r="L161" i="12"/>
  <c r="O149" i="12"/>
  <c r="L177" i="12"/>
  <c r="E16" i="5"/>
  <c r="F16" i="5" s="1"/>
  <c r="G16" i="5" s="1"/>
  <c r="E75" i="5"/>
  <c r="F75" i="5" s="1"/>
  <c r="G75" i="5" s="1"/>
  <c r="E122" i="5"/>
  <c r="F122" i="5" s="1"/>
  <c r="G122" i="5" s="1"/>
  <c r="E112" i="5"/>
  <c r="F112" i="5" s="1"/>
  <c r="G112" i="5" s="1"/>
  <c r="L36" i="5"/>
  <c r="M36" i="5" s="1"/>
  <c r="O119" i="12"/>
  <c r="O93" i="12"/>
  <c r="O18" i="12"/>
  <c r="O56" i="12"/>
  <c r="M119" i="12"/>
  <c r="K127" i="3"/>
  <c r="I81" i="12"/>
  <c r="G116" i="2"/>
  <c r="K104" i="3"/>
  <c r="N173" i="2"/>
  <c r="O173" i="2" s="1"/>
  <c r="P31" i="5"/>
  <c r="P153" i="5"/>
  <c r="N128" i="2"/>
  <c r="O128" i="2" s="1"/>
  <c r="O114" i="12"/>
  <c r="N91" i="12"/>
  <c r="I74" i="12"/>
  <c r="I90" i="12"/>
  <c r="I83" i="12"/>
  <c r="J74" i="12"/>
  <c r="I72" i="12"/>
  <c r="H74" i="12"/>
  <c r="H133"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F148" i="5" s="1"/>
  <c r="G148" i="5" s="1"/>
  <c r="L43" i="12"/>
  <c r="O83" i="12"/>
  <c r="O79" i="12"/>
  <c r="O111" i="12"/>
  <c r="M132" i="12"/>
  <c r="N165" i="12"/>
  <c r="K132" i="12"/>
  <c r="E16" i="3"/>
  <c r="K26" i="3"/>
  <c r="K74" i="3"/>
  <c r="E52" i="3"/>
  <c r="E126" i="5"/>
  <c r="F126" i="5" s="1"/>
  <c r="G126" i="5" s="1"/>
  <c r="E155" i="5"/>
  <c r="F155" i="5" s="1"/>
  <c r="G155" i="5" s="1"/>
  <c r="G114" i="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M158" i="5" s="1"/>
  <c r="H82" i="12"/>
  <c r="I94" i="12"/>
  <c r="L35" i="5"/>
  <c r="M35" i="5" s="1"/>
  <c r="L154" i="5"/>
  <c r="M154" i="5" s="1"/>
  <c r="O170" i="12"/>
  <c r="J166" i="12"/>
  <c r="L112" i="5"/>
  <c r="M112" i="5" s="1"/>
  <c r="L135" i="5"/>
  <c r="M135" i="5" s="1"/>
  <c r="E27" i="5"/>
  <c r="F27" i="5" s="1"/>
  <c r="G27" i="5" s="1"/>
  <c r="E111" i="5"/>
  <c r="F111" i="5" s="1"/>
  <c r="G111" i="5" s="1"/>
  <c r="K159" i="12"/>
  <c r="L52" i="5"/>
  <c r="M52" i="5" s="1"/>
  <c r="C237" i="2"/>
  <c r="L24" i="5"/>
  <c r="M24" i="5" s="1"/>
  <c r="L115" i="5"/>
  <c r="M115" i="5" s="1"/>
  <c r="C7" i="28"/>
  <c r="G42" i="2"/>
  <c r="L25" i="5"/>
  <c r="M25" i="5" s="1"/>
  <c r="N139" i="12"/>
  <c r="L59" i="12"/>
  <c r="L149" i="5"/>
  <c r="M149" i="5" s="1"/>
  <c r="N173" i="12"/>
  <c r="K8" i="3"/>
  <c r="B7" i="28"/>
  <c r="E146" i="5"/>
  <c r="F146" i="5" s="1"/>
  <c r="G146" i="5" s="1"/>
  <c r="P121" i="5"/>
  <c r="P40" i="5"/>
  <c r="L27" i="5"/>
  <c r="M27" i="5" s="1"/>
  <c r="O29" i="12"/>
  <c r="N181" i="12"/>
  <c r="L120" i="12"/>
  <c r="L51" i="5"/>
  <c r="M51" i="5" s="1"/>
  <c r="O99" i="12"/>
  <c r="M183" i="12"/>
  <c r="O100" i="12"/>
  <c r="L132" i="12"/>
  <c r="M63" i="12"/>
  <c r="O73" i="12"/>
  <c r="L40" i="5"/>
  <c r="M40" i="5" s="1"/>
  <c r="E94" i="5"/>
  <c r="F94" i="5" s="1"/>
  <c r="G94" i="5" s="1"/>
  <c r="E20" i="5"/>
  <c r="F20" i="5" s="1"/>
  <c r="G20" i="5" s="1"/>
  <c r="E36" i="5"/>
  <c r="F36" i="5" s="1"/>
  <c r="G36" i="5" s="1"/>
  <c r="E120" i="5"/>
  <c r="F120" i="5" s="1"/>
  <c r="G120" i="5" s="1"/>
  <c r="E161" i="5"/>
  <c r="F161" i="5" s="1"/>
  <c r="G161" i="5" s="1"/>
  <c r="M16" i="12"/>
  <c r="L14" i="5"/>
  <c r="M14" i="5" s="1"/>
  <c r="L75" i="12"/>
  <c r="J72" i="12"/>
  <c r="J179" i="12"/>
  <c r="E130" i="5"/>
  <c r="F130" i="5" s="1"/>
  <c r="G130" i="5" s="1"/>
  <c r="E100" i="3"/>
  <c r="K84" i="3"/>
  <c r="F159" i="2"/>
  <c r="P17" i="5"/>
  <c r="P29" i="5"/>
  <c r="P41" i="5"/>
  <c r="M46" i="5"/>
  <c r="O14" i="12"/>
  <c r="M131" i="12"/>
  <c r="M67" i="12"/>
  <c r="L81" i="12"/>
  <c r="L112" i="12"/>
  <c r="L183" i="12"/>
  <c r="I76"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J115" i="12" s="1"/>
  <c r="L138" i="5"/>
  <c r="M138" i="5" s="1"/>
  <c r="C13" i="28"/>
  <c r="M101" i="12"/>
  <c r="Q101" i="12"/>
  <c r="C104" i="7"/>
  <c r="F104" i="7"/>
  <c r="I98" i="12"/>
  <c r="J104" i="7"/>
  <c r="L104" i="7"/>
  <c r="K104" i="12" s="1"/>
  <c r="N104" i="7"/>
  <c r="E104" i="7"/>
  <c r="D104" i="7"/>
  <c r="M104" i="7"/>
  <c r="I104" i="7"/>
  <c r="I104" i="12" s="1"/>
  <c r="G104" i="7"/>
  <c r="K104" i="7"/>
  <c r="J104" i="12" s="1"/>
  <c r="O104" i="7"/>
  <c r="I103" i="12"/>
  <c r="I107" i="12"/>
  <c r="K98" i="12"/>
  <c r="R159" i="12"/>
  <c r="S159" i="12"/>
  <c r="E129" i="3"/>
  <c r="G131" i="14"/>
  <c r="E37" i="5"/>
  <c r="F37" i="5" s="1"/>
  <c r="G37" i="5" s="1"/>
  <c r="H37" i="3"/>
  <c r="B142" i="7"/>
  <c r="N142" i="7"/>
  <c r="I142" i="7"/>
  <c r="D142" i="7"/>
  <c r="L142" i="7"/>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N81" i="12"/>
  <c r="K105" i="12"/>
  <c r="N39" i="7"/>
  <c r="J142" i="5"/>
  <c r="H44" i="7"/>
  <c r="H44" i="12" s="1"/>
  <c r="P29" i="12"/>
  <c r="L29" i="12"/>
  <c r="M155" i="12"/>
  <c r="Q155" i="12"/>
  <c r="M110" i="12"/>
  <c r="Q110" i="12"/>
  <c r="H104" i="7"/>
  <c r="H104" i="12" s="1"/>
  <c r="R139" i="12"/>
  <c r="S139" i="12"/>
  <c r="Q99" i="12"/>
  <c r="M99" i="12"/>
  <c r="M43" i="12"/>
  <c r="S81" i="12"/>
  <c r="J101" i="12"/>
  <c r="K107" i="12"/>
  <c r="P113" i="12"/>
  <c r="L113" i="12"/>
  <c r="O142" i="7"/>
  <c r="N98" i="2"/>
  <c r="O98" i="2" s="1"/>
  <c r="N100" i="12"/>
  <c r="S100" i="12"/>
  <c r="P115" i="12"/>
  <c r="L115" i="12"/>
  <c r="S136" i="12"/>
  <c r="N136" i="12"/>
  <c r="R136" i="12"/>
  <c r="D44" i="7"/>
  <c r="H104" i="3"/>
  <c r="P74" i="5"/>
  <c r="Q58" i="12"/>
  <c r="R21" i="12"/>
  <c r="Q129" i="12"/>
  <c r="M129" i="12"/>
  <c r="K142" i="7"/>
  <c r="J142" i="12" s="1"/>
  <c r="F50" i="2"/>
  <c r="N9" i="12"/>
  <c r="S9" i="12"/>
  <c r="Q126" i="12"/>
  <c r="M126" i="12"/>
  <c r="N172" i="12"/>
  <c r="S172" i="12"/>
  <c r="R172" i="12"/>
  <c r="R95" i="12"/>
  <c r="N95" i="12"/>
  <c r="Q167" i="12"/>
  <c r="M167" i="12"/>
  <c r="J167" i="2"/>
  <c r="K167" i="2" s="1"/>
  <c r="K3" i="21"/>
  <c r="F167" i="2"/>
  <c r="M139" i="12"/>
  <c r="Q139" i="12"/>
  <c r="R80" i="12"/>
  <c r="N80" i="12"/>
  <c r="R138" i="12"/>
  <c r="S138" i="12"/>
  <c r="B12" i="28"/>
  <c r="I168" i="7"/>
  <c r="G168" i="7"/>
  <c r="C168" i="7"/>
  <c r="J168" i="7"/>
  <c r="K168" i="7"/>
  <c r="F168" i="7"/>
  <c r="O168" i="7"/>
  <c r="E168" i="7"/>
  <c r="M168" i="7"/>
  <c r="H167" i="12"/>
  <c r="L168" i="7"/>
  <c r="K170" i="12" s="1"/>
  <c r="H168" i="7"/>
  <c r="D168" i="7"/>
  <c r="J128" i="12"/>
  <c r="P161" i="12"/>
  <c r="J107" i="12"/>
  <c r="M127" i="12"/>
  <c r="Q127" i="12"/>
  <c r="R153" i="12"/>
  <c r="S153" i="12"/>
  <c r="N153" i="12"/>
  <c r="M137" i="12"/>
  <c r="Q137" i="12"/>
  <c r="L147" i="12"/>
  <c r="P147" i="12"/>
  <c r="J142" i="7"/>
  <c r="L41" i="12"/>
  <c r="P41" i="12"/>
  <c r="H115" i="7"/>
  <c r="H114" i="12" s="1"/>
  <c r="Q79" i="12"/>
  <c r="M79" i="12"/>
  <c r="P136" i="12"/>
  <c r="L136" i="12"/>
  <c r="D115" i="7"/>
  <c r="G24" i="14"/>
  <c r="G28" i="14"/>
  <c r="G138" i="14"/>
  <c r="L16" i="12"/>
  <c r="S84" i="12"/>
  <c r="R67" i="12"/>
  <c r="Q131" i="12"/>
  <c r="J105" i="12"/>
  <c r="H105" i="12"/>
  <c r="P114" i="5"/>
  <c r="B104" i="7"/>
  <c r="B168" i="7"/>
  <c r="G82" i="2"/>
  <c r="H179" i="3"/>
  <c r="E134" i="3"/>
  <c r="H128" i="7"/>
  <c r="H128" i="12" s="1"/>
  <c r="K39" i="7"/>
  <c r="J42" i="12" s="1"/>
  <c r="B39" i="7"/>
  <c r="J39" i="7"/>
  <c r="I39" i="7"/>
  <c r="F39" i="7"/>
  <c r="E39" i="7"/>
  <c r="C39" i="7"/>
  <c r="M39" i="7"/>
  <c r="G39" i="7"/>
  <c r="D39" i="7"/>
  <c r="H39" i="7"/>
  <c r="H42" i="12" s="1"/>
  <c r="L39" i="7"/>
  <c r="P33" i="12"/>
  <c r="L33" i="12"/>
  <c r="C139" i="7"/>
  <c r="M139" i="7"/>
  <c r="G139" i="7"/>
  <c r="D139" i="7"/>
  <c r="K139" i="7"/>
  <c r="E139" i="7"/>
  <c r="H139" i="7"/>
  <c r="B139" i="7"/>
  <c r="L139" i="7"/>
  <c r="F139" i="7"/>
  <c r="Q67" i="12"/>
  <c r="G10" i="14"/>
  <c r="G62" i="14"/>
  <c r="G160" i="14"/>
  <c r="G170" i="14"/>
  <c r="P81" i="12"/>
  <c r="N84" i="12"/>
  <c r="S109" i="12"/>
  <c r="R151" i="12"/>
  <c r="S151" i="12"/>
  <c r="P151" i="12"/>
  <c r="N119" i="12"/>
  <c r="N21" i="12"/>
  <c r="M42" i="5"/>
  <c r="J103" i="12"/>
  <c r="J139" i="7"/>
  <c r="G92" i="2"/>
  <c r="F92" i="2"/>
  <c r="F115" i="7"/>
  <c r="L115" i="7"/>
  <c r="G115" i="7"/>
  <c r="E115" i="7"/>
  <c r="M115" i="7"/>
  <c r="O115" i="7"/>
  <c r="B115" i="7"/>
  <c r="N115" i="7"/>
  <c r="J115" i="7"/>
  <c r="I115" i="7"/>
  <c r="I115" i="12" s="1"/>
  <c r="C115" i="7"/>
  <c r="M8" i="12"/>
  <c r="S19" i="12"/>
  <c r="J98" i="12"/>
  <c r="Q39" i="12"/>
  <c r="S119" i="12"/>
  <c r="N147" i="12"/>
  <c r="S147" i="12"/>
  <c r="M150" i="5"/>
  <c r="N168" i="7"/>
  <c r="E80" i="5"/>
  <c r="F80" i="5" s="1"/>
  <c r="G80" i="5" s="1"/>
  <c r="O139" i="7"/>
  <c r="S148" i="12"/>
  <c r="N148" i="12"/>
  <c r="I44" i="7"/>
  <c r="I44" i="12" s="1"/>
  <c r="R99" i="12"/>
  <c r="M61" i="5"/>
  <c r="H107" i="12"/>
  <c r="N126" i="7"/>
  <c r="J20" i="5"/>
  <c r="I145" i="12"/>
  <c r="I159" i="12"/>
  <c r="O126" i="7"/>
  <c r="G174" i="7"/>
  <c r="K61" i="3"/>
  <c r="H17" i="3"/>
  <c r="H34" i="3"/>
  <c r="K89" i="3"/>
  <c r="N15" i="2"/>
  <c r="O15" i="2" s="1"/>
  <c r="K177" i="3"/>
  <c r="N81" i="2"/>
  <c r="O81" i="2" s="1"/>
  <c r="G149" i="2"/>
  <c r="J161" i="2"/>
  <c r="K161" i="2" s="1"/>
  <c r="F34" i="2"/>
  <c r="F116" i="2"/>
  <c r="N144" i="2"/>
  <c r="O144" i="2" s="1"/>
  <c r="P78" i="5"/>
  <c r="P23" i="5"/>
  <c r="P39" i="5"/>
  <c r="D56" i="7"/>
  <c r="M56" i="7"/>
  <c r="L137" i="7"/>
  <c r="K137" i="12" s="1"/>
  <c r="E24" i="3"/>
  <c r="E56" i="7"/>
  <c r="H127" i="3"/>
  <c r="B126" i="7"/>
  <c r="L153" i="7"/>
  <c r="K161" i="12" s="1"/>
  <c r="J13" i="5"/>
  <c r="K157" i="12"/>
  <c r="I160" i="12"/>
  <c r="H99" i="12"/>
  <c r="K126" i="7"/>
  <c r="J157" i="12"/>
  <c r="C174" i="7"/>
  <c r="F119" i="5"/>
  <c r="G119" i="5" s="1"/>
  <c r="F128" i="5"/>
  <c r="G128" i="5" s="1"/>
  <c r="J138" i="5"/>
  <c r="H146" i="3"/>
  <c r="H178" i="3"/>
  <c r="J143" i="12"/>
  <c r="E75" i="3"/>
  <c r="J71" i="2"/>
  <c r="K71" i="2" s="1"/>
  <c r="G66" i="2"/>
  <c r="N74" i="2"/>
  <c r="O74" i="2" s="1"/>
  <c r="J160" i="2"/>
  <c r="K160" i="2" s="1"/>
  <c r="P118" i="5"/>
  <c r="N56" i="7"/>
  <c r="K137" i="7"/>
  <c r="J136" i="12" s="1"/>
  <c r="K139" i="3"/>
  <c r="H150" i="7"/>
  <c r="F126" i="7"/>
  <c r="G149" i="14"/>
  <c r="M23" i="5"/>
  <c r="O150" i="7"/>
  <c r="H157" i="12"/>
  <c r="J44" i="5"/>
  <c r="H159" i="12"/>
  <c r="G126" i="7"/>
  <c r="K98" i="3"/>
  <c r="H49" i="3"/>
  <c r="K9" i="3"/>
  <c r="E14" i="3"/>
  <c r="K35" i="3"/>
  <c r="H115" i="3"/>
  <c r="K137" i="3"/>
  <c r="G21" i="2"/>
  <c r="F129" i="2"/>
  <c r="F149" i="2"/>
  <c r="N29" i="2"/>
  <c r="O29" i="2" s="1"/>
  <c r="N77" i="2"/>
  <c r="O77" i="2" s="1"/>
  <c r="N101" i="2"/>
  <c r="O101" i="2" s="1"/>
  <c r="J56" i="7"/>
  <c r="G63" i="14"/>
  <c r="J16" i="2"/>
  <c r="K16" i="2" s="1"/>
  <c r="K153" i="7"/>
  <c r="J161" i="12" s="1"/>
  <c r="S99" i="12"/>
  <c r="M31" i="12"/>
  <c r="I101" i="12"/>
  <c r="K150" i="7"/>
  <c r="J151" i="12"/>
  <c r="C126" i="7"/>
  <c r="N174" i="7"/>
  <c r="M92" i="5"/>
  <c r="F101" i="5"/>
  <c r="G101" i="5" s="1"/>
  <c r="F134" i="5"/>
  <c r="G134" i="5" s="1"/>
  <c r="H122" i="3"/>
  <c r="H35" i="3"/>
  <c r="E145" i="3"/>
  <c r="N110" i="2"/>
  <c r="O110" i="2" s="1"/>
  <c r="J77" i="2"/>
  <c r="K77" i="2" s="1"/>
  <c r="G130" i="2"/>
  <c r="F56" i="7"/>
  <c r="N28" i="2"/>
  <c r="O28" i="2" s="1"/>
  <c r="G193" i="2"/>
  <c r="C175" i="7"/>
  <c r="N175" i="7"/>
  <c r="G150" i="7"/>
  <c r="J22" i="5"/>
  <c r="I162" i="12"/>
  <c r="I150" i="12"/>
  <c r="I151" i="12"/>
  <c r="N137" i="7"/>
  <c r="J174" i="7"/>
  <c r="J74" i="5"/>
  <c r="M102" i="5"/>
  <c r="K15" i="3"/>
  <c r="H150" i="3"/>
  <c r="H55" i="3"/>
  <c r="H99" i="3"/>
  <c r="K140" i="3"/>
  <c r="G129" i="2"/>
  <c r="F82" i="2"/>
  <c r="G141" i="14"/>
  <c r="B56" i="7"/>
  <c r="J28" i="2"/>
  <c r="K28" i="2" s="1"/>
  <c r="G67" i="14"/>
  <c r="E153" i="7"/>
  <c r="N140" i="2"/>
  <c r="O140" i="2" s="1"/>
  <c r="K103" i="12"/>
  <c r="H98" i="12"/>
  <c r="C150" i="7"/>
  <c r="J173" i="12"/>
  <c r="J15" i="5"/>
  <c r="J46" i="5"/>
  <c r="I152" i="12"/>
  <c r="J137" i="7"/>
  <c r="F174" i="7"/>
  <c r="J121" i="5"/>
  <c r="F164" i="5"/>
  <c r="G164" i="5" s="1"/>
  <c r="K34" i="3"/>
  <c r="K134" i="3"/>
  <c r="K153" i="3"/>
  <c r="J91" i="2"/>
  <c r="K91" i="2" s="1"/>
  <c r="J58" i="2"/>
  <c r="K58" i="2" s="1"/>
  <c r="F74" i="2"/>
  <c r="E166" i="3"/>
  <c r="N187" i="2"/>
  <c r="O187" i="2" s="1"/>
  <c r="J150" i="7"/>
  <c r="H119" i="3"/>
  <c r="E121" i="3"/>
  <c r="H153" i="7"/>
  <c r="H153" i="12" s="1"/>
  <c r="G13" i="14"/>
  <c r="J16" i="5"/>
  <c r="H145" i="12"/>
  <c r="K145" i="12"/>
  <c r="I148" i="12"/>
  <c r="F137" i="7"/>
  <c r="B174" i="7"/>
  <c r="J70" i="5"/>
  <c r="J98" i="5"/>
  <c r="M165" i="5"/>
  <c r="E122" i="3"/>
  <c r="E78" i="3"/>
  <c r="N156" i="2"/>
  <c r="O156" i="2" s="1"/>
  <c r="N61" i="2"/>
  <c r="O61" i="2" s="1"/>
  <c r="N109" i="2"/>
  <c r="O109" i="2" s="1"/>
  <c r="G34" i="2"/>
  <c r="P70" i="5"/>
  <c r="K72" i="3"/>
  <c r="N56" i="2"/>
  <c r="O56" i="2" s="1"/>
  <c r="G159" i="2"/>
  <c r="G169" i="14"/>
  <c r="E150" i="7"/>
  <c r="I105" i="12"/>
  <c r="J24" i="5"/>
  <c r="I143" i="12"/>
  <c r="I144" i="12"/>
  <c r="B137" i="7"/>
  <c r="L174" i="7"/>
  <c r="K173" i="12" s="1"/>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J126" i="7"/>
  <c r="K151" i="12"/>
  <c r="I99" i="12"/>
  <c r="D153" i="7"/>
  <c r="J17" i="5"/>
  <c r="J48" i="5"/>
  <c r="I173" i="12"/>
  <c r="H143" i="12"/>
  <c r="N153" i="7"/>
  <c r="K160" i="12"/>
  <c r="H174" i="7"/>
  <c r="H173" i="12" s="1"/>
  <c r="J94" i="5"/>
  <c r="J146" i="5"/>
  <c r="E10" i="3"/>
  <c r="K47" i="3"/>
  <c r="E77" i="3"/>
  <c r="H126" i="3"/>
  <c r="H75" i="3"/>
  <c r="I154" i="12"/>
  <c r="N149" i="2"/>
  <c r="O149" i="2" s="1"/>
  <c r="J168" i="2"/>
  <c r="K168" i="2" s="1"/>
  <c r="G53" i="14"/>
  <c r="J145" i="12"/>
  <c r="H56" i="3"/>
  <c r="M60" i="12"/>
  <c r="G132" i="2"/>
  <c r="J64" i="2"/>
  <c r="K64" i="2" s="1"/>
  <c r="N12" i="2"/>
  <c r="O12" i="2" s="1"/>
  <c r="J155" i="2"/>
  <c r="K155" i="2" s="1"/>
  <c r="G35" i="14"/>
  <c r="N36" i="2"/>
  <c r="O36" i="2" s="1"/>
  <c r="K128" i="3"/>
  <c r="G80" i="14"/>
  <c r="E167" i="3"/>
  <c r="G39" i="14"/>
  <c r="K101" i="3"/>
  <c r="F40" i="2"/>
  <c r="G99" i="14"/>
  <c r="G33" i="14"/>
  <c r="G51" i="14"/>
  <c r="H151" i="3"/>
  <c r="G68" i="2"/>
  <c r="H12" i="12"/>
  <c r="G52" i="2"/>
  <c r="H101" i="3"/>
  <c r="E40" i="3"/>
  <c r="F13" i="2"/>
  <c r="E125" i="3"/>
  <c r="F36" i="2"/>
  <c r="P113" i="5"/>
  <c r="P127" i="5"/>
  <c r="P145" i="5"/>
  <c r="H134" i="12"/>
  <c r="P11" i="5"/>
  <c r="P24" i="5"/>
  <c r="P35" i="5"/>
  <c r="P147" i="5"/>
  <c r="I161" i="12"/>
  <c r="P122" i="5"/>
  <c r="F173" i="2"/>
  <c r="P47" i="5"/>
  <c r="E186" i="3"/>
  <c r="P141" i="5"/>
  <c r="P109" i="5"/>
  <c r="F68" i="2"/>
  <c r="N32" i="12"/>
  <c r="M22" i="12"/>
  <c r="S47" i="12"/>
  <c r="R158" i="12"/>
  <c r="M164" i="12"/>
  <c r="Q119" i="12"/>
  <c r="R157" i="12"/>
  <c r="N52" i="12"/>
  <c r="K66" i="7"/>
  <c r="J71" i="12" s="1"/>
  <c r="D110" i="7"/>
  <c r="L9" i="7"/>
  <c r="K9" i="12" s="1"/>
  <c r="H147" i="7"/>
  <c r="H155" i="12" s="1"/>
  <c r="F157" i="5"/>
  <c r="G157" i="5" s="1"/>
  <c r="K174" i="3"/>
  <c r="J186" i="7"/>
  <c r="E44" i="5"/>
  <c r="F44" i="5" s="1"/>
  <c r="G44" i="5" s="1"/>
  <c r="K19" i="3"/>
  <c r="E173" i="3"/>
  <c r="N121" i="2"/>
  <c r="O121" i="2" s="1"/>
  <c r="L66" i="7"/>
  <c r="K71" i="12" s="1"/>
  <c r="J147" i="7"/>
  <c r="E147" i="7"/>
  <c r="E12" i="3"/>
  <c r="M147" i="7"/>
  <c r="C186" i="7"/>
  <c r="I186" i="7"/>
  <c r="I186" i="12" s="1"/>
  <c r="L88" i="12"/>
  <c r="N158" i="12"/>
  <c r="M135" i="12"/>
  <c r="G66" i="7"/>
  <c r="I110" i="7"/>
  <c r="I110" i="12" s="1"/>
  <c r="C147" i="7"/>
  <c r="J19" i="5"/>
  <c r="H9" i="7"/>
  <c r="H9" i="12" s="1"/>
  <c r="E66" i="7"/>
  <c r="D147" i="7"/>
  <c r="J106" i="5"/>
  <c r="F186" i="7"/>
  <c r="E105" i="3"/>
  <c r="H163" i="3"/>
  <c r="F66" i="7"/>
  <c r="K147" i="7"/>
  <c r="J155" i="12" s="1"/>
  <c r="E146" i="3"/>
  <c r="N193" i="2"/>
  <c r="O193" i="2" s="1"/>
  <c r="G186" i="7"/>
  <c r="S171" i="12"/>
  <c r="Q29" i="12"/>
  <c r="L141" i="12"/>
  <c r="C66" i="7"/>
  <c r="N110" i="7"/>
  <c r="I147" i="7"/>
  <c r="D9" i="7"/>
  <c r="J66" i="7"/>
  <c r="F143" i="5"/>
  <c r="G143" i="5" s="1"/>
  <c r="B186" i="7"/>
  <c r="I66" i="7"/>
  <c r="I71" i="12" s="1"/>
  <c r="O186" i="7"/>
  <c r="K146" i="12"/>
  <c r="Q28" i="12"/>
  <c r="L139" i="12"/>
  <c r="L65" i="12"/>
  <c r="N87" i="12"/>
  <c r="N147" i="7"/>
  <c r="I109" i="12"/>
  <c r="O9" i="7"/>
  <c r="K178" i="3"/>
  <c r="L186" i="7"/>
  <c r="K186" i="12" s="1"/>
  <c r="G26" i="2"/>
  <c r="P110" i="5"/>
  <c r="H16" i="3"/>
  <c r="I65" i="12"/>
  <c r="N66" i="7"/>
  <c r="G119" i="14"/>
  <c r="P24" i="12"/>
  <c r="Q50" i="12"/>
  <c r="R66" i="12"/>
  <c r="N150" i="12"/>
  <c r="S87" i="12"/>
  <c r="L95" i="12"/>
  <c r="I184" i="12"/>
  <c r="K9" i="7"/>
  <c r="J10" i="12" s="1"/>
  <c r="H186" i="7"/>
  <c r="H186" i="12" s="1"/>
  <c r="E62" i="3"/>
  <c r="G13" i="2"/>
  <c r="D66" i="7"/>
  <c r="M9" i="7"/>
  <c r="I7" i="12"/>
  <c r="M165"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S64" i="12"/>
  <c r="P26" i="12"/>
  <c r="Q95" i="12"/>
  <c r="H66" i="7"/>
  <c r="N9" i="7"/>
  <c r="O110" i="7"/>
  <c r="H54" i="3"/>
  <c r="M110" i="7"/>
  <c r="R132" i="12"/>
  <c r="R150" i="12"/>
  <c r="R18" i="12"/>
  <c r="I9" i="7"/>
  <c r="I9" i="12" s="1"/>
  <c r="J9" i="7"/>
  <c r="K110" i="7"/>
  <c r="J110" i="12" s="1"/>
  <c r="E54" i="3"/>
  <c r="K105" i="3"/>
  <c r="J31" i="2"/>
  <c r="K31" i="2" s="1"/>
  <c r="F30" i="2"/>
  <c r="J147" i="2"/>
  <c r="K147" i="2" s="1"/>
  <c r="L110" i="7"/>
  <c r="K110" i="12" s="1"/>
  <c r="G88" i="2"/>
  <c r="N66" i="12"/>
  <c r="R118" i="12"/>
  <c r="N18" i="12"/>
  <c r="L86" i="12"/>
  <c r="J184" i="12"/>
  <c r="Q105" i="12"/>
  <c r="M118" i="12"/>
  <c r="K185" i="12"/>
  <c r="F9" i="7"/>
  <c r="G110" i="7"/>
  <c r="H50" i="3"/>
  <c r="E113" i="3"/>
  <c r="J131" i="2"/>
  <c r="K131" i="2" s="1"/>
  <c r="F26" i="2"/>
  <c r="N124" i="2"/>
  <c r="O124" i="2" s="1"/>
  <c r="J175" i="2"/>
  <c r="K175" i="2" s="1"/>
  <c r="P138" i="12"/>
  <c r="M145" i="12"/>
  <c r="F109" i="5"/>
  <c r="G109" i="5" s="1"/>
  <c r="N125" i="2"/>
  <c r="O125" i="2" s="1"/>
  <c r="F48" i="2"/>
  <c r="N44" i="2"/>
  <c r="O44" i="2" s="1"/>
  <c r="F67" i="5"/>
  <c r="G67" i="5" s="1"/>
  <c r="F84" i="5"/>
  <c r="G84" i="5" s="1"/>
  <c r="F153" i="5"/>
  <c r="G153" i="5" s="1"/>
  <c r="E38" i="3"/>
  <c r="H180" i="3"/>
  <c r="K60" i="3"/>
  <c r="H175" i="3"/>
  <c r="N167" i="2"/>
  <c r="O167" i="2" s="1"/>
  <c r="C160" i="7"/>
  <c r="F149" i="5"/>
  <c r="G149" i="5" s="1"/>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47" i="5"/>
  <c r="M68" i="5"/>
  <c r="Q24" i="12"/>
  <c r="J18" i="12"/>
  <c r="H33" i="3"/>
  <c r="E66" i="5"/>
  <c r="F66" i="5" s="1"/>
  <c r="G66" i="5" s="1"/>
  <c r="E80" i="3"/>
  <c r="K176" i="3"/>
  <c r="K69" i="3"/>
  <c r="J23" i="5"/>
  <c r="F162" i="5"/>
  <c r="G162" i="5" s="1"/>
  <c r="E11" i="3"/>
  <c r="F97" i="2"/>
  <c r="N153" i="2"/>
  <c r="O153" i="2" s="1"/>
  <c r="N177" i="2"/>
  <c r="O177" i="2" s="1"/>
  <c r="N145" i="12"/>
  <c r="N113" i="12"/>
  <c r="F92" i="5"/>
  <c r="G92" i="5" s="1"/>
  <c r="J80" i="2"/>
  <c r="K80" i="2" s="1"/>
  <c r="G91" i="14"/>
  <c r="N133" i="12"/>
  <c r="G144" i="14"/>
  <c r="P34" i="12"/>
  <c r="S133" i="12"/>
  <c r="S165" i="12"/>
  <c r="M163" i="12"/>
  <c r="F97" i="5"/>
  <c r="G97" i="5" s="1"/>
  <c r="F158" i="5"/>
  <c r="G158" i="5" s="1"/>
  <c r="G73" i="2"/>
  <c r="G97" i="2"/>
  <c r="G121" i="2"/>
  <c r="F29" i="2"/>
  <c r="O191" i="5"/>
  <c r="O192" i="5" s="1"/>
  <c r="J183" i="2"/>
  <c r="K183" i="2" s="1"/>
  <c r="N68" i="2"/>
  <c r="O68" i="2" s="1"/>
  <c r="M54" i="5"/>
  <c r="P137" i="12"/>
  <c r="F93" i="5"/>
  <c r="G93" i="5" s="1"/>
  <c r="E61" i="3"/>
  <c r="H107" i="3"/>
  <c r="K124" i="3"/>
  <c r="G167" i="2"/>
  <c r="G60" i="14"/>
  <c r="P76" i="5"/>
  <c r="P100" i="5"/>
  <c r="K92" i="3"/>
  <c r="L142" i="12"/>
  <c r="G134" i="14"/>
  <c r="P42" i="12"/>
  <c r="M140" i="12"/>
  <c r="K103" i="3"/>
  <c r="E62" i="5"/>
  <c r="F62" i="5" s="1"/>
  <c r="E22" i="3"/>
  <c r="E86" i="3"/>
  <c r="E110" i="5"/>
  <c r="F110" i="5" s="1"/>
  <c r="G110" i="5" s="1"/>
  <c r="H148" i="3"/>
  <c r="E248" i="2"/>
  <c r="J14" i="2"/>
  <c r="K14" i="2" s="1"/>
  <c r="N58" i="2"/>
  <c r="O58" i="2" s="1"/>
  <c r="F100" i="2"/>
  <c r="G127" i="14"/>
  <c r="F140" i="5"/>
  <c r="G140" i="5" s="1"/>
  <c r="P18" i="12"/>
  <c r="M120" i="12"/>
  <c r="L82" i="12"/>
  <c r="F103" i="5"/>
  <c r="G103" i="5" s="1"/>
  <c r="F145" i="5"/>
  <c r="G145" i="5" s="1"/>
  <c r="F150" i="5"/>
  <c r="G150" i="5" s="1"/>
  <c r="J160" i="5"/>
  <c r="G171" i="14"/>
  <c r="P50" i="12"/>
  <c r="M123" i="12"/>
  <c r="L74" i="12"/>
  <c r="R40" i="12"/>
  <c r="F76" i="5"/>
  <c r="G76" i="5" s="1"/>
  <c r="M132" i="5"/>
  <c r="H21" i="3"/>
  <c r="H79" i="3"/>
  <c r="H130" i="3"/>
  <c r="E169" i="3"/>
  <c r="H248" i="2"/>
  <c r="N64" i="2"/>
  <c r="O64" i="2" s="1"/>
  <c r="J36" i="2"/>
  <c r="K36" i="2" s="1"/>
  <c r="N40" i="12"/>
  <c r="F81" i="5"/>
  <c r="G81" i="5" s="1"/>
  <c r="J156" i="5"/>
  <c r="H10" i="3"/>
  <c r="E114" i="5"/>
  <c r="F114" i="5" s="1"/>
  <c r="G114" i="5" s="1"/>
  <c r="N77" i="12"/>
  <c r="R77" i="12"/>
  <c r="R78" i="12"/>
  <c r="F77" i="5"/>
  <c r="G77" i="5" s="1"/>
  <c r="J82" i="5"/>
  <c r="F132" i="5"/>
  <c r="G132" i="5" s="1"/>
  <c r="F156" i="5"/>
  <c r="G156" i="5" s="1"/>
  <c r="E93" i="3"/>
  <c r="E97" i="3"/>
  <c r="N70" i="2"/>
  <c r="O70" i="2" s="1"/>
  <c r="J17" i="2"/>
  <c r="K17" i="2" s="1"/>
  <c r="G43" i="14"/>
  <c r="N100" i="2"/>
  <c r="O100" i="2" s="1"/>
  <c r="P122" i="12"/>
  <c r="P132" i="12"/>
  <c r="R70" i="12"/>
  <c r="S78" i="12"/>
  <c r="M110" i="5"/>
  <c r="E46" i="5"/>
  <c r="F46" i="5" s="1"/>
  <c r="G46" i="5" s="1"/>
  <c r="N25" i="2"/>
  <c r="O25" i="2" s="1"/>
  <c r="G29" i="2"/>
  <c r="J114" i="2"/>
  <c r="K114" i="2" s="1"/>
  <c r="G76" i="14"/>
  <c r="N48" i="12"/>
  <c r="Q19" i="12"/>
  <c r="P121" i="12"/>
  <c r="F133" i="5"/>
  <c r="G133" i="5" s="1"/>
  <c r="K23" i="3"/>
  <c r="J63" i="2"/>
  <c r="K63" i="2" s="1"/>
  <c r="F185" i="2"/>
  <c r="J187" i="2"/>
  <c r="K187" i="2" s="1"/>
  <c r="F68" i="5"/>
  <c r="G68" i="5" s="1"/>
  <c r="K71" i="3"/>
  <c r="G166" i="14"/>
  <c r="F88" i="5"/>
  <c r="G88" i="5" s="1"/>
  <c r="F64" i="5"/>
  <c r="G64" i="5" s="1"/>
  <c r="F116" i="5"/>
  <c r="G116" i="5" s="1"/>
  <c r="F151" i="5"/>
  <c r="G151" i="5" s="1"/>
  <c r="K39" i="3"/>
  <c r="E82" i="5"/>
  <c r="F82" i="5" s="1"/>
  <c r="G82" i="5" s="1"/>
  <c r="G47" i="14"/>
  <c r="G88" i="14"/>
  <c r="G120" i="14"/>
  <c r="G93" i="14"/>
  <c r="G179" i="2"/>
  <c r="N47" i="2"/>
  <c r="O47" i="2" s="1"/>
  <c r="G139" i="14"/>
  <c r="G135" i="14"/>
  <c r="G156" i="14"/>
  <c r="B150" i="7"/>
  <c r="L150" i="7"/>
  <c r="K149" i="12" s="1"/>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B164" i="7"/>
  <c r="G164" i="7"/>
  <c r="I164" i="7"/>
  <c r="I163" i="12" s="1"/>
  <c r="G151" i="14"/>
  <c r="G92" i="14"/>
  <c r="G124" i="14"/>
  <c r="G181" i="14"/>
  <c r="S70" i="12"/>
  <c r="N79" i="2"/>
  <c r="O79" i="2" s="1"/>
  <c r="P154" i="5"/>
  <c r="K100" i="3"/>
  <c r="G171" i="2"/>
  <c r="N183" i="2"/>
  <c r="O183" i="2" s="1"/>
  <c r="G84" i="2"/>
  <c r="D232" i="10"/>
  <c r="S29" i="12"/>
  <c r="S41" i="12"/>
  <c r="P53" i="12"/>
  <c r="N84" i="2"/>
  <c r="O84" i="2" s="1"/>
  <c r="G232" i="10"/>
  <c r="R57" i="12"/>
  <c r="S61" i="12"/>
  <c r="N158" i="2"/>
  <c r="O158" i="2" s="1"/>
  <c r="J108" i="2"/>
  <c r="K108" i="2" s="1"/>
  <c r="E164" i="3"/>
  <c r="H177" i="3"/>
  <c r="G185" i="14"/>
  <c r="G65" i="14"/>
  <c r="G73" i="14"/>
  <c r="K97" i="3"/>
  <c r="G133" i="14"/>
  <c r="H132" i="3"/>
  <c r="K116" i="3"/>
  <c r="G61" i="14"/>
  <c r="G69" i="14"/>
  <c r="G77" i="14"/>
  <c r="G49" i="14"/>
  <c r="H23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32" i="10"/>
  <c r="M232" i="10"/>
  <c r="E23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G114" i="14"/>
  <c r="K119" i="12"/>
  <c r="K113" i="3"/>
  <c r="E120" i="3"/>
  <c r="H157" i="3"/>
  <c r="E128" i="3"/>
  <c r="E148" i="3"/>
  <c r="H161" i="3"/>
  <c r="G64" i="14"/>
  <c r="G117" i="14"/>
  <c r="G164" i="14"/>
  <c r="G45" i="14"/>
  <c r="G158" i="14"/>
  <c r="G145" i="14"/>
  <c r="E54" i="5"/>
  <c r="F54" i="5" s="1"/>
  <c r="G54" i="5" s="1"/>
  <c r="E132" i="3"/>
  <c r="E180" i="3"/>
  <c r="G72" i="14"/>
  <c r="G140" i="14"/>
  <c r="G121" i="14"/>
  <c r="G179" i="14"/>
  <c r="P148" i="5"/>
  <c r="P164" i="5"/>
  <c r="G68" i="14"/>
  <c r="G83" i="14"/>
  <c r="G40" i="14"/>
  <c r="G42" i="14"/>
  <c r="G48" i="14"/>
  <c r="G150" i="14"/>
  <c r="G102" i="14"/>
  <c r="G108" i="14"/>
  <c r="G142" i="14"/>
  <c r="G147" i="14"/>
  <c r="G168" i="14"/>
  <c r="K228" i="11"/>
  <c r="N228" i="11"/>
  <c r="N232" i="10"/>
  <c r="Q38" i="12"/>
  <c r="P54" i="12"/>
  <c r="R65" i="12"/>
  <c r="R97" i="12"/>
  <c r="Q15" i="12"/>
  <c r="R117" i="12"/>
  <c r="Q114" i="12"/>
  <c r="O227" i="6"/>
  <c r="N167" i="12"/>
  <c r="N101" i="12"/>
  <c r="L78" i="12"/>
  <c r="N53" i="12"/>
  <c r="N82" i="12"/>
  <c r="N74" i="12"/>
  <c r="M54" i="12"/>
  <c r="M40" i="12"/>
  <c r="M32" i="12"/>
  <c r="P7" i="12"/>
  <c r="L38" i="12"/>
  <c r="L15" i="12"/>
  <c r="M37" i="12"/>
  <c r="C12" i="28"/>
  <c r="S82" i="12"/>
  <c r="I114" i="12"/>
  <c r="I132" i="12"/>
  <c r="K126" i="12"/>
  <c r="J113" i="12"/>
  <c r="J119" i="12"/>
  <c r="H136" i="12"/>
  <c r="H119" i="12"/>
  <c r="K53" i="12"/>
  <c r="H53" i="12"/>
  <c r="K49" i="12"/>
  <c r="H41" i="12"/>
  <c r="I18" i="12"/>
  <c r="I10" i="12"/>
  <c r="H27" i="12"/>
  <c r="H19" i="12"/>
  <c r="H11" i="12"/>
  <c r="H25" i="12"/>
  <c r="K30" i="12"/>
  <c r="K22" i="12"/>
  <c r="K14" i="12"/>
  <c r="I17" i="12"/>
  <c r="K33"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F51" i="5"/>
  <c r="G51" i="5" s="1"/>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8" i="2"/>
  <c r="G150" i="2"/>
  <c r="F150" i="2"/>
  <c r="N166" i="2"/>
  <c r="O166" i="2" s="1"/>
  <c r="J192" i="2"/>
  <c r="K192" i="2" s="1"/>
  <c r="F170" i="2"/>
  <c r="G170" i="2"/>
  <c r="G142" i="2"/>
  <c r="G178" i="14"/>
  <c r="H228" i="11"/>
  <c r="J232" i="10"/>
  <c r="R19" i="12"/>
  <c r="R41" i="12"/>
  <c r="S57" i="12"/>
  <c r="R23" i="12"/>
  <c r="S49" i="12"/>
  <c r="R93" i="12"/>
  <c r="R109" i="12"/>
  <c r="P80" i="12"/>
  <c r="R45" i="12"/>
  <c r="R121" i="12"/>
  <c r="Q136" i="12"/>
  <c r="R147" i="12"/>
  <c r="R155" i="12"/>
  <c r="R163" i="12"/>
  <c r="R171" i="12"/>
  <c r="N159" i="12"/>
  <c r="N163" i="12"/>
  <c r="M130" i="12"/>
  <c r="N73" i="12"/>
  <c r="L62" i="12"/>
  <c r="L46" i="12"/>
  <c r="N7" i="12"/>
  <c r="N37" i="12"/>
  <c r="M65" i="12"/>
  <c r="M49" i="12"/>
  <c r="M33" i="12"/>
  <c r="Q7" i="12"/>
  <c r="S74" i="12"/>
  <c r="E124" i="7"/>
  <c r="B15" i="28" s="1"/>
  <c r="I124" i="7"/>
  <c r="C16" i="28" s="1"/>
  <c r="M124" i="7"/>
  <c r="F124" i="7"/>
  <c r="K124" i="7"/>
  <c r="J124" i="12" s="1"/>
  <c r="B124" i="7"/>
  <c r="G124" i="7"/>
  <c r="L124" i="7"/>
  <c r="K124" i="12" s="1"/>
  <c r="C124" i="7"/>
  <c r="H124" i="7"/>
  <c r="B16" i="28" s="1"/>
  <c r="N124" i="7"/>
  <c r="D124" i="7"/>
  <c r="D18" i="28" s="1"/>
  <c r="J124" i="7"/>
  <c r="O124" i="7"/>
  <c r="K136" i="12"/>
  <c r="J129" i="12"/>
  <c r="I112" i="12"/>
  <c r="K131" i="12"/>
  <c r="H117" i="12"/>
  <c r="K135" i="12"/>
  <c r="I135" i="12"/>
  <c r="I119" i="12"/>
  <c r="H57" i="12"/>
  <c r="J23" i="12"/>
  <c r="J7" i="12"/>
  <c r="H38" i="12"/>
  <c r="J25" i="12"/>
  <c r="J53" i="12"/>
  <c r="J37" i="12"/>
  <c r="H21" i="12"/>
  <c r="J41" i="12"/>
  <c r="H37" i="12"/>
  <c r="I20" i="12"/>
  <c r="I12" i="12"/>
  <c r="I45" i="12"/>
  <c r="I29" i="12"/>
  <c r="I23" i="12"/>
  <c r="I15" i="12"/>
  <c r="P53" i="5"/>
  <c r="N191" i="5"/>
  <c r="G232" i="3"/>
  <c r="J232" i="3"/>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8" i="2"/>
  <c r="J11" i="2"/>
  <c r="K11" i="2" s="1"/>
  <c r="B3" i="28"/>
  <c r="F192" i="2"/>
  <c r="G192" i="2"/>
  <c r="G59" i="14"/>
  <c r="G86" i="14"/>
  <c r="G118" i="14"/>
  <c r="G152" i="14"/>
  <c r="E228" i="11"/>
  <c r="S73" i="12"/>
  <c r="R89" i="12"/>
  <c r="R105" i="12"/>
  <c r="P72" i="12"/>
  <c r="E32" i="7"/>
  <c r="I32" i="7"/>
  <c r="I31" i="12" s="1"/>
  <c r="M32" i="7"/>
  <c r="D32" i="7"/>
  <c r="J32" i="7"/>
  <c r="O32" i="7"/>
  <c r="F32" i="7"/>
  <c r="K32" i="7"/>
  <c r="J32" i="12" s="1"/>
  <c r="B32" i="7"/>
  <c r="G32" i="7"/>
  <c r="L32" i="7"/>
  <c r="K31" i="12" s="1"/>
  <c r="C32" i="7"/>
  <c r="H32" i="7"/>
  <c r="H32" i="12" s="1"/>
  <c r="N32" i="7"/>
  <c r="P45" i="12"/>
  <c r="N151" i="12"/>
  <c r="L61" i="12"/>
  <c r="M45" i="12"/>
  <c r="H191" i="5"/>
  <c r="H192" i="5" s="1"/>
  <c r="J37" i="5"/>
  <c r="K138" i="12"/>
  <c r="H135" i="12"/>
  <c r="J117" i="12"/>
  <c r="I122" i="12"/>
  <c r="J48" i="12"/>
  <c r="H54" i="12"/>
  <c r="H45" i="12"/>
  <c r="I30" i="12"/>
  <c r="I22" i="12"/>
  <c r="I14" i="12"/>
  <c r="H31" i="12"/>
  <c r="H23" i="12"/>
  <c r="H15" i="12"/>
  <c r="H7" i="12"/>
  <c r="H46" i="12"/>
  <c r="K18" i="12"/>
  <c r="I57" i="12"/>
  <c r="I41" i="12"/>
  <c r="K29" i="12"/>
  <c r="K21" i="12"/>
  <c r="K13" i="12"/>
  <c r="K7" i="3"/>
  <c r="E9" i="5"/>
  <c r="F9" i="5" s="1"/>
  <c r="G9" i="5" s="1"/>
  <c r="E25" i="5"/>
  <c r="F25" i="5" s="1"/>
  <c r="G25" i="5" s="1"/>
  <c r="E41" i="5"/>
  <c r="F41" i="5" s="1"/>
  <c r="G41" i="5" s="1"/>
  <c r="E57" i="5"/>
  <c r="F57" i="5" s="1"/>
  <c r="G57" i="5" s="1"/>
  <c r="H7" i="3"/>
  <c r="E18" i="3"/>
  <c r="E50" i="3"/>
  <c r="E82" i="3"/>
  <c r="E98" i="3"/>
  <c r="J52" i="5"/>
  <c r="F53" i="5"/>
  <c r="G53" i="5" s="1"/>
  <c r="D191" i="5"/>
  <c r="D192" i="5" s="1"/>
  <c r="M55" i="5"/>
  <c r="J56"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S33" i="12"/>
  <c r="R85" i="12"/>
  <c r="E40" i="7"/>
  <c r="I40" i="7"/>
  <c r="I40" i="12" s="1"/>
  <c r="M40" i="7"/>
  <c r="B40" i="7"/>
  <c r="G40" i="7"/>
  <c r="L40" i="7"/>
  <c r="C40" i="7"/>
  <c r="H40" i="7"/>
  <c r="H40" i="12" s="1"/>
  <c r="N40" i="7"/>
  <c r="D40" i="7"/>
  <c r="J40" i="7"/>
  <c r="O40" i="7"/>
  <c r="F40" i="7"/>
  <c r="K40" i="7"/>
  <c r="J40" i="12" s="1"/>
  <c r="P37" i="12"/>
  <c r="Q64" i="12"/>
  <c r="L37" i="12"/>
  <c r="R7" i="12"/>
  <c r="E140" i="7"/>
  <c r="I140" i="7"/>
  <c r="I140" i="12" s="1"/>
  <c r="M140" i="7"/>
  <c r="F140" i="7"/>
  <c r="K140" i="7"/>
  <c r="J140" i="12" s="1"/>
  <c r="B140" i="7"/>
  <c r="G140" i="7"/>
  <c r="L140" i="7"/>
  <c r="K140" i="12" s="1"/>
  <c r="D140" i="7"/>
  <c r="J140" i="7"/>
  <c r="O140" i="7"/>
  <c r="C140" i="7"/>
  <c r="H140" i="7"/>
  <c r="H140" i="12" s="1"/>
  <c r="N140" i="7"/>
  <c r="L7" i="5"/>
  <c r="M7" i="5" s="1"/>
  <c r="I118" i="12"/>
  <c r="J138" i="12"/>
  <c r="K127" i="12"/>
  <c r="J122" i="12"/>
  <c r="I138" i="12"/>
  <c r="I129" i="12"/>
  <c r="H113" i="12"/>
  <c r="H127" i="12"/>
  <c r="K114" i="12"/>
  <c r="I127" i="12"/>
  <c r="H47" i="12"/>
  <c r="I113" i="12"/>
  <c r="K46" i="12"/>
  <c r="I54" i="12"/>
  <c r="J45" i="12"/>
  <c r="J27" i="12"/>
  <c r="J19" i="12"/>
  <c r="I42" i="12"/>
  <c r="J29" i="12"/>
  <c r="J13" i="12"/>
  <c r="K41" i="12"/>
  <c r="H29" i="12"/>
  <c r="K45" i="12"/>
  <c r="I24" i="12"/>
  <c r="I8" i="12"/>
  <c r="I21" i="12"/>
  <c r="I35" i="12"/>
  <c r="I27" i="12"/>
  <c r="I19" i="12"/>
  <c r="I11" i="12"/>
  <c r="E58" i="5"/>
  <c r="F58" i="5" s="1"/>
  <c r="K191" i="5"/>
  <c r="K192" i="5" s="1"/>
  <c r="E121" i="5"/>
  <c r="F121" i="5" s="1"/>
  <c r="G121" i="5" s="1"/>
  <c r="E125" i="5"/>
  <c r="F125" i="5" s="1"/>
  <c r="G125" i="5" s="1"/>
  <c r="E129" i="5"/>
  <c r="F129" i="5" s="1"/>
  <c r="G129" i="5" s="1"/>
  <c r="D8" i="28"/>
  <c r="M50" i="5"/>
  <c r="J51" i="5"/>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J228" i="2" l="1"/>
  <c r="F229" i="7"/>
  <c r="E229" i="7"/>
  <c r="N229" i="7"/>
  <c r="N241" i="12"/>
  <c r="J60" i="8"/>
  <c r="H229" i="7"/>
  <c r="O241" i="12"/>
  <c r="L241" i="12"/>
  <c r="L242" i="12" s="1"/>
  <c r="L229" i="7"/>
  <c r="C229" i="7"/>
  <c r="I229" i="7"/>
  <c r="M241" i="12"/>
  <c r="K229" i="7"/>
  <c r="H61" i="8"/>
  <c r="A69" i="8"/>
  <c r="M227" i="6"/>
  <c r="B229" i="7"/>
  <c r="D229" i="7" s="1"/>
  <c r="I177" i="12"/>
  <c r="C17" i="28"/>
  <c r="I125" i="12"/>
  <c r="J149" i="12"/>
  <c r="H149" i="12"/>
  <c r="K152" i="12"/>
  <c r="B18" i="28"/>
  <c r="H141" i="12"/>
  <c r="J169" i="12"/>
  <c r="I141" i="12"/>
  <c r="J162" i="12"/>
  <c r="K187" i="12"/>
  <c r="K130" i="12"/>
  <c r="H175" i="12"/>
  <c r="H49" i="12"/>
  <c r="K100" i="12"/>
  <c r="K90" i="12"/>
  <c r="J170" i="12"/>
  <c r="H171" i="12"/>
  <c r="J141" i="12"/>
  <c r="B17" i="28"/>
  <c r="K142" i="12"/>
  <c r="J86" i="12"/>
  <c r="I166" i="12"/>
  <c r="H129" i="12"/>
  <c r="H85" i="12"/>
  <c r="I131" i="12"/>
  <c r="J49" i="12"/>
  <c r="I55" i="12"/>
  <c r="K55" i="12"/>
  <c r="K38" i="12"/>
  <c r="H170" i="12"/>
  <c r="J111" i="12"/>
  <c r="K111" i="12"/>
  <c r="I117" i="12"/>
  <c r="I51" i="12"/>
  <c r="H51" i="12"/>
  <c r="J88" i="12"/>
  <c r="J31" i="12"/>
  <c r="K141" i="12"/>
  <c r="H187" i="12"/>
  <c r="D16" i="28"/>
  <c r="D15" i="28"/>
  <c r="C15" i="28"/>
  <c r="D17" i="28"/>
  <c r="K125" i="12"/>
  <c r="H131" i="12"/>
  <c r="J38" i="12"/>
  <c r="K171" i="12"/>
  <c r="H111" i="12"/>
  <c r="H180" i="12"/>
  <c r="K88" i="12"/>
  <c r="J91" i="12"/>
  <c r="I158" i="12"/>
  <c r="H103" i="12"/>
  <c r="I39" i="12"/>
  <c r="I149" i="12"/>
  <c r="H125" i="12"/>
  <c r="K175" i="12"/>
  <c r="I126" i="12"/>
  <c r="J55" i="12"/>
  <c r="J100" i="12"/>
  <c r="J33" i="12"/>
  <c r="I86" i="12"/>
  <c r="J182" i="12"/>
  <c r="I170" i="12"/>
  <c r="I183" i="12"/>
  <c r="I111" i="12"/>
  <c r="K121" i="12"/>
  <c r="I176" i="12"/>
  <c r="J9" i="12"/>
  <c r="K167" i="12"/>
  <c r="H115" i="12"/>
  <c r="I181" i="12"/>
  <c r="K115" i="12"/>
  <c r="K123" i="12"/>
  <c r="H109" i="12"/>
  <c r="K139" i="12"/>
  <c r="J139" i="12"/>
  <c r="J152" i="12"/>
  <c r="K155" i="12"/>
  <c r="K101" i="12"/>
  <c r="J171" i="12"/>
  <c r="K117" i="12"/>
  <c r="H101" i="12"/>
  <c r="H146" i="12"/>
  <c r="I123" i="12"/>
  <c r="K109" i="12"/>
  <c r="H139" i="12"/>
  <c r="I146" i="12"/>
  <c r="J146" i="12"/>
  <c r="H152" i="12"/>
  <c r="J164" i="12"/>
  <c r="K164" i="12"/>
  <c r="I139" i="12"/>
  <c r="J109" i="12"/>
  <c r="J114" i="12"/>
  <c r="J125" i="12"/>
  <c r="I121" i="12"/>
  <c r="C18" i="28"/>
  <c r="B4" i="28"/>
  <c r="J175" i="12"/>
  <c r="H185" i="12"/>
  <c r="K180" i="12"/>
  <c r="H178" i="12"/>
  <c r="K178" i="12"/>
  <c r="B237" i="2"/>
  <c r="D237" i="2"/>
  <c r="K54" i="12"/>
  <c r="D7" i="28"/>
  <c r="J66" i="12"/>
  <c r="L191" i="5"/>
  <c r="L192" i="5" s="1"/>
  <c r="M192" i="5" s="1"/>
  <c r="H80" i="12"/>
  <c r="H75" i="12"/>
  <c r="O242" i="12"/>
  <c r="M94" i="5"/>
  <c r="I232" i="10"/>
  <c r="J159" i="12"/>
  <c r="I167" i="12"/>
  <c r="J186" i="12"/>
  <c r="H39" i="12"/>
  <c r="I66" i="12"/>
  <c r="J39" i="12"/>
  <c r="L232" i="10"/>
  <c r="K66" i="12"/>
  <c r="C69" i="8"/>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32" i="10"/>
  <c r="O232" i="10"/>
  <c r="E230" i="7"/>
  <c r="B240" i="7" s="1"/>
  <c r="N228" i="2"/>
  <c r="O228" i="2" s="1"/>
  <c r="C230" i="7"/>
  <c r="M242" i="12"/>
  <c r="O229" i="7"/>
  <c r="O230" i="7" s="1"/>
  <c r="I230" i="7"/>
  <c r="C241" i="7" s="1"/>
  <c r="F230" i="7"/>
  <c r="C240" i="7" s="1"/>
  <c r="B230" i="7"/>
  <c r="G58" i="5"/>
  <c r="F191" i="5"/>
  <c r="C235" i="6"/>
  <c r="J227" i="6"/>
  <c r="D228" i="11"/>
  <c r="F228" i="11" s="1"/>
  <c r="F227" i="11"/>
  <c r="N192" i="5"/>
  <c r="P192" i="5" s="1"/>
  <c r="P191" i="5"/>
  <c r="K230" i="7"/>
  <c r="B242" i="7" s="1"/>
  <c r="C234" i="6"/>
  <c r="G61" i="8"/>
  <c r="H6" i="6"/>
  <c r="K6" i="6"/>
  <c r="I32" i="12"/>
  <c r="I241" i="12" s="1"/>
  <c r="M228" i="11"/>
  <c r="O228" i="11" s="1"/>
  <c r="O227" i="11"/>
  <c r="H231" i="3"/>
  <c r="F232" i="3"/>
  <c r="H232" i="3" s="1"/>
  <c r="B234" i="6"/>
  <c r="G234" i="2"/>
  <c r="H230" i="7"/>
  <c r="B241" i="7" s="1"/>
  <c r="K228" i="2"/>
  <c r="D227" i="6" s="1"/>
  <c r="C236" i="6"/>
  <c r="G60" i="8"/>
  <c r="B69" i="8"/>
  <c r="I61" i="8"/>
  <c r="K231" i="3"/>
  <c r="I232" i="3"/>
  <c r="K232" i="3" s="1"/>
  <c r="J191" i="5"/>
  <c r="I192" i="5"/>
  <c r="J192" i="5" s="1"/>
  <c r="B6" i="8"/>
  <c r="K6" i="7"/>
  <c r="E6" i="7"/>
  <c r="H6" i="7"/>
  <c r="B235" i="6"/>
  <c r="G235" i="2"/>
  <c r="F235" i="2" s="1"/>
  <c r="I227" i="11"/>
  <c r="G228" i="11"/>
  <c r="I228" i="11" s="1"/>
  <c r="N242" i="12"/>
  <c r="L227" i="11"/>
  <c r="J228" i="11"/>
  <c r="L228" i="11" s="1"/>
  <c r="B236" i="6"/>
  <c r="G236" i="2"/>
  <c r="F236" i="2" s="1"/>
  <c r="J241" i="12" l="1"/>
  <c r="J242" i="12" s="1"/>
  <c r="H241" i="12"/>
  <c r="H242" i="12" s="1"/>
  <c r="K241" i="12"/>
  <c r="K242" i="12" s="1"/>
  <c r="J61" i="8"/>
  <c r="M191" i="5"/>
  <c r="I242" i="12"/>
  <c r="N230" i="7"/>
  <c r="B243" i="7"/>
  <c r="D230" i="7"/>
  <c r="G229" i="7"/>
  <c r="G230" i="7" s="1"/>
  <c r="B6" i="10"/>
  <c r="C6" i="8"/>
  <c r="E6" i="8"/>
  <c r="H6" i="8" s="1"/>
  <c r="G237" i="2"/>
  <c r="F234" i="2"/>
  <c r="F237" i="2" s="1"/>
  <c r="D240" i="7"/>
  <c r="J229" i="7"/>
  <c r="J230" i="7" s="1"/>
  <c r="G191" i="5"/>
  <c r="F192" i="5"/>
  <c r="G192" i="5" s="1"/>
  <c r="M229" i="7"/>
  <c r="M230" i="7" s="1"/>
  <c r="L230" i="7"/>
  <c r="C242" i="7" s="1"/>
  <c r="D242" i="7" s="1"/>
  <c r="H236" i="2" s="1"/>
  <c r="D234" i="6"/>
  <c r="H234" i="2" s="1"/>
  <c r="C237" i="6"/>
  <c r="D236" i="6"/>
  <c r="B237" i="6"/>
  <c r="D235" i="6"/>
  <c r="H235" i="2" s="1"/>
  <c r="D241" i="7"/>
  <c r="C243" i="7" l="1"/>
  <c r="D243" i="7" s="1"/>
  <c r="D237" i="6"/>
  <c r="H237"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6" background="1" saveData="1">
    <webPr consecutive="1" xl2000="1" url="https://myfno.com/api/stats?&amp;days=1d&amp;units=shares&amp;data=z,d,9,p,o,v,b,r,l,i,h,j,g,a,5,6,7,8,w,n,s,f,c,u,e,k,1,2,3,4,0,m" htmlFormat="all"/>
  </connection>
  <connection id="2" odcFile="C:\Users\Ambujkumar\Downloads\Expry Roll  (20).iqy" name="Expry Roll  (20)" type="4" refreshedVersion="6" background="1" saveData="1">
    <webPr consecutive="1" xl2000="1" url="https://myfno.com/api/stats?&amp;list=NIFTY_&amp;days=1d&amp;data=z,d,p,o,v,b,r,l,i,h,j,a,5,6,7,8,w,n,s,f,c,u,1,2,3,4,0,m" htmlFormat="all"/>
  </connection>
  <connection id="3" odcFile="C:\Users\Ambujkumar\Downloads\fii.iqy" name="fii" type="4" refreshedVersion="6" background="1" saveData="1">
    <webPr consecutive="1" xl2000="1" url="https://myfno.com/api/fii?&amp;days=1d" htmlTables="1" htmlFormat="all"/>
  </connection>
  <connection id="4" odcFile="C:\Users\Ambujkumar\Downloads\stats (2).iqy" name="stats (2)" type="4" refreshedVersion="6"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<sst xmlns="http://schemas.openxmlformats.org/spreadsheetml/2006/main" count="3456" uniqueCount="695">
  <si>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</si>
  <si>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</si>
  <si>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</si>
  <si>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</si>
  <si>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</si>
  <si>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</si>
  <si>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</si>
  <si>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</si>
  <si>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</si>
  <si>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</si>
  <si>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</si>
  <si>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</si>
  <si>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</si>
  <si>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</si>
  <si>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</si>
  <si>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</si>
  <si>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</si>
  <si>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</si>
  <si>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</si>
  <si>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</si>
  <si>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</si>
  <si>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</si>
  <si>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</si>
  <si>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</si>
  <si>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</si>
  <si>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</si>
  <si>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</si>
  <si>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</si>
  <si>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</si>
  <si>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</si>
  <si>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</si>
  <si>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</si>
  <si>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</si>
  <si>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</si>
  <si>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</si>
  <si>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</si>
  <si>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</si>
  <si>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</si>
  <si>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</si>
  <si>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</si>
  <si>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</si>
  <si>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</si>
  <si>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</si>
  <si>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</si>
  <si>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</si>
  <si>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</si>
  <si>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</si>
  <si>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</si>
  <si>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</si>
  <si>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</si>
  <si>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</si>
  <si>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</si>
  <si>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</si>
  <si>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</si>
  <si>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</si>
  <si>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</si>
  <si>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</si>
  <si>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</si>
  <si>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</si>
  <si>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</si>
  <si>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</si>
  <si>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</si>
  <si>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</si>
  <si>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</si>
  <si>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</si>
  <si>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</si>
  <si>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</si>
  <si>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</si>
  <si>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</si>
  <si>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</si>
  <si>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</si>
  <si>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</si>
  <si>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</si>
  <si>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</si>
  <si>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</si>
  <si>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</si>
  <si>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</si>
  <si>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</si>
  <si>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</si>
  <si>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</si>
  <si>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</si>
  <si>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</si>
  <si>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</si>
  <si>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</si>
  <si>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</si>
  <si>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</si>
  <si>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</si>
  <si>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</si>
  <si>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</si>
  <si>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</si>
  <si>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</si>
  <si>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</si>
  <si>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</si>
  <si>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</si>
  <si>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</si>
  <si>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</si>
  <si>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</si>
  <si>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</si>
  <si>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</si>
  <si>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</si>
  <si>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</si>
  <si>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</si>
  <si>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</si>
  <si>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</si>
  <si>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</si>
  <si>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</si>
  <si>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</si>
  <si>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</si>
  <si>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</si>
  <si>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</si>
  <si>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</si>
  <si>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</si>
  <si>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</si>
  <si>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</si>
  <si>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</si>
  <si>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</si>
  <si>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</si>
  <si>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</si>
  <si>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</si>
  <si>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</si>
  <si>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</si>
  <si>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</si>
  <si>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</si>
  <si>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</si>
  <si>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</si>
  <si>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</si>
  <si>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</si>
  <si>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</si>
  <si>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</si>
  <si>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</si>
  <si>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</si>
  <si>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</si>
  <si>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</si>
  <si>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</si>
  <si>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</si>
  <si>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</si>
  <si>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</si>
  <si>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</si>
  <si>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</si>
  <si>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</si>
  <si>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</si>
  <si>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</si>
  <si>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</si>
  <si>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</si>
  <si>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</si>
  <si>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</si>
  <si>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</si>
  <si>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</si>
  <si>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</si>
  <si>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</si>
  <si>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</si>
  <si>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</si>
  <si>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</si>
  <si>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</si>
  <si>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</si>
  <si>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</si>
  <si>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</si>
  <si>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</si>
  <si>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</si>
  <si>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</si>
  <si>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</si>
  <si>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</si>
  <si>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</si>
  <si>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</si>
  <si>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</si>
  <si>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</si>
  <si>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</si>
  <si>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</si>
  <si>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</si>
  <si>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</si>
  <si>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</si>
  <si>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</si>
  <si>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</si>
  <si>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</si>
  <si>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</si>
  <si>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</si>
  <si>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</si>
  <si>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</si>
  <si>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</si>
  <si>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</si>
  <si>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</si>
  <si>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</si>
  <si>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</si>
  <si>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</si>
  <si>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</si>
  <si>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</si>
  <si>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</si>
  <si>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</si>
  <si>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</si>
  <si>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</si>
  <si>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</si>
  <si>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</si>
  <si>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</si>
  <si>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</si>
  <si>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</si>
  <si>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</si>
  <si>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</si>
  <si>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</si>
  <si>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</si>
  <si>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</si>
  <si>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</si>
  <si>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</si>
  <si>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</si>
  <si>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</si>
  <si>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</si>
  <si>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</si>
  <si>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</si>
  <si>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</si>
  <si>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</si>
  <si>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</si>
  <si>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</si>
  <si>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</si>
  <si>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</si>
  <si>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</si>
  <si>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</si>
  <si>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</si>
  <si>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</si>
  <si>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</si>
  <si>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</si>
  <si>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</si>
  <si>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</si>
  <si>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</si>
  <si>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</si>
  <si>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</si>
  <si>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</si>
  <si>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</si>
  <si>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</si>
  <si>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</si>
  <si>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</si>
  <si>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</si>
  <si>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</si>
  <si>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</si>
  <si>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</si>
  <si>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</si>
  <si>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</si>
  <si>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</si>
  <si>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</si>
  <si>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</si>
  <si>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</si>
  <si>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</si>
  <si>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</si>
  <si>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</si>
  <si>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</si>
  <si>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</si>
  <si>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</si>
  <si>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</si>
  <si>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</si>
  <si>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</si>
  <si>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</si>
  <si>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</si>
  <si>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</si>
  <si>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</si>
  <si>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</si>
  <si>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</si>
  <si>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</si>
  <si>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</si>
  <si>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</si>
  <si>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</si>
  <si>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</si>
  <si>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</si>
  <si>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</si>
  <si>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</si>
  <si>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</si>
  <si>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</si>
  <si>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</si>
  <si>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</si>
  <si>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</si>
  <si>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</si>
  <si>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</si>
  <si>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</si>
  <si>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</si>
  <si>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</si>
  <si>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</si>
  <si>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</si>
  <si>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</si>
  <si>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</si>
  <si>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</si>
  <si>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</si>
  <si>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</si>
  <si>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</si>
  <si>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</si>
  <si>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</si>
  <si>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</si>
  <si>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</si>
  <si>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</si>
  <si>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</si>
  <si>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</si>
  <si>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</si>
  <si>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</si>
  <si>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</si>
  <si>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</si>
  <si>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</si>
  <si>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</si>
  <si>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</si>
  <si>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</si>
  <si>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</si>
  <si>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</si>
  <si>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</si>
  <si>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</si>
  <si>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</si>
  <si>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</si>
  <si>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</si>
  <si>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</si>
  <si>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</si>
  <si>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</si>
  <si>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</si>
  <si>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</si>
  <si>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</si>
  <si>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</si>
  <si>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</si>
  <si>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</si>
  <si>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</si>
  <si>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</si>
  <si>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</si>
  <si>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</si>
  <si>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</si>
  <si>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</si>
  <si>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</si>
  <si>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</si>
  <si>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</si>
  <si>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</si>
  <si>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</si>
  <si>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</si>
  <si>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</si>
  <si>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</si>
  <si>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</si>
  <si>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</si>
  <si>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</si>
  <si>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</si>
  <si>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</si>
  <si>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</si>
  <si>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</si>
  <si>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</si>
  <si>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</si>
  <si>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</si>
  <si>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</si>
  <si>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</si>
  <si>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</si>
  <si>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</si>
  <si>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</si>
  <si>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</si>
  <si>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</si>
  <si>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</si>
  <si>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</si>
  <si>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</si>
  <si>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</si>
  <si>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</si>
  <si>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</si>
  <si>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</si>
  <si>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</si>
  <si>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</si>
  <si>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</si>
  <si>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</si>
  <si>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</si>
  <si>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</si>
  <si>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</si>
  <si>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</si>
  <si>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</si>
  <si>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</si>
  <si>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</si>
  <si>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</si>
  <si>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</si>
  <si>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</si>
  <si>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</si>
  <si>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</si>
  <si>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</si>
  <si>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</si>
  <si>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</si>
  <si>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</si>
  <si>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</si>
  <si>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</si>
  <si>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</si>
  <si>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</si>
  <si>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</si>
  <si>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</si>
  <si>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</si>
  <si>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</si>
  <si>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</si>
  <si>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</si>
  <si>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</si>
  <si>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</si>
  <si>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</si>
  <si>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</si>
  <si>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</si>
  <si>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</si>
  <si>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</si>
  <si>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</si>
  <si>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</si>
  <si>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</si>
  <si>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</si>
  <si>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</si>
  <si>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</si>
  <si>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</si>
  <si>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</si>
  <si>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</si>
  <si>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</si>
  <si>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</si>
  <si>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</si>
  <si>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</si>
  <si>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</si>
  <si>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</si>
  <si>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</si>
  <si>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</si>
  <si>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</si>
  <si>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</si>
  <si>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</si>
  <si>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</si>
  <si>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</si>
  <si>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</si>
  <si>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</si>
  <si>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</si>
  <si>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</si>
  <si>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</si>
  <si>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</si>
  <si>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</si>
  <si>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</si>
  <si>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</si>
  <si>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</si>
  <si>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</si>
  <si>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</si>
  <si>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</si>
  <si>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</si>
  <si>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</si>
  <si>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</si>
  <si>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</si>
  <si>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</si>
  <si>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</si>
  <si>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</si>
  <si>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</si>
  <si>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</si>
  <si>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</si>
  <si>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</si>
  <si>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</si>
  <si>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</si>
  <si>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</si>
  <si>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</si>
  <si>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</si>
  <si>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</si>
  <si>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</si>
  <si>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</si>
  <si>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</si>
  <si>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</si>
  <si>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</si>
  <si>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</si>
  <si>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</si>
  <si>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</si>
  <si>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</si>
  <si>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</si>
  <si>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</si>
  <si>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</si>
  <si>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</si>
  <si>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</si>
  <si>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</si>
  <si>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</si>
  <si>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</si>
  <si>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</si>
  <si>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</si>
  <si>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</si>
  <si>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</si>
  <si>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</si>
  <si>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</si>
  <si>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</si>
  <si>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</si>
  <si>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</si>
  <si>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</si>
  <si>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</si>
  <si>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</si>
  <si>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</si>
  <si>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</si>
  <si>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</si>
  <si>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</si>
  <si>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</si>
  <si>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</si>
  <si>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</si>
  <si>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</si>
  <si>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</si>
  <si>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</si>
  <si>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</si>
  <si>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</si>
  <si>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</si>
  <si>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</si>
  <si>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</si>
  <si>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</si>
  <si>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</si>
  <si>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</si>
  <si>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</si>
  <si>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</si>
  <si>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</si>
  <si>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</si>
  <si>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</si>
  <si>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</si>
  <si>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</si>
  <si>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</si>
  <si>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</si>
  <si>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</si>
  <si>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</si>
  <si>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</si>
  <si>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</si>
  <si>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</si>
  <si>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</si>
  <si>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</si>
  <si>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</si>
  <si>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</si>
  <si>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</si>
  <si>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</si>
  <si>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</si>
  <si>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</si>
  <si>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</si>
  <si>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</si>
  <si>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</si>
  <si>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</si>
  <si>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</si>
  <si>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</si>
  <si>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</si>
  <si>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</si>
  <si>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</si>
  <si>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</si>
  <si>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</si>
  <si>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</si>
  <si>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</si>
  <si>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</si>
  <si>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</si>
  <si>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</si>
  <si>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</si>
  <si>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</si>
  <si>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</si>
  <si>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</si>
  <si>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</si>
  <si>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</si>
  <si>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</si>
  <si>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</si>
  <si>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</si>
  <si>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</si>
  <si>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</si>
  <si>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</si>
  <si>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</si>
  <si>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</si>
  <si>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</si>
  <si>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</si>
  <si>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</si>
  <si>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</si>
  <si>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</si>
  <si>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</si>
  <si>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</si>
  <si>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</si>
  <si>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</si>
  <si>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</si>
  <si>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</si>
  <si>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</si>
  <si>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</si>
  <si>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</si>
  <si>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</si>
  <si>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</si>
  <si>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</si>
  <si>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</si>
  <si>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</si>
  <si>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</si>
  <si>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</si>
  <si>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</si>
  <si>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</si>
  <si>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</si>
  <si>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</si>
  <si>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</si>
  <si>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</si>
  <si>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</si>
  <si>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</si>
  <si>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</si>
  <si>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</si>
  <si>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</si>
  <si>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</si>
  <si>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</si>
  <si>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</si>
  <si>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</si>
  <si>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</si>
  <si>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</si>
  <si>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</si>
  <si>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</si>
  <si>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</si>
  <si>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</si>
  <si>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</si>
  <si>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</si>
  <si>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</si>
  <si>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</si>
  <si>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</si>
  <si>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</si>
  <si>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</si>
  <si>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</si>
  <si>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</si>
  <si>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</si>
  <si>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</si>
  <si>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</si>
  <si>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</si>
  <si>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</si>
  <si>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</si>
  <si>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</si>
  <si>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</si>
  <si>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</si>
  <si>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</si>
  <si>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</si>
  <si>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</si>
  <si>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</si>
  <si>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</si>
  <si>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</si>
  <si>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</si>
  <si>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</si>
  <si>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</si>
  <si>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</si>
  <si>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</si>
  <si>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</si>
  <si>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</si>
  <si>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</si>
  <si>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</si>
  <si>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</si>
  <si>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</si>
  <si>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</si>
  <si>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</si>
  <si>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</si>
  <si>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</si>
  <si>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</si>
  <si>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</si>
  <si>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</si>
  <si>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</si>
  <si>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</si>
  <si>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</si>
  <si>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</si>
  <si>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</si>
  <si>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</si>
  <si>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</si>
  <si>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</si>
  <si>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</si>
  <si>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</si>
  <si>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</si>
  <si>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</si>
  <si>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</si>
  <si>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</si>
  <si>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</si>
  <si>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</si>
  <si>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</si>
  <si>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</si>
  <si>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</si>
  <si>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</si>
  <si>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</si>
  <si>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</si>
  <si>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</si>
  <si>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</si>
  <si>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</si>
  <si>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</si>
  <si>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</si>
  <si>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</si>
  <si>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</si>
  <si>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</si>
  <si>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</si>
  <si>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</si>
  <si>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</si>
  <si>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</si>
  <si>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</si>
  <si>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</si>
  <si>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</si>
  <si>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</si>
  <si>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</si>
  <si>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</si>
  <si>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</si>
  <si>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</si>
  <si>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TATATECH</t>
  </si>
  <si>
    <t>IREDA</t>
  </si>
  <si>
    <t>PATANJALI</t>
  </si>
  <si>
    <t>IIFL</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</si>
  <si>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</si>
  <si>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</si>
  <si>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</si>
  <si>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</si>
  <si>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</si>
  <si>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</si>
  <si>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</si>
  <si>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</si>
  <si>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</si>
  <si>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</si>
  <si>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</si>
  <si>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</si>
  <si>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</si>
  <si>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</si>
  <si>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</si>
  <si>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</si>
  <si>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</si>
  <si>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</si>
  <si>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</si>
  <si>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SAMMAANCAP</t>
  </si>
  <si>
    <t>POWERINDIA</t>
  </si>
  <si>
    <t>INDIAVIX</t>
  </si>
  <si>
    <t>TMPV</t>
  </si>
  <si>
    <t>PREMIERENE</t>
  </si>
  <si>
    <t>BAJAJHLDNG</t>
  </si>
  <si>
    <t>WAAREEENER</t>
  </si>
  <si>
    <t>SWIGGY</t>
  </si>
  <si>
    <t>F&amp;O Market Trading Kit for 23 Jan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</si>
</sst>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1">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4" fillId="2" borderId="1"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3" fontId="4" fillId="38" borderId="1" xfId="0" applyNumberFormat="1" applyFont="1" applyFill="1" applyBorder="1" applyAlignment="1" applyProtection="1">
      <alignment horizontal="left" vertical="center"/>
    </xf>
    <xf numFmtId="3" fontId="9" fillId="0" borderId="1"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8"/>
  <sheetViews>
    <sheetView tabSelected="1" zoomScale="85" zoomScaleNormal="85" workbookViewId="0">
      <pane ySplit="10" topLeftCell="A11" activePane="bottomLeft" state="frozen"/>
      <selection activeCell="Q163" sqref="Q163"/>
      <selection pane="bottomLeft" activeCell="U18" sqref="U18"/>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33" t="s">
        <v>694</v>
      </c>
      <c r="B6" s="234"/>
      <c r="C6" s="234"/>
      <c r="D6" s="234"/>
      <c r="E6" s="234"/>
      <c r="F6" s="234"/>
      <c r="G6" s="234"/>
      <c r="H6" s="234"/>
      <c r="I6" s="234"/>
      <c r="J6" s="234"/>
      <c r="K6" s="234"/>
      <c r="L6" s="234"/>
      <c r="M6" s="234"/>
      <c r="N6" s="234"/>
      <c r="O6" s="234"/>
      <c r="P6" s="234"/>
      <c r="Q6" s="234"/>
      <c r="R6" s="234"/>
      <c r="S6" s="235"/>
    </row>
    <row r="7" spans="1:19" x14ac:dyDescent="0.25">
      <c r="A7" s="236"/>
      <c r="B7" s="237"/>
      <c r="C7" s="237"/>
      <c r="D7" s="237"/>
      <c r="E7" s="237"/>
      <c r="F7" s="237"/>
      <c r="G7" s="237"/>
      <c r="H7" s="237"/>
      <c r="I7" s="237"/>
      <c r="J7" s="237"/>
      <c r="K7" s="237"/>
      <c r="L7" s="237"/>
      <c r="M7" s="237"/>
      <c r="N7" s="237"/>
      <c r="O7" s="237"/>
      <c r="P7" s="237"/>
      <c r="Q7" s="237"/>
      <c r="R7" s="237"/>
      <c r="S7" s="238"/>
    </row>
    <row r="8" spans="1:19" s="64" customFormat="1" ht="15" customHeight="1" x14ac:dyDescent="0.25">
      <c r="A8" s="239"/>
      <c r="B8" s="2"/>
      <c r="C8" s="241" t="s">
        <v>308</v>
      </c>
      <c r="D8" s="242"/>
      <c r="E8" s="242"/>
      <c r="F8" s="242"/>
      <c r="G8" s="243"/>
      <c r="H8" s="241" t="s">
        <v>309</v>
      </c>
      <c r="I8" s="242"/>
      <c r="J8" s="242"/>
      <c r="K8" s="243"/>
      <c r="L8" s="244" t="s">
        <v>310</v>
      </c>
      <c r="M8" s="245"/>
      <c r="N8" s="245"/>
      <c r="O8" s="246"/>
      <c r="P8" s="241" t="s">
        <v>311</v>
      </c>
      <c r="Q8" s="242"/>
      <c r="R8" s="242"/>
      <c r="S8" s="243"/>
    </row>
    <row r="9" spans="1:19" s="64" customFormat="1" x14ac:dyDescent="0.25">
      <c r="A9" s="240"/>
      <c r="B9" s="2"/>
      <c r="C9" s="2" t="s">
        <v>312</v>
      </c>
      <c r="D9" s="241" t="s">
        <v>313</v>
      </c>
      <c r="E9" s="242"/>
      <c r="F9" s="242"/>
      <c r="G9" s="243"/>
      <c r="H9" s="241" t="s">
        <v>314</v>
      </c>
      <c r="I9" s="242"/>
      <c r="J9" s="242"/>
      <c r="K9" s="243"/>
      <c r="L9" s="241" t="s">
        <v>315</v>
      </c>
      <c r="M9" s="242"/>
      <c r="N9" s="242"/>
      <c r="O9" s="243"/>
      <c r="P9" s="241" t="s">
        <v>316</v>
      </c>
      <c r="Q9" s="243"/>
      <c r="R9" s="241" t="s">
        <v>317</v>
      </c>
      <c r="S9" s="243"/>
    </row>
    <row r="10" spans="1:19" s="67" customFormat="1" ht="27" customHeight="1" x14ac:dyDescent="0.25">
      <c r="A10" s="65" t="s">
        <v>318</v>
      </c>
      <c r="B10" s="65" t="s">
        <v>319</v>
      </c>
      <c r="C10" s="66">
        <f>'Data Vlaue (Cr)'!A2</f>
        <v>46044</v>
      </c>
      <c r="D10" s="66">
        <f>'Data Vlaue (Cr)'!A2</f>
        <v>46044</v>
      </c>
      <c r="E10" s="65" t="s">
        <v>322</v>
      </c>
      <c r="F10" s="65" t="s">
        <v>320</v>
      </c>
      <c r="G10" s="65" t="s">
        <v>321</v>
      </c>
      <c r="H10" s="66">
        <f>D10</f>
        <v>46044</v>
      </c>
      <c r="I10" s="65" t="s">
        <v>322</v>
      </c>
      <c r="J10" s="65" t="s">
        <v>323</v>
      </c>
      <c r="K10" s="65" t="s">
        <v>324</v>
      </c>
      <c r="L10" s="66">
        <f>D10</f>
        <v>46044</v>
      </c>
      <c r="M10" s="65" t="s">
        <v>322</v>
      </c>
      <c r="N10" s="65" t="s">
        <v>323</v>
      </c>
      <c r="O10" s="65" t="s">
        <v>324</v>
      </c>
      <c r="P10" s="66">
        <f>D10</f>
        <v>46044</v>
      </c>
      <c r="Q10" s="65" t="s">
        <v>324</v>
      </c>
      <c r="R10" s="66">
        <f>D10</f>
        <v>46044</v>
      </c>
      <c r="S10" s="65" t="s">
        <v>324</v>
      </c>
    </row>
    <row r="11" spans="1:19" x14ac:dyDescent="0.25">
      <c r="A11" s="96" t="str">
        <f>'Data Vlaue (Cr)'!C2</f>
        <v>360ONE</v>
      </c>
      <c r="B11" s="75">
        <f>VLOOKUP($A11,'Data Vlaue (Cr)'!$C:$FB,2)</f>
        <v>500</v>
      </c>
      <c r="C11" s="75">
        <f>VLOOKUP($A11,'Data Vlaue (Cr)'!$C:$FB,8)</f>
        <v>1106.3</v>
      </c>
      <c r="D11" s="75">
        <f>VLOOKUP($A11,'Data Vlaue (Cr)'!$C:$FB,4)</f>
        <v>1107.9000000000001</v>
      </c>
      <c r="E11" s="75">
        <f>VLOOKUP($A11,'Data Vlaue (Cr)'!$C:$FB,5)</f>
        <v>1099.0999999999999</v>
      </c>
      <c r="F11" s="75">
        <f>D11-C11</f>
        <v>1.6000000000001364</v>
      </c>
      <c r="G11" s="75">
        <f>(D11-E11)/D11*100</f>
        <v>0.79429551403557908</v>
      </c>
      <c r="H11" s="75">
        <f>VLOOKUP($A11,'Data Vlaue (Cr)'!$C:$FB,99)</f>
        <v>944</v>
      </c>
      <c r="I11" s="75">
        <f>VLOOKUP($A11,'Data Vlaue (Cr)'!$C:$FB,100)</f>
        <v>1038</v>
      </c>
      <c r="J11" s="75">
        <f>H11-I11</f>
        <v>-94</v>
      </c>
      <c r="K11" s="75">
        <f>J11/H11*100</f>
        <v>-9.9576271186440675</v>
      </c>
      <c r="L11" s="75">
        <f>VLOOKUP($A11,'Data Vlaue (Cr)'!$C:$FB,67)</f>
        <v>1010</v>
      </c>
      <c r="M11" s="75">
        <f>VLOOKUP($A11,'Data Vlaue (Cr)'!$C:$FB,68)</f>
        <v>1784</v>
      </c>
      <c r="N11" s="75">
        <f>L11-M11</f>
        <v>-774</v>
      </c>
      <c r="O11" s="75">
        <f>N11/L11*100</f>
        <v>-76.633663366336634</v>
      </c>
      <c r="P11" s="75">
        <f>VLOOKUP($A11,'Data Vlaue (Cr)'!$C:$FB,119)</f>
        <v>0.56999999999999995</v>
      </c>
      <c r="Q11" s="75">
        <f>VLOOKUP($A11,'Data Vlaue (Cr)'!$C:$FB,122)*100</f>
        <v>7.55</v>
      </c>
      <c r="R11" s="75">
        <f>VLOOKUP($A11,'Data Vlaue (Cr)'!$C:$FB,125)</f>
        <v>0.31</v>
      </c>
      <c r="S11" s="75">
        <f>VLOOKUP($A11,'Data Vlaue (Cr)'!$C:$FB,128)*100</f>
        <v>-51.559999999999995</v>
      </c>
    </row>
    <row r="12" spans="1:19" x14ac:dyDescent="0.25">
      <c r="A12" s="96" t="str">
        <f>'Data Vlaue (Cr)'!C3</f>
        <v>ABB</v>
      </c>
      <c r="B12" s="75">
        <f>VLOOKUP($A12,'Data Vlaue (Cr)'!$C:$FB,2)</f>
        <v>125</v>
      </c>
      <c r="C12" s="75">
        <f>VLOOKUP($A12,'Data Vlaue (Cr)'!$C:$FB,8)</f>
        <v>4755.5</v>
      </c>
      <c r="D12" s="75">
        <f>VLOOKUP($A12,'Data Vlaue (Cr)'!$C:$FB,4)</f>
        <v>4771.5</v>
      </c>
      <c r="E12" s="75">
        <f>VLOOKUP($A12,'Data Vlaue (Cr)'!$C:$FB,5)</f>
        <v>4724.5</v>
      </c>
      <c r="F12" s="75">
        <f t="shared" ref="F12:F75" si="0">D12-C12</f>
        <v>16</v>
      </c>
      <c r="G12" s="75">
        <f t="shared" ref="G12:G74" si="1">(D12-E12)/D12*100</f>
        <v>0.98501519438331764</v>
      </c>
      <c r="H12" s="75">
        <f>VLOOKUP($A12,'Data Vlaue (Cr)'!$C:$FB,99)</f>
        <v>2227</v>
      </c>
      <c r="I12" s="75">
        <f>VLOOKUP($A12,'Data Vlaue (Cr)'!$C:$FB,100)</f>
        <v>2293</v>
      </c>
      <c r="J12" s="75">
        <f t="shared" ref="J12:J75" si="2">H12-I12</f>
        <v>-66</v>
      </c>
      <c r="K12" s="75">
        <f t="shared" ref="K12:K75" si="3">J12/H12*100</f>
        <v>-2.9636281993713514</v>
      </c>
      <c r="L12" s="75">
        <f>VLOOKUP($A12,'Data Vlaue (Cr)'!$C:$FB,67)</f>
        <v>1736</v>
      </c>
      <c r="M12" s="75">
        <f>VLOOKUP($A12,'Data Vlaue (Cr)'!$C:$FB,68)</f>
        <v>2682</v>
      </c>
      <c r="N12" s="75">
        <f t="shared" ref="N12:N75" si="4">L12-M12</f>
        <v>-946</v>
      </c>
      <c r="O12" s="75">
        <f t="shared" ref="O12:O75" si="5">N12/L12*100</f>
        <v>-54.493087557603694</v>
      </c>
      <c r="P12" s="75">
        <f>VLOOKUP($A12,'Data Vlaue (Cr)'!$C:$FB,119)</f>
        <v>0.63</v>
      </c>
      <c r="Q12" s="75">
        <f>VLOOKUP($A12,'Data Vlaue (Cr)'!$C:$FB,122)*100</f>
        <v>1.6099999999999999</v>
      </c>
      <c r="R12" s="75">
        <f>VLOOKUP($A12,'Data Vlaue (Cr)'!$C:$FB,125)</f>
        <v>0.4</v>
      </c>
      <c r="S12" s="75">
        <f>VLOOKUP($A12,'Data Vlaue (Cr)'!$C:$FB,128)*100</f>
        <v>-21.57</v>
      </c>
    </row>
    <row r="13" spans="1:19" x14ac:dyDescent="0.25">
      <c r="A13" s="96" t="str">
        <f>'Data Vlaue (Cr)'!C4</f>
        <v>ABCAPITAL</v>
      </c>
      <c r="B13" s="75">
        <f>VLOOKUP($A13,'Data Vlaue (Cr)'!$C:$FB,2)</f>
        <v>3100</v>
      </c>
      <c r="C13" s="75">
        <f>VLOOKUP($A13,'Data Vlaue (Cr)'!$C:$FB,8)</f>
        <v>354.5</v>
      </c>
      <c r="D13" s="75">
        <f>VLOOKUP($A13,'Data Vlaue (Cr)'!$C:$FB,4)</f>
        <v>354.2</v>
      </c>
      <c r="E13" s="75">
        <f>VLOOKUP($A13,'Data Vlaue (Cr)'!$C:$FB,5)</f>
        <v>346.8</v>
      </c>
      <c r="F13" s="75">
        <f t="shared" si="0"/>
        <v>-0.30000000000001137</v>
      </c>
      <c r="G13" s="75">
        <f t="shared" si="1"/>
        <v>2.0892151326933872</v>
      </c>
      <c r="H13" s="75">
        <f>VLOOKUP($A13,'Data Vlaue (Cr)'!$C:$FB,99)</f>
        <v>4305</v>
      </c>
      <c r="I13" s="75">
        <f>VLOOKUP($A13,'Data Vlaue (Cr)'!$C:$FB,100)</f>
        <v>4392</v>
      </c>
      <c r="J13" s="75">
        <f t="shared" si="2"/>
        <v>-87</v>
      </c>
      <c r="K13" s="75">
        <f t="shared" si="3"/>
        <v>-2.0209059233449476</v>
      </c>
      <c r="L13" s="75">
        <f>VLOOKUP($A13,'Data Vlaue (Cr)'!$C:$FB,67)</f>
        <v>6199</v>
      </c>
      <c r="M13" s="75">
        <f>VLOOKUP($A13,'Data Vlaue (Cr)'!$C:$FB,68)</f>
        <v>6737</v>
      </c>
      <c r="N13" s="75">
        <f t="shared" si="4"/>
        <v>-538</v>
      </c>
      <c r="O13" s="75">
        <f t="shared" si="5"/>
        <v>-8.6788191643813519</v>
      </c>
      <c r="P13" s="75">
        <f>VLOOKUP($A13,'Data Vlaue (Cr)'!$C:$FB,119)</f>
        <v>0.56000000000000005</v>
      </c>
      <c r="Q13" s="75">
        <f>VLOOKUP($A13,'Data Vlaue (Cr)'!$C:$FB,122)*100</f>
        <v>9.8000000000000007</v>
      </c>
      <c r="R13" s="75">
        <f>VLOOKUP($A13,'Data Vlaue (Cr)'!$C:$FB,125)</f>
        <v>0.77</v>
      </c>
      <c r="S13" s="75">
        <f>VLOOKUP($A13,'Data Vlaue (Cr)'!$C:$FB,128)*100</f>
        <v>6.94</v>
      </c>
    </row>
    <row r="14" spans="1:19" x14ac:dyDescent="0.25">
      <c r="A14" s="96" t="str">
        <f>'Data Vlaue (Cr)'!C5</f>
        <v>ADANIENSOL</v>
      </c>
      <c r="B14" s="75">
        <f>VLOOKUP($A14,'Data Vlaue (Cr)'!$C:$FB,2)</f>
        <v>675</v>
      </c>
      <c r="C14" s="75">
        <f>VLOOKUP($A14,'Data Vlaue (Cr)'!$C:$FB,8)</f>
        <v>924.8</v>
      </c>
      <c r="D14" s="75">
        <f>VLOOKUP($A14,'Data Vlaue (Cr)'!$C:$FB,4)</f>
        <v>927</v>
      </c>
      <c r="E14" s="75">
        <f>VLOOKUP($A14,'Data Vlaue (Cr)'!$C:$FB,5)</f>
        <v>899.8</v>
      </c>
      <c r="F14" s="75">
        <f t="shared" si="0"/>
        <v>2.2000000000000455</v>
      </c>
      <c r="G14" s="75">
        <f t="shared" si="1"/>
        <v>2.9341963322545896</v>
      </c>
      <c r="H14" s="75">
        <f>VLOOKUP($A14,'Data Vlaue (Cr)'!$C:$FB,99)</f>
        <v>2709</v>
      </c>
      <c r="I14" s="75">
        <f>VLOOKUP($A14,'Data Vlaue (Cr)'!$C:$FB,100)</f>
        <v>2658</v>
      </c>
      <c r="J14" s="75">
        <f t="shared" si="2"/>
        <v>51</v>
      </c>
      <c r="K14" s="75">
        <f t="shared" si="3"/>
        <v>1.8826135105204873</v>
      </c>
      <c r="L14" s="75">
        <f>VLOOKUP($A14,'Data Vlaue (Cr)'!$C:$FB,67)</f>
        <v>2869</v>
      </c>
      <c r="M14" s="75">
        <f>VLOOKUP($A14,'Data Vlaue (Cr)'!$C:$FB,68)</f>
        <v>2344</v>
      </c>
      <c r="N14" s="75">
        <f t="shared" si="4"/>
        <v>525</v>
      </c>
      <c r="O14" s="75">
        <f>N14/L14*100</f>
        <v>18.299058905542001</v>
      </c>
      <c r="P14" s="75">
        <f>VLOOKUP($A14,'Data Vlaue (Cr)'!$C:$FB,119)</f>
        <v>0.6</v>
      </c>
      <c r="Q14" s="75">
        <f>VLOOKUP($A14,'Data Vlaue (Cr)'!$C:$FB,122)*100</f>
        <v>17.649999999999999</v>
      </c>
      <c r="R14" s="75">
        <f>VLOOKUP($A14,'Data Vlaue (Cr)'!$C:$FB,125)</f>
        <v>0.45</v>
      </c>
      <c r="S14" s="75">
        <f>VLOOKUP($A14,'Data Vlaue (Cr)'!$C:$FB,128)*100</f>
        <v>2.27</v>
      </c>
    </row>
    <row r="15" spans="1:19" x14ac:dyDescent="0.25">
      <c r="A15" s="96" t="str">
        <f>'Data Vlaue (Cr)'!C6</f>
        <v>ADANIENT</v>
      </c>
      <c r="B15" s="75">
        <f>VLOOKUP($A15,'Data Vlaue (Cr)'!$C:$FB,2)</f>
        <v>309</v>
      </c>
      <c r="C15" s="75">
        <f>VLOOKUP($A15,'Data Vlaue (Cr)'!$C:$FB,8)</f>
        <v>2086.4</v>
      </c>
      <c r="D15" s="75">
        <f>VLOOKUP($A15,'Data Vlaue (Cr)'!$C:$FB,4)</f>
        <v>2087.1999999999998</v>
      </c>
      <c r="E15" s="75">
        <f>VLOOKUP($A15,'Data Vlaue (Cr)'!$C:$FB,5)</f>
        <v>2035.1</v>
      </c>
      <c r="F15" s="75">
        <f t="shared" si="0"/>
        <v>0.79999999999972715</v>
      </c>
      <c r="G15" s="75">
        <f t="shared" si="1"/>
        <v>2.496167113836715</v>
      </c>
      <c r="H15" s="75">
        <f>VLOOKUP($A15,'Data Vlaue (Cr)'!$C:$FB,99)</f>
        <v>8010</v>
      </c>
      <c r="I15" s="75">
        <f>VLOOKUP($A15,'Data Vlaue (Cr)'!$C:$FB,100)</f>
        <v>8159</v>
      </c>
      <c r="J15" s="75">
        <f t="shared" si="2"/>
        <v>-149</v>
      </c>
      <c r="K15" s="75">
        <f t="shared" si="3"/>
        <v>-1.860174781523096</v>
      </c>
      <c r="L15" s="75">
        <f>VLOOKUP($A15,'Data Vlaue (Cr)'!$C:$FB,67)</f>
        <v>8187</v>
      </c>
      <c r="M15" s="75">
        <f>VLOOKUP($A15,'Data Vlaue (Cr)'!$C:$FB,68)</f>
        <v>8604</v>
      </c>
      <c r="N15" s="75">
        <f t="shared" si="4"/>
        <v>-417</v>
      </c>
      <c r="O15" s="75">
        <f t="shared" si="5"/>
        <v>-5.0934408208134849</v>
      </c>
      <c r="P15" s="75">
        <f>VLOOKUP($A15,'Data Vlaue (Cr)'!$C:$FB,119)</f>
        <v>0.78</v>
      </c>
      <c r="Q15" s="75">
        <f>VLOOKUP($A15,'Data Vlaue (Cr)'!$C:$FB,122)*100</f>
        <v>6.8500000000000005</v>
      </c>
      <c r="R15" s="75">
        <f>VLOOKUP($A15,'Data Vlaue (Cr)'!$C:$FB,125)</f>
        <v>0.46</v>
      </c>
      <c r="S15" s="75">
        <f>VLOOKUP($A15,'Data Vlaue (Cr)'!$C:$FB,128)*100</f>
        <v>-11.540000000000001</v>
      </c>
    </row>
    <row r="16" spans="1:19" x14ac:dyDescent="0.25">
      <c r="A16" s="96" t="str">
        <f>'Data Vlaue (Cr)'!C7</f>
        <v>ADANIGREEN</v>
      </c>
      <c r="B16" s="75">
        <f>VLOOKUP($A16,'Data Vlaue (Cr)'!$C:$FB,2)</f>
        <v>600</v>
      </c>
      <c r="C16" s="75">
        <f>VLOOKUP($A16,'Data Vlaue (Cr)'!$C:$FB,8)</f>
        <v>904.3</v>
      </c>
      <c r="D16" s="75">
        <f>VLOOKUP($A16,'Data Vlaue (Cr)'!$C:$FB,4)</f>
        <v>904.2</v>
      </c>
      <c r="E16" s="75">
        <f>VLOOKUP($A16,'Data Vlaue (Cr)'!$C:$FB,5)</f>
        <v>880.8</v>
      </c>
      <c r="F16" s="75">
        <f t="shared" si="0"/>
        <v>-9.9999999999909051E-2</v>
      </c>
      <c r="G16" s="75">
        <f t="shared" si="1"/>
        <v>2.5879230258792401</v>
      </c>
      <c r="H16" s="75">
        <f>VLOOKUP($A16,'Data Vlaue (Cr)'!$C:$FB,99)</f>
        <v>3411</v>
      </c>
      <c r="I16" s="75">
        <f>VLOOKUP($A16,'Data Vlaue (Cr)'!$C:$FB,100)</f>
        <v>3408</v>
      </c>
      <c r="J16" s="75">
        <f t="shared" si="2"/>
        <v>3</v>
      </c>
      <c r="K16" s="75">
        <f t="shared" si="3"/>
        <v>8.7950747581354446E-2</v>
      </c>
      <c r="L16" s="75">
        <f>VLOOKUP($A16,'Data Vlaue (Cr)'!$C:$FB,67)</f>
        <v>2958</v>
      </c>
      <c r="M16" s="75">
        <f>VLOOKUP($A16,'Data Vlaue (Cr)'!$C:$FB,68)</f>
        <v>2439</v>
      </c>
      <c r="N16" s="75">
        <f t="shared" si="4"/>
        <v>519</v>
      </c>
      <c r="O16" s="75">
        <f t="shared" si="5"/>
        <v>17.545638945233264</v>
      </c>
      <c r="P16" s="75">
        <f>VLOOKUP($A16,'Data Vlaue (Cr)'!$C:$FB,119)</f>
        <v>0.57999999999999996</v>
      </c>
      <c r="Q16" s="75">
        <f>VLOOKUP($A16,'Data Vlaue (Cr)'!$C:$FB,122)*100</f>
        <v>-1.69</v>
      </c>
      <c r="R16" s="75">
        <f>VLOOKUP($A16,'Data Vlaue (Cr)'!$C:$FB,125)</f>
        <v>0.32</v>
      </c>
      <c r="S16" s="75">
        <f>VLOOKUP($A16,'Data Vlaue (Cr)'!$C:$FB,128)*100</f>
        <v>-23.810000000000002</v>
      </c>
    </row>
    <row r="17" spans="1:19" x14ac:dyDescent="0.25">
      <c r="A17" s="96" t="str">
        <f>'Data Vlaue (Cr)'!C8</f>
        <v>ADANIPORTS</v>
      </c>
      <c r="B17" s="75">
        <f>VLOOKUP($A17,'Data Vlaue (Cr)'!$C:$FB,2)</f>
        <v>475</v>
      </c>
      <c r="C17" s="75">
        <f>VLOOKUP($A17,'Data Vlaue (Cr)'!$C:$FB,8)</f>
        <v>1414.2</v>
      </c>
      <c r="D17" s="75">
        <f>VLOOKUP($A17,'Data Vlaue (Cr)'!$C:$FB,4)</f>
        <v>1416</v>
      </c>
      <c r="E17" s="75">
        <f>VLOOKUP($A17,'Data Vlaue (Cr)'!$C:$FB,5)</f>
        <v>1377.4</v>
      </c>
      <c r="F17" s="75">
        <f t="shared" si="0"/>
        <v>1.7999999999999545</v>
      </c>
      <c r="G17" s="75">
        <f t="shared" si="1"/>
        <v>2.7259887005649652</v>
      </c>
      <c r="H17" s="75">
        <f>VLOOKUP($A17,'Data Vlaue (Cr)'!$C:$FB,99)</f>
        <v>5888</v>
      </c>
      <c r="I17" s="75">
        <f>VLOOKUP($A17,'Data Vlaue (Cr)'!$C:$FB,100)</f>
        <v>5879</v>
      </c>
      <c r="J17" s="75">
        <f t="shared" si="2"/>
        <v>9</v>
      </c>
      <c r="K17" s="75">
        <f t="shared" si="3"/>
        <v>0.15285326086956522</v>
      </c>
      <c r="L17" s="75">
        <f>VLOOKUP($A17,'Data Vlaue (Cr)'!$C:$FB,67)</f>
        <v>6925</v>
      </c>
      <c r="M17" s="75">
        <f>VLOOKUP($A17,'Data Vlaue (Cr)'!$C:$FB,68)</f>
        <v>5018</v>
      </c>
      <c r="N17" s="75">
        <f t="shared" si="4"/>
        <v>1907</v>
      </c>
      <c r="O17" s="75">
        <f t="shared" si="5"/>
        <v>27.537906137184116</v>
      </c>
      <c r="P17" s="75">
        <f>VLOOKUP($A17,'Data Vlaue (Cr)'!$C:$FB,119)</f>
        <v>0.68</v>
      </c>
      <c r="Q17" s="75">
        <f>VLOOKUP($A17,'Data Vlaue (Cr)'!$C:$FB,122)*100</f>
        <v>7.9399999999999995</v>
      </c>
      <c r="R17" s="75">
        <f>VLOOKUP($A17,'Data Vlaue (Cr)'!$C:$FB,125)</f>
        <v>0.65</v>
      </c>
      <c r="S17" s="75">
        <f>VLOOKUP($A17,'Data Vlaue (Cr)'!$C:$FB,128)*100</f>
        <v>-15.58</v>
      </c>
    </row>
    <row r="18" spans="1:19" x14ac:dyDescent="0.25">
      <c r="A18" s="96" t="str">
        <f>'Data Vlaue (Cr)'!C9</f>
        <v>ALKEM</v>
      </c>
      <c r="B18" s="75">
        <f>VLOOKUP($A18,'Data Vlaue (Cr)'!$C:$FB,2)</f>
        <v>125</v>
      </c>
      <c r="C18" s="75">
        <f>VLOOKUP($A18,'Data Vlaue (Cr)'!$C:$FB,8)</f>
        <v>5758.5</v>
      </c>
      <c r="D18" s="75">
        <f>VLOOKUP($A18,'Data Vlaue (Cr)'!$C:$FB,4)</f>
        <v>5754</v>
      </c>
      <c r="E18" s="75">
        <f>VLOOKUP($A18,'Data Vlaue (Cr)'!$C:$FB,5)</f>
        <v>5650</v>
      </c>
      <c r="F18" s="75">
        <f t="shared" si="0"/>
        <v>-4.5</v>
      </c>
      <c r="G18" s="75">
        <f t="shared" si="1"/>
        <v>1.8074383037886685</v>
      </c>
      <c r="H18" s="75">
        <f>VLOOKUP($A18,'Data Vlaue (Cr)'!$C:$FB,99)</f>
        <v>1141</v>
      </c>
      <c r="I18" s="75">
        <f>VLOOKUP($A18,'Data Vlaue (Cr)'!$C:$FB,100)</f>
        <v>1138</v>
      </c>
      <c r="J18" s="75">
        <f t="shared" si="2"/>
        <v>3</v>
      </c>
      <c r="K18" s="75">
        <f t="shared" si="3"/>
        <v>0.26292725679228746</v>
      </c>
      <c r="L18" s="75">
        <f>VLOOKUP($A18,'Data Vlaue (Cr)'!$C:$FB,67)</f>
        <v>1289</v>
      </c>
      <c r="M18" s="75">
        <f>VLOOKUP($A18,'Data Vlaue (Cr)'!$C:$FB,68)</f>
        <v>1001</v>
      </c>
      <c r="N18" s="75">
        <f t="shared" si="4"/>
        <v>288</v>
      </c>
      <c r="O18" s="75">
        <f t="shared" si="5"/>
        <v>22.342901474010862</v>
      </c>
      <c r="P18" s="75">
        <f>VLOOKUP($A18,'Data Vlaue (Cr)'!$C:$FB,119)</f>
        <v>0.51</v>
      </c>
      <c r="Q18" s="75">
        <f>VLOOKUP($A18,'Data Vlaue (Cr)'!$C:$FB,122)*100</f>
        <v>15.909999999999998</v>
      </c>
      <c r="R18" s="75">
        <f>VLOOKUP($A18,'Data Vlaue (Cr)'!$C:$FB,125)</f>
        <v>0.46</v>
      </c>
      <c r="S18" s="75">
        <f>VLOOKUP($A18,'Data Vlaue (Cr)'!$C:$FB,128)*100</f>
        <v>-23.330000000000002</v>
      </c>
    </row>
    <row r="19" spans="1:19" x14ac:dyDescent="0.25">
      <c r="A19" s="96" t="str">
        <f>'Data Vlaue (Cr)'!C10</f>
        <v>AMBER</v>
      </c>
      <c r="B19" s="75">
        <f>VLOOKUP($A19,'Data Vlaue (Cr)'!$C:$FB,2)</f>
        <v>100</v>
      </c>
      <c r="C19" s="75">
        <f>VLOOKUP($A19,'Data Vlaue (Cr)'!$C:$FB,8)</f>
        <v>5732</v>
      </c>
      <c r="D19" s="75">
        <f>VLOOKUP($A19,'Data Vlaue (Cr)'!$C:$FB,4)</f>
        <v>5751.5</v>
      </c>
      <c r="E19" s="75">
        <f>VLOOKUP($A19,'Data Vlaue (Cr)'!$C:$FB,5)</f>
        <v>5809.5</v>
      </c>
      <c r="F19" s="75">
        <f t="shared" si="0"/>
        <v>19.5</v>
      </c>
      <c r="G19" s="75">
        <f t="shared" si="1"/>
        <v>-1.0084325828044858</v>
      </c>
      <c r="H19" s="75">
        <f>VLOOKUP($A19,'Data Vlaue (Cr)'!$C:$FB,99)</f>
        <v>1230</v>
      </c>
      <c r="I19" s="75">
        <f>VLOOKUP($A19,'Data Vlaue (Cr)'!$C:$FB,100)</f>
        <v>1265</v>
      </c>
      <c r="J19" s="75">
        <f t="shared" si="2"/>
        <v>-35</v>
      </c>
      <c r="K19" s="75">
        <f t="shared" si="3"/>
        <v>-2.8455284552845526</v>
      </c>
      <c r="L19" s="75">
        <f>VLOOKUP($A19,'Data Vlaue (Cr)'!$C:$FB,67)</f>
        <v>1526</v>
      </c>
      <c r="M19" s="75">
        <f>VLOOKUP($A19,'Data Vlaue (Cr)'!$C:$FB,68)</f>
        <v>1916</v>
      </c>
      <c r="N19" s="75">
        <f t="shared" si="4"/>
        <v>-390</v>
      </c>
      <c r="O19" s="75">
        <f t="shared" si="5"/>
        <v>-25.557011795543904</v>
      </c>
      <c r="P19" s="75">
        <f>VLOOKUP($A19,'Data Vlaue (Cr)'!$C:$FB,119)</f>
        <v>0.46</v>
      </c>
      <c r="Q19" s="75">
        <f>VLOOKUP($A19,'Data Vlaue (Cr)'!$C:$FB,122)*100</f>
        <v>-9.8000000000000007</v>
      </c>
      <c r="R19" s="75">
        <f>VLOOKUP($A19,'Data Vlaue (Cr)'!$C:$FB,125)</f>
        <v>1.37</v>
      </c>
      <c r="S19" s="75">
        <f>VLOOKUP($A19,'Data Vlaue (Cr)'!$C:$FB,128)*100</f>
        <v>120.97</v>
      </c>
    </row>
    <row r="20" spans="1:19" x14ac:dyDescent="0.25">
      <c r="A20" s="96" t="str">
        <f>'Data Vlaue (Cr)'!C11</f>
        <v>AMBUJACEM</v>
      </c>
      <c r="B20" s="75">
        <f>VLOOKUP($A20,'Data Vlaue (Cr)'!$C:$FB,2)</f>
        <v>1050</v>
      </c>
      <c r="C20" s="75">
        <f>VLOOKUP($A20,'Data Vlaue (Cr)'!$C:$FB,8)</f>
        <v>546.6</v>
      </c>
      <c r="D20" s="75">
        <f>VLOOKUP($A20,'Data Vlaue (Cr)'!$C:$FB,4)</f>
        <v>546.45000000000005</v>
      </c>
      <c r="E20" s="75">
        <f>VLOOKUP($A20,'Data Vlaue (Cr)'!$C:$FB,5)</f>
        <v>538.04999999999995</v>
      </c>
      <c r="F20" s="75">
        <f t="shared" si="0"/>
        <v>-0.14999999999997726</v>
      </c>
      <c r="G20" s="75">
        <f t="shared" si="1"/>
        <v>1.5371946198188471</v>
      </c>
      <c r="H20" s="75">
        <f>VLOOKUP($A20,'Data Vlaue (Cr)'!$C:$FB,99)</f>
        <v>4174</v>
      </c>
      <c r="I20" s="75">
        <f>VLOOKUP($A20,'Data Vlaue (Cr)'!$C:$FB,100)</f>
        <v>4239</v>
      </c>
      <c r="J20" s="75">
        <f t="shared" si="2"/>
        <v>-65</v>
      </c>
      <c r="K20" s="75">
        <f t="shared" si="3"/>
        <v>-1.5572592237661715</v>
      </c>
      <c r="L20" s="75">
        <f>VLOOKUP($A20,'Data Vlaue (Cr)'!$C:$FB,67)</f>
        <v>2255</v>
      </c>
      <c r="M20" s="75">
        <f>VLOOKUP($A20,'Data Vlaue (Cr)'!$C:$FB,68)</f>
        <v>2893</v>
      </c>
      <c r="N20" s="75">
        <f t="shared" si="4"/>
        <v>-638</v>
      </c>
      <c r="O20" s="75">
        <f t="shared" si="5"/>
        <v>-28.292682926829265</v>
      </c>
      <c r="P20" s="75">
        <f>VLOOKUP($A20,'Data Vlaue (Cr)'!$C:$FB,119)</f>
        <v>0.83</v>
      </c>
      <c r="Q20" s="75">
        <f>VLOOKUP($A20,'Data Vlaue (Cr)'!$C:$FB,122)*100</f>
        <v>3.75</v>
      </c>
      <c r="R20" s="75">
        <f>VLOOKUP($A20,'Data Vlaue (Cr)'!$C:$FB,125)</f>
        <v>0.56999999999999995</v>
      </c>
      <c r="S20" s="75">
        <f>VLOOKUP($A20,'Data Vlaue (Cr)'!$C:$FB,128)*100</f>
        <v>29.549999999999997</v>
      </c>
    </row>
    <row r="21" spans="1:19" x14ac:dyDescent="0.25">
      <c r="A21" s="96" t="str">
        <f>'Data Vlaue (Cr)'!C12</f>
        <v>ANGELONE</v>
      </c>
      <c r="B21" s="75">
        <f>VLOOKUP($A21,'Data Vlaue (Cr)'!$C:$FB,2)</f>
        <v>250</v>
      </c>
      <c r="C21" s="75">
        <f>VLOOKUP($A21,'Data Vlaue (Cr)'!$C:$FB,8)</f>
        <v>2566.6</v>
      </c>
      <c r="D21" s="75">
        <f>VLOOKUP($A21,'Data Vlaue (Cr)'!$C:$FB,4)</f>
        <v>2570.1</v>
      </c>
      <c r="E21" s="75">
        <f>VLOOKUP($A21,'Data Vlaue (Cr)'!$C:$FB,5)</f>
        <v>2536.9</v>
      </c>
      <c r="F21" s="75">
        <f t="shared" si="0"/>
        <v>3.5</v>
      </c>
      <c r="G21" s="75">
        <f t="shared" si="1"/>
        <v>1.2917785300182802</v>
      </c>
      <c r="H21" s="75">
        <f>VLOOKUP($A21,'Data Vlaue (Cr)'!$C:$FB,99)</f>
        <v>2416</v>
      </c>
      <c r="I21" s="75">
        <f>VLOOKUP($A21,'Data Vlaue (Cr)'!$C:$FB,100)</f>
        <v>2589</v>
      </c>
      <c r="J21" s="75">
        <f t="shared" si="2"/>
        <v>-173</v>
      </c>
      <c r="K21" s="75">
        <f t="shared" si="3"/>
        <v>-7.160596026490067</v>
      </c>
      <c r="L21" s="75">
        <f>VLOOKUP($A21,'Data Vlaue (Cr)'!$C:$FB,67)</f>
        <v>3956</v>
      </c>
      <c r="M21" s="75">
        <f>VLOOKUP($A21,'Data Vlaue (Cr)'!$C:$FB,68)</f>
        <v>5504</v>
      </c>
      <c r="N21" s="75">
        <f t="shared" si="4"/>
        <v>-1548</v>
      </c>
      <c r="O21" s="75">
        <f t="shared" si="5"/>
        <v>-39.130434782608695</v>
      </c>
      <c r="P21" s="75">
        <f>VLOOKUP($A21,'Data Vlaue (Cr)'!$C:$FB,119)</f>
        <v>0.68</v>
      </c>
      <c r="Q21" s="75">
        <f>VLOOKUP($A21,'Data Vlaue (Cr)'!$C:$FB,122)*100</f>
        <v>-9.33</v>
      </c>
      <c r="R21" s="75">
        <f>VLOOKUP($A21,'Data Vlaue (Cr)'!$C:$FB,125)</f>
        <v>0.54</v>
      </c>
      <c r="S21" s="75">
        <f>VLOOKUP($A21,'Data Vlaue (Cr)'!$C:$FB,128)*100</f>
        <v>-43.75</v>
      </c>
    </row>
    <row r="22" spans="1:19" x14ac:dyDescent="0.25">
      <c r="A22" s="96" t="str">
        <f>'Data Vlaue (Cr)'!C13</f>
        <v>APLAPOLLO</v>
      </c>
      <c r="B22" s="75">
        <f>VLOOKUP($A22,'Data Vlaue (Cr)'!$C:$FB,2)</f>
        <v>350</v>
      </c>
      <c r="C22" s="75">
        <f>VLOOKUP($A22,'Data Vlaue (Cr)'!$C:$FB,8)</f>
        <v>1976</v>
      </c>
      <c r="D22" s="75">
        <f>VLOOKUP($A22,'Data Vlaue (Cr)'!$C:$FB,4)</f>
        <v>1982</v>
      </c>
      <c r="E22" s="75">
        <f>VLOOKUP($A22,'Data Vlaue (Cr)'!$C:$FB,5)</f>
        <v>1884.3</v>
      </c>
      <c r="F22" s="75">
        <f t="shared" si="0"/>
        <v>6</v>
      </c>
      <c r="G22" s="75">
        <f t="shared" si="1"/>
        <v>4.9293642785065614</v>
      </c>
      <c r="H22" s="75">
        <f>VLOOKUP($A22,'Data Vlaue (Cr)'!$C:$FB,99)</f>
        <v>3002</v>
      </c>
      <c r="I22" s="75">
        <f>VLOOKUP($A22,'Data Vlaue (Cr)'!$C:$FB,100)</f>
        <v>2794</v>
      </c>
      <c r="J22" s="75">
        <f t="shared" si="2"/>
        <v>208</v>
      </c>
      <c r="K22" s="75">
        <f t="shared" si="3"/>
        <v>6.9287141905396403</v>
      </c>
      <c r="L22" s="75">
        <f>VLOOKUP($A22,'Data Vlaue (Cr)'!$C:$FB,67)</f>
        <v>4340</v>
      </c>
      <c r="M22" s="75">
        <f>VLOOKUP($A22,'Data Vlaue (Cr)'!$C:$FB,68)</f>
        <v>1632</v>
      </c>
      <c r="N22" s="75">
        <f t="shared" si="4"/>
        <v>2708</v>
      </c>
      <c r="O22" s="75">
        <f t="shared" si="5"/>
        <v>62.396313364055302</v>
      </c>
      <c r="P22" s="75">
        <f>VLOOKUP($A22,'Data Vlaue (Cr)'!$C:$FB,119)</f>
        <v>0.6</v>
      </c>
      <c r="Q22" s="75">
        <f>VLOOKUP($A22,'Data Vlaue (Cr)'!$C:$FB,122)*100</f>
        <v>9.09</v>
      </c>
      <c r="R22" s="75">
        <f>VLOOKUP($A22,'Data Vlaue (Cr)'!$C:$FB,125)</f>
        <v>0.35</v>
      </c>
      <c r="S22" s="75">
        <f>VLOOKUP($A22,'Data Vlaue (Cr)'!$C:$FB,128)*100</f>
        <v>-46.97</v>
      </c>
    </row>
    <row r="23" spans="1:19" x14ac:dyDescent="0.25">
      <c r="A23" s="96" t="str">
        <f>'Data Vlaue (Cr)'!C14</f>
        <v>APOLLOHOSP</v>
      </c>
      <c r="B23" s="75">
        <f>VLOOKUP($A23,'Data Vlaue (Cr)'!$C:$FB,2)</f>
        <v>125</v>
      </c>
      <c r="C23" s="75">
        <f>VLOOKUP($A23,'Data Vlaue (Cr)'!$C:$FB,8)</f>
        <v>6797</v>
      </c>
      <c r="D23" s="75">
        <f>VLOOKUP($A23,'Data Vlaue (Cr)'!$C:$FB,4)</f>
        <v>6812.5</v>
      </c>
      <c r="E23" s="75">
        <f>VLOOKUP($A23,'Data Vlaue (Cr)'!$C:$FB,5)</f>
        <v>6835</v>
      </c>
      <c r="F23" s="75">
        <f t="shared" si="0"/>
        <v>15.5</v>
      </c>
      <c r="G23" s="75">
        <f t="shared" si="1"/>
        <v>-0.33027522935779818</v>
      </c>
      <c r="H23" s="75">
        <f>VLOOKUP($A23,'Data Vlaue (Cr)'!$C:$FB,99)</f>
        <v>4829</v>
      </c>
      <c r="I23" s="75">
        <f>VLOOKUP($A23,'Data Vlaue (Cr)'!$C:$FB,100)</f>
        <v>4424</v>
      </c>
      <c r="J23" s="75">
        <f t="shared" si="2"/>
        <v>405</v>
      </c>
      <c r="K23" s="75">
        <f t="shared" si="3"/>
        <v>8.3868295713398222</v>
      </c>
      <c r="L23" s="75">
        <f>VLOOKUP($A23,'Data Vlaue (Cr)'!$C:$FB,67)</f>
        <v>5837</v>
      </c>
      <c r="M23" s="75">
        <f>VLOOKUP($A23,'Data Vlaue (Cr)'!$C:$FB,68)</f>
        <v>6189</v>
      </c>
      <c r="N23" s="75">
        <f t="shared" si="4"/>
        <v>-352</v>
      </c>
      <c r="O23" s="75">
        <f t="shared" si="5"/>
        <v>-6.0304951173548051</v>
      </c>
      <c r="P23" s="75">
        <f>VLOOKUP($A23,'Data Vlaue (Cr)'!$C:$FB,119)</f>
        <v>0.55000000000000004</v>
      </c>
      <c r="Q23" s="75">
        <f>VLOOKUP($A23,'Data Vlaue (Cr)'!$C:$FB,122)*100</f>
        <v>-5.17</v>
      </c>
      <c r="R23" s="75">
        <f>VLOOKUP($A23,'Data Vlaue (Cr)'!$C:$FB,125)</f>
        <v>0.36</v>
      </c>
      <c r="S23" s="75">
        <f>VLOOKUP($A23,'Data Vlaue (Cr)'!$C:$FB,128)*100</f>
        <v>-26.529999999999998</v>
      </c>
    </row>
    <row r="24" spans="1:19" x14ac:dyDescent="0.25">
      <c r="A24" s="96" t="str">
        <f>'Data Vlaue (Cr)'!C15</f>
        <v>ASHOKLEY</v>
      </c>
      <c r="B24" s="75">
        <f>VLOOKUP($A24,'Data Vlaue (Cr)'!$C:$FB,2)</f>
        <v>5000</v>
      </c>
      <c r="C24" s="75">
        <f>VLOOKUP($A24,'Data Vlaue (Cr)'!$C:$FB,8)</f>
        <v>190.28</v>
      </c>
      <c r="D24" s="75">
        <f>VLOOKUP($A24,'Data Vlaue (Cr)'!$C:$FB,4)</f>
        <v>190.94</v>
      </c>
      <c r="E24" s="75">
        <f>VLOOKUP($A24,'Data Vlaue (Cr)'!$C:$FB,5)</f>
        <v>181.81</v>
      </c>
      <c r="F24" s="75">
        <f t="shared" si="0"/>
        <v>0.65999999999999659</v>
      </c>
      <c r="G24" s="75">
        <f t="shared" si="1"/>
        <v>4.7816067874725015</v>
      </c>
      <c r="H24" s="75">
        <f>VLOOKUP($A24,'Data Vlaue (Cr)'!$C:$FB,99)</f>
        <v>5476</v>
      </c>
      <c r="I24" s="75">
        <f>VLOOKUP($A24,'Data Vlaue (Cr)'!$C:$FB,100)</f>
        <v>6009</v>
      </c>
      <c r="J24" s="75">
        <f t="shared" si="2"/>
        <v>-533</v>
      </c>
      <c r="K24" s="75">
        <f t="shared" si="3"/>
        <v>-9.7333820306793282</v>
      </c>
      <c r="L24" s="75">
        <f>VLOOKUP($A24,'Data Vlaue (Cr)'!$C:$FB,67)</f>
        <v>10735</v>
      </c>
      <c r="M24" s="75">
        <f>VLOOKUP($A24,'Data Vlaue (Cr)'!$C:$FB,68)</f>
        <v>7442</v>
      </c>
      <c r="N24" s="75">
        <f t="shared" si="4"/>
        <v>3293</v>
      </c>
      <c r="O24" s="75">
        <f t="shared" si="5"/>
        <v>30.675360968793662</v>
      </c>
      <c r="P24" s="75">
        <f>VLOOKUP($A24,'Data Vlaue (Cr)'!$C:$FB,119)</f>
        <v>0.76</v>
      </c>
      <c r="Q24" s="75">
        <f>VLOOKUP($A24,'Data Vlaue (Cr)'!$C:$FB,122)*100</f>
        <v>40.739999999999995</v>
      </c>
      <c r="R24" s="75">
        <f>VLOOKUP($A24,'Data Vlaue (Cr)'!$C:$FB,125)</f>
        <v>0.48</v>
      </c>
      <c r="S24" s="75">
        <f>VLOOKUP($A24,'Data Vlaue (Cr)'!$C:$FB,128)*100</f>
        <v>-26.150000000000002</v>
      </c>
    </row>
    <row r="25" spans="1:19" x14ac:dyDescent="0.25">
      <c r="A25" s="96" t="str">
        <f>'Data Vlaue (Cr)'!C16</f>
        <v>ASIANPAINT</v>
      </c>
      <c r="B25" s="75">
        <f>VLOOKUP($A25,'Data Vlaue (Cr)'!$C:$FB,2)</f>
        <v>250</v>
      </c>
      <c r="C25" s="75">
        <f>VLOOKUP($A25,'Data Vlaue (Cr)'!$C:$FB,8)</f>
        <v>2703.8</v>
      </c>
      <c r="D25" s="75">
        <f>VLOOKUP($A25,'Data Vlaue (Cr)'!$C:$FB,4)</f>
        <v>2705.2</v>
      </c>
      <c r="E25" s="75">
        <f>VLOOKUP($A25,'Data Vlaue (Cr)'!$C:$FB,5)</f>
        <v>2664.5</v>
      </c>
      <c r="F25" s="75">
        <f t="shared" si="0"/>
        <v>1.3999999999996362</v>
      </c>
      <c r="G25" s="75">
        <f t="shared" si="1"/>
        <v>1.5045098329143805</v>
      </c>
      <c r="H25" s="75">
        <f>VLOOKUP($A25,'Data Vlaue (Cr)'!$C:$FB,99)</f>
        <v>5849</v>
      </c>
      <c r="I25" s="75">
        <f>VLOOKUP($A25,'Data Vlaue (Cr)'!$C:$FB,100)</f>
        <v>5822</v>
      </c>
      <c r="J25" s="75">
        <f t="shared" si="2"/>
        <v>27</v>
      </c>
      <c r="K25" s="75">
        <f t="shared" si="3"/>
        <v>0.46161737049068219</v>
      </c>
      <c r="L25" s="75">
        <f>VLOOKUP($A25,'Data Vlaue (Cr)'!$C:$FB,67)</f>
        <v>7543</v>
      </c>
      <c r="M25" s="75">
        <f>VLOOKUP($A25,'Data Vlaue (Cr)'!$C:$FB,68)</f>
        <v>6037</v>
      </c>
      <c r="N25" s="75">
        <f t="shared" si="4"/>
        <v>1506</v>
      </c>
      <c r="O25" s="75">
        <f t="shared" si="5"/>
        <v>19.965530955853108</v>
      </c>
      <c r="P25" s="75">
        <f>VLOOKUP($A25,'Data Vlaue (Cr)'!$C:$FB,119)</f>
        <v>0.71</v>
      </c>
      <c r="Q25" s="75">
        <f>VLOOKUP($A25,'Data Vlaue (Cr)'!$C:$FB,122)*100</f>
        <v>5.9700000000000006</v>
      </c>
      <c r="R25" s="75">
        <f>VLOOKUP($A25,'Data Vlaue (Cr)'!$C:$FB,125)</f>
        <v>0.8</v>
      </c>
      <c r="S25" s="75">
        <f>VLOOKUP($A25,'Data Vlaue (Cr)'!$C:$FB,128)*100</f>
        <v>-3.61</v>
      </c>
    </row>
    <row r="26" spans="1:19" x14ac:dyDescent="0.25">
      <c r="A26" s="96" t="str">
        <f>'Data Vlaue (Cr)'!C17</f>
        <v>ASTRAL</v>
      </c>
      <c r="B26" s="75">
        <f>VLOOKUP($A26,'Data Vlaue (Cr)'!$C:$FB,2)</f>
        <v>425</v>
      </c>
      <c r="C26" s="75">
        <f>VLOOKUP($A26,'Data Vlaue (Cr)'!$C:$FB,8)</f>
        <v>1413.2</v>
      </c>
      <c r="D26" s="75">
        <f>VLOOKUP($A26,'Data Vlaue (Cr)'!$C:$FB,4)</f>
        <v>1408.3</v>
      </c>
      <c r="E26" s="75">
        <f>VLOOKUP($A26,'Data Vlaue (Cr)'!$C:$FB,5)</f>
        <v>1344.2</v>
      </c>
      <c r="F26" s="75">
        <f t="shared" si="0"/>
        <v>-4.9000000000000909</v>
      </c>
      <c r="G26" s="75">
        <f t="shared" si="1"/>
        <v>4.5515870198111132</v>
      </c>
      <c r="H26" s="75">
        <f>VLOOKUP($A26,'Data Vlaue (Cr)'!$C:$FB,99)</f>
        <v>1899</v>
      </c>
      <c r="I26" s="75">
        <f>VLOOKUP($A26,'Data Vlaue (Cr)'!$C:$FB,100)</f>
        <v>1976</v>
      </c>
      <c r="J26" s="75">
        <f t="shared" si="2"/>
        <v>-77</v>
      </c>
      <c r="K26" s="75">
        <f t="shared" si="3"/>
        <v>-4.0547656661400735</v>
      </c>
      <c r="L26" s="75">
        <f>VLOOKUP($A26,'Data Vlaue (Cr)'!$C:$FB,67)</f>
        <v>3218</v>
      </c>
      <c r="M26" s="75">
        <f>VLOOKUP($A26,'Data Vlaue (Cr)'!$C:$FB,68)</f>
        <v>3352</v>
      </c>
      <c r="N26" s="75">
        <f t="shared" si="4"/>
        <v>-134</v>
      </c>
      <c r="O26" s="75">
        <f t="shared" si="5"/>
        <v>-4.1640770665009326</v>
      </c>
      <c r="P26" s="75">
        <f>VLOOKUP($A26,'Data Vlaue (Cr)'!$C:$FB,119)</f>
        <v>0.66</v>
      </c>
      <c r="Q26" s="75">
        <f>VLOOKUP($A26,'Data Vlaue (Cr)'!$C:$FB,122)*100</f>
        <v>-14.29</v>
      </c>
      <c r="R26" s="75">
        <f>VLOOKUP($A26,'Data Vlaue (Cr)'!$C:$FB,125)</f>
        <v>0.52</v>
      </c>
      <c r="S26" s="75">
        <f>VLOOKUP($A26,'Data Vlaue (Cr)'!$C:$FB,128)*100</f>
        <v>-59.69</v>
      </c>
    </row>
    <row r="27" spans="1:19" x14ac:dyDescent="0.25">
      <c r="A27" s="96" t="str">
        <f>'Data Vlaue (Cr)'!C18</f>
        <v>AUBANK</v>
      </c>
      <c r="B27" s="75">
        <f>VLOOKUP($A27,'Data Vlaue (Cr)'!$C:$FB,2)</f>
        <v>1000</v>
      </c>
      <c r="C27" s="75">
        <f>VLOOKUP($A27,'Data Vlaue (Cr)'!$C:$FB,8)</f>
        <v>1000.55</v>
      </c>
      <c r="D27" s="75">
        <f>VLOOKUP($A27,'Data Vlaue (Cr)'!$C:$FB,4)</f>
        <v>1002.7</v>
      </c>
      <c r="E27" s="75">
        <f>VLOOKUP($A27,'Data Vlaue (Cr)'!$C:$FB,5)</f>
        <v>995.45</v>
      </c>
      <c r="F27" s="75">
        <f t="shared" si="0"/>
        <v>2.1500000000000909</v>
      </c>
      <c r="G27" s="75">
        <f t="shared" si="1"/>
        <v>0.72304777101825068</v>
      </c>
      <c r="H27" s="75">
        <f>VLOOKUP($A27,'Data Vlaue (Cr)'!$C:$FB,99)</f>
        <v>4350</v>
      </c>
      <c r="I27" s="75">
        <f>VLOOKUP($A27,'Data Vlaue (Cr)'!$C:$FB,100)</f>
        <v>4595</v>
      </c>
      <c r="J27" s="75">
        <f t="shared" si="2"/>
        <v>-245</v>
      </c>
      <c r="K27" s="75">
        <f t="shared" si="3"/>
        <v>-5.6321839080459766</v>
      </c>
      <c r="L27" s="75">
        <f>VLOOKUP($A27,'Data Vlaue (Cr)'!$C:$FB,67)</f>
        <v>7893</v>
      </c>
      <c r="M27" s="75">
        <f>VLOOKUP($A27,'Data Vlaue (Cr)'!$C:$FB,68)</f>
        <v>18731</v>
      </c>
      <c r="N27" s="75">
        <f t="shared" si="4"/>
        <v>-10838</v>
      </c>
      <c r="O27" s="75">
        <f t="shared" si="5"/>
        <v>-137.31154187254529</v>
      </c>
      <c r="P27" s="75">
        <f>VLOOKUP($A27,'Data Vlaue (Cr)'!$C:$FB,119)</f>
        <v>0.73</v>
      </c>
      <c r="Q27" s="75">
        <f>VLOOKUP($A27,'Data Vlaue (Cr)'!$C:$FB,122)*100</f>
        <v>-1.35</v>
      </c>
      <c r="R27" s="75">
        <f>VLOOKUP($A27,'Data Vlaue (Cr)'!$C:$FB,125)</f>
        <v>0.67</v>
      </c>
      <c r="S27" s="75">
        <f>VLOOKUP($A27,'Data Vlaue (Cr)'!$C:$FB,128)*100</f>
        <v>-12.989999999999998</v>
      </c>
    </row>
    <row r="28" spans="1:19" x14ac:dyDescent="0.25">
      <c r="A28" s="96" t="str">
        <f>'Data Vlaue (Cr)'!C19</f>
        <v>AUROPHARMA</v>
      </c>
      <c r="B28" s="75">
        <f>VLOOKUP($A28,'Data Vlaue (Cr)'!$C:$FB,2)</f>
        <v>550</v>
      </c>
      <c r="C28" s="75">
        <f>VLOOKUP($A28,'Data Vlaue (Cr)'!$C:$FB,8)</f>
        <v>1145.3</v>
      </c>
      <c r="D28" s="75">
        <f>VLOOKUP($A28,'Data Vlaue (Cr)'!$C:$FB,4)</f>
        <v>1144.0999999999999</v>
      </c>
      <c r="E28" s="75">
        <f>VLOOKUP($A28,'Data Vlaue (Cr)'!$C:$FB,5)</f>
        <v>1120.5</v>
      </c>
      <c r="F28" s="75">
        <f t="shared" si="0"/>
        <v>-1.2000000000000455</v>
      </c>
      <c r="G28" s="75">
        <f t="shared" si="1"/>
        <v>2.0627567520321572</v>
      </c>
      <c r="H28" s="75">
        <f>VLOOKUP($A28,'Data Vlaue (Cr)'!$C:$FB,99)</f>
        <v>3648</v>
      </c>
      <c r="I28" s="75">
        <f>VLOOKUP($A28,'Data Vlaue (Cr)'!$C:$FB,100)</f>
        <v>3683</v>
      </c>
      <c r="J28" s="75">
        <f t="shared" si="2"/>
        <v>-35</v>
      </c>
      <c r="K28" s="75">
        <f t="shared" si="3"/>
        <v>-0.95942982456140358</v>
      </c>
      <c r="L28" s="75">
        <f>VLOOKUP($A28,'Data Vlaue (Cr)'!$C:$FB,67)</f>
        <v>2064</v>
      </c>
      <c r="M28" s="75">
        <f>VLOOKUP($A28,'Data Vlaue (Cr)'!$C:$FB,68)</f>
        <v>3578</v>
      </c>
      <c r="N28" s="75">
        <f t="shared" si="4"/>
        <v>-1514</v>
      </c>
      <c r="O28" s="75">
        <f t="shared" si="5"/>
        <v>-73.352713178294564</v>
      </c>
      <c r="P28" s="75">
        <f>VLOOKUP($A28,'Data Vlaue (Cr)'!$C:$FB,119)</f>
        <v>0.51</v>
      </c>
      <c r="Q28" s="75">
        <f>VLOOKUP($A28,'Data Vlaue (Cr)'!$C:$FB,122)*100</f>
        <v>0</v>
      </c>
      <c r="R28" s="75">
        <f>VLOOKUP($A28,'Data Vlaue (Cr)'!$C:$FB,125)</f>
        <v>0.51</v>
      </c>
      <c r="S28" s="75">
        <f>VLOOKUP($A28,'Data Vlaue (Cr)'!$C:$FB,128)*100</f>
        <v>-27.139999999999997</v>
      </c>
    </row>
    <row r="29" spans="1:19" x14ac:dyDescent="0.25">
      <c r="A29" s="96" t="str">
        <f>'Data Vlaue (Cr)'!C20</f>
        <v>AXISBANK</v>
      </c>
      <c r="B29" s="75">
        <f>VLOOKUP($A29,'Data Vlaue (Cr)'!$C:$FB,2)</f>
        <v>625</v>
      </c>
      <c r="C29" s="75">
        <f>VLOOKUP($A29,'Data Vlaue (Cr)'!$C:$FB,8)</f>
        <v>1294.8</v>
      </c>
      <c r="D29" s="75">
        <f>VLOOKUP($A29,'Data Vlaue (Cr)'!$C:$FB,4)</f>
        <v>1297</v>
      </c>
      <c r="E29" s="75">
        <f>VLOOKUP($A29,'Data Vlaue (Cr)'!$C:$FB,5)</f>
        <v>1283.5</v>
      </c>
      <c r="F29" s="75">
        <f t="shared" si="0"/>
        <v>2.2000000000000455</v>
      </c>
      <c r="G29" s="75">
        <f t="shared" si="1"/>
        <v>1.040863531225906</v>
      </c>
      <c r="H29" s="75">
        <f>VLOOKUP($A29,'Data Vlaue (Cr)'!$C:$FB,99)</f>
        <v>17327</v>
      </c>
      <c r="I29" s="75">
        <f>VLOOKUP($A29,'Data Vlaue (Cr)'!$C:$FB,100)</f>
        <v>17081</v>
      </c>
      <c r="J29" s="75">
        <f t="shared" si="2"/>
        <v>246</v>
      </c>
      <c r="K29" s="75">
        <f t="shared" si="3"/>
        <v>1.419749523864489</v>
      </c>
      <c r="L29" s="75">
        <f>VLOOKUP($A29,'Data Vlaue (Cr)'!$C:$FB,67)</f>
        <v>15388</v>
      </c>
      <c r="M29" s="75">
        <f>VLOOKUP($A29,'Data Vlaue (Cr)'!$C:$FB,68)</f>
        <v>17954</v>
      </c>
      <c r="N29" s="75">
        <f t="shared" si="4"/>
        <v>-2566</v>
      </c>
      <c r="O29" s="75">
        <f t="shared" si="5"/>
        <v>-16.675331427086039</v>
      </c>
      <c r="P29" s="75">
        <f>VLOOKUP($A29,'Data Vlaue (Cr)'!$C:$FB,119)</f>
        <v>0.41</v>
      </c>
      <c r="Q29" s="75">
        <f>VLOOKUP($A29,'Data Vlaue (Cr)'!$C:$FB,122)*100</f>
        <v>0</v>
      </c>
      <c r="R29" s="75">
        <f>VLOOKUP($A29,'Data Vlaue (Cr)'!$C:$FB,125)</f>
        <v>0.65</v>
      </c>
      <c r="S29" s="75">
        <f>VLOOKUP($A29,'Data Vlaue (Cr)'!$C:$FB,128)*100</f>
        <v>-5.8000000000000007</v>
      </c>
    </row>
    <row r="30" spans="1:19" x14ac:dyDescent="0.25">
      <c r="A30" s="96" t="str">
        <f>'Data Vlaue (Cr)'!C21</f>
        <v>BAJAJ-AUTO</v>
      </c>
      <c r="B30" s="75">
        <f>VLOOKUP($A30,'Data Vlaue (Cr)'!$C:$FB,2)</f>
        <v>75</v>
      </c>
      <c r="C30" s="75">
        <f>VLOOKUP($A30,'Data Vlaue (Cr)'!$C:$FB,8)</f>
        <v>9370</v>
      </c>
      <c r="D30" s="75">
        <f>VLOOKUP($A30,'Data Vlaue (Cr)'!$C:$FB,4)</f>
        <v>9383</v>
      </c>
      <c r="E30" s="75">
        <f>VLOOKUP($A30,'Data Vlaue (Cr)'!$C:$FB,5)</f>
        <v>9193</v>
      </c>
      <c r="F30" s="75">
        <f t="shared" si="0"/>
        <v>13</v>
      </c>
      <c r="G30" s="75">
        <f t="shared" si="1"/>
        <v>2.0249387189598211</v>
      </c>
      <c r="H30" s="75">
        <f>VLOOKUP($A30,'Data Vlaue (Cr)'!$C:$FB,99)</f>
        <v>5680</v>
      </c>
      <c r="I30" s="75">
        <f>VLOOKUP($A30,'Data Vlaue (Cr)'!$C:$FB,100)</f>
        <v>6179</v>
      </c>
      <c r="J30" s="75">
        <f t="shared" si="2"/>
        <v>-499</v>
      </c>
      <c r="K30" s="75">
        <f t="shared" si="3"/>
        <v>-8.785211267605634</v>
      </c>
      <c r="L30" s="75">
        <f>VLOOKUP($A30,'Data Vlaue (Cr)'!$C:$FB,67)</f>
        <v>7451</v>
      </c>
      <c r="M30" s="75">
        <f>VLOOKUP($A30,'Data Vlaue (Cr)'!$C:$FB,68)</f>
        <v>7718</v>
      </c>
      <c r="N30" s="75">
        <f t="shared" si="4"/>
        <v>-267</v>
      </c>
      <c r="O30" s="75">
        <f t="shared" si="5"/>
        <v>-3.5834116226009933</v>
      </c>
      <c r="P30" s="75">
        <f>VLOOKUP($A30,'Data Vlaue (Cr)'!$C:$FB,119)</f>
        <v>0.6</v>
      </c>
      <c r="Q30" s="75">
        <f>VLOOKUP($A30,'Data Vlaue (Cr)'!$C:$FB,122)*100</f>
        <v>9.09</v>
      </c>
      <c r="R30" s="75">
        <f>VLOOKUP($A30,'Data Vlaue (Cr)'!$C:$FB,125)</f>
        <v>0.49</v>
      </c>
      <c r="S30" s="75">
        <f>VLOOKUP($A30,'Data Vlaue (Cr)'!$C:$FB,128)*100</f>
        <v>-9.26</v>
      </c>
    </row>
    <row r="31" spans="1:19" x14ac:dyDescent="0.25">
      <c r="A31" s="96" t="str">
        <f>'Data Vlaue (Cr)'!C22</f>
        <v>BAJAJFINSV</v>
      </c>
      <c r="B31" s="75">
        <f>VLOOKUP($A31,'Data Vlaue (Cr)'!$C:$FB,2)</f>
        <v>250</v>
      </c>
      <c r="C31" s="75">
        <f>VLOOKUP($A31,'Data Vlaue (Cr)'!$C:$FB,8)</f>
        <v>1993.1</v>
      </c>
      <c r="D31" s="75">
        <f>VLOOKUP($A31,'Data Vlaue (Cr)'!$C:$FB,4)</f>
        <v>1991.3</v>
      </c>
      <c r="E31" s="75">
        <f>VLOOKUP($A31,'Data Vlaue (Cr)'!$C:$FB,5)</f>
        <v>1958.4</v>
      </c>
      <c r="F31" s="75">
        <f t="shared" si="0"/>
        <v>-1.7999999999999545</v>
      </c>
      <c r="G31" s="75">
        <f t="shared" si="1"/>
        <v>1.6521870135087564</v>
      </c>
      <c r="H31" s="75">
        <f>VLOOKUP($A31,'Data Vlaue (Cr)'!$C:$FB,99)</f>
        <v>4999</v>
      </c>
      <c r="I31" s="75">
        <f>VLOOKUP($A31,'Data Vlaue (Cr)'!$C:$FB,100)</f>
        <v>5096</v>
      </c>
      <c r="J31" s="75">
        <f t="shared" si="2"/>
        <v>-97</v>
      </c>
      <c r="K31" s="75">
        <f t="shared" si="3"/>
        <v>-1.9403880776155231</v>
      </c>
      <c r="L31" s="75">
        <f>VLOOKUP($A31,'Data Vlaue (Cr)'!$C:$FB,67)</f>
        <v>3156</v>
      </c>
      <c r="M31" s="75">
        <f>VLOOKUP($A31,'Data Vlaue (Cr)'!$C:$FB,68)</f>
        <v>3257</v>
      </c>
      <c r="N31" s="75">
        <f t="shared" si="4"/>
        <v>-101</v>
      </c>
      <c r="O31" s="75">
        <f t="shared" si="5"/>
        <v>-3.2002534854245881</v>
      </c>
      <c r="P31" s="75">
        <f>VLOOKUP($A31,'Data Vlaue (Cr)'!$C:$FB,119)</f>
        <v>0.59</v>
      </c>
      <c r="Q31" s="75">
        <f>VLOOKUP($A31,'Data Vlaue (Cr)'!$C:$FB,122)*100</f>
        <v>7.2700000000000005</v>
      </c>
      <c r="R31" s="75">
        <f>VLOOKUP($A31,'Data Vlaue (Cr)'!$C:$FB,125)</f>
        <v>0.46</v>
      </c>
      <c r="S31" s="75">
        <f>VLOOKUP($A31,'Data Vlaue (Cr)'!$C:$FB,128)*100</f>
        <v>-30.3</v>
      </c>
    </row>
    <row r="32" spans="1:19" x14ac:dyDescent="0.25">
      <c r="A32" s="96" t="str">
        <f>'Data Vlaue (Cr)'!C23</f>
        <v>BAJAJHLDNG</v>
      </c>
      <c r="B32" s="75">
        <f>VLOOKUP($A32,'Data Vlaue (Cr)'!$C:$FB,2)</f>
        <v>50</v>
      </c>
      <c r="C32" s="75">
        <f>VLOOKUP($A32,'Data Vlaue (Cr)'!$C:$FB,8)</f>
        <v>10735</v>
      </c>
      <c r="D32" s="75">
        <f>VLOOKUP($A32,'Data Vlaue (Cr)'!$C:$FB,4)</f>
        <v>10739</v>
      </c>
      <c r="E32" s="75">
        <f>VLOOKUP($A32,'Data Vlaue (Cr)'!$C:$FB,5)</f>
        <v>10610</v>
      </c>
      <c r="F32" s="75">
        <f t="shared" si="0"/>
        <v>4</v>
      </c>
      <c r="G32" s="75">
        <f t="shared" si="1"/>
        <v>1.2012291647266971</v>
      </c>
      <c r="H32" s="75">
        <f>VLOOKUP($A32,'Data Vlaue (Cr)'!$C:$FB,99)</f>
        <v>532</v>
      </c>
      <c r="I32" s="75">
        <f>VLOOKUP($A32,'Data Vlaue (Cr)'!$C:$FB,100)</f>
        <v>602</v>
      </c>
      <c r="J32" s="75">
        <f t="shared" si="2"/>
        <v>-70</v>
      </c>
      <c r="K32" s="75">
        <f t="shared" si="3"/>
        <v>-13.157894736842104</v>
      </c>
      <c r="L32" s="75">
        <f>VLOOKUP($A32,'Data Vlaue (Cr)'!$C:$FB,67)</f>
        <v>584</v>
      </c>
      <c r="M32" s="75">
        <f>VLOOKUP($A32,'Data Vlaue (Cr)'!$C:$FB,68)</f>
        <v>385</v>
      </c>
      <c r="N32" s="75">
        <f t="shared" si="4"/>
        <v>199</v>
      </c>
      <c r="O32" s="75">
        <f t="shared" si="5"/>
        <v>34.075342465753423</v>
      </c>
      <c r="P32" s="75">
        <f>VLOOKUP($A32,'Data Vlaue (Cr)'!$C:$FB,119)</f>
        <v>0.5</v>
      </c>
      <c r="Q32" s="75">
        <f>VLOOKUP($A32,'Data Vlaue (Cr)'!$C:$FB,122)*100</f>
        <v>47.06</v>
      </c>
      <c r="R32" s="75">
        <f>VLOOKUP($A32,'Data Vlaue (Cr)'!$C:$FB,125)</f>
        <v>0.13</v>
      </c>
      <c r="S32" s="75">
        <f>VLOOKUP($A32,'Data Vlaue (Cr)'!$C:$FB,128)*100</f>
        <v>18.18</v>
      </c>
    </row>
    <row r="33" spans="1:19" x14ac:dyDescent="0.25">
      <c r="A33" s="96" t="str">
        <f>'Data Vlaue (Cr)'!C24</f>
        <v>BAJFINANCE</v>
      </c>
      <c r="B33" s="75">
        <f>VLOOKUP($A33,'Data Vlaue (Cr)'!$C:$FB,2)</f>
        <v>750</v>
      </c>
      <c r="C33" s="75">
        <f>VLOOKUP($A33,'Data Vlaue (Cr)'!$C:$FB,8)</f>
        <v>942.85</v>
      </c>
      <c r="D33" s="75">
        <f>VLOOKUP($A33,'Data Vlaue (Cr)'!$C:$FB,4)</f>
        <v>943.15</v>
      </c>
      <c r="E33" s="75">
        <f>VLOOKUP($A33,'Data Vlaue (Cr)'!$C:$FB,5)</f>
        <v>936.65</v>
      </c>
      <c r="F33" s="75">
        <f t="shared" si="0"/>
        <v>0.29999999999995453</v>
      </c>
      <c r="G33" s="75">
        <f t="shared" si="1"/>
        <v>0.68917987594762231</v>
      </c>
      <c r="H33" s="75">
        <f>VLOOKUP($A33,'Data Vlaue (Cr)'!$C:$FB,99)</f>
        <v>13616</v>
      </c>
      <c r="I33" s="75">
        <f>VLOOKUP($A33,'Data Vlaue (Cr)'!$C:$FB,100)</f>
        <v>13760</v>
      </c>
      <c r="J33" s="75">
        <f t="shared" si="2"/>
        <v>-144</v>
      </c>
      <c r="K33" s="75">
        <f t="shared" si="3"/>
        <v>-1.0575793184488838</v>
      </c>
      <c r="L33" s="75">
        <f>VLOOKUP($A33,'Data Vlaue (Cr)'!$C:$FB,67)</f>
        <v>11186</v>
      </c>
      <c r="M33" s="75">
        <f>VLOOKUP($A33,'Data Vlaue (Cr)'!$C:$FB,68)</f>
        <v>12118</v>
      </c>
      <c r="N33" s="75">
        <f t="shared" si="4"/>
        <v>-932</v>
      </c>
      <c r="O33" s="75">
        <f t="shared" si="5"/>
        <v>-8.3318433756481323</v>
      </c>
      <c r="P33" s="75">
        <f>VLOOKUP($A33,'Data Vlaue (Cr)'!$C:$FB,119)</f>
        <v>0.61</v>
      </c>
      <c r="Q33" s="75">
        <f>VLOOKUP($A33,'Data Vlaue (Cr)'!$C:$FB,122)*100</f>
        <v>1.67</v>
      </c>
      <c r="R33" s="75">
        <f>VLOOKUP($A33,'Data Vlaue (Cr)'!$C:$FB,125)</f>
        <v>0.53</v>
      </c>
      <c r="S33" s="75">
        <f>VLOOKUP($A33,'Data Vlaue (Cr)'!$C:$FB,128)*100</f>
        <v>-15.870000000000001</v>
      </c>
    </row>
    <row r="34" spans="1:19" x14ac:dyDescent="0.25">
      <c r="A34" s="96" t="str">
        <f>'Data Vlaue (Cr)'!C25</f>
        <v>BANDHANBNK</v>
      </c>
      <c r="B34" s="75">
        <f>VLOOKUP($A34,'Data Vlaue (Cr)'!$C:$FB,2)</f>
        <v>3600</v>
      </c>
      <c r="C34" s="75">
        <f>VLOOKUP($A34,'Data Vlaue (Cr)'!$C:$FB,8)</f>
        <v>142.46</v>
      </c>
      <c r="D34" s="75">
        <f>VLOOKUP($A34,'Data Vlaue (Cr)'!$C:$FB,4)</f>
        <v>142.34</v>
      </c>
      <c r="E34" s="75">
        <f>VLOOKUP($A34,'Data Vlaue (Cr)'!$C:$FB,5)</f>
        <v>138.22999999999999</v>
      </c>
      <c r="F34" s="75">
        <f t="shared" si="0"/>
        <v>-0.12000000000000455</v>
      </c>
      <c r="G34" s="75">
        <f t="shared" si="1"/>
        <v>2.8874525783335772</v>
      </c>
      <c r="H34" s="180">
        <f>VLOOKUP($A34,'Data Vlaue (Cr)'!$C:$FB,99)</f>
        <v>2887</v>
      </c>
      <c r="I34" s="180">
        <f>VLOOKUP($A34,'Data Vlaue (Cr)'!$C:$FB,100)</f>
        <v>3027</v>
      </c>
      <c r="J34" s="180">
        <f t="shared" si="2"/>
        <v>-140</v>
      </c>
      <c r="K34" s="180">
        <f t="shared" si="3"/>
        <v>-4.849324558365085</v>
      </c>
      <c r="L34" s="180">
        <f>VLOOKUP($A34,'Data Vlaue (Cr)'!$C:$FB,67)</f>
        <v>399</v>
      </c>
      <c r="M34" s="180">
        <f>VLOOKUP($A34,'Data Vlaue (Cr)'!$C:$FB,68)</f>
        <v>1723</v>
      </c>
      <c r="N34" s="180">
        <f t="shared" si="4"/>
        <v>-1324</v>
      </c>
      <c r="O34" s="180">
        <f t="shared" si="5"/>
        <v>-331.82957393483707</v>
      </c>
      <c r="P34" s="180">
        <f>VLOOKUP($A34,'Data Vlaue (Cr)'!$C:$FB,119)</f>
        <v>0.82</v>
      </c>
      <c r="Q34" s="180">
        <f>VLOOKUP($A34,'Data Vlaue (Cr)'!$C:$FB,122)*100</f>
        <v>2.5</v>
      </c>
      <c r="R34" s="180">
        <f>VLOOKUP($A34,'Data Vlaue (Cr)'!$C:$FB,125)</f>
        <v>0.45</v>
      </c>
      <c r="S34" s="180">
        <f>VLOOKUP($A34,'Data Vlaue (Cr)'!$C:$FB,128)*100</f>
        <v>-40</v>
      </c>
    </row>
    <row r="35" spans="1:19" x14ac:dyDescent="0.25">
      <c r="A35" s="96" t="str">
        <f>'Data Vlaue (Cr)'!C26</f>
        <v>BANKBARODA</v>
      </c>
      <c r="B35" s="75">
        <f>VLOOKUP($A35,'Data Vlaue (Cr)'!$C:$FB,2)</f>
        <v>2925</v>
      </c>
      <c r="C35" s="75">
        <f>VLOOKUP($A35,'Data Vlaue (Cr)'!$C:$FB,8)</f>
        <v>305.3</v>
      </c>
      <c r="D35" s="75">
        <f>VLOOKUP($A35,'Data Vlaue (Cr)'!$C:$FB,4)</f>
        <v>305.64999999999998</v>
      </c>
      <c r="E35" s="75">
        <f>VLOOKUP($A35,'Data Vlaue (Cr)'!$C:$FB,5)</f>
        <v>299.60000000000002</v>
      </c>
      <c r="F35" s="75">
        <f t="shared" si="0"/>
        <v>0.34999999999996589</v>
      </c>
      <c r="G35" s="75">
        <f t="shared" si="1"/>
        <v>1.979388189105171</v>
      </c>
      <c r="H35" s="75">
        <f>VLOOKUP($A35,'Data Vlaue (Cr)'!$C:$FB,99)</f>
        <v>5467</v>
      </c>
      <c r="I35" s="75">
        <f>VLOOKUP($A35,'Data Vlaue (Cr)'!$C:$FB,100)</f>
        <v>5739</v>
      </c>
      <c r="J35" s="75">
        <f t="shared" si="2"/>
        <v>-272</v>
      </c>
      <c r="K35" s="75">
        <f t="shared" si="3"/>
        <v>-4.9753063837570881</v>
      </c>
      <c r="L35" s="75">
        <f>VLOOKUP($A35,'Data Vlaue (Cr)'!$C:$FB,67)</f>
        <v>5738</v>
      </c>
      <c r="M35" s="75">
        <f>VLOOKUP($A35,'Data Vlaue (Cr)'!$C:$FB,68)</f>
        <v>5856</v>
      </c>
      <c r="N35" s="75">
        <f t="shared" si="4"/>
        <v>-118</v>
      </c>
      <c r="O35" s="75">
        <f t="shared" si="5"/>
        <v>-2.0564656674799582</v>
      </c>
      <c r="P35" s="75">
        <f>VLOOKUP($A35,'Data Vlaue (Cr)'!$C:$FB,119)</f>
        <v>0.74</v>
      </c>
      <c r="Q35" s="75">
        <f>VLOOKUP($A35,'Data Vlaue (Cr)'!$C:$FB,122)*100</f>
        <v>12.120000000000001</v>
      </c>
      <c r="R35" s="75">
        <f>VLOOKUP($A35,'Data Vlaue (Cr)'!$C:$FB,125)</f>
        <v>0.62</v>
      </c>
      <c r="S35" s="75">
        <f>VLOOKUP($A35,'Data Vlaue (Cr)'!$C:$FB,128)*100</f>
        <v>-13.889999999999999</v>
      </c>
    </row>
    <row r="36" spans="1:19" x14ac:dyDescent="0.25">
      <c r="A36" s="96" t="str">
        <f>'Data Vlaue (Cr)'!C27</f>
        <v>BANKINDIA</v>
      </c>
      <c r="B36" s="75">
        <f>VLOOKUP($A36,'Data Vlaue (Cr)'!$C:$FB,2)</f>
        <v>5200</v>
      </c>
      <c r="C36" s="75">
        <f>VLOOKUP($A36,'Data Vlaue (Cr)'!$C:$FB,8)</f>
        <v>166.42</v>
      </c>
      <c r="D36" s="75">
        <f>VLOOKUP($A36,'Data Vlaue (Cr)'!$C:$FB,4)</f>
        <v>166.26</v>
      </c>
      <c r="E36" s="75">
        <f>VLOOKUP($A36,'Data Vlaue (Cr)'!$C:$FB,5)</f>
        <v>157.44999999999999</v>
      </c>
      <c r="F36" s="75">
        <f t="shared" si="0"/>
        <v>-0.15999999999999659</v>
      </c>
      <c r="G36" s="75">
        <f t="shared" si="1"/>
        <v>5.2989293877060044</v>
      </c>
      <c r="H36" s="75">
        <f>VLOOKUP($A36,'Data Vlaue (Cr)'!$C:$FB,99)</f>
        <v>2214</v>
      </c>
      <c r="I36" s="75">
        <f>VLOOKUP($A36,'Data Vlaue (Cr)'!$C:$FB,100)</f>
        <v>2271</v>
      </c>
      <c r="J36" s="75">
        <f t="shared" si="2"/>
        <v>-57</v>
      </c>
      <c r="K36" s="75">
        <f t="shared" si="3"/>
        <v>-2.5745257452574526</v>
      </c>
      <c r="L36" s="75">
        <f>VLOOKUP($A36,'Data Vlaue (Cr)'!$C:$FB,67)</f>
        <v>6856</v>
      </c>
      <c r="M36" s="75">
        <f>VLOOKUP($A36,'Data Vlaue (Cr)'!$C:$FB,68)</f>
        <v>2962</v>
      </c>
      <c r="N36" s="75">
        <f t="shared" si="4"/>
        <v>3894</v>
      </c>
      <c r="O36" s="75">
        <f t="shared" si="5"/>
        <v>56.796966161026837</v>
      </c>
      <c r="P36" s="75">
        <f>VLOOKUP($A36,'Data Vlaue (Cr)'!$C:$FB,119)</f>
        <v>0.81</v>
      </c>
      <c r="Q36" s="75">
        <f>VLOOKUP($A36,'Data Vlaue (Cr)'!$C:$FB,122)*100</f>
        <v>5.19</v>
      </c>
      <c r="R36" s="75">
        <f>VLOOKUP($A36,'Data Vlaue (Cr)'!$C:$FB,125)</f>
        <v>0.43</v>
      </c>
      <c r="S36" s="75">
        <f>VLOOKUP($A36,'Data Vlaue (Cr)'!$C:$FB,128)*100</f>
        <v>-38.57</v>
      </c>
    </row>
    <row r="37" spans="1:19" x14ac:dyDescent="0.25">
      <c r="A37" s="96" t="str">
        <f>'Data Vlaue (Cr)'!C28</f>
        <v>BANKNIFTY</v>
      </c>
      <c r="B37" s="75">
        <f>VLOOKUP($A37,'Data Vlaue (Cr)'!$C:$FB,2)</f>
        <v>30</v>
      </c>
      <c r="C37" s="75">
        <f>VLOOKUP($A37,'Data Vlaue (Cr)'!$C:$FB,8)</f>
        <v>59200.1</v>
      </c>
      <c r="D37" s="75">
        <f>VLOOKUP($A37,'Data Vlaue (Cr)'!$C:$FB,4)</f>
        <v>59343.199999999997</v>
      </c>
      <c r="E37" s="75">
        <f>VLOOKUP($A37,'Data Vlaue (Cr)'!$C:$FB,5)</f>
        <v>58855.8</v>
      </c>
      <c r="F37" s="75">
        <f t="shared" si="0"/>
        <v>143.09999999999854</v>
      </c>
      <c r="G37" s="75">
        <f t="shared" si="1"/>
        <v>0.8213240944202439</v>
      </c>
      <c r="H37" s="75">
        <f>VLOOKUP($A37,'Data Vlaue (Cr)'!$C:$FB,99)</f>
        <v>242463</v>
      </c>
      <c r="I37" s="75">
        <f>VLOOKUP($A37,'Data Vlaue (Cr)'!$C:$FB,100)</f>
        <v>232956</v>
      </c>
      <c r="J37" s="75">
        <f t="shared" si="2"/>
        <v>9507</v>
      </c>
      <c r="K37" s="75">
        <f t="shared" si="3"/>
        <v>3.9210106284257806</v>
      </c>
      <c r="L37" s="75">
        <f>VLOOKUP($A37,'Data Vlaue (Cr)'!$C:$FB,67)</f>
        <v>1468419</v>
      </c>
      <c r="M37" s="75">
        <f>VLOOKUP($A37,'Data Vlaue (Cr)'!$C:$FB,68)</f>
        <v>1891982</v>
      </c>
      <c r="N37" s="75">
        <f t="shared" si="4"/>
        <v>-423563</v>
      </c>
      <c r="O37" s="75">
        <f t="shared" si="5"/>
        <v>-28.844832435428852</v>
      </c>
      <c r="P37" s="75">
        <f>VLOOKUP($A37,'Data Vlaue (Cr)'!$C:$FB,119)</f>
        <v>0.81</v>
      </c>
      <c r="Q37" s="75">
        <f>VLOOKUP($A37,'Data Vlaue (Cr)'!$C:$FB,122)*100</f>
        <v>9.4600000000000009</v>
      </c>
      <c r="R37" s="75">
        <f>VLOOKUP($A37,'Data Vlaue (Cr)'!$C:$FB,125)</f>
        <v>0.9</v>
      </c>
      <c r="S37" s="75">
        <f>VLOOKUP($A37,'Data Vlaue (Cr)'!$C:$FB,128)*100</f>
        <v>-8.16</v>
      </c>
    </row>
    <row r="38" spans="1:19" x14ac:dyDescent="0.25">
      <c r="A38" s="96" t="str">
        <f>'Data Vlaue (Cr)'!C29</f>
        <v>BDL</v>
      </c>
      <c r="B38" s="75">
        <f>VLOOKUP($A38,'Data Vlaue (Cr)'!$C:$FB,2)</f>
        <v>350</v>
      </c>
      <c r="C38" s="75">
        <f>VLOOKUP($A38,'Data Vlaue (Cr)'!$C:$FB,8)</f>
        <v>1451.2</v>
      </c>
      <c r="D38" s="75">
        <f>VLOOKUP($A38,'Data Vlaue (Cr)'!$C:$FB,4)</f>
        <v>1452.9</v>
      </c>
      <c r="E38" s="75">
        <f>VLOOKUP($A38,'Data Vlaue (Cr)'!$C:$FB,5)</f>
        <v>1423.8</v>
      </c>
      <c r="F38" s="75">
        <f t="shared" si="0"/>
        <v>1.7000000000000455</v>
      </c>
      <c r="G38" s="75">
        <f t="shared" si="1"/>
        <v>2.0028907701837797</v>
      </c>
      <c r="H38" s="75">
        <f>VLOOKUP($A38,'Data Vlaue (Cr)'!$C:$FB,99)</f>
        <v>1877</v>
      </c>
      <c r="I38" s="75">
        <f>VLOOKUP($A38,'Data Vlaue (Cr)'!$C:$FB,100)</f>
        <v>1941</v>
      </c>
      <c r="J38" s="75">
        <f t="shared" si="2"/>
        <v>-64</v>
      </c>
      <c r="K38" s="75">
        <f t="shared" si="3"/>
        <v>-3.4096963239211506</v>
      </c>
      <c r="L38" s="75">
        <f>VLOOKUP($A38,'Data Vlaue (Cr)'!$C:$FB,67)</f>
        <v>1685</v>
      </c>
      <c r="M38" s="75">
        <f>VLOOKUP($A38,'Data Vlaue (Cr)'!$C:$FB,68)</f>
        <v>2659</v>
      </c>
      <c r="N38" s="75">
        <f t="shared" si="4"/>
        <v>-974</v>
      </c>
      <c r="O38" s="75">
        <f t="shared" si="5"/>
        <v>-57.804154302670618</v>
      </c>
      <c r="P38" s="75">
        <f>VLOOKUP($A38,'Data Vlaue (Cr)'!$C:$FB,119)</f>
        <v>0.53</v>
      </c>
      <c r="Q38" s="75">
        <f>VLOOKUP($A38,'Data Vlaue (Cr)'!$C:$FB,122)*100</f>
        <v>0</v>
      </c>
      <c r="R38" s="75">
        <f>VLOOKUP($A38,'Data Vlaue (Cr)'!$C:$FB,125)</f>
        <v>0.39</v>
      </c>
      <c r="S38" s="75">
        <f>VLOOKUP($A38,'Data Vlaue (Cr)'!$C:$FB,128)*100</f>
        <v>-18.75</v>
      </c>
    </row>
    <row r="39" spans="1:19" x14ac:dyDescent="0.25">
      <c r="A39" s="96" t="str">
        <f>'Data Vlaue (Cr)'!C30</f>
        <v>BEL</v>
      </c>
      <c r="B39" s="75">
        <f>VLOOKUP($A39,'Data Vlaue (Cr)'!$C:$FB,2)</f>
        <v>1425</v>
      </c>
      <c r="C39" s="75">
        <f>VLOOKUP($A39,'Data Vlaue (Cr)'!$C:$FB,8)</f>
        <v>417.3</v>
      </c>
      <c r="D39" s="75">
        <f>VLOOKUP($A39,'Data Vlaue (Cr)'!$C:$FB,4)</f>
        <v>417.15</v>
      </c>
      <c r="E39" s="75">
        <f>VLOOKUP($A39,'Data Vlaue (Cr)'!$C:$FB,5)</f>
        <v>402.5</v>
      </c>
      <c r="F39" s="75">
        <f t="shared" si="0"/>
        <v>-0.15000000000003411</v>
      </c>
      <c r="G39" s="75">
        <f t="shared" si="1"/>
        <v>3.5119261656478433</v>
      </c>
      <c r="H39" s="75">
        <f>VLOOKUP($A39,'Data Vlaue (Cr)'!$C:$FB,99)</f>
        <v>8980</v>
      </c>
      <c r="I39" s="75">
        <f>VLOOKUP($A39,'Data Vlaue (Cr)'!$C:$FB,100)</f>
        <v>9313</v>
      </c>
      <c r="J39" s="75">
        <f t="shared" si="2"/>
        <v>-333</v>
      </c>
      <c r="K39" s="75">
        <f t="shared" si="3"/>
        <v>-3.708240534521158</v>
      </c>
      <c r="L39" s="75">
        <f>VLOOKUP($A39,'Data Vlaue (Cr)'!$C:$FB,67)</f>
        <v>13753</v>
      </c>
      <c r="M39" s="75">
        <f>VLOOKUP($A39,'Data Vlaue (Cr)'!$C:$FB,68)</f>
        <v>13715</v>
      </c>
      <c r="N39" s="75">
        <f t="shared" si="4"/>
        <v>38</v>
      </c>
      <c r="O39" s="75">
        <f t="shared" si="5"/>
        <v>0.27630335199592815</v>
      </c>
      <c r="P39" s="75">
        <f>VLOOKUP($A39,'Data Vlaue (Cr)'!$C:$FB,119)</f>
        <v>0.62</v>
      </c>
      <c r="Q39" s="75">
        <f>VLOOKUP($A39,'Data Vlaue (Cr)'!$C:$FB,122)*100</f>
        <v>8.77</v>
      </c>
      <c r="R39" s="75">
        <f>VLOOKUP($A39,'Data Vlaue (Cr)'!$C:$FB,125)</f>
        <v>0.5</v>
      </c>
      <c r="S39" s="75">
        <f>VLOOKUP($A39,'Data Vlaue (Cr)'!$C:$FB,128)*100</f>
        <v>-27.54</v>
      </c>
    </row>
    <row r="40" spans="1:19" x14ac:dyDescent="0.25">
      <c r="A40" s="96" t="str">
        <f>'Data Vlaue (Cr)'!C31</f>
        <v>BHARATFORG</v>
      </c>
      <c r="B40" s="75">
        <f>VLOOKUP($A40,'Data Vlaue (Cr)'!$C:$FB,2)</f>
        <v>500</v>
      </c>
      <c r="C40" s="75">
        <f>VLOOKUP($A40,'Data Vlaue (Cr)'!$C:$FB,8)</f>
        <v>1431.5</v>
      </c>
      <c r="D40" s="75">
        <f>VLOOKUP($A40,'Data Vlaue (Cr)'!$C:$FB,4)</f>
        <v>1433.5</v>
      </c>
      <c r="E40" s="75">
        <f>VLOOKUP($A40,'Data Vlaue (Cr)'!$C:$FB,5)</f>
        <v>1382.6</v>
      </c>
      <c r="F40" s="75">
        <f t="shared" si="0"/>
        <v>2</v>
      </c>
      <c r="G40" s="75">
        <f t="shared" si="1"/>
        <v>3.5507499128008435</v>
      </c>
      <c r="H40" s="75">
        <f>VLOOKUP($A40,'Data Vlaue (Cr)'!$C:$FB,99)</f>
        <v>1993</v>
      </c>
      <c r="I40" s="75">
        <f>VLOOKUP($A40,'Data Vlaue (Cr)'!$C:$FB,100)</f>
        <v>2107</v>
      </c>
      <c r="J40" s="75">
        <f t="shared" si="2"/>
        <v>-114</v>
      </c>
      <c r="K40" s="75">
        <f t="shared" si="3"/>
        <v>-5.7200200702458606</v>
      </c>
      <c r="L40" s="75">
        <f>VLOOKUP($A40,'Data Vlaue (Cr)'!$C:$FB,67)</f>
        <v>3359</v>
      </c>
      <c r="M40" s="75">
        <f>VLOOKUP($A40,'Data Vlaue (Cr)'!$C:$FB,68)</f>
        <v>1949</v>
      </c>
      <c r="N40" s="75">
        <f t="shared" si="4"/>
        <v>1410</v>
      </c>
      <c r="O40" s="75">
        <f t="shared" si="5"/>
        <v>41.97677880321524</v>
      </c>
      <c r="P40" s="75">
        <f>VLOOKUP($A40,'Data Vlaue (Cr)'!$C:$FB,119)</f>
        <v>0.54</v>
      </c>
      <c r="Q40" s="75">
        <f>VLOOKUP($A40,'Data Vlaue (Cr)'!$C:$FB,122)*100</f>
        <v>-1.82</v>
      </c>
      <c r="R40" s="75">
        <f>VLOOKUP($A40,'Data Vlaue (Cr)'!$C:$FB,125)</f>
        <v>0.41</v>
      </c>
      <c r="S40" s="75">
        <f>VLOOKUP($A40,'Data Vlaue (Cr)'!$C:$FB,128)*100</f>
        <v>-32.79</v>
      </c>
    </row>
    <row r="41" spans="1:19" x14ac:dyDescent="0.25">
      <c r="A41" s="96" t="str">
        <f>'Data Vlaue (Cr)'!C32</f>
        <v>BHARTIARTL</v>
      </c>
      <c r="B41" s="75">
        <f>VLOOKUP($A41,'Data Vlaue (Cr)'!$C:$FB,2)</f>
        <v>475</v>
      </c>
      <c r="C41" s="75">
        <f>VLOOKUP($A41,'Data Vlaue (Cr)'!$C:$FB,8)</f>
        <v>2002.2</v>
      </c>
      <c r="D41" s="75">
        <f>VLOOKUP($A41,'Data Vlaue (Cr)'!$C:$FB,4)</f>
        <v>2006</v>
      </c>
      <c r="E41" s="75">
        <f>VLOOKUP($A41,'Data Vlaue (Cr)'!$C:$FB,5)</f>
        <v>1995.5</v>
      </c>
      <c r="F41" s="75">
        <f t="shared" si="0"/>
        <v>3.7999999999999545</v>
      </c>
      <c r="G41" s="75">
        <f t="shared" si="1"/>
        <v>0.52342971086739787</v>
      </c>
      <c r="H41" s="75">
        <f>VLOOKUP($A41,'Data Vlaue (Cr)'!$C:$FB,99)</f>
        <v>15330</v>
      </c>
      <c r="I41" s="75">
        <f>VLOOKUP($A41,'Data Vlaue (Cr)'!$C:$FB,100)</f>
        <v>15474</v>
      </c>
      <c r="J41" s="75">
        <f t="shared" si="2"/>
        <v>-144</v>
      </c>
      <c r="K41" s="75">
        <f t="shared" si="3"/>
        <v>-0.9393346379647749</v>
      </c>
      <c r="L41" s="75">
        <f>VLOOKUP($A41,'Data Vlaue (Cr)'!$C:$FB,67)</f>
        <v>16841</v>
      </c>
      <c r="M41" s="75">
        <f>VLOOKUP($A41,'Data Vlaue (Cr)'!$C:$FB,68)</f>
        <v>15100</v>
      </c>
      <c r="N41" s="75">
        <f t="shared" si="4"/>
        <v>1741</v>
      </c>
      <c r="O41" s="75">
        <f t="shared" si="5"/>
        <v>10.337865922451162</v>
      </c>
      <c r="P41" s="75">
        <f>VLOOKUP($A41,'Data Vlaue (Cr)'!$C:$FB,119)</f>
        <v>0.47</v>
      </c>
      <c r="Q41" s="75">
        <f>VLOOKUP($A41,'Data Vlaue (Cr)'!$C:$FB,122)*100</f>
        <v>4.4400000000000004</v>
      </c>
      <c r="R41" s="75">
        <f>VLOOKUP($A41,'Data Vlaue (Cr)'!$C:$FB,125)</f>
        <v>0.51</v>
      </c>
      <c r="S41" s="75">
        <f>VLOOKUP($A41,'Data Vlaue (Cr)'!$C:$FB,128)*100</f>
        <v>-17.740000000000002</v>
      </c>
    </row>
    <row r="42" spans="1:19" x14ac:dyDescent="0.25">
      <c r="A42" s="96" t="str">
        <f>'Data Vlaue (Cr)'!C33</f>
        <v>BHEL</v>
      </c>
      <c r="B42" s="75">
        <f>VLOOKUP($A42,'Data Vlaue (Cr)'!$C:$FB,2)</f>
        <v>2625</v>
      </c>
      <c r="C42" s="75">
        <f>VLOOKUP($A42,'Data Vlaue (Cr)'!$C:$FB,8)</f>
        <v>251.55</v>
      </c>
      <c r="D42" s="75">
        <f>VLOOKUP($A42,'Data Vlaue (Cr)'!$C:$FB,4)</f>
        <v>251.75</v>
      </c>
      <c r="E42" s="75">
        <f>VLOOKUP($A42,'Data Vlaue (Cr)'!$C:$FB,5)</f>
        <v>252.45</v>
      </c>
      <c r="F42" s="75">
        <f t="shared" si="0"/>
        <v>0.19999999999998863</v>
      </c>
      <c r="G42" s="75">
        <f t="shared" si="1"/>
        <v>-0.27805362462760225</v>
      </c>
      <c r="H42" s="75">
        <f>VLOOKUP($A42,'Data Vlaue (Cr)'!$C:$FB,99)</f>
        <v>6043</v>
      </c>
      <c r="I42" s="75">
        <f>VLOOKUP($A42,'Data Vlaue (Cr)'!$C:$FB,100)</f>
        <v>6152</v>
      </c>
      <c r="J42" s="75">
        <f t="shared" si="2"/>
        <v>-109</v>
      </c>
      <c r="K42" s="75">
        <f t="shared" si="3"/>
        <v>-1.8037398643058082</v>
      </c>
      <c r="L42" s="75">
        <f>VLOOKUP($A42,'Data Vlaue (Cr)'!$C:$FB,67)</f>
        <v>5360</v>
      </c>
      <c r="M42" s="75">
        <f>VLOOKUP($A42,'Data Vlaue (Cr)'!$C:$FB,68)</f>
        <v>9801</v>
      </c>
      <c r="N42" s="75">
        <f t="shared" si="4"/>
        <v>-4441</v>
      </c>
      <c r="O42" s="75">
        <f t="shared" si="5"/>
        <v>-82.854477611940297</v>
      </c>
      <c r="P42" s="75">
        <f>VLOOKUP($A42,'Data Vlaue (Cr)'!$C:$FB,119)</f>
        <v>0.4</v>
      </c>
      <c r="Q42" s="75">
        <f>VLOOKUP($A42,'Data Vlaue (Cr)'!$C:$FB,122)*100</f>
        <v>-2.44</v>
      </c>
      <c r="R42" s="75">
        <f>VLOOKUP($A42,'Data Vlaue (Cr)'!$C:$FB,125)</f>
        <v>0.44</v>
      </c>
      <c r="S42" s="75">
        <f>VLOOKUP($A42,'Data Vlaue (Cr)'!$C:$FB,128)*100</f>
        <v>-13.73</v>
      </c>
    </row>
    <row r="43" spans="1:19" x14ac:dyDescent="0.25">
      <c r="A43" s="96" t="str">
        <f>'Data Vlaue (Cr)'!C34</f>
        <v>BIOCON</v>
      </c>
      <c r="B43" s="75">
        <f>VLOOKUP($A43,'Data Vlaue (Cr)'!$C:$FB,2)</f>
        <v>2500</v>
      </c>
      <c r="C43" s="75">
        <f>VLOOKUP($A43,'Data Vlaue (Cr)'!$C:$FB,8)</f>
        <v>373</v>
      </c>
      <c r="D43" s="75">
        <f>VLOOKUP($A43,'Data Vlaue (Cr)'!$C:$FB,4)</f>
        <v>372.95</v>
      </c>
      <c r="E43" s="75">
        <f>VLOOKUP($A43,'Data Vlaue (Cr)'!$C:$FB,5)</f>
        <v>364.95</v>
      </c>
      <c r="F43" s="75">
        <f t="shared" si="0"/>
        <v>-5.0000000000011369E-2</v>
      </c>
      <c r="G43" s="75">
        <f t="shared" si="1"/>
        <v>2.1450596594717792</v>
      </c>
      <c r="H43" s="75">
        <f>VLOOKUP($A43,'Data Vlaue (Cr)'!$C:$FB,99)</f>
        <v>3502</v>
      </c>
      <c r="I43" s="75">
        <f>VLOOKUP($A43,'Data Vlaue (Cr)'!$C:$FB,100)</f>
        <v>3631</v>
      </c>
      <c r="J43" s="75">
        <f t="shared" si="2"/>
        <v>-129</v>
      </c>
      <c r="K43" s="75">
        <f t="shared" si="3"/>
        <v>-3.6836093660765274</v>
      </c>
      <c r="L43" s="75">
        <f>VLOOKUP($A43,'Data Vlaue (Cr)'!$C:$FB,67)</f>
        <v>2253</v>
      </c>
      <c r="M43" s="75">
        <f>VLOOKUP($A43,'Data Vlaue (Cr)'!$C:$FB,68)</f>
        <v>2660</v>
      </c>
      <c r="N43" s="75">
        <f t="shared" si="4"/>
        <v>-407</v>
      </c>
      <c r="O43" s="75">
        <f t="shared" si="5"/>
        <v>-18.064802485574788</v>
      </c>
      <c r="P43" s="75">
        <f>VLOOKUP($A43,'Data Vlaue (Cr)'!$C:$FB,119)</f>
        <v>0.46</v>
      </c>
      <c r="Q43" s="75">
        <f>VLOOKUP($A43,'Data Vlaue (Cr)'!$C:$FB,122)*100</f>
        <v>6.98</v>
      </c>
      <c r="R43" s="75">
        <f>VLOOKUP($A43,'Data Vlaue (Cr)'!$C:$FB,125)</f>
        <v>0.54</v>
      </c>
      <c r="S43" s="75">
        <f>VLOOKUP($A43,'Data Vlaue (Cr)'!$C:$FB,128)*100</f>
        <v>8</v>
      </c>
    </row>
    <row r="44" spans="1:19" x14ac:dyDescent="0.25">
      <c r="A44" s="96" t="str">
        <f>'Data Vlaue (Cr)'!C35</f>
        <v>BLUESTARCO</v>
      </c>
      <c r="B44" s="75">
        <f>VLOOKUP($A44,'Data Vlaue (Cr)'!$C:$FB,2)</f>
        <v>325</v>
      </c>
      <c r="C44" s="75">
        <f>VLOOKUP($A44,'Data Vlaue (Cr)'!$C:$FB,8)</f>
        <v>1709.3</v>
      </c>
      <c r="D44" s="75">
        <f>VLOOKUP($A44,'Data Vlaue (Cr)'!$C:$FB,4)</f>
        <v>1714.4</v>
      </c>
      <c r="E44" s="75">
        <f>VLOOKUP($A44,'Data Vlaue (Cr)'!$C:$FB,5)</f>
        <v>1710.7</v>
      </c>
      <c r="F44" s="75">
        <f t="shared" si="0"/>
        <v>5.1000000000001364</v>
      </c>
      <c r="G44" s="75">
        <f t="shared" si="1"/>
        <v>0.21581894540364238</v>
      </c>
      <c r="H44" s="75">
        <f>VLOOKUP($A44,'Data Vlaue (Cr)'!$C:$FB,99)</f>
        <v>817</v>
      </c>
      <c r="I44" s="75">
        <f>VLOOKUP($A44,'Data Vlaue (Cr)'!$C:$FB,100)</f>
        <v>837</v>
      </c>
      <c r="J44" s="75">
        <f t="shared" si="2"/>
        <v>-20</v>
      </c>
      <c r="K44" s="75">
        <f t="shared" si="3"/>
        <v>-2.4479804161566707</v>
      </c>
      <c r="L44" s="75">
        <f>VLOOKUP($A44,'Data Vlaue (Cr)'!$C:$FB,67)</f>
        <v>666</v>
      </c>
      <c r="M44" s="75">
        <f>VLOOKUP($A44,'Data Vlaue (Cr)'!$C:$FB,68)</f>
        <v>1424</v>
      </c>
      <c r="N44" s="75">
        <f t="shared" si="4"/>
        <v>-758</v>
      </c>
      <c r="O44" s="75">
        <f t="shared" si="5"/>
        <v>-113.81381381381381</v>
      </c>
      <c r="P44" s="75">
        <f>VLOOKUP($A44,'Data Vlaue (Cr)'!$C:$FB,119)</f>
        <v>0.98</v>
      </c>
      <c r="Q44" s="75">
        <f>VLOOKUP($A44,'Data Vlaue (Cr)'!$C:$FB,122)*100</f>
        <v>-2</v>
      </c>
      <c r="R44" s="75">
        <f>VLOOKUP($A44,'Data Vlaue (Cr)'!$C:$FB,125)</f>
        <v>0.66</v>
      </c>
      <c r="S44" s="75">
        <f>VLOOKUP($A44,'Data Vlaue (Cr)'!$C:$FB,128)*100</f>
        <v>-59.260000000000005</v>
      </c>
    </row>
    <row r="45" spans="1:19" x14ac:dyDescent="0.25">
      <c r="A45" s="96" t="str">
        <f>'Data Vlaue (Cr)'!C36</f>
        <v>BOSCHLTD</v>
      </c>
      <c r="B45" s="75">
        <f>VLOOKUP($A45,'Data Vlaue (Cr)'!$C:$FB,2)</f>
        <v>25</v>
      </c>
      <c r="C45" s="75">
        <f>VLOOKUP($A45,'Data Vlaue (Cr)'!$C:$FB,8)</f>
        <v>35710</v>
      </c>
      <c r="D45" s="75">
        <f>VLOOKUP($A45,'Data Vlaue (Cr)'!$C:$FB,4)</f>
        <v>35825</v>
      </c>
      <c r="E45" s="75">
        <f>VLOOKUP($A45,'Data Vlaue (Cr)'!$C:$FB,5)</f>
        <v>35175</v>
      </c>
      <c r="F45" s="75">
        <f t="shared" si="0"/>
        <v>115</v>
      </c>
      <c r="G45" s="75">
        <f t="shared" si="1"/>
        <v>1.8143754361479414</v>
      </c>
      <c r="H45" s="75">
        <f>VLOOKUP($A45,'Data Vlaue (Cr)'!$C:$FB,99)</f>
        <v>2667</v>
      </c>
      <c r="I45" s="75">
        <f>VLOOKUP($A45,'Data Vlaue (Cr)'!$C:$FB,100)</f>
        <v>2694</v>
      </c>
      <c r="J45" s="75">
        <f t="shared" si="2"/>
        <v>-27</v>
      </c>
      <c r="K45" s="75">
        <f t="shared" si="3"/>
        <v>-1.0123734533183353</v>
      </c>
      <c r="L45" s="75">
        <f>VLOOKUP($A45,'Data Vlaue (Cr)'!$C:$FB,67)</f>
        <v>3698</v>
      </c>
      <c r="M45" s="75">
        <f>VLOOKUP($A45,'Data Vlaue (Cr)'!$C:$FB,68)</f>
        <v>3545</v>
      </c>
      <c r="N45" s="75">
        <f t="shared" si="4"/>
        <v>153</v>
      </c>
      <c r="O45" s="75">
        <f t="shared" si="5"/>
        <v>4.1373715521903733</v>
      </c>
      <c r="P45" s="75">
        <f>VLOOKUP($A45,'Data Vlaue (Cr)'!$C:$FB,119)</f>
        <v>0.27</v>
      </c>
      <c r="Q45" s="75">
        <f>VLOOKUP($A45,'Data Vlaue (Cr)'!$C:$FB,122)*100</f>
        <v>0</v>
      </c>
      <c r="R45" s="75">
        <f>VLOOKUP($A45,'Data Vlaue (Cr)'!$C:$FB,125)</f>
        <v>0.17</v>
      </c>
      <c r="S45" s="75">
        <f>VLOOKUP($A45,'Data Vlaue (Cr)'!$C:$FB,128)*100</f>
        <v>-50</v>
      </c>
    </row>
    <row r="46" spans="1:19" x14ac:dyDescent="0.25">
      <c r="A46" s="96" t="str">
        <f>'Data Vlaue (Cr)'!C37</f>
        <v>BPCL</v>
      </c>
      <c r="B46" s="75">
        <f>VLOOKUP($A46,'Data Vlaue (Cr)'!$C:$FB,2)</f>
        <v>1975</v>
      </c>
      <c r="C46" s="75">
        <f>VLOOKUP($A46,'Data Vlaue (Cr)'!$C:$FB,8)</f>
        <v>354.15</v>
      </c>
      <c r="D46" s="75">
        <f>VLOOKUP($A46,'Data Vlaue (Cr)'!$C:$FB,4)</f>
        <v>354.1</v>
      </c>
      <c r="E46" s="75">
        <f>VLOOKUP($A46,'Data Vlaue (Cr)'!$C:$FB,5)</f>
        <v>351.3</v>
      </c>
      <c r="F46" s="75">
        <f t="shared" si="0"/>
        <v>-4.9999999999954525E-2</v>
      </c>
      <c r="G46" s="75">
        <f t="shared" si="1"/>
        <v>0.79073707992092945</v>
      </c>
      <c r="H46" s="75">
        <f>VLOOKUP($A46,'Data Vlaue (Cr)'!$C:$FB,99)</f>
        <v>2283</v>
      </c>
      <c r="I46" s="75">
        <f>VLOOKUP($A46,'Data Vlaue (Cr)'!$C:$FB,100)</f>
        <v>2381</v>
      </c>
      <c r="J46" s="75">
        <f t="shared" si="2"/>
        <v>-98</v>
      </c>
      <c r="K46" s="75">
        <f t="shared" si="3"/>
        <v>-4.2925974594831366</v>
      </c>
      <c r="L46" s="75">
        <f>VLOOKUP($A46,'Data Vlaue (Cr)'!$C:$FB,67)</f>
        <v>2183</v>
      </c>
      <c r="M46" s="75">
        <f>VLOOKUP($A46,'Data Vlaue (Cr)'!$C:$FB,68)</f>
        <v>2651</v>
      </c>
      <c r="N46" s="75">
        <f t="shared" si="4"/>
        <v>-468</v>
      </c>
      <c r="O46" s="75">
        <f t="shared" si="5"/>
        <v>-21.438387540082456</v>
      </c>
      <c r="P46" s="75">
        <f>VLOOKUP($A46,'Data Vlaue (Cr)'!$C:$FB,119)</f>
        <v>0.56000000000000005</v>
      </c>
      <c r="Q46" s="75">
        <f>VLOOKUP($A46,'Data Vlaue (Cr)'!$C:$FB,122)*100</f>
        <v>5.66</v>
      </c>
      <c r="R46" s="75">
        <f>VLOOKUP($A46,'Data Vlaue (Cr)'!$C:$FB,125)</f>
        <v>0.82</v>
      </c>
      <c r="S46" s="75">
        <f>VLOOKUP($A46,'Data Vlaue (Cr)'!$C:$FB,128)*100</f>
        <v>7.89</v>
      </c>
    </row>
    <row r="47" spans="1:19" x14ac:dyDescent="0.25">
      <c r="A47" s="96" t="str">
        <f>'Data Vlaue (Cr)'!C38</f>
        <v>BRITANNIA</v>
      </c>
      <c r="B47" s="75">
        <f>VLOOKUP($A47,'Data Vlaue (Cr)'!$C:$FB,2)</f>
        <v>125</v>
      </c>
      <c r="C47" s="75">
        <f>VLOOKUP($A47,'Data Vlaue (Cr)'!$C:$FB,8)</f>
        <v>5932</v>
      </c>
      <c r="D47" s="75">
        <f>VLOOKUP($A47,'Data Vlaue (Cr)'!$C:$FB,4)</f>
        <v>5937.5</v>
      </c>
      <c r="E47" s="75">
        <f>VLOOKUP($A47,'Data Vlaue (Cr)'!$C:$FB,5)</f>
        <v>5818</v>
      </c>
      <c r="F47" s="75">
        <f t="shared" si="0"/>
        <v>5.5</v>
      </c>
      <c r="G47" s="75">
        <f t="shared" si="1"/>
        <v>2.0126315789473681</v>
      </c>
      <c r="H47" s="75">
        <f>VLOOKUP($A47,'Data Vlaue (Cr)'!$C:$FB,99)</f>
        <v>2749</v>
      </c>
      <c r="I47" s="75">
        <f>VLOOKUP($A47,'Data Vlaue (Cr)'!$C:$FB,100)</f>
        <v>2884</v>
      </c>
      <c r="J47" s="75">
        <f t="shared" si="2"/>
        <v>-135</v>
      </c>
      <c r="K47" s="75">
        <f t="shared" si="3"/>
        <v>-4.9108766824299748</v>
      </c>
      <c r="L47" s="75">
        <f>VLOOKUP($A47,'Data Vlaue (Cr)'!$C:$FB,67)</f>
        <v>3583</v>
      </c>
      <c r="M47" s="75">
        <f>VLOOKUP($A47,'Data Vlaue (Cr)'!$C:$FB,68)</f>
        <v>2561</v>
      </c>
      <c r="N47" s="75">
        <f t="shared" si="4"/>
        <v>1022</v>
      </c>
      <c r="O47" s="75">
        <f t="shared" si="5"/>
        <v>28.523583589171086</v>
      </c>
      <c r="P47" s="75">
        <f>VLOOKUP($A47,'Data Vlaue (Cr)'!$C:$FB,119)</f>
        <v>0.6</v>
      </c>
      <c r="Q47" s="75">
        <f>VLOOKUP($A47,'Data Vlaue (Cr)'!$C:$FB,122)*100</f>
        <v>27.66</v>
      </c>
      <c r="R47" s="75">
        <f>VLOOKUP($A47,'Data Vlaue (Cr)'!$C:$FB,125)</f>
        <v>0.49</v>
      </c>
      <c r="S47" s="75">
        <f>VLOOKUP($A47,'Data Vlaue (Cr)'!$C:$FB,128)*100</f>
        <v>-30</v>
      </c>
    </row>
    <row r="48" spans="1:19" x14ac:dyDescent="0.25">
      <c r="A48" s="96" t="str">
        <f>'Data Vlaue (Cr)'!C39</f>
        <v>BSE</v>
      </c>
      <c r="B48" s="75">
        <f>VLOOKUP($A48,'Data Vlaue (Cr)'!$C:$FB,2)</f>
        <v>375</v>
      </c>
      <c r="C48" s="75">
        <f>VLOOKUP($A48,'Data Vlaue (Cr)'!$C:$FB,8)</f>
        <v>2708.6</v>
      </c>
      <c r="D48" s="75">
        <f>VLOOKUP($A48,'Data Vlaue (Cr)'!$C:$FB,4)</f>
        <v>2707.5</v>
      </c>
      <c r="E48" s="75">
        <f>VLOOKUP($A48,'Data Vlaue (Cr)'!$C:$FB,5)</f>
        <v>2627.6</v>
      </c>
      <c r="F48" s="75">
        <f t="shared" si="0"/>
        <v>-1.0999999999999091</v>
      </c>
      <c r="G48" s="75">
        <f t="shared" si="1"/>
        <v>2.9510618651892924</v>
      </c>
      <c r="H48" s="75">
        <f>VLOOKUP($A48,'Data Vlaue (Cr)'!$C:$FB,99)</f>
        <v>6889</v>
      </c>
      <c r="I48" s="75">
        <f>VLOOKUP($A48,'Data Vlaue (Cr)'!$C:$FB,100)</f>
        <v>7707</v>
      </c>
      <c r="J48" s="75">
        <f t="shared" si="2"/>
        <v>-818</v>
      </c>
      <c r="K48" s="75">
        <f t="shared" si="3"/>
        <v>-11.874002032225286</v>
      </c>
      <c r="L48" s="75">
        <f>VLOOKUP($A48,'Data Vlaue (Cr)'!$C:$FB,67)</f>
        <v>13240</v>
      </c>
      <c r="M48" s="75">
        <f>VLOOKUP($A48,'Data Vlaue (Cr)'!$C:$FB,68)</f>
        <v>15310</v>
      </c>
      <c r="N48" s="75">
        <f t="shared" si="4"/>
        <v>-2070</v>
      </c>
      <c r="O48" s="75">
        <f t="shared" si="5"/>
        <v>-15.634441087613293</v>
      </c>
      <c r="P48" s="75">
        <f>VLOOKUP($A48,'Data Vlaue (Cr)'!$C:$FB,119)</f>
        <v>0.59</v>
      </c>
      <c r="Q48" s="75">
        <f>VLOOKUP($A48,'Data Vlaue (Cr)'!$C:$FB,122)*100</f>
        <v>18</v>
      </c>
      <c r="R48" s="75">
        <f>VLOOKUP($A48,'Data Vlaue (Cr)'!$C:$FB,125)</f>
        <v>0.49</v>
      </c>
      <c r="S48" s="75">
        <f>VLOOKUP($A48,'Data Vlaue (Cr)'!$C:$FB,128)*100</f>
        <v>-36.36</v>
      </c>
    </row>
    <row r="49" spans="1:19" x14ac:dyDescent="0.25">
      <c r="A49" s="96" t="str">
        <f>'Data Vlaue (Cr)'!C40</f>
        <v>CAMS</v>
      </c>
      <c r="B49" s="75">
        <f>VLOOKUP($A49,'Data Vlaue (Cr)'!$C:$FB,2)</f>
        <v>750</v>
      </c>
      <c r="C49" s="75">
        <f>VLOOKUP($A49,'Data Vlaue (Cr)'!$C:$FB,8)</f>
        <v>707.75</v>
      </c>
      <c r="D49" s="75">
        <f>VLOOKUP($A49,'Data Vlaue (Cr)'!$C:$FB,4)</f>
        <v>710.4</v>
      </c>
      <c r="E49" s="75">
        <f>VLOOKUP($A49,'Data Vlaue (Cr)'!$C:$FB,5)</f>
        <v>701.25</v>
      </c>
      <c r="F49" s="75">
        <f t="shared" si="0"/>
        <v>2.6499999999999773</v>
      </c>
      <c r="G49" s="75">
        <f t="shared" si="1"/>
        <v>1.2880067567567537</v>
      </c>
      <c r="H49" s="75">
        <f>VLOOKUP($A49,'Data Vlaue (Cr)'!$C:$FB,99)</f>
        <v>1163</v>
      </c>
      <c r="I49" s="75">
        <f>VLOOKUP($A49,'Data Vlaue (Cr)'!$C:$FB,100)</f>
        <v>1058</v>
      </c>
      <c r="J49" s="75">
        <f t="shared" si="2"/>
        <v>105</v>
      </c>
      <c r="K49" s="75">
        <f t="shared" si="3"/>
        <v>9.0283748925193468</v>
      </c>
      <c r="L49" s="75">
        <f>VLOOKUP($A49,'Data Vlaue (Cr)'!$C:$FB,67)</f>
        <v>4561</v>
      </c>
      <c r="M49" s="75">
        <f>VLOOKUP($A49,'Data Vlaue (Cr)'!$C:$FB,68)</f>
        <v>1317</v>
      </c>
      <c r="N49" s="75">
        <f t="shared" si="4"/>
        <v>3244</v>
      </c>
      <c r="O49" s="75">
        <f t="shared" si="5"/>
        <v>71.124753343565004</v>
      </c>
      <c r="P49" s="75">
        <f>VLOOKUP($A49,'Data Vlaue (Cr)'!$C:$FB,119)</f>
        <v>0.67</v>
      </c>
      <c r="Q49" s="75">
        <f>VLOOKUP($A49,'Data Vlaue (Cr)'!$C:$FB,122)*100</f>
        <v>-10.67</v>
      </c>
      <c r="R49" s="75">
        <f>VLOOKUP($A49,'Data Vlaue (Cr)'!$C:$FB,125)</f>
        <v>0.5</v>
      </c>
      <c r="S49" s="75">
        <f>VLOOKUP($A49,'Data Vlaue (Cr)'!$C:$FB,128)*100</f>
        <v>-58.68</v>
      </c>
    </row>
    <row r="50" spans="1:19" x14ac:dyDescent="0.25">
      <c r="A50" s="96" t="str">
        <f>'Data Vlaue (Cr)'!C41</f>
        <v>CANBK</v>
      </c>
      <c r="B50" s="75">
        <f>VLOOKUP($A50,'Data Vlaue (Cr)'!$C:$FB,2)</f>
        <v>6750</v>
      </c>
      <c r="C50" s="75">
        <f>VLOOKUP($A50,'Data Vlaue (Cr)'!$C:$FB,8)</f>
        <v>154.68</v>
      </c>
      <c r="D50" s="75">
        <f>VLOOKUP($A50,'Data Vlaue (Cr)'!$C:$FB,4)</f>
        <v>154.6</v>
      </c>
      <c r="E50" s="75">
        <f>VLOOKUP($A50,'Data Vlaue (Cr)'!$C:$FB,5)</f>
        <v>151.21</v>
      </c>
      <c r="F50" s="75">
        <f t="shared" si="0"/>
        <v>-8.0000000000012506E-2</v>
      </c>
      <c r="G50" s="75">
        <f t="shared" si="1"/>
        <v>2.1927554980594994</v>
      </c>
      <c r="H50" s="75">
        <f>VLOOKUP($A50,'Data Vlaue (Cr)'!$C:$FB,99)</f>
        <v>5602</v>
      </c>
      <c r="I50" s="75">
        <f>VLOOKUP($A50,'Data Vlaue (Cr)'!$C:$FB,100)</f>
        <v>5676</v>
      </c>
      <c r="J50" s="75">
        <f t="shared" si="2"/>
        <v>-74</v>
      </c>
      <c r="K50" s="75">
        <f t="shared" si="3"/>
        <v>-1.3209568011424491</v>
      </c>
      <c r="L50" s="75">
        <f>VLOOKUP($A50,'Data Vlaue (Cr)'!$C:$FB,67)</f>
        <v>6155</v>
      </c>
      <c r="M50" s="75">
        <f>VLOOKUP($A50,'Data Vlaue (Cr)'!$C:$FB,68)</f>
        <v>8923</v>
      </c>
      <c r="N50" s="75">
        <f t="shared" si="4"/>
        <v>-2768</v>
      </c>
      <c r="O50" s="75">
        <f t="shared" si="5"/>
        <v>-44.971567831031685</v>
      </c>
      <c r="P50" s="75">
        <f>VLOOKUP($A50,'Data Vlaue (Cr)'!$C:$FB,119)</f>
        <v>0.9</v>
      </c>
      <c r="Q50" s="75">
        <f>VLOOKUP($A50,'Data Vlaue (Cr)'!$C:$FB,122)*100</f>
        <v>11.110000000000001</v>
      </c>
      <c r="R50" s="75">
        <f>VLOOKUP($A50,'Data Vlaue (Cr)'!$C:$FB,125)</f>
        <v>0.65</v>
      </c>
      <c r="S50" s="75">
        <f>VLOOKUP($A50,'Data Vlaue (Cr)'!$C:$FB,128)*100</f>
        <v>20.369999999999997</v>
      </c>
    </row>
    <row r="51" spans="1:19" x14ac:dyDescent="0.25">
      <c r="A51" s="96" t="str">
        <f>'Data Vlaue (Cr)'!C42</f>
        <v>CDSL</v>
      </c>
      <c r="B51" s="75">
        <f>VLOOKUP($A51,'Data Vlaue (Cr)'!$C:$FB,2)</f>
        <v>475</v>
      </c>
      <c r="C51" s="75">
        <f>VLOOKUP($A51,'Data Vlaue (Cr)'!$C:$FB,8)</f>
        <v>1356.6</v>
      </c>
      <c r="D51" s="75">
        <f>VLOOKUP($A51,'Data Vlaue (Cr)'!$C:$FB,4)</f>
        <v>1359.6</v>
      </c>
      <c r="E51" s="75">
        <f>VLOOKUP($A51,'Data Vlaue (Cr)'!$C:$FB,5)</f>
        <v>1337.6</v>
      </c>
      <c r="F51" s="75">
        <f t="shared" si="0"/>
        <v>3</v>
      </c>
      <c r="G51" s="75">
        <f t="shared" si="1"/>
        <v>1.6181229773462786</v>
      </c>
      <c r="H51" s="75">
        <f>VLOOKUP($A51,'Data Vlaue (Cr)'!$C:$FB,99)</f>
        <v>3644</v>
      </c>
      <c r="I51" s="75">
        <f>VLOOKUP($A51,'Data Vlaue (Cr)'!$C:$FB,100)</f>
        <v>3830</v>
      </c>
      <c r="J51" s="75">
        <f t="shared" si="2"/>
        <v>-186</v>
      </c>
      <c r="K51" s="75">
        <f t="shared" si="3"/>
        <v>-5.1042810098792541</v>
      </c>
      <c r="L51" s="75">
        <f>VLOOKUP($A51,'Data Vlaue (Cr)'!$C:$FB,67)</f>
        <v>4113</v>
      </c>
      <c r="M51" s="75">
        <f>VLOOKUP($A51,'Data Vlaue (Cr)'!$C:$FB,68)</f>
        <v>5359</v>
      </c>
      <c r="N51" s="75">
        <f t="shared" si="4"/>
        <v>-1246</v>
      </c>
      <c r="O51" s="75">
        <f t="shared" si="5"/>
        <v>-30.29418915633358</v>
      </c>
      <c r="P51" s="75">
        <f>VLOOKUP($A51,'Data Vlaue (Cr)'!$C:$FB,119)</f>
        <v>0.63</v>
      </c>
      <c r="Q51" s="75">
        <f>VLOOKUP($A51,'Data Vlaue (Cr)'!$C:$FB,122)*100</f>
        <v>18.87</v>
      </c>
      <c r="R51" s="75">
        <f>VLOOKUP($A51,'Data Vlaue (Cr)'!$C:$FB,125)</f>
        <v>0.35</v>
      </c>
      <c r="S51" s="75">
        <f>VLOOKUP($A51,'Data Vlaue (Cr)'!$C:$FB,128)*100</f>
        <v>-43.55</v>
      </c>
    </row>
    <row r="52" spans="1:19" x14ac:dyDescent="0.25">
      <c r="A52" s="96" t="str">
        <f>'Data Vlaue (Cr)'!C43</f>
        <v>CGPOWER</v>
      </c>
      <c r="B52" s="75">
        <f>VLOOKUP($A52,'Data Vlaue (Cr)'!$C:$FB,2)</f>
        <v>850</v>
      </c>
      <c r="C52" s="75">
        <f>VLOOKUP($A52,'Data Vlaue (Cr)'!$C:$FB,8)</f>
        <v>574.25</v>
      </c>
      <c r="D52" s="75">
        <f>VLOOKUP($A52,'Data Vlaue (Cr)'!$C:$FB,4)</f>
        <v>575.1</v>
      </c>
      <c r="E52" s="75">
        <f>VLOOKUP($A52,'Data Vlaue (Cr)'!$C:$FB,5)</f>
        <v>575.15</v>
      </c>
      <c r="F52" s="75">
        <f t="shared" si="0"/>
        <v>0.85000000000002274</v>
      </c>
      <c r="G52" s="75">
        <f t="shared" si="1"/>
        <v>-8.6941401495313035E-3</v>
      </c>
      <c r="H52" s="75">
        <f>VLOOKUP($A52,'Data Vlaue (Cr)'!$C:$FB,99)</f>
        <v>2399</v>
      </c>
      <c r="I52" s="75">
        <f>VLOOKUP($A52,'Data Vlaue (Cr)'!$C:$FB,100)</f>
        <v>2570</v>
      </c>
      <c r="J52" s="75">
        <f t="shared" si="2"/>
        <v>-171</v>
      </c>
      <c r="K52" s="75">
        <f t="shared" si="3"/>
        <v>-7.1279699874947893</v>
      </c>
      <c r="L52" s="75">
        <f>VLOOKUP($A52,'Data Vlaue (Cr)'!$C:$FB,67)</f>
        <v>2092</v>
      </c>
      <c r="M52" s="75">
        <f>VLOOKUP($A52,'Data Vlaue (Cr)'!$C:$FB,68)</f>
        <v>3309</v>
      </c>
      <c r="N52" s="75">
        <f t="shared" si="4"/>
        <v>-1217</v>
      </c>
      <c r="O52" s="75">
        <f t="shared" si="5"/>
        <v>-58.173996175908229</v>
      </c>
      <c r="P52" s="75">
        <f>VLOOKUP($A52,'Data Vlaue (Cr)'!$C:$FB,119)</f>
        <v>0.51</v>
      </c>
      <c r="Q52" s="75">
        <f>VLOOKUP($A52,'Data Vlaue (Cr)'!$C:$FB,122)*100</f>
        <v>0</v>
      </c>
      <c r="R52" s="75">
        <f>VLOOKUP($A52,'Data Vlaue (Cr)'!$C:$FB,125)</f>
        <v>0.46</v>
      </c>
      <c r="S52" s="75">
        <f>VLOOKUP($A52,'Data Vlaue (Cr)'!$C:$FB,128)*100</f>
        <v>-25.81</v>
      </c>
    </row>
    <row r="53" spans="1:19" x14ac:dyDescent="0.25">
      <c r="A53" s="96" t="str">
        <f>'Data Vlaue (Cr)'!C44</f>
        <v>CHOLAFIN</v>
      </c>
      <c r="B53" s="75">
        <f>VLOOKUP($A53,'Data Vlaue (Cr)'!$C:$FB,2)</f>
        <v>625</v>
      </c>
      <c r="C53" s="75">
        <f>VLOOKUP($A53,'Data Vlaue (Cr)'!$C:$FB,8)</f>
        <v>1664</v>
      </c>
      <c r="D53" s="75">
        <f>VLOOKUP($A53,'Data Vlaue (Cr)'!$C:$FB,4)</f>
        <v>1665.2</v>
      </c>
      <c r="E53" s="75">
        <f>VLOOKUP($A53,'Data Vlaue (Cr)'!$C:$FB,5)</f>
        <v>1629.8</v>
      </c>
      <c r="F53" s="75">
        <f t="shared" si="0"/>
        <v>1.2000000000000455</v>
      </c>
      <c r="G53" s="75">
        <f t="shared" si="1"/>
        <v>2.125870766274327</v>
      </c>
      <c r="H53" s="75">
        <f>VLOOKUP($A53,'Data Vlaue (Cr)'!$C:$FB,99)</f>
        <v>3981</v>
      </c>
      <c r="I53" s="75">
        <f>VLOOKUP($A53,'Data Vlaue (Cr)'!$C:$FB,100)</f>
        <v>4103</v>
      </c>
      <c r="J53" s="75">
        <f t="shared" si="2"/>
        <v>-122</v>
      </c>
      <c r="K53" s="75">
        <f t="shared" si="3"/>
        <v>-3.0645566440592815</v>
      </c>
      <c r="L53" s="75">
        <f>VLOOKUP($A53,'Data Vlaue (Cr)'!$C:$FB,67)</f>
        <v>3670</v>
      </c>
      <c r="M53" s="75">
        <f>VLOOKUP($A53,'Data Vlaue (Cr)'!$C:$FB,68)</f>
        <v>3147</v>
      </c>
      <c r="N53" s="75">
        <f t="shared" si="4"/>
        <v>523</v>
      </c>
      <c r="O53" s="75">
        <f t="shared" si="5"/>
        <v>14.250681198910081</v>
      </c>
      <c r="P53" s="75">
        <f>VLOOKUP($A53,'Data Vlaue (Cr)'!$C:$FB,119)</f>
        <v>0.72</v>
      </c>
      <c r="Q53" s="75">
        <f>VLOOKUP($A53,'Data Vlaue (Cr)'!$C:$FB,122)*100</f>
        <v>9.09</v>
      </c>
      <c r="R53" s="75">
        <f>VLOOKUP($A53,'Data Vlaue (Cr)'!$C:$FB,125)</f>
        <v>0.56999999999999995</v>
      </c>
      <c r="S53" s="75">
        <f>VLOOKUP($A53,'Data Vlaue (Cr)'!$C:$FB,128)*100</f>
        <v>-21.92</v>
      </c>
    </row>
    <row r="54" spans="1:19" x14ac:dyDescent="0.25">
      <c r="A54" s="96" t="str">
        <f>'Data Vlaue (Cr)'!C45</f>
        <v>CIPLA</v>
      </c>
      <c r="B54" s="75">
        <f>VLOOKUP($A54,'Data Vlaue (Cr)'!$C:$FB,2)</f>
        <v>375</v>
      </c>
      <c r="C54" s="75">
        <f>VLOOKUP($A54,'Data Vlaue (Cr)'!$C:$FB,8)</f>
        <v>1370.4</v>
      </c>
      <c r="D54" s="75">
        <f>VLOOKUP($A54,'Data Vlaue (Cr)'!$C:$FB,4)</f>
        <v>1373.3</v>
      </c>
      <c r="E54" s="75">
        <f>VLOOKUP($A54,'Data Vlaue (Cr)'!$C:$FB,5)</f>
        <v>1368.2</v>
      </c>
      <c r="F54" s="75">
        <f t="shared" si="0"/>
        <v>2.8999999999998636</v>
      </c>
      <c r="G54" s="75">
        <f t="shared" si="1"/>
        <v>0.37136823709312672</v>
      </c>
      <c r="H54" s="75">
        <f>VLOOKUP($A54,'Data Vlaue (Cr)'!$C:$FB,99)</f>
        <v>3927</v>
      </c>
      <c r="I54" s="75">
        <f>VLOOKUP($A54,'Data Vlaue (Cr)'!$C:$FB,100)</f>
        <v>3914</v>
      </c>
      <c r="J54" s="75">
        <f t="shared" si="2"/>
        <v>13</v>
      </c>
      <c r="K54" s="75">
        <f t="shared" si="3"/>
        <v>0.33104150751209571</v>
      </c>
      <c r="L54" s="75">
        <f>VLOOKUP($A54,'Data Vlaue (Cr)'!$C:$FB,67)</f>
        <v>3154</v>
      </c>
      <c r="M54" s="75">
        <f>VLOOKUP($A54,'Data Vlaue (Cr)'!$C:$FB,68)</f>
        <v>3451</v>
      </c>
      <c r="N54" s="75">
        <f t="shared" si="4"/>
        <v>-297</v>
      </c>
      <c r="O54" s="75">
        <f t="shared" si="5"/>
        <v>-9.4166138237159167</v>
      </c>
      <c r="P54" s="75">
        <f>VLOOKUP($A54,'Data Vlaue (Cr)'!$C:$FB,119)</f>
        <v>0.76</v>
      </c>
      <c r="Q54" s="75">
        <f>VLOOKUP($A54,'Data Vlaue (Cr)'!$C:$FB,122)*100</f>
        <v>-1.3</v>
      </c>
      <c r="R54" s="75">
        <f>VLOOKUP($A54,'Data Vlaue (Cr)'!$C:$FB,125)</f>
        <v>0.6</v>
      </c>
      <c r="S54" s="75">
        <f>VLOOKUP($A54,'Data Vlaue (Cr)'!$C:$FB,128)*100</f>
        <v>-20</v>
      </c>
    </row>
    <row r="55" spans="1:19" x14ac:dyDescent="0.25">
      <c r="A55" s="96" t="str">
        <f>'Data Vlaue (Cr)'!C46</f>
        <v>COALINDIA</v>
      </c>
      <c r="B55" s="75">
        <f>VLOOKUP($A55,'Data Vlaue (Cr)'!$C:$FB,2)</f>
        <v>1350</v>
      </c>
      <c r="C55" s="75">
        <f>VLOOKUP($A55,'Data Vlaue (Cr)'!$C:$FB,8)</f>
        <v>423.2</v>
      </c>
      <c r="D55" s="75">
        <f>VLOOKUP($A55,'Data Vlaue (Cr)'!$C:$FB,4)</f>
        <v>422.95</v>
      </c>
      <c r="E55" s="75">
        <f>VLOOKUP($A55,'Data Vlaue (Cr)'!$C:$FB,5)</f>
        <v>414.1</v>
      </c>
      <c r="F55" s="75">
        <f t="shared" si="0"/>
        <v>-0.25</v>
      </c>
      <c r="G55" s="75">
        <f t="shared" si="1"/>
        <v>2.0924459155928514</v>
      </c>
      <c r="H55" s="75">
        <f>VLOOKUP($A55,'Data Vlaue (Cr)'!$C:$FB,99)</f>
        <v>5740</v>
      </c>
      <c r="I55" s="75">
        <f>VLOOKUP($A55,'Data Vlaue (Cr)'!$C:$FB,100)</f>
        <v>5908</v>
      </c>
      <c r="J55" s="75">
        <f t="shared" si="2"/>
        <v>-168</v>
      </c>
      <c r="K55" s="75">
        <f t="shared" si="3"/>
        <v>-2.9268292682926833</v>
      </c>
      <c r="L55" s="75">
        <f>VLOOKUP($A55,'Data Vlaue (Cr)'!$C:$FB,67)</f>
        <v>6862</v>
      </c>
      <c r="M55" s="75">
        <f>VLOOKUP($A55,'Data Vlaue (Cr)'!$C:$FB,68)</f>
        <v>6282</v>
      </c>
      <c r="N55" s="75">
        <f t="shared" si="4"/>
        <v>580</v>
      </c>
      <c r="O55" s="75">
        <f t="shared" si="5"/>
        <v>8.4523462547362289</v>
      </c>
      <c r="P55" s="75">
        <f>VLOOKUP($A55,'Data Vlaue (Cr)'!$C:$FB,119)</f>
        <v>0.5</v>
      </c>
      <c r="Q55" s="75">
        <f>VLOOKUP($A55,'Data Vlaue (Cr)'!$C:$FB,122)*100</f>
        <v>8.6999999999999993</v>
      </c>
      <c r="R55" s="75">
        <f>VLOOKUP($A55,'Data Vlaue (Cr)'!$C:$FB,125)</f>
        <v>0.43</v>
      </c>
      <c r="S55" s="75">
        <f>VLOOKUP($A55,'Data Vlaue (Cr)'!$C:$FB,128)*100</f>
        <v>-8.51</v>
      </c>
    </row>
    <row r="56" spans="1:19" x14ac:dyDescent="0.25">
      <c r="A56" s="96" t="str">
        <f>'Data Vlaue (Cr)'!C47</f>
        <v>COFORGE</v>
      </c>
      <c r="B56" s="75">
        <f>VLOOKUP($A56,'Data Vlaue (Cr)'!$C:$FB,2)</f>
        <v>375</v>
      </c>
      <c r="C56" s="75">
        <f>VLOOKUP($A56,'Data Vlaue (Cr)'!$C:$FB,8)</f>
        <v>1687.7</v>
      </c>
      <c r="D56" s="75">
        <f>VLOOKUP($A56,'Data Vlaue (Cr)'!$C:$FB,4)</f>
        <v>1692.3</v>
      </c>
      <c r="E56" s="75">
        <f>VLOOKUP($A56,'Data Vlaue (Cr)'!$C:$FB,5)</f>
        <v>1664.1</v>
      </c>
      <c r="F56" s="75">
        <f t="shared" si="0"/>
        <v>4.5999999999999091</v>
      </c>
      <c r="G56" s="75">
        <f t="shared" si="1"/>
        <v>1.6663712107782336</v>
      </c>
      <c r="H56" s="75">
        <f>VLOOKUP($A56,'Data Vlaue (Cr)'!$C:$FB,99)</f>
        <v>4840</v>
      </c>
      <c r="I56" s="75">
        <f>VLOOKUP($A56,'Data Vlaue (Cr)'!$C:$FB,100)</f>
        <v>4677</v>
      </c>
      <c r="J56" s="75">
        <f t="shared" si="2"/>
        <v>163</v>
      </c>
      <c r="K56" s="75">
        <f t="shared" si="3"/>
        <v>3.3677685950413228</v>
      </c>
      <c r="L56" s="75">
        <f>VLOOKUP($A56,'Data Vlaue (Cr)'!$C:$FB,67)</f>
        <v>8475</v>
      </c>
      <c r="M56" s="75">
        <f>VLOOKUP($A56,'Data Vlaue (Cr)'!$C:$FB,68)</f>
        <v>9323</v>
      </c>
      <c r="N56" s="75">
        <f t="shared" si="4"/>
        <v>-848</v>
      </c>
      <c r="O56" s="75">
        <f t="shared" si="5"/>
        <v>-10.00589970501475</v>
      </c>
      <c r="P56" s="75">
        <f>VLOOKUP($A56,'Data Vlaue (Cr)'!$C:$FB,119)</f>
        <v>0.56999999999999995</v>
      </c>
      <c r="Q56" s="75">
        <f>VLOOKUP($A56,'Data Vlaue (Cr)'!$C:$FB,122)*100</f>
        <v>0</v>
      </c>
      <c r="R56" s="75">
        <f>VLOOKUP($A56,'Data Vlaue (Cr)'!$C:$FB,125)</f>
        <v>0.66</v>
      </c>
      <c r="S56" s="75">
        <f>VLOOKUP($A56,'Data Vlaue (Cr)'!$C:$FB,128)*100</f>
        <v>-25.840000000000003</v>
      </c>
    </row>
    <row r="57" spans="1:19" x14ac:dyDescent="0.25">
      <c r="A57" s="96" t="str">
        <f>'Data Vlaue (Cr)'!C48</f>
        <v>COLPAL</v>
      </c>
      <c r="B57" s="75">
        <f>VLOOKUP($A57,'Data Vlaue (Cr)'!$C:$FB,2)</f>
        <v>225</v>
      </c>
      <c r="C57" s="75">
        <f>VLOOKUP($A57,'Data Vlaue (Cr)'!$C:$FB,8)</f>
        <v>2179.6</v>
      </c>
      <c r="D57" s="75">
        <f>VLOOKUP($A57,'Data Vlaue (Cr)'!$C:$FB,4)</f>
        <v>2182.1999999999998</v>
      </c>
      <c r="E57" s="75">
        <f>VLOOKUP($A57,'Data Vlaue (Cr)'!$C:$FB,5)</f>
        <v>2130.8000000000002</v>
      </c>
      <c r="F57" s="75">
        <f t="shared" si="0"/>
        <v>2.5999999999999091</v>
      </c>
      <c r="G57" s="75">
        <f t="shared" si="1"/>
        <v>2.3554211346347556</v>
      </c>
      <c r="H57" s="75">
        <f>VLOOKUP($A57,'Data Vlaue (Cr)'!$C:$FB,99)</f>
        <v>2240</v>
      </c>
      <c r="I57" s="75">
        <f>VLOOKUP($A57,'Data Vlaue (Cr)'!$C:$FB,100)</f>
        <v>2456</v>
      </c>
      <c r="J57" s="75">
        <f t="shared" si="2"/>
        <v>-216</v>
      </c>
      <c r="K57" s="75">
        <f t="shared" si="3"/>
        <v>-9.6428571428571441</v>
      </c>
      <c r="L57" s="75">
        <f>VLOOKUP($A57,'Data Vlaue (Cr)'!$C:$FB,67)</f>
        <v>3197</v>
      </c>
      <c r="M57" s="75">
        <f>VLOOKUP($A57,'Data Vlaue (Cr)'!$C:$FB,68)</f>
        <v>2517</v>
      </c>
      <c r="N57" s="75">
        <f t="shared" si="4"/>
        <v>680</v>
      </c>
      <c r="O57" s="75">
        <f t="shared" si="5"/>
        <v>21.269940569283705</v>
      </c>
      <c r="P57" s="75">
        <f>VLOOKUP($A57,'Data Vlaue (Cr)'!$C:$FB,119)</f>
        <v>0.74</v>
      </c>
      <c r="Q57" s="75">
        <f>VLOOKUP($A57,'Data Vlaue (Cr)'!$C:$FB,122)*100</f>
        <v>13.850000000000001</v>
      </c>
      <c r="R57" s="75">
        <f>VLOOKUP($A57,'Data Vlaue (Cr)'!$C:$FB,125)</f>
        <v>0.45</v>
      </c>
      <c r="S57" s="75">
        <f>VLOOKUP($A57,'Data Vlaue (Cr)'!$C:$FB,128)*100</f>
        <v>-8.16</v>
      </c>
    </row>
    <row r="58" spans="1:19" x14ac:dyDescent="0.25">
      <c r="A58" s="96" t="str">
        <f>'Data Vlaue (Cr)'!C49</f>
        <v>CONCOR</v>
      </c>
      <c r="B58" s="75">
        <f>VLOOKUP($A58,'Data Vlaue (Cr)'!$C:$FB,2)</f>
        <v>1250</v>
      </c>
      <c r="C58" s="75">
        <f>VLOOKUP($A58,'Data Vlaue (Cr)'!$C:$FB,8)</f>
        <v>494.35</v>
      </c>
      <c r="D58" s="75">
        <f>VLOOKUP($A58,'Data Vlaue (Cr)'!$C:$FB,4)</f>
        <v>495</v>
      </c>
      <c r="E58" s="75">
        <f>VLOOKUP($A58,'Data Vlaue (Cr)'!$C:$FB,5)</f>
        <v>495.65</v>
      </c>
      <c r="F58" s="75">
        <f t="shared" si="0"/>
        <v>0.64999999999997726</v>
      </c>
      <c r="G58" s="75">
        <f t="shared" si="1"/>
        <v>-0.13131313131312672</v>
      </c>
      <c r="H58" s="75">
        <f>VLOOKUP($A58,'Data Vlaue (Cr)'!$C:$FB,99)</f>
        <v>2804</v>
      </c>
      <c r="I58" s="75">
        <f>VLOOKUP($A58,'Data Vlaue (Cr)'!$C:$FB,100)</f>
        <v>2718</v>
      </c>
      <c r="J58" s="75">
        <f t="shared" si="2"/>
        <v>86</v>
      </c>
      <c r="K58" s="75">
        <f t="shared" si="3"/>
        <v>3.0670470756062764</v>
      </c>
      <c r="L58" s="75">
        <f>VLOOKUP($A58,'Data Vlaue (Cr)'!$C:$FB,67)</f>
        <v>1739</v>
      </c>
      <c r="M58" s="75">
        <f>VLOOKUP($A58,'Data Vlaue (Cr)'!$C:$FB,68)</f>
        <v>1684</v>
      </c>
      <c r="N58" s="75">
        <f t="shared" si="4"/>
        <v>55</v>
      </c>
      <c r="O58" s="75">
        <f t="shared" si="5"/>
        <v>3.1627372052903966</v>
      </c>
      <c r="P58" s="75">
        <f>VLOOKUP($A58,'Data Vlaue (Cr)'!$C:$FB,119)</f>
        <v>0.77</v>
      </c>
      <c r="Q58" s="75">
        <f>VLOOKUP($A58,'Data Vlaue (Cr)'!$C:$FB,122)*100</f>
        <v>2.67</v>
      </c>
      <c r="R58" s="75">
        <f>VLOOKUP($A58,'Data Vlaue (Cr)'!$C:$FB,125)</f>
        <v>0.64</v>
      </c>
      <c r="S58" s="75">
        <f>VLOOKUP($A58,'Data Vlaue (Cr)'!$C:$FB,128)*100</f>
        <v>20.75</v>
      </c>
    </row>
    <row r="59" spans="1:19" x14ac:dyDescent="0.25">
      <c r="A59" s="96" t="str">
        <f>'Data Vlaue (Cr)'!C50</f>
        <v>CROMPTON</v>
      </c>
      <c r="B59" s="75">
        <f>VLOOKUP($A59,'Data Vlaue (Cr)'!$C:$FB,2)</f>
        <v>1800</v>
      </c>
      <c r="C59" s="75">
        <f>VLOOKUP($A59,'Data Vlaue (Cr)'!$C:$FB,8)</f>
        <v>229.65</v>
      </c>
      <c r="D59" s="75">
        <f>VLOOKUP($A59,'Data Vlaue (Cr)'!$C:$FB,4)</f>
        <v>230</v>
      </c>
      <c r="E59" s="75">
        <f>VLOOKUP($A59,'Data Vlaue (Cr)'!$C:$FB,5)</f>
        <v>232.25</v>
      </c>
      <c r="F59" s="75">
        <f t="shared" si="0"/>
        <v>0.34999999999999432</v>
      </c>
      <c r="G59" s="75">
        <f t="shared" si="1"/>
        <v>-0.97826086956521752</v>
      </c>
      <c r="H59" s="75">
        <f>VLOOKUP($A59,'Data Vlaue (Cr)'!$C:$FB,99)</f>
        <v>2096</v>
      </c>
      <c r="I59" s="75">
        <f>VLOOKUP($A59,'Data Vlaue (Cr)'!$C:$FB,100)</f>
        <v>2073</v>
      </c>
      <c r="J59" s="75">
        <f t="shared" si="2"/>
        <v>23</v>
      </c>
      <c r="K59" s="75">
        <f t="shared" si="3"/>
        <v>1.0973282442748091</v>
      </c>
      <c r="L59" s="75">
        <f>VLOOKUP($A59,'Data Vlaue (Cr)'!$C:$FB,67)</f>
        <v>1559</v>
      </c>
      <c r="M59" s="75">
        <f>VLOOKUP($A59,'Data Vlaue (Cr)'!$C:$FB,68)</f>
        <v>2048</v>
      </c>
      <c r="N59" s="75">
        <f t="shared" si="4"/>
        <v>-489</v>
      </c>
      <c r="O59" s="75">
        <f t="shared" si="5"/>
        <v>-31.366260423348301</v>
      </c>
      <c r="P59" s="75">
        <f>VLOOKUP($A59,'Data Vlaue (Cr)'!$C:$FB,119)</f>
        <v>0.53</v>
      </c>
      <c r="Q59" s="75">
        <f>VLOOKUP($A59,'Data Vlaue (Cr)'!$C:$FB,122)*100</f>
        <v>-5.36</v>
      </c>
      <c r="R59" s="75">
        <f>VLOOKUP($A59,'Data Vlaue (Cr)'!$C:$FB,125)</f>
        <v>0.42</v>
      </c>
      <c r="S59" s="75">
        <f>VLOOKUP($A59,'Data Vlaue (Cr)'!$C:$FB,128)*100</f>
        <v>-20.75</v>
      </c>
    </row>
    <row r="60" spans="1:19" x14ac:dyDescent="0.25">
      <c r="A60" s="96" t="str">
        <f>'Data Vlaue (Cr)'!C51</f>
        <v>CUMMINSIND</v>
      </c>
      <c r="B60" s="75">
        <f>VLOOKUP($A60,'Data Vlaue (Cr)'!$C:$FB,2)</f>
        <v>200</v>
      </c>
      <c r="C60" s="75">
        <f>VLOOKUP($A60,'Data Vlaue (Cr)'!$C:$FB,8)</f>
        <v>4067.8</v>
      </c>
      <c r="D60" s="75">
        <f>VLOOKUP($A60,'Data Vlaue (Cr)'!$C:$FB,4)</f>
        <v>4066.1</v>
      </c>
      <c r="E60" s="75">
        <f>VLOOKUP($A60,'Data Vlaue (Cr)'!$C:$FB,5)</f>
        <v>3997.9</v>
      </c>
      <c r="F60" s="75">
        <f t="shared" si="0"/>
        <v>-1.7000000000002728</v>
      </c>
      <c r="G60" s="75">
        <f t="shared" si="1"/>
        <v>1.6772829000762359</v>
      </c>
      <c r="H60" s="75">
        <f>VLOOKUP($A60,'Data Vlaue (Cr)'!$C:$FB,99)</f>
        <v>2661</v>
      </c>
      <c r="I60" s="75">
        <f>VLOOKUP($A60,'Data Vlaue (Cr)'!$C:$FB,100)</f>
        <v>2709</v>
      </c>
      <c r="J60" s="75">
        <f t="shared" si="2"/>
        <v>-48</v>
      </c>
      <c r="K60" s="75">
        <f t="shared" si="3"/>
        <v>-1.8038331454340473</v>
      </c>
      <c r="L60" s="75">
        <f>VLOOKUP($A60,'Data Vlaue (Cr)'!$C:$FB,67)</f>
        <v>2391</v>
      </c>
      <c r="M60" s="75">
        <f>VLOOKUP($A60,'Data Vlaue (Cr)'!$C:$FB,68)</f>
        <v>2091</v>
      </c>
      <c r="N60" s="75">
        <f t="shared" si="4"/>
        <v>300</v>
      </c>
      <c r="O60" s="75">
        <f t="shared" si="5"/>
        <v>12.547051442910917</v>
      </c>
      <c r="P60" s="75">
        <f>VLOOKUP($A60,'Data Vlaue (Cr)'!$C:$FB,119)</f>
        <v>0.6</v>
      </c>
      <c r="Q60" s="75">
        <f>VLOOKUP($A60,'Data Vlaue (Cr)'!$C:$FB,122)*100</f>
        <v>3.45</v>
      </c>
      <c r="R60" s="75">
        <f>VLOOKUP($A60,'Data Vlaue (Cr)'!$C:$FB,125)</f>
        <v>0.43</v>
      </c>
      <c r="S60" s="75">
        <f>VLOOKUP($A60,'Data Vlaue (Cr)'!$C:$FB,128)*100</f>
        <v>-23.21</v>
      </c>
    </row>
    <row r="61" spans="1:19" x14ac:dyDescent="0.25">
      <c r="A61" s="96" t="str">
        <f>'Data Vlaue (Cr)'!C52</f>
        <v>DABUR</v>
      </c>
      <c r="B61" s="75">
        <f>VLOOKUP($A61,'Data Vlaue (Cr)'!$C:$FB,2)</f>
        <v>1250</v>
      </c>
      <c r="C61" s="75">
        <f>VLOOKUP($A61,'Data Vlaue (Cr)'!$C:$FB,8)</f>
        <v>525.35</v>
      </c>
      <c r="D61" s="75">
        <f>VLOOKUP($A61,'Data Vlaue (Cr)'!$C:$FB,4)</f>
        <v>526</v>
      </c>
      <c r="E61" s="75">
        <f>VLOOKUP($A61,'Data Vlaue (Cr)'!$C:$FB,5)</f>
        <v>518.04999999999995</v>
      </c>
      <c r="F61" s="75">
        <f t="shared" si="0"/>
        <v>0.64999999999997726</v>
      </c>
      <c r="G61" s="75">
        <f t="shared" si="1"/>
        <v>1.5114068441064725</v>
      </c>
      <c r="H61" s="75">
        <f>VLOOKUP($A61,'Data Vlaue (Cr)'!$C:$FB,99)</f>
        <v>2341</v>
      </c>
      <c r="I61" s="75">
        <f>VLOOKUP($A61,'Data Vlaue (Cr)'!$C:$FB,100)</f>
        <v>2309</v>
      </c>
      <c r="J61" s="75">
        <f t="shared" si="2"/>
        <v>32</v>
      </c>
      <c r="K61" s="75">
        <f t="shared" si="3"/>
        <v>1.3669372063220846</v>
      </c>
      <c r="L61" s="75">
        <f>VLOOKUP($A61,'Data Vlaue (Cr)'!$C:$FB,67)</f>
        <v>2860</v>
      </c>
      <c r="M61" s="75">
        <f>VLOOKUP($A61,'Data Vlaue (Cr)'!$C:$FB,68)</f>
        <v>2848</v>
      </c>
      <c r="N61" s="75">
        <f t="shared" si="4"/>
        <v>12</v>
      </c>
      <c r="O61" s="75">
        <f t="shared" si="5"/>
        <v>0.41958041958041958</v>
      </c>
      <c r="P61" s="75">
        <f>VLOOKUP($A61,'Data Vlaue (Cr)'!$C:$FB,119)</f>
        <v>0.66</v>
      </c>
      <c r="Q61" s="75">
        <f>VLOOKUP($A61,'Data Vlaue (Cr)'!$C:$FB,122)*100</f>
        <v>3.1300000000000003</v>
      </c>
      <c r="R61" s="75">
        <f>VLOOKUP($A61,'Data Vlaue (Cr)'!$C:$FB,125)</f>
        <v>0.52</v>
      </c>
      <c r="S61" s="75">
        <f>VLOOKUP($A61,'Data Vlaue (Cr)'!$C:$FB,128)*100</f>
        <v>-5.45</v>
      </c>
    </row>
    <row r="62" spans="1:19" x14ac:dyDescent="0.25">
      <c r="A62" s="96" t="str">
        <f>'Data Vlaue (Cr)'!C53</f>
        <v>DALBHARAT</v>
      </c>
      <c r="B62" s="75">
        <f>VLOOKUP($A62,'Data Vlaue (Cr)'!$C:$FB,2)</f>
        <v>325</v>
      </c>
      <c r="C62" s="75">
        <f>VLOOKUP($A62,'Data Vlaue (Cr)'!$C:$FB,8)</f>
        <v>2143.6999999999998</v>
      </c>
      <c r="D62" s="75">
        <f>VLOOKUP($A62,'Data Vlaue (Cr)'!$C:$FB,4)</f>
        <v>2150.1</v>
      </c>
      <c r="E62" s="75">
        <f>VLOOKUP($A62,'Data Vlaue (Cr)'!$C:$FB,5)</f>
        <v>2232</v>
      </c>
      <c r="F62" s="75">
        <f t="shared" si="0"/>
        <v>6.4000000000000909</v>
      </c>
      <c r="G62" s="75">
        <f t="shared" si="1"/>
        <v>-3.809125156969448</v>
      </c>
      <c r="H62" s="75">
        <f>VLOOKUP($A62,'Data Vlaue (Cr)'!$C:$FB,99)</f>
        <v>1179</v>
      </c>
      <c r="I62" s="75">
        <f>VLOOKUP($A62,'Data Vlaue (Cr)'!$C:$FB,100)</f>
        <v>1265</v>
      </c>
      <c r="J62" s="75">
        <f t="shared" si="2"/>
        <v>-86</v>
      </c>
      <c r="K62" s="75">
        <f t="shared" si="3"/>
        <v>-7.29431721798134</v>
      </c>
      <c r="L62" s="75">
        <f>VLOOKUP($A62,'Data Vlaue (Cr)'!$C:$FB,67)</f>
        <v>2643</v>
      </c>
      <c r="M62" s="75">
        <f>VLOOKUP($A62,'Data Vlaue (Cr)'!$C:$FB,68)</f>
        <v>3936</v>
      </c>
      <c r="N62" s="75">
        <f t="shared" si="4"/>
        <v>-1293</v>
      </c>
      <c r="O62" s="75">
        <f t="shared" si="5"/>
        <v>-48.921679909194097</v>
      </c>
      <c r="P62" s="75">
        <f>VLOOKUP($A62,'Data Vlaue (Cr)'!$C:$FB,119)</f>
        <v>0.49</v>
      </c>
      <c r="Q62" s="75">
        <f>VLOOKUP($A62,'Data Vlaue (Cr)'!$C:$FB,122)*100</f>
        <v>-19.670000000000002</v>
      </c>
      <c r="R62" s="75">
        <f>VLOOKUP($A62,'Data Vlaue (Cr)'!$C:$FB,125)</f>
        <v>0.53</v>
      </c>
      <c r="S62" s="75">
        <f>VLOOKUP($A62,'Data Vlaue (Cr)'!$C:$FB,128)*100</f>
        <v>10.42</v>
      </c>
    </row>
    <row r="63" spans="1:19" x14ac:dyDescent="0.25">
      <c r="A63" s="96" t="str">
        <f>'Data Vlaue (Cr)'!C54</f>
        <v>DELHIVERY</v>
      </c>
      <c r="B63" s="75">
        <f>VLOOKUP($A63,'Data Vlaue (Cr)'!$C:$FB,2)</f>
        <v>2075</v>
      </c>
      <c r="C63" s="75">
        <f>VLOOKUP($A63,'Data Vlaue (Cr)'!$C:$FB,8)</f>
        <v>389.85</v>
      </c>
      <c r="D63" s="75">
        <f>VLOOKUP($A63,'Data Vlaue (Cr)'!$C:$FB,4)</f>
        <v>390</v>
      </c>
      <c r="E63" s="75">
        <f>VLOOKUP($A63,'Data Vlaue (Cr)'!$C:$FB,5)</f>
        <v>379</v>
      </c>
      <c r="F63" s="75">
        <f t="shared" si="0"/>
        <v>0.14999999999997726</v>
      </c>
      <c r="G63" s="75">
        <f t="shared" si="1"/>
        <v>2.8205128205128207</v>
      </c>
      <c r="H63" s="75">
        <f>VLOOKUP($A63,'Data Vlaue (Cr)'!$C:$FB,99)</f>
        <v>1397</v>
      </c>
      <c r="I63" s="75">
        <f>VLOOKUP($A63,'Data Vlaue (Cr)'!$C:$FB,100)</f>
        <v>1439</v>
      </c>
      <c r="J63" s="75">
        <f t="shared" si="2"/>
        <v>-42</v>
      </c>
      <c r="K63" s="75">
        <f t="shared" si="3"/>
        <v>-3.0064423765211163</v>
      </c>
      <c r="L63" s="75">
        <f>VLOOKUP($A63,'Data Vlaue (Cr)'!$C:$FB,67)</f>
        <v>1338</v>
      </c>
      <c r="M63" s="75">
        <f>VLOOKUP($A63,'Data Vlaue (Cr)'!$C:$FB,68)</f>
        <v>1384</v>
      </c>
      <c r="N63" s="75">
        <f t="shared" si="4"/>
        <v>-46</v>
      </c>
      <c r="O63" s="75">
        <f t="shared" si="5"/>
        <v>-3.4379671150971598</v>
      </c>
      <c r="P63" s="75">
        <f>VLOOKUP($A63,'Data Vlaue (Cr)'!$C:$FB,119)</f>
        <v>0.81</v>
      </c>
      <c r="Q63" s="75">
        <f>VLOOKUP($A63,'Data Vlaue (Cr)'!$C:$FB,122)*100</f>
        <v>3.85</v>
      </c>
      <c r="R63" s="75">
        <f>VLOOKUP($A63,'Data Vlaue (Cr)'!$C:$FB,125)</f>
        <v>0.56000000000000005</v>
      </c>
      <c r="S63" s="75">
        <f>VLOOKUP($A63,'Data Vlaue (Cr)'!$C:$FB,128)*100</f>
        <v>-53.72</v>
      </c>
    </row>
    <row r="64" spans="1:19" x14ac:dyDescent="0.25">
      <c r="A64" s="96" t="str">
        <f>'Data Vlaue (Cr)'!C55</f>
        <v>DIVISLAB</v>
      </c>
      <c r="B64" s="75">
        <f>VLOOKUP($A64,'Data Vlaue (Cr)'!$C:$FB,2)</f>
        <v>100</v>
      </c>
      <c r="C64" s="75">
        <f>VLOOKUP($A64,'Data Vlaue (Cr)'!$C:$FB,8)</f>
        <v>6071</v>
      </c>
      <c r="D64" s="75">
        <f>VLOOKUP($A64,'Data Vlaue (Cr)'!$C:$FB,4)</f>
        <v>6083.5</v>
      </c>
      <c r="E64" s="75">
        <f>VLOOKUP($A64,'Data Vlaue (Cr)'!$C:$FB,5)</f>
        <v>5996.5</v>
      </c>
      <c r="F64" s="75">
        <f t="shared" si="0"/>
        <v>12.5</v>
      </c>
      <c r="G64" s="75">
        <f t="shared" si="1"/>
        <v>1.4300978055395743</v>
      </c>
      <c r="H64" s="75">
        <f>VLOOKUP($A64,'Data Vlaue (Cr)'!$C:$FB,99)</f>
        <v>3890</v>
      </c>
      <c r="I64" s="75">
        <f>VLOOKUP($A64,'Data Vlaue (Cr)'!$C:$FB,100)</f>
        <v>3865</v>
      </c>
      <c r="J64" s="75">
        <f t="shared" si="2"/>
        <v>25</v>
      </c>
      <c r="K64" s="75">
        <f t="shared" si="3"/>
        <v>0.64267352185089976</v>
      </c>
      <c r="L64" s="75">
        <f>VLOOKUP($A64,'Data Vlaue (Cr)'!$C:$FB,67)</f>
        <v>3486</v>
      </c>
      <c r="M64" s="75">
        <f>VLOOKUP($A64,'Data Vlaue (Cr)'!$C:$FB,68)</f>
        <v>3439</v>
      </c>
      <c r="N64" s="75">
        <f t="shared" si="4"/>
        <v>47</v>
      </c>
      <c r="O64" s="75">
        <f t="shared" si="5"/>
        <v>1.3482501434308662</v>
      </c>
      <c r="P64" s="75">
        <f>VLOOKUP($A64,'Data Vlaue (Cr)'!$C:$FB,119)</f>
        <v>0.49</v>
      </c>
      <c r="Q64" s="75">
        <f>VLOOKUP($A64,'Data Vlaue (Cr)'!$C:$FB,122)*100</f>
        <v>-3.92</v>
      </c>
      <c r="R64" s="75">
        <f>VLOOKUP($A64,'Data Vlaue (Cr)'!$C:$FB,125)</f>
        <v>0.33</v>
      </c>
      <c r="S64" s="75">
        <f>VLOOKUP($A64,'Data Vlaue (Cr)'!$C:$FB,128)*100</f>
        <v>-35.29</v>
      </c>
    </row>
    <row r="65" spans="1:19" x14ac:dyDescent="0.25">
      <c r="A65" s="96" t="str">
        <f>'Data Vlaue (Cr)'!C56</f>
        <v>DIXON</v>
      </c>
      <c r="B65" s="75">
        <f>VLOOKUP($A65,'Data Vlaue (Cr)'!$C:$FB,2)</f>
        <v>50</v>
      </c>
      <c r="C65" s="75">
        <f>VLOOKUP($A65,'Data Vlaue (Cr)'!$C:$FB,8)</f>
        <v>10512</v>
      </c>
      <c r="D65" s="75">
        <f>VLOOKUP($A65,'Data Vlaue (Cr)'!$C:$FB,4)</f>
        <v>10534</v>
      </c>
      <c r="E65" s="75">
        <f>VLOOKUP($A65,'Data Vlaue (Cr)'!$C:$FB,5)</f>
        <v>10550</v>
      </c>
      <c r="F65" s="75">
        <f t="shared" si="0"/>
        <v>22</v>
      </c>
      <c r="G65" s="75">
        <f t="shared" si="1"/>
        <v>-0.15188912094171253</v>
      </c>
      <c r="H65" s="75">
        <f>VLOOKUP($A65,'Data Vlaue (Cr)'!$C:$FB,99)</f>
        <v>9908</v>
      </c>
      <c r="I65" s="75">
        <f>VLOOKUP($A65,'Data Vlaue (Cr)'!$C:$FB,100)</f>
        <v>9954</v>
      </c>
      <c r="J65" s="75">
        <f t="shared" si="2"/>
        <v>-46</v>
      </c>
      <c r="K65" s="75">
        <f t="shared" si="3"/>
        <v>-0.46427129592248689</v>
      </c>
      <c r="L65" s="75">
        <f>VLOOKUP($A65,'Data Vlaue (Cr)'!$C:$FB,67)</f>
        <v>10510</v>
      </c>
      <c r="M65" s="75">
        <f>VLOOKUP($A65,'Data Vlaue (Cr)'!$C:$FB,68)</f>
        <v>18448</v>
      </c>
      <c r="N65" s="75">
        <f t="shared" si="4"/>
        <v>-7938</v>
      </c>
      <c r="O65" s="75">
        <f t="shared" si="5"/>
        <v>-75.528068506184582</v>
      </c>
      <c r="P65" s="75">
        <f>VLOOKUP($A65,'Data Vlaue (Cr)'!$C:$FB,119)</f>
        <v>0.53</v>
      </c>
      <c r="Q65" s="75">
        <f>VLOOKUP($A65,'Data Vlaue (Cr)'!$C:$FB,122)*100</f>
        <v>-1.8499999999999999</v>
      </c>
      <c r="R65" s="75">
        <f>VLOOKUP($A65,'Data Vlaue (Cr)'!$C:$FB,125)</f>
        <v>0.57999999999999996</v>
      </c>
      <c r="S65" s="75">
        <f>VLOOKUP($A65,'Data Vlaue (Cr)'!$C:$FB,128)*100</f>
        <v>-21.62</v>
      </c>
    </row>
    <row r="66" spans="1:19" x14ac:dyDescent="0.25">
      <c r="A66" s="96" t="str">
        <f>'Data Vlaue (Cr)'!C57</f>
        <v>DLF</v>
      </c>
      <c r="B66" s="75">
        <f>VLOOKUP($A66,'Data Vlaue (Cr)'!$C:$FB,2)</f>
        <v>825</v>
      </c>
      <c r="C66" s="75">
        <f>VLOOKUP($A66,'Data Vlaue (Cr)'!$C:$FB,8)</f>
        <v>613.29999999999995</v>
      </c>
      <c r="D66" s="75">
        <f>VLOOKUP($A66,'Data Vlaue (Cr)'!$C:$FB,4)</f>
        <v>613.5</v>
      </c>
      <c r="E66" s="75">
        <f>VLOOKUP($A66,'Data Vlaue (Cr)'!$C:$FB,5)</f>
        <v>618.9</v>
      </c>
      <c r="F66" s="75">
        <f t="shared" si="0"/>
        <v>0.20000000000004547</v>
      </c>
      <c r="G66" s="75">
        <f t="shared" si="1"/>
        <v>-0.88019559902200117</v>
      </c>
      <c r="H66" s="75">
        <f>VLOOKUP($A66,'Data Vlaue (Cr)'!$C:$FB,99)</f>
        <v>6300</v>
      </c>
      <c r="I66" s="75">
        <f>VLOOKUP($A66,'Data Vlaue (Cr)'!$C:$FB,100)</f>
        <v>5947</v>
      </c>
      <c r="J66" s="75">
        <f t="shared" si="2"/>
        <v>353</v>
      </c>
      <c r="K66" s="75">
        <f t="shared" si="3"/>
        <v>5.6031746031746028</v>
      </c>
      <c r="L66" s="75">
        <f>VLOOKUP($A66,'Data Vlaue (Cr)'!$C:$FB,67)</f>
        <v>5656</v>
      </c>
      <c r="M66" s="75">
        <f>VLOOKUP($A66,'Data Vlaue (Cr)'!$C:$FB,68)</f>
        <v>5834</v>
      </c>
      <c r="N66" s="75">
        <f t="shared" si="4"/>
        <v>-178</v>
      </c>
      <c r="O66" s="75">
        <f t="shared" si="5"/>
        <v>-3.1471004243281469</v>
      </c>
      <c r="P66" s="75">
        <f>VLOOKUP($A66,'Data Vlaue (Cr)'!$C:$FB,119)</f>
        <v>0.6</v>
      </c>
      <c r="Q66" s="75">
        <f>VLOOKUP($A66,'Data Vlaue (Cr)'!$C:$FB,122)*100</f>
        <v>7.1400000000000006</v>
      </c>
      <c r="R66" s="75">
        <f>VLOOKUP($A66,'Data Vlaue (Cr)'!$C:$FB,125)</f>
        <v>0.61</v>
      </c>
      <c r="S66" s="75">
        <f>VLOOKUP($A66,'Data Vlaue (Cr)'!$C:$FB,128)*100</f>
        <v>3.39</v>
      </c>
    </row>
    <row r="67" spans="1:19" x14ac:dyDescent="0.25">
      <c r="A67" s="96" t="str">
        <f>'Data Vlaue (Cr)'!C58</f>
        <v>DMART</v>
      </c>
      <c r="B67" s="75">
        <f>VLOOKUP($A67,'Data Vlaue (Cr)'!$C:$FB,2)</f>
        <v>150</v>
      </c>
      <c r="C67" s="75">
        <f>VLOOKUP($A67,'Data Vlaue (Cr)'!$C:$FB,8)</f>
        <v>3724.1</v>
      </c>
      <c r="D67" s="75">
        <f>VLOOKUP($A67,'Data Vlaue (Cr)'!$C:$FB,4)</f>
        <v>3722</v>
      </c>
      <c r="E67" s="75">
        <f>VLOOKUP($A67,'Data Vlaue (Cr)'!$C:$FB,5)</f>
        <v>3667.8</v>
      </c>
      <c r="F67" s="75">
        <f t="shared" si="0"/>
        <v>-2.0999999999999091</v>
      </c>
      <c r="G67" s="75">
        <f t="shared" si="1"/>
        <v>1.4562063406770505</v>
      </c>
      <c r="H67" s="75">
        <f>VLOOKUP($A67,'Data Vlaue (Cr)'!$C:$FB,99)</f>
        <v>3789</v>
      </c>
      <c r="I67" s="75">
        <f>VLOOKUP($A67,'Data Vlaue (Cr)'!$C:$FB,100)</f>
        <v>4014</v>
      </c>
      <c r="J67" s="75">
        <f t="shared" si="2"/>
        <v>-225</v>
      </c>
      <c r="K67" s="75">
        <f t="shared" si="3"/>
        <v>-5.938242280285035</v>
      </c>
      <c r="L67" s="75">
        <f>VLOOKUP($A67,'Data Vlaue (Cr)'!$C:$FB,67)</f>
        <v>3301</v>
      </c>
      <c r="M67" s="75">
        <f>VLOOKUP($A67,'Data Vlaue (Cr)'!$C:$FB,68)</f>
        <v>4337</v>
      </c>
      <c r="N67" s="75">
        <f t="shared" si="4"/>
        <v>-1036</v>
      </c>
      <c r="O67" s="75">
        <f t="shared" si="5"/>
        <v>-31.384428960920935</v>
      </c>
      <c r="P67" s="75">
        <f>VLOOKUP($A67,'Data Vlaue (Cr)'!$C:$FB,119)</f>
        <v>0.39</v>
      </c>
      <c r="Q67" s="75">
        <f>VLOOKUP($A67,'Data Vlaue (Cr)'!$C:$FB,122)*100</f>
        <v>0</v>
      </c>
      <c r="R67" s="75">
        <f>VLOOKUP($A67,'Data Vlaue (Cr)'!$C:$FB,125)</f>
        <v>0.36</v>
      </c>
      <c r="S67" s="75">
        <f>VLOOKUP($A67,'Data Vlaue (Cr)'!$C:$FB,128)*100</f>
        <v>-20</v>
      </c>
    </row>
    <row r="68" spans="1:19" x14ac:dyDescent="0.25">
      <c r="A68" s="96" t="str">
        <f>'Data Vlaue (Cr)'!C59</f>
        <v>DRREDDY</v>
      </c>
      <c r="B68" s="75">
        <f>VLOOKUP($A68,'Data Vlaue (Cr)'!$C:$FB,2)</f>
        <v>625</v>
      </c>
      <c r="C68" s="75">
        <f>VLOOKUP($A68,'Data Vlaue (Cr)'!$C:$FB,8)</f>
        <v>1217.5</v>
      </c>
      <c r="D68" s="75">
        <f>VLOOKUP($A68,'Data Vlaue (Cr)'!$C:$FB,4)</f>
        <v>1221.3</v>
      </c>
      <c r="E68" s="75">
        <f>VLOOKUP($A68,'Data Vlaue (Cr)'!$C:$FB,5)</f>
        <v>1160.2</v>
      </c>
      <c r="F68" s="75">
        <f t="shared" si="0"/>
        <v>3.7999999999999545</v>
      </c>
      <c r="G68" s="75">
        <f t="shared" si="1"/>
        <v>5.002865798739041</v>
      </c>
      <c r="H68" s="75">
        <f>VLOOKUP($A68,'Data Vlaue (Cr)'!$C:$FB,99)</f>
        <v>4057</v>
      </c>
      <c r="I68" s="75">
        <f>VLOOKUP($A68,'Data Vlaue (Cr)'!$C:$FB,100)</f>
        <v>4150</v>
      </c>
      <c r="J68" s="75">
        <f t="shared" si="2"/>
        <v>-93</v>
      </c>
      <c r="K68" s="75">
        <f t="shared" si="3"/>
        <v>-2.2923342371210254</v>
      </c>
      <c r="L68" s="75">
        <f>VLOOKUP($A68,'Data Vlaue (Cr)'!$C:$FB,67)</f>
        <v>15255</v>
      </c>
      <c r="M68" s="75">
        <f>VLOOKUP($A68,'Data Vlaue (Cr)'!$C:$FB,68)</f>
        <v>8361</v>
      </c>
      <c r="N68" s="75">
        <f t="shared" si="4"/>
        <v>6894</v>
      </c>
      <c r="O68" s="75">
        <f t="shared" si="5"/>
        <v>45.191740412979357</v>
      </c>
      <c r="P68" s="75">
        <f>VLOOKUP($A68,'Data Vlaue (Cr)'!$C:$FB,119)</f>
        <v>0.6</v>
      </c>
      <c r="Q68" s="75">
        <f>VLOOKUP($A68,'Data Vlaue (Cr)'!$C:$FB,122)*100</f>
        <v>-3.2300000000000004</v>
      </c>
      <c r="R68" s="75">
        <f>VLOOKUP($A68,'Data Vlaue (Cr)'!$C:$FB,125)</f>
        <v>0.49</v>
      </c>
      <c r="S68" s="75">
        <f>VLOOKUP($A68,'Data Vlaue (Cr)'!$C:$FB,128)*100</f>
        <v>-32.879999999999995</v>
      </c>
    </row>
    <row r="69" spans="1:19" x14ac:dyDescent="0.25">
      <c r="A69" s="96" t="str">
        <f>'Data Vlaue (Cr)'!C60</f>
        <v>EICHERMOT</v>
      </c>
      <c r="B69" s="75">
        <f>VLOOKUP($A69,'Data Vlaue (Cr)'!$C:$FB,2)</f>
        <v>100</v>
      </c>
      <c r="C69" s="75">
        <f>VLOOKUP($A69,'Data Vlaue (Cr)'!$C:$FB,8)</f>
        <v>7049</v>
      </c>
      <c r="D69" s="75">
        <f>VLOOKUP($A69,'Data Vlaue (Cr)'!$C:$FB,4)</f>
        <v>7040</v>
      </c>
      <c r="E69" s="75">
        <f>VLOOKUP($A69,'Data Vlaue (Cr)'!$C:$FB,5)</f>
        <v>7137</v>
      </c>
      <c r="F69" s="75">
        <f t="shared" si="0"/>
        <v>-9</v>
      </c>
      <c r="G69" s="75">
        <f t="shared" si="1"/>
        <v>-1.3778409090909092</v>
      </c>
      <c r="H69" s="75">
        <f>VLOOKUP($A69,'Data Vlaue (Cr)'!$C:$FB,99)</f>
        <v>4172</v>
      </c>
      <c r="I69" s="75">
        <f>VLOOKUP($A69,'Data Vlaue (Cr)'!$C:$FB,100)</f>
        <v>4099</v>
      </c>
      <c r="J69" s="75">
        <f t="shared" si="2"/>
        <v>73</v>
      </c>
      <c r="K69" s="75">
        <f t="shared" si="3"/>
        <v>1.7497603068072867</v>
      </c>
      <c r="L69" s="75">
        <f>VLOOKUP($A69,'Data Vlaue (Cr)'!$C:$FB,67)</f>
        <v>6912</v>
      </c>
      <c r="M69" s="75">
        <f>VLOOKUP($A69,'Data Vlaue (Cr)'!$C:$FB,68)</f>
        <v>6452</v>
      </c>
      <c r="N69" s="75">
        <f t="shared" si="4"/>
        <v>460</v>
      </c>
      <c r="O69" s="75">
        <f t="shared" si="5"/>
        <v>6.6550925925925934</v>
      </c>
      <c r="P69" s="75">
        <f>VLOOKUP($A69,'Data Vlaue (Cr)'!$C:$FB,119)</f>
        <v>0.49</v>
      </c>
      <c r="Q69" s="75">
        <f>VLOOKUP($A69,'Data Vlaue (Cr)'!$C:$FB,122)*100</f>
        <v>-3.92</v>
      </c>
      <c r="R69" s="75">
        <f>VLOOKUP($A69,'Data Vlaue (Cr)'!$C:$FB,125)</f>
        <v>0.43</v>
      </c>
      <c r="S69" s="75">
        <f>VLOOKUP($A69,'Data Vlaue (Cr)'!$C:$FB,128)*100</f>
        <v>-15.690000000000001</v>
      </c>
    </row>
    <row r="70" spans="1:19" x14ac:dyDescent="0.25">
      <c r="A70" s="96" t="str">
        <f>'Data Vlaue (Cr)'!C61</f>
        <v>ETERNAL</v>
      </c>
      <c r="B70" s="75">
        <f>VLOOKUP($A70,'Data Vlaue (Cr)'!$C:$FB,2)</f>
        <v>2425</v>
      </c>
      <c r="C70" s="75">
        <f>VLOOKUP($A70,'Data Vlaue (Cr)'!$C:$FB,8)</f>
        <v>275.89999999999998</v>
      </c>
      <c r="D70" s="75">
        <f>VLOOKUP($A70,'Data Vlaue (Cr)'!$C:$FB,4)</f>
        <v>276.39999999999998</v>
      </c>
      <c r="E70" s="75">
        <f>VLOOKUP($A70,'Data Vlaue (Cr)'!$C:$FB,5)</f>
        <v>283.85000000000002</v>
      </c>
      <c r="F70" s="75">
        <f t="shared" si="0"/>
        <v>0.5</v>
      </c>
      <c r="G70" s="75">
        <f t="shared" si="1"/>
        <v>-2.6953690303907547</v>
      </c>
      <c r="H70" s="75">
        <f>VLOOKUP($A70,'Data Vlaue (Cr)'!$C:$FB,99)</f>
        <v>14223</v>
      </c>
      <c r="I70" s="75">
        <f>VLOOKUP($A70,'Data Vlaue (Cr)'!$C:$FB,100)</f>
        <v>14186</v>
      </c>
      <c r="J70" s="75">
        <f t="shared" si="2"/>
        <v>37</v>
      </c>
      <c r="K70" s="75">
        <f t="shared" si="3"/>
        <v>0.26014202348309079</v>
      </c>
      <c r="L70" s="75">
        <f>VLOOKUP($A70,'Data Vlaue (Cr)'!$C:$FB,67)</f>
        <v>42286</v>
      </c>
      <c r="M70" s="75">
        <f>VLOOKUP($A70,'Data Vlaue (Cr)'!$C:$FB,68)</f>
        <v>28389</v>
      </c>
      <c r="N70" s="75">
        <f t="shared" si="4"/>
        <v>13897</v>
      </c>
      <c r="O70" s="75">
        <f t="shared" si="5"/>
        <v>32.864304970912364</v>
      </c>
      <c r="P70" s="75">
        <f>VLOOKUP($A70,'Data Vlaue (Cr)'!$C:$FB,119)</f>
        <v>0.55000000000000004</v>
      </c>
      <c r="Q70" s="75">
        <f>VLOOKUP($A70,'Data Vlaue (Cr)'!$C:$FB,122)*100</f>
        <v>-28.57</v>
      </c>
      <c r="R70" s="75">
        <f>VLOOKUP($A70,'Data Vlaue (Cr)'!$C:$FB,125)</f>
        <v>0.81</v>
      </c>
      <c r="S70" s="75">
        <f>VLOOKUP($A70,'Data Vlaue (Cr)'!$C:$FB,128)*100</f>
        <v>30.65</v>
      </c>
    </row>
    <row r="71" spans="1:19" x14ac:dyDescent="0.25">
      <c r="A71" s="96" t="str">
        <f>'Data Vlaue (Cr)'!C62</f>
        <v>EXIDEIND</v>
      </c>
      <c r="B71" s="75">
        <f>VLOOKUP($A71,'Data Vlaue (Cr)'!$C:$FB,2)</f>
        <v>1800</v>
      </c>
      <c r="C71" s="75">
        <f>VLOOKUP($A71,'Data Vlaue (Cr)'!$C:$FB,8)</f>
        <v>334.25</v>
      </c>
      <c r="D71" s="75">
        <f>VLOOKUP($A71,'Data Vlaue (Cr)'!$C:$FB,4)</f>
        <v>334.45</v>
      </c>
      <c r="E71" s="75">
        <f>VLOOKUP($A71,'Data Vlaue (Cr)'!$C:$FB,5)</f>
        <v>326.25</v>
      </c>
      <c r="F71" s="75">
        <f t="shared" si="0"/>
        <v>0.19999999999998863</v>
      </c>
      <c r="G71" s="75">
        <f t="shared" si="1"/>
        <v>2.4517865151741631</v>
      </c>
      <c r="H71" s="75">
        <f>VLOOKUP($A71,'Data Vlaue (Cr)'!$C:$FB,99)</f>
        <v>2122</v>
      </c>
      <c r="I71" s="75">
        <f>VLOOKUP($A71,'Data Vlaue (Cr)'!$C:$FB,100)</f>
        <v>2249</v>
      </c>
      <c r="J71" s="75">
        <f t="shared" si="2"/>
        <v>-127</v>
      </c>
      <c r="K71" s="75">
        <f t="shared" si="3"/>
        <v>-5.984919886899152</v>
      </c>
      <c r="L71" s="75">
        <f>VLOOKUP($A71,'Data Vlaue (Cr)'!$C:$FB,67)</f>
        <v>1423</v>
      </c>
      <c r="M71" s="75">
        <f>VLOOKUP($A71,'Data Vlaue (Cr)'!$C:$FB,68)</f>
        <v>1873</v>
      </c>
      <c r="N71" s="75">
        <f t="shared" si="4"/>
        <v>-450</v>
      </c>
      <c r="O71" s="75">
        <f t="shared" si="5"/>
        <v>-31.623330990864375</v>
      </c>
      <c r="P71" s="75">
        <f>VLOOKUP($A71,'Data Vlaue (Cr)'!$C:$FB,119)</f>
        <v>0.64</v>
      </c>
      <c r="Q71" s="75">
        <f>VLOOKUP($A71,'Data Vlaue (Cr)'!$C:$FB,122)*100</f>
        <v>8.4699999999999989</v>
      </c>
      <c r="R71" s="75">
        <f>VLOOKUP($A71,'Data Vlaue (Cr)'!$C:$FB,125)</f>
        <v>0.55000000000000004</v>
      </c>
      <c r="S71" s="75">
        <f>VLOOKUP($A71,'Data Vlaue (Cr)'!$C:$FB,128)*100</f>
        <v>-19.12</v>
      </c>
    </row>
    <row r="72" spans="1:19" x14ac:dyDescent="0.25">
      <c r="A72" s="96" t="str">
        <f>'Data Vlaue (Cr)'!C63</f>
        <v>FEDERALBNK</v>
      </c>
      <c r="B72" s="75">
        <f>VLOOKUP($A72,'Data Vlaue (Cr)'!$C:$FB,2)</f>
        <v>5000</v>
      </c>
      <c r="C72" s="75">
        <f>VLOOKUP($A72,'Data Vlaue (Cr)'!$C:$FB,8)</f>
        <v>282.2</v>
      </c>
      <c r="D72" s="75">
        <f>VLOOKUP($A72,'Data Vlaue (Cr)'!$C:$FB,4)</f>
        <v>281.95</v>
      </c>
      <c r="E72" s="75">
        <f>VLOOKUP($A72,'Data Vlaue (Cr)'!$C:$FB,5)</f>
        <v>275.95</v>
      </c>
      <c r="F72" s="75">
        <f t="shared" si="0"/>
        <v>-0.25</v>
      </c>
      <c r="G72" s="75">
        <f t="shared" si="1"/>
        <v>2.1280368859726901</v>
      </c>
      <c r="H72" s="75">
        <f>VLOOKUP($A72,'Data Vlaue (Cr)'!$C:$FB,99)</f>
        <v>5414</v>
      </c>
      <c r="I72" s="75">
        <f>VLOOKUP($A72,'Data Vlaue (Cr)'!$C:$FB,100)</f>
        <v>5348</v>
      </c>
      <c r="J72" s="75">
        <f t="shared" si="2"/>
        <v>66</v>
      </c>
      <c r="K72" s="75">
        <f t="shared" si="3"/>
        <v>1.2190616919098634</v>
      </c>
      <c r="L72" s="75">
        <f>VLOOKUP($A72,'Data Vlaue (Cr)'!$C:$FB,67)</f>
        <v>14066</v>
      </c>
      <c r="M72" s="75">
        <f>VLOOKUP($A72,'Data Vlaue (Cr)'!$C:$FB,68)</f>
        <v>10531</v>
      </c>
      <c r="N72" s="75">
        <f t="shared" si="4"/>
        <v>3535</v>
      </c>
      <c r="O72" s="75">
        <f t="shared" si="5"/>
        <v>25.131522820986778</v>
      </c>
      <c r="P72" s="75">
        <f>VLOOKUP($A72,'Data Vlaue (Cr)'!$C:$FB,119)</f>
        <v>1.1399999999999999</v>
      </c>
      <c r="Q72" s="75">
        <f>VLOOKUP($A72,'Data Vlaue (Cr)'!$C:$FB,122)*100</f>
        <v>4.5900000000000007</v>
      </c>
      <c r="R72" s="75">
        <f>VLOOKUP($A72,'Data Vlaue (Cr)'!$C:$FB,125)</f>
        <v>0.55000000000000004</v>
      </c>
      <c r="S72" s="75">
        <f>VLOOKUP($A72,'Data Vlaue (Cr)'!$C:$FB,128)*100</f>
        <v>-39.56</v>
      </c>
    </row>
    <row r="73" spans="1:19" x14ac:dyDescent="0.25">
      <c r="A73" s="96" t="str">
        <f>'Data Vlaue (Cr)'!C64</f>
        <v>FINNIFTY</v>
      </c>
      <c r="B73" s="75">
        <f>VLOOKUP($A73,'Data Vlaue (Cr)'!$C:$FB,2)</f>
        <v>60</v>
      </c>
      <c r="C73" s="75">
        <f>VLOOKUP($A73,'Data Vlaue (Cr)'!$C:$FB,8)</f>
        <v>27149.95</v>
      </c>
      <c r="D73" s="75">
        <f>VLOOKUP($A73,'Data Vlaue (Cr)'!$C:$FB,4)</f>
        <v>27244.9</v>
      </c>
      <c r="E73" s="75">
        <f>VLOOKUP($A73,'Data Vlaue (Cr)'!$C:$FB,5)</f>
        <v>27005</v>
      </c>
      <c r="F73" s="75">
        <f t="shared" si="0"/>
        <v>94.950000000000728</v>
      </c>
      <c r="G73" s="75">
        <f t="shared" si="1"/>
        <v>0.88053176924856191</v>
      </c>
      <c r="H73" s="75">
        <f>VLOOKUP($A73,'Data Vlaue (Cr)'!$C:$FB,99)</f>
        <v>6007</v>
      </c>
      <c r="I73" s="75">
        <f>VLOOKUP($A73,'Data Vlaue (Cr)'!$C:$FB,100)</f>
        <v>6575</v>
      </c>
      <c r="J73" s="75">
        <f t="shared" si="2"/>
        <v>-568</v>
      </c>
      <c r="K73" s="75">
        <f t="shared" si="3"/>
        <v>-9.4556350923922086</v>
      </c>
      <c r="L73" s="75">
        <f>VLOOKUP($A73,'Data Vlaue (Cr)'!$C:$FB,67)</f>
        <v>35001</v>
      </c>
      <c r="M73" s="75">
        <f>VLOOKUP($A73,'Data Vlaue (Cr)'!$C:$FB,68)</f>
        <v>57848</v>
      </c>
      <c r="N73" s="75">
        <f t="shared" si="4"/>
        <v>-22847</v>
      </c>
      <c r="O73" s="75">
        <f t="shared" si="5"/>
        <v>-65.275277849204301</v>
      </c>
      <c r="P73" s="75">
        <f>VLOOKUP($A73,'Data Vlaue (Cr)'!$C:$FB,119)</f>
        <v>0.79</v>
      </c>
      <c r="Q73" s="75">
        <f>VLOOKUP($A73,'Data Vlaue (Cr)'!$C:$FB,122)*100</f>
        <v>61.22</v>
      </c>
      <c r="R73" s="75">
        <f>VLOOKUP($A73,'Data Vlaue (Cr)'!$C:$FB,125)</f>
        <v>0.83</v>
      </c>
      <c r="S73" s="75">
        <f>VLOOKUP($A73,'Data Vlaue (Cr)'!$C:$FB,128)*100</f>
        <v>-6.74</v>
      </c>
    </row>
    <row r="74" spans="1:19" x14ac:dyDescent="0.25">
      <c r="A74" s="96" t="str">
        <f>'Data Vlaue (Cr)'!C65</f>
        <v>FORTIS</v>
      </c>
      <c r="B74" s="75">
        <f>VLOOKUP($A74,'Data Vlaue (Cr)'!$C:$FB,2)</f>
        <v>775</v>
      </c>
      <c r="C74" s="75">
        <f>VLOOKUP($A74,'Data Vlaue (Cr)'!$C:$FB,8)</f>
        <v>841.45</v>
      </c>
      <c r="D74" s="75">
        <f>VLOOKUP($A74,'Data Vlaue (Cr)'!$C:$FB,4)</f>
        <v>842.6</v>
      </c>
      <c r="E74" s="75">
        <f>VLOOKUP($A74,'Data Vlaue (Cr)'!$C:$FB,5)</f>
        <v>846.4</v>
      </c>
      <c r="F74" s="75">
        <f t="shared" si="0"/>
        <v>1.1499999999999773</v>
      </c>
      <c r="G74" s="75">
        <f t="shared" si="1"/>
        <v>-0.450985046285302</v>
      </c>
      <c r="H74" s="75">
        <f>VLOOKUP($A74,'Data Vlaue (Cr)'!$C:$FB,99)</f>
        <v>1693</v>
      </c>
      <c r="I74" s="75">
        <f>VLOOKUP($A74,'Data Vlaue (Cr)'!$C:$FB,100)</f>
        <v>1529</v>
      </c>
      <c r="J74" s="75">
        <f t="shared" si="2"/>
        <v>164</v>
      </c>
      <c r="K74" s="75">
        <f t="shared" si="3"/>
        <v>9.6869462492616663</v>
      </c>
      <c r="L74" s="75">
        <f>VLOOKUP($A74,'Data Vlaue (Cr)'!$C:$FB,67)</f>
        <v>2331</v>
      </c>
      <c r="M74" s="75">
        <f>VLOOKUP($A74,'Data Vlaue (Cr)'!$C:$FB,68)</f>
        <v>1486</v>
      </c>
      <c r="N74" s="75">
        <f t="shared" si="4"/>
        <v>845</v>
      </c>
      <c r="O74" s="75">
        <f t="shared" si="5"/>
        <v>36.25053625053625</v>
      </c>
      <c r="P74" s="75">
        <f>VLOOKUP($A74,'Data Vlaue (Cr)'!$C:$FB,119)</f>
        <v>0.67</v>
      </c>
      <c r="Q74" s="75">
        <f>VLOOKUP($A74,'Data Vlaue (Cr)'!$C:$FB,122)*100</f>
        <v>-1.47</v>
      </c>
      <c r="R74" s="75">
        <f>VLOOKUP($A74,'Data Vlaue (Cr)'!$C:$FB,125)</f>
        <v>1.27</v>
      </c>
      <c r="S74" s="75">
        <f>VLOOKUP($A74,'Data Vlaue (Cr)'!$C:$FB,128)*100</f>
        <v>60.760000000000005</v>
      </c>
    </row>
    <row r="75" spans="1:19" x14ac:dyDescent="0.25">
      <c r="A75" s="96" t="str">
        <f>'Data Vlaue (Cr)'!C66</f>
        <v>GAIL</v>
      </c>
      <c r="B75" s="75">
        <f>VLOOKUP($A75,'Data Vlaue (Cr)'!$C:$FB,2)</f>
        <v>3150</v>
      </c>
      <c r="C75" s="75">
        <f>VLOOKUP($A75,'Data Vlaue (Cr)'!$C:$FB,8)</f>
        <v>163.57</v>
      </c>
      <c r="D75" s="75">
        <f>VLOOKUP($A75,'Data Vlaue (Cr)'!$C:$FB,4)</f>
        <v>163.80000000000001</v>
      </c>
      <c r="E75" s="75">
        <f>VLOOKUP($A75,'Data Vlaue (Cr)'!$C:$FB,5)</f>
        <v>162.72</v>
      </c>
      <c r="F75" s="75">
        <f t="shared" si="0"/>
        <v>0.23000000000001819</v>
      </c>
      <c r="G75" s="75">
        <f>(D75-E75)/D75*100</f>
        <v>0.65934065934066699</v>
      </c>
      <c r="H75" s="75">
        <f>VLOOKUP($A75,'Data Vlaue (Cr)'!$C:$FB,99)</f>
        <v>2775</v>
      </c>
      <c r="I75" s="75">
        <f>VLOOKUP($A75,'Data Vlaue (Cr)'!$C:$FB,100)</f>
        <v>2863</v>
      </c>
      <c r="J75" s="75">
        <f t="shared" si="2"/>
        <v>-88</v>
      </c>
      <c r="K75" s="75">
        <f t="shared" si="3"/>
        <v>-3.1711711711711712</v>
      </c>
      <c r="L75" s="75">
        <f>VLOOKUP($A75,'Data Vlaue (Cr)'!$C:$FB,67)</f>
        <v>1673</v>
      </c>
      <c r="M75" s="75">
        <f>VLOOKUP($A75,'Data Vlaue (Cr)'!$C:$FB,68)</f>
        <v>2217</v>
      </c>
      <c r="N75" s="75">
        <f t="shared" si="4"/>
        <v>-544</v>
      </c>
      <c r="O75" s="75">
        <f t="shared" si="5"/>
        <v>-32.516437537358037</v>
      </c>
      <c r="P75" s="75">
        <f>VLOOKUP($A75,'Data Vlaue (Cr)'!$C:$FB,119)</f>
        <v>0.82</v>
      </c>
      <c r="Q75" s="75">
        <f>VLOOKUP($A75,'Data Vlaue (Cr)'!$C:$FB,122)*100</f>
        <v>1.23</v>
      </c>
      <c r="R75" s="75">
        <f>VLOOKUP($A75,'Data Vlaue (Cr)'!$C:$FB,125)</f>
        <v>0.84</v>
      </c>
      <c r="S75" s="75">
        <f>VLOOKUP($A75,'Data Vlaue (Cr)'!$C:$FB,128)*100</f>
        <v>78.72</v>
      </c>
    </row>
    <row r="76" spans="1:19" x14ac:dyDescent="0.25">
      <c r="A76" s="96" t="str">
        <f>'Data Vlaue (Cr)'!C67</f>
        <v>GLENMARK</v>
      </c>
      <c r="B76" s="75">
        <f>VLOOKUP($A76,'Data Vlaue (Cr)'!$C:$FB,2)</f>
        <v>375</v>
      </c>
      <c r="C76" s="75">
        <f>VLOOKUP($A76,'Data Vlaue (Cr)'!$C:$FB,8)</f>
        <v>1997.2</v>
      </c>
      <c r="D76" s="75">
        <f>VLOOKUP($A76,'Data Vlaue (Cr)'!$C:$FB,4)</f>
        <v>1994.9</v>
      </c>
      <c r="E76" s="75">
        <f>VLOOKUP($A76,'Data Vlaue (Cr)'!$C:$FB,5)</f>
        <v>1943</v>
      </c>
      <c r="F76" s="75">
        <f t="shared" ref="F76:F139" si="6">D76-C76</f>
        <v>-2.2999999999999545</v>
      </c>
      <c r="G76" s="75">
        <f t="shared" ref="G76:G139" si="7">(D76-E76)/D76*100</f>
        <v>2.6016341671261762</v>
      </c>
      <c r="H76" s="75">
        <f>VLOOKUP($A76,'Data Vlaue (Cr)'!$C:$FB,99)</f>
        <v>3340</v>
      </c>
      <c r="I76" s="75">
        <f>VLOOKUP($A76,'Data Vlaue (Cr)'!$C:$FB,100)</f>
        <v>3484</v>
      </c>
      <c r="J76" s="75">
        <f t="shared" ref="J76:J139" si="8">H76-I76</f>
        <v>-144</v>
      </c>
      <c r="K76" s="75">
        <f t="shared" ref="K76:K139" si="9">J76/H76*100</f>
        <v>-4.3113772455089823</v>
      </c>
      <c r="L76" s="75">
        <f>VLOOKUP($A76,'Data Vlaue (Cr)'!$C:$FB,67)</f>
        <v>3019</v>
      </c>
      <c r="M76" s="75">
        <f>VLOOKUP($A76,'Data Vlaue (Cr)'!$C:$FB,68)</f>
        <v>2861</v>
      </c>
      <c r="N76" s="75">
        <f t="shared" ref="N76:N139" si="10">L76-M76</f>
        <v>158</v>
      </c>
      <c r="O76" s="75">
        <f t="shared" ref="O76:O139" si="11">N76/L76*100</f>
        <v>5.2335210334547861</v>
      </c>
      <c r="P76" s="75">
        <f>VLOOKUP($A76,'Data Vlaue (Cr)'!$C:$FB,119)</f>
        <v>0.55000000000000004</v>
      </c>
      <c r="Q76" s="75">
        <f>VLOOKUP($A76,'Data Vlaue (Cr)'!$C:$FB,122)*100</f>
        <v>0</v>
      </c>
      <c r="R76" s="75">
        <f>VLOOKUP($A76,'Data Vlaue (Cr)'!$C:$FB,125)</f>
        <v>0.43</v>
      </c>
      <c r="S76" s="75">
        <f>VLOOKUP($A76,'Data Vlaue (Cr)'!$C:$FB,128)*100</f>
        <v>-21.82</v>
      </c>
    </row>
    <row r="77" spans="1:19" x14ac:dyDescent="0.25">
      <c r="A77" s="96" t="str">
        <f>'Data Vlaue (Cr)'!C68</f>
        <v>GMRAIRPORT</v>
      </c>
      <c r="B77" s="75">
        <f>VLOOKUP($A77,'Data Vlaue (Cr)'!$C:$FB,2)</f>
        <v>6975</v>
      </c>
      <c r="C77" s="75">
        <f>VLOOKUP($A77,'Data Vlaue (Cr)'!$C:$FB,8)</f>
        <v>95.1</v>
      </c>
      <c r="D77" s="75">
        <f>VLOOKUP($A77,'Data Vlaue (Cr)'!$C:$FB,4)</f>
        <v>95.17</v>
      </c>
      <c r="E77" s="75">
        <f>VLOOKUP($A77,'Data Vlaue (Cr)'!$C:$FB,5)</f>
        <v>93.77</v>
      </c>
      <c r="F77" s="75">
        <f t="shared" si="6"/>
        <v>7.000000000000739E-2</v>
      </c>
      <c r="G77" s="75">
        <f t="shared" si="7"/>
        <v>1.4710518020384633</v>
      </c>
      <c r="H77" s="75">
        <f>VLOOKUP($A77,'Data Vlaue (Cr)'!$C:$FB,99)</f>
        <v>3434</v>
      </c>
      <c r="I77" s="75">
        <f>VLOOKUP($A77,'Data Vlaue (Cr)'!$C:$FB,100)</f>
        <v>3484</v>
      </c>
      <c r="J77" s="75">
        <f t="shared" si="8"/>
        <v>-50</v>
      </c>
      <c r="K77" s="75">
        <f t="shared" si="9"/>
        <v>-1.4560279557367501</v>
      </c>
      <c r="L77" s="75">
        <f>VLOOKUP($A77,'Data Vlaue (Cr)'!$C:$FB,67)</f>
        <v>1890</v>
      </c>
      <c r="M77" s="75">
        <f>VLOOKUP($A77,'Data Vlaue (Cr)'!$C:$FB,68)</f>
        <v>2639</v>
      </c>
      <c r="N77" s="75">
        <f t="shared" si="10"/>
        <v>-749</v>
      </c>
      <c r="O77" s="75">
        <f t="shared" si="11"/>
        <v>-39.629629629629633</v>
      </c>
      <c r="P77" s="75">
        <f>VLOOKUP($A77,'Data Vlaue (Cr)'!$C:$FB,119)</f>
        <v>0.53</v>
      </c>
      <c r="Q77" s="75">
        <f>VLOOKUP($A77,'Data Vlaue (Cr)'!$C:$FB,122)*100</f>
        <v>10.42</v>
      </c>
      <c r="R77" s="75">
        <f>VLOOKUP($A77,'Data Vlaue (Cr)'!$C:$FB,125)</f>
        <v>0.47</v>
      </c>
      <c r="S77" s="75">
        <f>VLOOKUP($A77,'Data Vlaue (Cr)'!$C:$FB,128)*100</f>
        <v>-12.959999999999999</v>
      </c>
    </row>
    <row r="78" spans="1:19" x14ac:dyDescent="0.25">
      <c r="A78" s="96" t="str">
        <f>'Data Vlaue (Cr)'!C69</f>
        <v>GODREJCP</v>
      </c>
      <c r="B78" s="75">
        <f>VLOOKUP($A78,'Data Vlaue (Cr)'!$C:$FB,2)</f>
        <v>500</v>
      </c>
      <c r="C78" s="75">
        <f>VLOOKUP($A78,'Data Vlaue (Cr)'!$C:$FB,8)</f>
        <v>1246</v>
      </c>
      <c r="D78" s="75">
        <f>VLOOKUP($A78,'Data Vlaue (Cr)'!$C:$FB,4)</f>
        <v>1249</v>
      </c>
      <c r="E78" s="75">
        <f>VLOOKUP($A78,'Data Vlaue (Cr)'!$C:$FB,5)</f>
        <v>1223.5</v>
      </c>
      <c r="F78" s="75">
        <f t="shared" si="6"/>
        <v>3</v>
      </c>
      <c r="G78" s="75">
        <f t="shared" si="7"/>
        <v>2.0416333066453163</v>
      </c>
      <c r="H78" s="75">
        <f>VLOOKUP($A78,'Data Vlaue (Cr)'!$C:$FB,99)</f>
        <v>1495</v>
      </c>
      <c r="I78" s="75">
        <f>VLOOKUP($A78,'Data Vlaue (Cr)'!$C:$FB,100)</f>
        <v>1537</v>
      </c>
      <c r="J78" s="75">
        <f t="shared" si="8"/>
        <v>-42</v>
      </c>
      <c r="K78" s="75">
        <f t="shared" si="9"/>
        <v>-2.8093645484949836</v>
      </c>
      <c r="L78" s="75">
        <f>VLOOKUP($A78,'Data Vlaue (Cr)'!$C:$FB,67)</f>
        <v>1745</v>
      </c>
      <c r="M78" s="75">
        <f>VLOOKUP($A78,'Data Vlaue (Cr)'!$C:$FB,68)</f>
        <v>1256</v>
      </c>
      <c r="N78" s="75">
        <f t="shared" si="10"/>
        <v>489</v>
      </c>
      <c r="O78" s="75">
        <f t="shared" si="11"/>
        <v>28.022922636103154</v>
      </c>
      <c r="P78" s="75">
        <f>VLOOKUP($A78,'Data Vlaue (Cr)'!$C:$FB,119)</f>
        <v>0.68</v>
      </c>
      <c r="Q78" s="75">
        <f>VLOOKUP($A78,'Data Vlaue (Cr)'!$C:$FB,122)*100</f>
        <v>7.9399999999999995</v>
      </c>
      <c r="R78" s="75">
        <f>VLOOKUP($A78,'Data Vlaue (Cr)'!$C:$FB,125)</f>
        <v>0.55000000000000004</v>
      </c>
      <c r="S78" s="75">
        <f>VLOOKUP($A78,'Data Vlaue (Cr)'!$C:$FB,128)*100</f>
        <v>-23.61</v>
      </c>
    </row>
    <row r="79" spans="1:19" x14ac:dyDescent="0.25">
      <c r="A79" s="96" t="str">
        <f>'Data Vlaue (Cr)'!C70</f>
        <v>GODREJPROP</v>
      </c>
      <c r="B79" s="75">
        <f>VLOOKUP($A79,'Data Vlaue (Cr)'!$C:$FB,2)</f>
        <v>275</v>
      </c>
      <c r="C79" s="75">
        <f>VLOOKUP($A79,'Data Vlaue (Cr)'!$C:$FB,8)</f>
        <v>1620.4</v>
      </c>
      <c r="D79" s="75">
        <f>VLOOKUP($A79,'Data Vlaue (Cr)'!$C:$FB,4)</f>
        <v>1623.5</v>
      </c>
      <c r="E79" s="75">
        <f>VLOOKUP($A79,'Data Vlaue (Cr)'!$C:$FB,5)</f>
        <v>1648.5</v>
      </c>
      <c r="F79" s="75">
        <f t="shared" si="6"/>
        <v>3.0999999999999091</v>
      </c>
      <c r="G79" s="75">
        <f t="shared" si="7"/>
        <v>-1.539882968894364</v>
      </c>
      <c r="H79" s="75">
        <f>VLOOKUP($A79,'Data Vlaue (Cr)'!$C:$FB,99)</f>
        <v>3781</v>
      </c>
      <c r="I79" s="75">
        <f>VLOOKUP($A79,'Data Vlaue (Cr)'!$C:$FB,100)</f>
        <v>3707</v>
      </c>
      <c r="J79" s="75">
        <f t="shared" si="8"/>
        <v>74</v>
      </c>
      <c r="K79" s="75">
        <f t="shared" si="9"/>
        <v>1.9571541920126951</v>
      </c>
      <c r="L79" s="75">
        <f>VLOOKUP($A79,'Data Vlaue (Cr)'!$C:$FB,67)</f>
        <v>3830</v>
      </c>
      <c r="M79" s="75">
        <f>VLOOKUP($A79,'Data Vlaue (Cr)'!$C:$FB,68)</f>
        <v>5236</v>
      </c>
      <c r="N79" s="75">
        <f t="shared" si="10"/>
        <v>-1406</v>
      </c>
      <c r="O79" s="75">
        <f t="shared" si="11"/>
        <v>-36.710182767624019</v>
      </c>
      <c r="P79" s="75">
        <f>VLOOKUP($A79,'Data Vlaue (Cr)'!$C:$FB,119)</f>
        <v>0.6</v>
      </c>
      <c r="Q79" s="75">
        <f>VLOOKUP($A79,'Data Vlaue (Cr)'!$C:$FB,122)*100</f>
        <v>1.69</v>
      </c>
      <c r="R79" s="75">
        <f>VLOOKUP($A79,'Data Vlaue (Cr)'!$C:$FB,125)</f>
        <v>0.62</v>
      </c>
      <c r="S79" s="75">
        <f>VLOOKUP($A79,'Data Vlaue (Cr)'!$C:$FB,128)*100</f>
        <v>-3.1300000000000003</v>
      </c>
    </row>
    <row r="80" spans="1:19" x14ac:dyDescent="0.25">
      <c r="A80" s="96" t="str">
        <f>'Data Vlaue (Cr)'!C71</f>
        <v>GRASIM</v>
      </c>
      <c r="B80" s="75">
        <f>VLOOKUP($A80,'Data Vlaue (Cr)'!$C:$FB,2)</f>
        <v>250</v>
      </c>
      <c r="C80" s="75">
        <f>VLOOKUP($A80,'Data Vlaue (Cr)'!$C:$FB,8)</f>
        <v>2787.6</v>
      </c>
      <c r="D80" s="75">
        <f>VLOOKUP($A80,'Data Vlaue (Cr)'!$C:$FB,4)</f>
        <v>2793</v>
      </c>
      <c r="E80" s="75">
        <f>VLOOKUP($A80,'Data Vlaue (Cr)'!$C:$FB,5)</f>
        <v>2737.7</v>
      </c>
      <c r="F80" s="75">
        <f t="shared" si="6"/>
        <v>5.4000000000000909</v>
      </c>
      <c r="G80" s="75">
        <f t="shared" si="7"/>
        <v>1.9799498746867235</v>
      </c>
      <c r="H80" s="75">
        <f>VLOOKUP($A80,'Data Vlaue (Cr)'!$C:$FB,99)</f>
        <v>5552</v>
      </c>
      <c r="I80" s="75">
        <f>VLOOKUP($A80,'Data Vlaue (Cr)'!$C:$FB,100)</f>
        <v>5633</v>
      </c>
      <c r="J80" s="75">
        <f t="shared" si="8"/>
        <v>-81</v>
      </c>
      <c r="K80" s="75">
        <f t="shared" si="9"/>
        <v>-1.4589337175792507</v>
      </c>
      <c r="L80" s="75">
        <f>VLOOKUP($A80,'Data Vlaue (Cr)'!$C:$FB,67)</f>
        <v>4386</v>
      </c>
      <c r="M80" s="75">
        <f>VLOOKUP($A80,'Data Vlaue (Cr)'!$C:$FB,68)</f>
        <v>3340</v>
      </c>
      <c r="N80" s="75">
        <f t="shared" si="10"/>
        <v>1046</v>
      </c>
      <c r="O80" s="75">
        <f t="shared" si="11"/>
        <v>23.848609211126313</v>
      </c>
      <c r="P80" s="75">
        <f>VLOOKUP($A80,'Data Vlaue (Cr)'!$C:$FB,119)</f>
        <v>1.01</v>
      </c>
      <c r="Q80" s="75">
        <f>VLOOKUP($A80,'Data Vlaue (Cr)'!$C:$FB,122)*100</f>
        <v>4.12</v>
      </c>
      <c r="R80" s="75">
        <f>VLOOKUP($A80,'Data Vlaue (Cr)'!$C:$FB,125)</f>
        <v>0.73</v>
      </c>
      <c r="S80" s="75">
        <f>VLOOKUP($A80,'Data Vlaue (Cr)'!$C:$FB,128)*100</f>
        <v>19.670000000000002</v>
      </c>
    </row>
    <row r="81" spans="1:19" x14ac:dyDescent="0.25">
      <c r="A81" s="96" t="str">
        <f>'Data Vlaue (Cr)'!C72</f>
        <v>HAL</v>
      </c>
      <c r="B81" s="75">
        <f>VLOOKUP($A81,'Data Vlaue (Cr)'!$C:$FB,2)</f>
        <v>150</v>
      </c>
      <c r="C81" s="75">
        <f>VLOOKUP($A81,'Data Vlaue (Cr)'!$C:$FB,8)</f>
        <v>4353.2</v>
      </c>
      <c r="D81" s="75">
        <f>VLOOKUP($A81,'Data Vlaue (Cr)'!$C:$FB,4)</f>
        <v>4350.1000000000004</v>
      </c>
      <c r="E81" s="75">
        <f>VLOOKUP($A81,'Data Vlaue (Cr)'!$C:$FB,5)</f>
        <v>4256.3999999999996</v>
      </c>
      <c r="F81" s="75">
        <f t="shared" si="6"/>
        <v>-3.0999999999994543</v>
      </c>
      <c r="G81" s="75">
        <f t="shared" si="7"/>
        <v>2.1539734718742265</v>
      </c>
      <c r="H81" s="75">
        <f>VLOOKUP($A81,'Data Vlaue (Cr)'!$C:$FB,99)</f>
        <v>8027</v>
      </c>
      <c r="I81" s="75">
        <f>VLOOKUP($A81,'Data Vlaue (Cr)'!$C:$FB,100)</f>
        <v>8351</v>
      </c>
      <c r="J81" s="75">
        <f t="shared" si="8"/>
        <v>-324</v>
      </c>
      <c r="K81" s="75">
        <f t="shared" si="9"/>
        <v>-4.036377226859349</v>
      </c>
      <c r="L81" s="75">
        <f>VLOOKUP($A81,'Data Vlaue (Cr)'!$C:$FB,67)</f>
        <v>8740</v>
      </c>
      <c r="M81" s="75">
        <f>VLOOKUP($A81,'Data Vlaue (Cr)'!$C:$FB,68)</f>
        <v>9678</v>
      </c>
      <c r="N81" s="75">
        <f t="shared" si="10"/>
        <v>-938</v>
      </c>
      <c r="O81" s="75">
        <f t="shared" si="11"/>
        <v>-10.732265446224257</v>
      </c>
      <c r="P81" s="75">
        <f>VLOOKUP($A81,'Data Vlaue (Cr)'!$C:$FB,119)</f>
        <v>0.59</v>
      </c>
      <c r="Q81" s="75">
        <f>VLOOKUP($A81,'Data Vlaue (Cr)'!$C:$FB,122)*100</f>
        <v>11.32</v>
      </c>
      <c r="R81" s="75">
        <f>VLOOKUP($A81,'Data Vlaue (Cr)'!$C:$FB,125)</f>
        <v>0.42</v>
      </c>
      <c r="S81" s="75">
        <f>VLOOKUP($A81,'Data Vlaue (Cr)'!$C:$FB,128)*100</f>
        <v>-30</v>
      </c>
    </row>
    <row r="82" spans="1:19" x14ac:dyDescent="0.25">
      <c r="A82" s="96" t="str">
        <f>'Data Vlaue (Cr)'!C73</f>
        <v>HAVELLS</v>
      </c>
      <c r="B82" s="75">
        <f>VLOOKUP($A82,'Data Vlaue (Cr)'!$C:$FB,2)</f>
        <v>500</v>
      </c>
      <c r="C82" s="75">
        <f>VLOOKUP($A82,'Data Vlaue (Cr)'!$C:$FB,8)</f>
        <v>1311.8</v>
      </c>
      <c r="D82" s="75">
        <f>VLOOKUP($A82,'Data Vlaue (Cr)'!$C:$FB,4)</f>
        <v>1308.5</v>
      </c>
      <c r="E82" s="75">
        <f>VLOOKUP($A82,'Data Vlaue (Cr)'!$C:$FB,5)</f>
        <v>1315.6</v>
      </c>
      <c r="F82" s="75">
        <f t="shared" si="6"/>
        <v>-3.2999999999999545</v>
      </c>
      <c r="G82" s="75">
        <f t="shared" si="7"/>
        <v>-0.54260603744745195</v>
      </c>
      <c r="H82" s="75">
        <f>VLOOKUP($A82,'Data Vlaue (Cr)'!$C:$FB,99)</f>
        <v>3014</v>
      </c>
      <c r="I82" s="75">
        <f>VLOOKUP($A82,'Data Vlaue (Cr)'!$C:$FB,100)</f>
        <v>3160</v>
      </c>
      <c r="J82" s="75">
        <f t="shared" si="8"/>
        <v>-146</v>
      </c>
      <c r="K82" s="75">
        <f t="shared" si="9"/>
        <v>-4.8440610484406106</v>
      </c>
      <c r="L82" s="75">
        <f>VLOOKUP($A82,'Data Vlaue (Cr)'!$C:$FB,67)</f>
        <v>3008</v>
      </c>
      <c r="M82" s="75">
        <f>VLOOKUP($A82,'Data Vlaue (Cr)'!$C:$FB,68)</f>
        <v>7648</v>
      </c>
      <c r="N82" s="75">
        <f t="shared" si="10"/>
        <v>-4640</v>
      </c>
      <c r="O82" s="75">
        <f t="shared" si="11"/>
        <v>-154.25531914893617</v>
      </c>
      <c r="P82" s="75">
        <f>VLOOKUP($A82,'Data Vlaue (Cr)'!$C:$FB,119)</f>
        <v>0.61</v>
      </c>
      <c r="Q82" s="75">
        <f>VLOOKUP($A82,'Data Vlaue (Cr)'!$C:$FB,122)*100</f>
        <v>5.17</v>
      </c>
      <c r="R82" s="75">
        <f>VLOOKUP($A82,'Data Vlaue (Cr)'!$C:$FB,125)</f>
        <v>0.44</v>
      </c>
      <c r="S82" s="75">
        <f>VLOOKUP($A82,'Data Vlaue (Cr)'!$C:$FB,128)*100</f>
        <v>-50.56</v>
      </c>
    </row>
    <row r="83" spans="1:19" x14ac:dyDescent="0.25">
      <c r="A83" s="96" t="str">
        <f>'Data Vlaue (Cr)'!C74</f>
        <v>HCLTECH</v>
      </c>
      <c r="B83" s="75">
        <f>VLOOKUP($A83,'Data Vlaue (Cr)'!$C:$FB,2)</f>
        <v>350</v>
      </c>
      <c r="C83" s="75">
        <f>VLOOKUP($A83,'Data Vlaue (Cr)'!$C:$FB,8)</f>
        <v>1703.1</v>
      </c>
      <c r="D83" s="75">
        <f>VLOOKUP($A83,'Data Vlaue (Cr)'!$C:$FB,4)</f>
        <v>1702.6</v>
      </c>
      <c r="E83" s="75">
        <f>VLOOKUP($A83,'Data Vlaue (Cr)'!$C:$FB,5)</f>
        <v>1683.5</v>
      </c>
      <c r="F83" s="75">
        <f t="shared" si="6"/>
        <v>-0.5</v>
      </c>
      <c r="G83" s="75">
        <f t="shared" si="7"/>
        <v>1.1218136966991608</v>
      </c>
      <c r="H83" s="75">
        <f>VLOOKUP($A83,'Data Vlaue (Cr)'!$C:$FB,99)</f>
        <v>5151</v>
      </c>
      <c r="I83" s="75">
        <f>VLOOKUP($A83,'Data Vlaue (Cr)'!$C:$FB,100)</f>
        <v>5156</v>
      </c>
      <c r="J83" s="75">
        <f t="shared" si="8"/>
        <v>-5</v>
      </c>
      <c r="K83" s="75">
        <f t="shared" si="9"/>
        <v>-9.7068530382450002E-2</v>
      </c>
      <c r="L83" s="75">
        <f>VLOOKUP($A83,'Data Vlaue (Cr)'!$C:$FB,67)</f>
        <v>5386</v>
      </c>
      <c r="M83" s="75">
        <f>VLOOKUP($A83,'Data Vlaue (Cr)'!$C:$FB,68)</f>
        <v>5536</v>
      </c>
      <c r="N83" s="75">
        <f t="shared" si="10"/>
        <v>-150</v>
      </c>
      <c r="O83" s="75">
        <f t="shared" si="11"/>
        <v>-2.7849981433345712</v>
      </c>
      <c r="P83" s="75">
        <f>VLOOKUP($A83,'Data Vlaue (Cr)'!$C:$FB,119)</f>
        <v>0.59</v>
      </c>
      <c r="Q83" s="75">
        <f>VLOOKUP($A83,'Data Vlaue (Cr)'!$C:$FB,122)*100</f>
        <v>3.51</v>
      </c>
      <c r="R83" s="75">
        <f>VLOOKUP($A83,'Data Vlaue (Cr)'!$C:$FB,125)</f>
        <v>0.61</v>
      </c>
      <c r="S83" s="75">
        <f>VLOOKUP($A83,'Data Vlaue (Cr)'!$C:$FB,128)*100</f>
        <v>-16.439999999999998</v>
      </c>
    </row>
    <row r="84" spans="1:19" x14ac:dyDescent="0.25">
      <c r="A84" s="96" t="str">
        <f>'Data Vlaue (Cr)'!C75</f>
        <v>HDFCAMC</v>
      </c>
      <c r="B84" s="75">
        <f>VLOOKUP($A84,'Data Vlaue (Cr)'!$C:$FB,2)</f>
        <v>300</v>
      </c>
      <c r="C84" s="75">
        <f>VLOOKUP($A84,'Data Vlaue (Cr)'!$C:$FB,8)</f>
        <v>2498.9</v>
      </c>
      <c r="D84" s="75">
        <f>VLOOKUP($A84,'Data Vlaue (Cr)'!$C:$FB,4)</f>
        <v>2497.4</v>
      </c>
      <c r="E84" s="75">
        <f>VLOOKUP($A84,'Data Vlaue (Cr)'!$C:$FB,5)</f>
        <v>2473.6999999999998</v>
      </c>
      <c r="F84" s="75">
        <f t="shared" si="6"/>
        <v>-1.5</v>
      </c>
      <c r="G84" s="75">
        <f t="shared" si="7"/>
        <v>0.94898694642429215</v>
      </c>
      <c r="H84" s="75">
        <f>VLOOKUP($A84,'Data Vlaue (Cr)'!$C:$FB,99)</f>
        <v>3154</v>
      </c>
      <c r="I84" s="75">
        <f>VLOOKUP($A84,'Data Vlaue (Cr)'!$C:$FB,100)</f>
        <v>3304</v>
      </c>
      <c r="J84" s="75">
        <f t="shared" si="8"/>
        <v>-150</v>
      </c>
      <c r="K84" s="75">
        <f t="shared" si="9"/>
        <v>-4.7558655675332915</v>
      </c>
      <c r="L84" s="75">
        <f>VLOOKUP($A84,'Data Vlaue (Cr)'!$C:$FB,67)</f>
        <v>2704</v>
      </c>
      <c r="M84" s="75">
        <f>VLOOKUP($A84,'Data Vlaue (Cr)'!$C:$FB,68)</f>
        <v>3960</v>
      </c>
      <c r="N84" s="75">
        <f t="shared" si="10"/>
        <v>-1256</v>
      </c>
      <c r="O84" s="75">
        <f t="shared" si="11"/>
        <v>-46.449704142011832</v>
      </c>
      <c r="P84" s="75">
        <f>VLOOKUP($A84,'Data Vlaue (Cr)'!$C:$FB,119)</f>
        <v>0.47</v>
      </c>
      <c r="Q84" s="75">
        <f>VLOOKUP($A84,'Data Vlaue (Cr)'!$C:$FB,122)*100</f>
        <v>4.4400000000000004</v>
      </c>
      <c r="R84" s="75">
        <f>VLOOKUP($A84,'Data Vlaue (Cr)'!$C:$FB,125)</f>
        <v>0.38</v>
      </c>
      <c r="S84" s="75">
        <f>VLOOKUP($A84,'Data Vlaue (Cr)'!$C:$FB,128)*100</f>
        <v>-26.919999999999998</v>
      </c>
    </row>
    <row r="85" spans="1:19" x14ac:dyDescent="0.25">
      <c r="A85" s="96" t="str">
        <f>'Data Vlaue (Cr)'!C76</f>
        <v>HDFCBANK</v>
      </c>
      <c r="B85" s="75">
        <f>VLOOKUP($A85,'Data Vlaue (Cr)'!$C:$FB,2)</f>
        <v>550</v>
      </c>
      <c r="C85" s="75">
        <f>VLOOKUP($A85,'Data Vlaue (Cr)'!$C:$FB,8)</f>
        <v>918.7</v>
      </c>
      <c r="D85" s="75">
        <f>VLOOKUP($A85,'Data Vlaue (Cr)'!$C:$FB,4)</f>
        <v>921.55</v>
      </c>
      <c r="E85" s="75">
        <f>VLOOKUP($A85,'Data Vlaue (Cr)'!$C:$FB,5)</f>
        <v>922.45</v>
      </c>
      <c r="F85" s="75">
        <f t="shared" si="6"/>
        <v>2.8499999999999091</v>
      </c>
      <c r="G85" s="75">
        <f t="shared" si="7"/>
        <v>-9.7661548478117408E-2</v>
      </c>
      <c r="H85" s="75">
        <f>VLOOKUP($A85,'Data Vlaue (Cr)'!$C:$FB,99)</f>
        <v>37614</v>
      </c>
      <c r="I85" s="75">
        <f>VLOOKUP($A85,'Data Vlaue (Cr)'!$C:$FB,100)</f>
        <v>36842</v>
      </c>
      <c r="J85" s="75">
        <f t="shared" si="8"/>
        <v>772</v>
      </c>
      <c r="K85" s="75">
        <f t="shared" si="9"/>
        <v>2.052427287712022</v>
      </c>
      <c r="L85" s="75">
        <f>VLOOKUP($A85,'Data Vlaue (Cr)'!$C:$FB,67)</f>
        <v>34754</v>
      </c>
      <c r="M85" s="75">
        <f>VLOOKUP($A85,'Data Vlaue (Cr)'!$C:$FB,68)</f>
        <v>39103</v>
      </c>
      <c r="N85" s="75">
        <f t="shared" si="10"/>
        <v>-4349</v>
      </c>
      <c r="O85" s="75">
        <f t="shared" si="11"/>
        <v>-12.513667491511768</v>
      </c>
      <c r="P85" s="75">
        <f>VLOOKUP($A85,'Data Vlaue (Cr)'!$C:$FB,119)</f>
        <v>0.49</v>
      </c>
      <c r="Q85" s="75">
        <f>VLOOKUP($A85,'Data Vlaue (Cr)'!$C:$FB,122)*100</f>
        <v>2.08</v>
      </c>
      <c r="R85" s="75">
        <f>VLOOKUP($A85,'Data Vlaue (Cr)'!$C:$FB,125)</f>
        <v>0.61</v>
      </c>
      <c r="S85" s="75">
        <f>VLOOKUP($A85,'Data Vlaue (Cr)'!$C:$FB,128)*100</f>
        <v>-21.790000000000003</v>
      </c>
    </row>
    <row r="86" spans="1:19" x14ac:dyDescent="0.25">
      <c r="A86" s="96" t="str">
        <f>'Data Vlaue (Cr)'!C77</f>
        <v>HDFCLIFE</v>
      </c>
      <c r="B86" s="75">
        <f>VLOOKUP($A86,'Data Vlaue (Cr)'!$C:$FB,2)</f>
        <v>1100</v>
      </c>
      <c r="C86" s="75">
        <f>VLOOKUP($A86,'Data Vlaue (Cr)'!$C:$FB,8)</f>
        <v>725.1</v>
      </c>
      <c r="D86" s="75">
        <f>VLOOKUP($A86,'Data Vlaue (Cr)'!$C:$FB,4)</f>
        <v>725.4</v>
      </c>
      <c r="E86" s="75">
        <f>VLOOKUP($A86,'Data Vlaue (Cr)'!$C:$FB,5)</f>
        <v>725.6</v>
      </c>
      <c r="F86" s="75">
        <f t="shared" si="6"/>
        <v>0.29999999999995453</v>
      </c>
      <c r="G86" s="75">
        <f t="shared" si="7"/>
        <v>-2.757099531293707E-2</v>
      </c>
      <c r="H86" s="75">
        <f>VLOOKUP($A86,'Data Vlaue (Cr)'!$C:$FB,99)</f>
        <v>4443</v>
      </c>
      <c r="I86" s="75">
        <f>VLOOKUP($A86,'Data Vlaue (Cr)'!$C:$FB,100)</f>
        <v>4436</v>
      </c>
      <c r="J86" s="75">
        <f t="shared" si="8"/>
        <v>7</v>
      </c>
      <c r="K86" s="75">
        <f t="shared" si="9"/>
        <v>0.15755120414134594</v>
      </c>
      <c r="L86" s="75">
        <f>VLOOKUP($A86,'Data Vlaue (Cr)'!$C:$FB,67)</f>
        <v>3769</v>
      </c>
      <c r="M86" s="75">
        <f>VLOOKUP($A86,'Data Vlaue (Cr)'!$C:$FB,68)</f>
        <v>4377</v>
      </c>
      <c r="N86" s="75">
        <f t="shared" si="10"/>
        <v>-608</v>
      </c>
      <c r="O86" s="75">
        <f t="shared" si="11"/>
        <v>-16.131599893871055</v>
      </c>
      <c r="P86" s="75">
        <f>VLOOKUP($A86,'Data Vlaue (Cr)'!$C:$FB,119)</f>
        <v>0.45</v>
      </c>
      <c r="Q86" s="75">
        <f>VLOOKUP($A86,'Data Vlaue (Cr)'!$C:$FB,122)*100</f>
        <v>-4.26</v>
      </c>
      <c r="R86" s="75">
        <f>VLOOKUP($A86,'Data Vlaue (Cr)'!$C:$FB,125)</f>
        <v>0.67</v>
      </c>
      <c r="S86" s="75">
        <f>VLOOKUP($A86,'Data Vlaue (Cr)'!$C:$FB,128)*100</f>
        <v>15.52</v>
      </c>
    </row>
    <row r="87" spans="1:19" x14ac:dyDescent="0.25">
      <c r="A87" s="96" t="str">
        <f>'Data Vlaue (Cr)'!C78</f>
        <v>HEROMOTOCO</v>
      </c>
      <c r="B87" s="75">
        <f>VLOOKUP($A87,'Data Vlaue (Cr)'!$C:$FB,2)</f>
        <v>150</v>
      </c>
      <c r="C87" s="75">
        <f>VLOOKUP($A87,'Data Vlaue (Cr)'!$C:$FB,8)</f>
        <v>5488.5</v>
      </c>
      <c r="D87" s="75">
        <f>VLOOKUP($A87,'Data Vlaue (Cr)'!$C:$FB,4)</f>
        <v>5485</v>
      </c>
      <c r="E87" s="75">
        <f>VLOOKUP($A87,'Data Vlaue (Cr)'!$C:$FB,5)</f>
        <v>5537</v>
      </c>
      <c r="F87" s="75">
        <f t="shared" si="6"/>
        <v>-3.5</v>
      </c>
      <c r="G87" s="75">
        <f t="shared" si="7"/>
        <v>-0.94804010938924332</v>
      </c>
      <c r="H87" s="75">
        <f>VLOOKUP($A87,'Data Vlaue (Cr)'!$C:$FB,99)</f>
        <v>5379</v>
      </c>
      <c r="I87" s="75">
        <f>VLOOKUP($A87,'Data Vlaue (Cr)'!$C:$FB,100)</f>
        <v>5589</v>
      </c>
      <c r="J87" s="75">
        <f t="shared" si="8"/>
        <v>-210</v>
      </c>
      <c r="K87" s="75">
        <f t="shared" si="9"/>
        <v>-3.9040713887339651</v>
      </c>
      <c r="L87" s="75">
        <f>VLOOKUP($A87,'Data Vlaue (Cr)'!$C:$FB,67)</f>
        <v>7994</v>
      </c>
      <c r="M87" s="75">
        <f>VLOOKUP($A87,'Data Vlaue (Cr)'!$C:$FB,68)</f>
        <v>9310</v>
      </c>
      <c r="N87" s="75">
        <f t="shared" si="10"/>
        <v>-1316</v>
      </c>
      <c r="O87" s="75">
        <f t="shared" si="11"/>
        <v>-16.462346760070051</v>
      </c>
      <c r="P87" s="75">
        <f>VLOOKUP($A87,'Data Vlaue (Cr)'!$C:$FB,119)</f>
        <v>0.48</v>
      </c>
      <c r="Q87" s="75">
        <f>VLOOKUP($A87,'Data Vlaue (Cr)'!$C:$FB,122)*100</f>
        <v>4.3499999999999996</v>
      </c>
      <c r="R87" s="75">
        <f>VLOOKUP($A87,'Data Vlaue (Cr)'!$C:$FB,125)</f>
        <v>0.44</v>
      </c>
      <c r="S87" s="75">
        <f>VLOOKUP($A87,'Data Vlaue (Cr)'!$C:$FB,128)*100</f>
        <v>-21.43</v>
      </c>
    </row>
    <row r="88" spans="1:19" x14ac:dyDescent="0.25">
      <c r="A88" s="96" t="str">
        <f>'Data Vlaue (Cr)'!C79</f>
        <v>HINDALCO</v>
      </c>
      <c r="B88" s="75">
        <f>VLOOKUP($A88,'Data Vlaue (Cr)'!$C:$FB,2)</f>
        <v>700</v>
      </c>
      <c r="C88" s="75">
        <f>VLOOKUP($A88,'Data Vlaue (Cr)'!$C:$FB,8)</f>
        <v>944.45</v>
      </c>
      <c r="D88" s="75">
        <f>VLOOKUP($A88,'Data Vlaue (Cr)'!$C:$FB,4)</f>
        <v>941.15</v>
      </c>
      <c r="E88" s="75">
        <f>VLOOKUP($A88,'Data Vlaue (Cr)'!$C:$FB,5)</f>
        <v>937.6</v>
      </c>
      <c r="F88" s="75">
        <f t="shared" si="6"/>
        <v>-3.3000000000000682</v>
      </c>
      <c r="G88" s="75">
        <f t="shared" si="7"/>
        <v>0.37719810869680226</v>
      </c>
      <c r="H88" s="75">
        <f>VLOOKUP($A88,'Data Vlaue (Cr)'!$C:$FB,99)</f>
        <v>7533</v>
      </c>
      <c r="I88" s="75">
        <f>VLOOKUP($A88,'Data Vlaue (Cr)'!$C:$FB,100)</f>
        <v>7804</v>
      </c>
      <c r="J88" s="75">
        <f t="shared" si="8"/>
        <v>-271</v>
      </c>
      <c r="K88" s="75">
        <f t="shared" si="9"/>
        <v>-3.5975043143501924</v>
      </c>
      <c r="L88" s="75">
        <f>VLOOKUP($A88,'Data Vlaue (Cr)'!$C:$FB,67)</f>
        <v>8886</v>
      </c>
      <c r="M88" s="75">
        <f>VLOOKUP($A88,'Data Vlaue (Cr)'!$C:$FB,68)</f>
        <v>8429</v>
      </c>
      <c r="N88" s="75">
        <f t="shared" si="10"/>
        <v>457</v>
      </c>
      <c r="O88" s="75">
        <f t="shared" si="11"/>
        <v>5.1429214494710784</v>
      </c>
      <c r="P88" s="75">
        <f>VLOOKUP($A88,'Data Vlaue (Cr)'!$C:$FB,119)</f>
        <v>0.76</v>
      </c>
      <c r="Q88" s="75">
        <f>VLOOKUP($A88,'Data Vlaue (Cr)'!$C:$FB,122)*100</f>
        <v>7.04</v>
      </c>
      <c r="R88" s="75">
        <f>VLOOKUP($A88,'Data Vlaue (Cr)'!$C:$FB,125)</f>
        <v>0.64</v>
      </c>
      <c r="S88" s="75">
        <f>VLOOKUP($A88,'Data Vlaue (Cr)'!$C:$FB,128)*100</f>
        <v>18.52</v>
      </c>
    </row>
    <row r="89" spans="1:19" x14ac:dyDescent="0.25">
      <c r="A89" s="96" t="str">
        <f>'Data Vlaue (Cr)'!C80</f>
        <v>HINDPETRO</v>
      </c>
      <c r="B89" s="75">
        <f>VLOOKUP($A89,'Data Vlaue (Cr)'!$C:$FB,2)</f>
        <v>2025</v>
      </c>
      <c r="C89" s="75">
        <f>VLOOKUP($A89,'Data Vlaue (Cr)'!$C:$FB,8)</f>
        <v>427.7</v>
      </c>
      <c r="D89" s="75">
        <f>VLOOKUP($A89,'Data Vlaue (Cr)'!$C:$FB,4)</f>
        <v>427.5</v>
      </c>
      <c r="E89" s="75">
        <f>VLOOKUP($A89,'Data Vlaue (Cr)'!$C:$FB,5)</f>
        <v>430.25</v>
      </c>
      <c r="F89" s="75">
        <f t="shared" si="6"/>
        <v>-0.19999999999998863</v>
      </c>
      <c r="G89" s="75">
        <f t="shared" si="7"/>
        <v>-0.64327485380116967</v>
      </c>
      <c r="H89" s="75">
        <f>VLOOKUP($A89,'Data Vlaue (Cr)'!$C:$FB,99)</f>
        <v>3169</v>
      </c>
      <c r="I89" s="75">
        <f>VLOOKUP($A89,'Data Vlaue (Cr)'!$C:$FB,100)</f>
        <v>3277</v>
      </c>
      <c r="J89" s="75">
        <f t="shared" si="8"/>
        <v>-108</v>
      </c>
      <c r="K89" s="75">
        <f t="shared" si="9"/>
        <v>-3.4080151467339856</v>
      </c>
      <c r="L89" s="75">
        <f>VLOOKUP($A89,'Data Vlaue (Cr)'!$C:$FB,67)</f>
        <v>4189</v>
      </c>
      <c r="M89" s="75">
        <f>VLOOKUP($A89,'Data Vlaue (Cr)'!$C:$FB,68)</f>
        <v>4024</v>
      </c>
      <c r="N89" s="75">
        <f t="shared" si="10"/>
        <v>165</v>
      </c>
      <c r="O89" s="75">
        <f t="shared" si="11"/>
        <v>3.93888756266412</v>
      </c>
      <c r="P89" s="75">
        <f>VLOOKUP($A89,'Data Vlaue (Cr)'!$C:$FB,119)</f>
        <v>0.52</v>
      </c>
      <c r="Q89" s="75">
        <f>VLOOKUP($A89,'Data Vlaue (Cr)'!$C:$FB,122)*100</f>
        <v>-1.8900000000000001</v>
      </c>
      <c r="R89" s="75">
        <f>VLOOKUP($A89,'Data Vlaue (Cr)'!$C:$FB,125)</f>
        <v>0.63</v>
      </c>
      <c r="S89" s="75">
        <f>VLOOKUP($A89,'Data Vlaue (Cr)'!$C:$FB,128)*100</f>
        <v>0</v>
      </c>
    </row>
    <row r="90" spans="1:19" x14ac:dyDescent="0.25">
      <c r="A90" s="96" t="str">
        <f>'Data Vlaue (Cr)'!C81</f>
        <v>HINDUNILVR</v>
      </c>
      <c r="B90" s="75">
        <f>VLOOKUP($A90,'Data Vlaue (Cr)'!$C:$FB,2)</f>
        <v>300</v>
      </c>
      <c r="C90" s="75">
        <f>VLOOKUP($A90,'Data Vlaue (Cr)'!$C:$FB,8)</f>
        <v>2390.6</v>
      </c>
      <c r="D90" s="75">
        <f>VLOOKUP($A90,'Data Vlaue (Cr)'!$C:$FB,4)</f>
        <v>2395.6</v>
      </c>
      <c r="E90" s="75">
        <f>VLOOKUP($A90,'Data Vlaue (Cr)'!$C:$FB,5)</f>
        <v>2368.4</v>
      </c>
      <c r="F90" s="75">
        <f t="shared" si="6"/>
        <v>5</v>
      </c>
      <c r="G90" s="75">
        <f t="shared" si="7"/>
        <v>1.1354149273668317</v>
      </c>
      <c r="H90" s="75">
        <f>VLOOKUP($A90,'Data Vlaue (Cr)'!$C:$FB,99)</f>
        <v>5853</v>
      </c>
      <c r="I90" s="75">
        <f>VLOOKUP($A90,'Data Vlaue (Cr)'!$C:$FB,100)</f>
        <v>6054</v>
      </c>
      <c r="J90" s="75">
        <f t="shared" si="8"/>
        <v>-201</v>
      </c>
      <c r="K90" s="75">
        <f t="shared" si="9"/>
        <v>-3.4341363403382883</v>
      </c>
      <c r="L90" s="75">
        <f>VLOOKUP($A90,'Data Vlaue (Cr)'!$C:$FB,67)</f>
        <v>8381</v>
      </c>
      <c r="M90" s="75">
        <f>VLOOKUP($A90,'Data Vlaue (Cr)'!$C:$FB,68)</f>
        <v>8312</v>
      </c>
      <c r="N90" s="75">
        <f t="shared" si="10"/>
        <v>69</v>
      </c>
      <c r="O90" s="75">
        <f t="shared" si="11"/>
        <v>0.82329077675695017</v>
      </c>
      <c r="P90" s="75">
        <f>VLOOKUP($A90,'Data Vlaue (Cr)'!$C:$FB,119)</f>
        <v>0.53</v>
      </c>
      <c r="Q90" s="75">
        <f>VLOOKUP($A90,'Data Vlaue (Cr)'!$C:$FB,122)*100</f>
        <v>10.42</v>
      </c>
      <c r="R90" s="75">
        <f>VLOOKUP($A90,'Data Vlaue (Cr)'!$C:$FB,125)</f>
        <v>0.5</v>
      </c>
      <c r="S90" s="75">
        <f>VLOOKUP($A90,'Data Vlaue (Cr)'!$C:$FB,128)*100</f>
        <v>-16.669999999999998</v>
      </c>
    </row>
    <row r="91" spans="1:19" x14ac:dyDescent="0.25">
      <c r="A91" s="96" t="str">
        <f>'Data Vlaue (Cr)'!C82</f>
        <v>HINDZINC</v>
      </c>
      <c r="B91" s="75">
        <f>VLOOKUP($A91,'Data Vlaue (Cr)'!$C:$FB,2)</f>
        <v>1225</v>
      </c>
      <c r="C91" s="75">
        <f>VLOOKUP($A91,'Data Vlaue (Cr)'!$C:$FB,8)</f>
        <v>668.25</v>
      </c>
      <c r="D91" s="75">
        <f>VLOOKUP($A91,'Data Vlaue (Cr)'!$C:$FB,4)</f>
        <v>665.9</v>
      </c>
      <c r="E91" s="75">
        <f>VLOOKUP($A91,'Data Vlaue (Cr)'!$C:$FB,5)</f>
        <v>695.45</v>
      </c>
      <c r="F91" s="75">
        <f t="shared" si="6"/>
        <v>-2.3500000000000227</v>
      </c>
      <c r="G91" s="75">
        <f t="shared" si="7"/>
        <v>-4.4376032437303001</v>
      </c>
      <c r="H91" s="75">
        <f>VLOOKUP($A91,'Data Vlaue (Cr)'!$C:$FB,99)</f>
        <v>9284</v>
      </c>
      <c r="I91" s="75">
        <f>VLOOKUP($A91,'Data Vlaue (Cr)'!$C:$FB,100)</f>
        <v>9459</v>
      </c>
      <c r="J91" s="75">
        <f t="shared" si="8"/>
        <v>-175</v>
      </c>
      <c r="K91" s="75">
        <f t="shared" si="9"/>
        <v>-1.8849633778543731</v>
      </c>
      <c r="L91" s="75">
        <f>VLOOKUP($A91,'Data Vlaue (Cr)'!$C:$FB,67)</f>
        <v>35041</v>
      </c>
      <c r="M91" s="75">
        <f>VLOOKUP($A91,'Data Vlaue (Cr)'!$C:$FB,68)</f>
        <v>29201</v>
      </c>
      <c r="N91" s="75">
        <f t="shared" si="10"/>
        <v>5840</v>
      </c>
      <c r="O91" s="75">
        <f t="shared" si="11"/>
        <v>16.666191033360921</v>
      </c>
      <c r="P91" s="75">
        <f>VLOOKUP($A91,'Data Vlaue (Cr)'!$C:$FB,119)</f>
        <v>0.57999999999999996</v>
      </c>
      <c r="Q91" s="75">
        <f>VLOOKUP($A91,'Data Vlaue (Cr)'!$C:$FB,122)*100</f>
        <v>-1.69</v>
      </c>
      <c r="R91" s="75">
        <f>VLOOKUP($A91,'Data Vlaue (Cr)'!$C:$FB,125)</f>
        <v>0.52</v>
      </c>
      <c r="S91" s="75">
        <f>VLOOKUP($A91,'Data Vlaue (Cr)'!$C:$FB,128)*100</f>
        <v>57.58</v>
      </c>
    </row>
    <row r="92" spans="1:19" x14ac:dyDescent="0.25">
      <c r="A92" s="96" t="str">
        <f>'Data Vlaue (Cr)'!C83</f>
        <v>HUDCO</v>
      </c>
      <c r="B92" s="75">
        <f>VLOOKUP($A92,'Data Vlaue (Cr)'!$C:$FB,2)</f>
        <v>2775</v>
      </c>
      <c r="C92" s="75">
        <f>VLOOKUP($A92,'Data Vlaue (Cr)'!$C:$FB,8)</f>
        <v>207.11</v>
      </c>
      <c r="D92" s="75">
        <f>VLOOKUP($A92,'Data Vlaue (Cr)'!$C:$FB,4)</f>
        <v>206.98</v>
      </c>
      <c r="E92" s="75">
        <f>VLOOKUP($A92,'Data Vlaue (Cr)'!$C:$FB,5)</f>
        <v>203.36</v>
      </c>
      <c r="F92" s="75">
        <f t="shared" si="6"/>
        <v>-0.13000000000002387</v>
      </c>
      <c r="G92" s="75">
        <f t="shared" si="7"/>
        <v>1.7489612522948963</v>
      </c>
      <c r="H92" s="75">
        <f>VLOOKUP($A92,'Data Vlaue (Cr)'!$C:$FB,99)</f>
        <v>1779</v>
      </c>
      <c r="I92" s="75">
        <f>VLOOKUP($A92,'Data Vlaue (Cr)'!$C:$FB,100)</f>
        <v>1816</v>
      </c>
      <c r="J92" s="75">
        <f t="shared" si="8"/>
        <v>-37</v>
      </c>
      <c r="K92" s="75">
        <f t="shared" si="9"/>
        <v>-2.0798201236649803</v>
      </c>
      <c r="L92" s="75">
        <f>VLOOKUP($A92,'Data Vlaue (Cr)'!$C:$FB,67)</f>
        <v>1527</v>
      </c>
      <c r="M92" s="75">
        <f>VLOOKUP($A92,'Data Vlaue (Cr)'!$C:$FB,68)</f>
        <v>1508</v>
      </c>
      <c r="N92" s="75">
        <f t="shared" si="10"/>
        <v>19</v>
      </c>
      <c r="O92" s="75">
        <f t="shared" si="11"/>
        <v>1.2442698100851344</v>
      </c>
      <c r="P92" s="75">
        <f>VLOOKUP($A92,'Data Vlaue (Cr)'!$C:$FB,119)</f>
        <v>0.6</v>
      </c>
      <c r="Q92" s="75">
        <f>VLOOKUP($A92,'Data Vlaue (Cr)'!$C:$FB,122)*100</f>
        <v>3.45</v>
      </c>
      <c r="R92" s="75">
        <f>VLOOKUP($A92,'Data Vlaue (Cr)'!$C:$FB,125)</f>
        <v>0.47</v>
      </c>
      <c r="S92" s="75">
        <f>VLOOKUP($A92,'Data Vlaue (Cr)'!$C:$FB,128)*100</f>
        <v>-34.72</v>
      </c>
    </row>
    <row r="93" spans="1:19" x14ac:dyDescent="0.25">
      <c r="A93" s="96" t="str">
        <f>'Data Vlaue (Cr)'!C84</f>
        <v>ICICIBANK</v>
      </c>
      <c r="B93" s="75">
        <f>VLOOKUP($A93,'Data Vlaue (Cr)'!$C:$FB,2)</f>
        <v>700</v>
      </c>
      <c r="C93" s="75">
        <f>VLOOKUP($A93,'Data Vlaue (Cr)'!$C:$FB,8)</f>
        <v>1345.5</v>
      </c>
      <c r="D93" s="75">
        <f>VLOOKUP($A93,'Data Vlaue (Cr)'!$C:$FB,4)</f>
        <v>1348.6</v>
      </c>
      <c r="E93" s="75">
        <f>VLOOKUP($A93,'Data Vlaue (Cr)'!$C:$FB,5)</f>
        <v>1347.2</v>
      </c>
      <c r="F93" s="75">
        <f t="shared" si="6"/>
        <v>3.0999999999999091</v>
      </c>
      <c r="G93" s="75">
        <f t="shared" si="7"/>
        <v>0.10381135992880496</v>
      </c>
      <c r="H93" s="75">
        <f>VLOOKUP($A93,'Data Vlaue (Cr)'!$C:$FB,99)</f>
        <v>28284</v>
      </c>
      <c r="I93" s="75">
        <f>VLOOKUP($A93,'Data Vlaue (Cr)'!$C:$FB,100)</f>
        <v>28469</v>
      </c>
      <c r="J93" s="75">
        <f t="shared" si="8"/>
        <v>-185</v>
      </c>
      <c r="K93" s="75">
        <f t="shared" si="9"/>
        <v>-0.65408004525526797</v>
      </c>
      <c r="L93" s="75">
        <f>VLOOKUP($A93,'Data Vlaue (Cr)'!$C:$FB,67)</f>
        <v>27465</v>
      </c>
      <c r="M93" s="75">
        <f>VLOOKUP($A93,'Data Vlaue (Cr)'!$C:$FB,68)</f>
        <v>41433</v>
      </c>
      <c r="N93" s="75">
        <f t="shared" si="10"/>
        <v>-13968</v>
      </c>
      <c r="O93" s="75">
        <f t="shared" si="11"/>
        <v>-50.857454942654293</v>
      </c>
      <c r="P93" s="75">
        <f>VLOOKUP($A93,'Data Vlaue (Cr)'!$C:$FB,119)</f>
        <v>0.47</v>
      </c>
      <c r="Q93" s="75">
        <f>VLOOKUP($A93,'Data Vlaue (Cr)'!$C:$FB,122)*100</f>
        <v>-2.08</v>
      </c>
      <c r="R93" s="75">
        <f>VLOOKUP($A93,'Data Vlaue (Cr)'!$C:$FB,125)</f>
        <v>0.77</v>
      </c>
      <c r="S93" s="75">
        <f>VLOOKUP($A93,'Data Vlaue (Cr)'!$C:$FB,128)*100</f>
        <v>1.32</v>
      </c>
    </row>
    <row r="94" spans="1:19" x14ac:dyDescent="0.25">
      <c r="A94" s="96" t="str">
        <f>'Data Vlaue (Cr)'!C85</f>
        <v>ICICIGI</v>
      </c>
      <c r="B94" s="75">
        <f>VLOOKUP($A94,'Data Vlaue (Cr)'!$C:$FB,2)</f>
        <v>325</v>
      </c>
      <c r="C94" s="75">
        <f>VLOOKUP($A94,'Data Vlaue (Cr)'!$C:$FB,8)</f>
        <v>1824.7</v>
      </c>
      <c r="D94" s="75">
        <f>VLOOKUP($A94,'Data Vlaue (Cr)'!$C:$FB,4)</f>
        <v>1831.2</v>
      </c>
      <c r="E94" s="75">
        <f>VLOOKUP($A94,'Data Vlaue (Cr)'!$C:$FB,5)</f>
        <v>1840.7</v>
      </c>
      <c r="F94" s="75">
        <f t="shared" si="6"/>
        <v>6.5</v>
      </c>
      <c r="G94" s="75">
        <f t="shared" si="7"/>
        <v>-0.51878549584971601</v>
      </c>
      <c r="H94" s="75">
        <f>VLOOKUP($A94,'Data Vlaue (Cr)'!$C:$FB,99)</f>
        <v>1594</v>
      </c>
      <c r="I94" s="75">
        <f>VLOOKUP($A94,'Data Vlaue (Cr)'!$C:$FB,100)</f>
        <v>1677</v>
      </c>
      <c r="J94" s="75">
        <f t="shared" si="8"/>
        <v>-83</v>
      </c>
      <c r="K94" s="75">
        <f t="shared" si="9"/>
        <v>-5.2070263488080304</v>
      </c>
      <c r="L94" s="75">
        <f>VLOOKUP($A94,'Data Vlaue (Cr)'!$C:$FB,67)</f>
        <v>1241</v>
      </c>
      <c r="M94" s="75">
        <f>VLOOKUP($A94,'Data Vlaue (Cr)'!$C:$FB,68)</f>
        <v>1445</v>
      </c>
      <c r="N94" s="75">
        <f t="shared" si="10"/>
        <v>-204</v>
      </c>
      <c r="O94" s="75">
        <f t="shared" si="11"/>
        <v>-16.43835616438356</v>
      </c>
      <c r="P94" s="75">
        <f>VLOOKUP($A94,'Data Vlaue (Cr)'!$C:$FB,119)</f>
        <v>0.62</v>
      </c>
      <c r="Q94" s="75">
        <f>VLOOKUP($A94,'Data Vlaue (Cr)'!$C:$FB,122)*100</f>
        <v>0</v>
      </c>
      <c r="R94" s="75">
        <f>VLOOKUP($A94,'Data Vlaue (Cr)'!$C:$FB,125)</f>
        <v>0.56999999999999995</v>
      </c>
      <c r="S94" s="75">
        <f>VLOOKUP($A94,'Data Vlaue (Cr)'!$C:$FB,128)*100</f>
        <v>1.79</v>
      </c>
    </row>
    <row r="95" spans="1:19" x14ac:dyDescent="0.25">
      <c r="A95" s="96" t="str">
        <f>'Data Vlaue (Cr)'!C86</f>
        <v>ICICIPRULI</v>
      </c>
      <c r="B95" s="75">
        <f>VLOOKUP($A95,'Data Vlaue (Cr)'!$C:$FB,2)</f>
        <v>925</v>
      </c>
      <c r="C95" s="75">
        <f>VLOOKUP($A95,'Data Vlaue (Cr)'!$C:$FB,8)</f>
        <v>653.15</v>
      </c>
      <c r="D95" s="75">
        <f>VLOOKUP($A95,'Data Vlaue (Cr)'!$C:$FB,4)</f>
        <v>653.95000000000005</v>
      </c>
      <c r="E95" s="75">
        <f>VLOOKUP($A95,'Data Vlaue (Cr)'!$C:$FB,5)</f>
        <v>648</v>
      </c>
      <c r="F95" s="75">
        <f t="shared" si="6"/>
        <v>0.80000000000006821</v>
      </c>
      <c r="G95" s="75">
        <f t="shared" si="7"/>
        <v>0.90985549353926831</v>
      </c>
      <c r="H95" s="75">
        <f>VLOOKUP($A95,'Data Vlaue (Cr)'!$C:$FB,99)</f>
        <v>1650</v>
      </c>
      <c r="I95" s="75">
        <f>VLOOKUP($A95,'Data Vlaue (Cr)'!$C:$FB,100)</f>
        <v>1689</v>
      </c>
      <c r="J95" s="75">
        <f t="shared" si="8"/>
        <v>-39</v>
      </c>
      <c r="K95" s="75">
        <f t="shared" si="9"/>
        <v>-2.3636363636363638</v>
      </c>
      <c r="L95" s="75">
        <f>VLOOKUP($A95,'Data Vlaue (Cr)'!$C:$FB,67)</f>
        <v>1652</v>
      </c>
      <c r="M95" s="75">
        <f>VLOOKUP($A95,'Data Vlaue (Cr)'!$C:$FB,68)</f>
        <v>1075</v>
      </c>
      <c r="N95" s="75">
        <f t="shared" si="10"/>
        <v>577</v>
      </c>
      <c r="O95" s="75">
        <f t="shared" si="11"/>
        <v>34.927360774818403</v>
      </c>
      <c r="P95" s="75">
        <f>VLOOKUP($A95,'Data Vlaue (Cr)'!$C:$FB,119)</f>
        <v>0.62</v>
      </c>
      <c r="Q95" s="75">
        <f>VLOOKUP($A95,'Data Vlaue (Cr)'!$C:$FB,122)*100</f>
        <v>6.9</v>
      </c>
      <c r="R95" s="75">
        <f>VLOOKUP($A95,'Data Vlaue (Cr)'!$C:$FB,125)</f>
        <v>0.52</v>
      </c>
      <c r="S95" s="75">
        <f>VLOOKUP($A95,'Data Vlaue (Cr)'!$C:$FB,128)*100</f>
        <v>-8.77</v>
      </c>
    </row>
    <row r="96" spans="1:19" x14ac:dyDescent="0.25">
      <c r="A96" s="96" t="str">
        <f>'Data Vlaue (Cr)'!C87</f>
        <v>IDEA</v>
      </c>
      <c r="B96" s="75">
        <f>VLOOKUP($A96,'Data Vlaue (Cr)'!$C:$FB,2)</f>
        <v>71475</v>
      </c>
      <c r="C96" s="75">
        <f>VLOOKUP($A96,'Data Vlaue (Cr)'!$C:$FB,8)</f>
        <v>10.18</v>
      </c>
      <c r="D96" s="75">
        <f>VLOOKUP($A96,'Data Vlaue (Cr)'!$C:$FB,4)</f>
        <v>10.220000000000001</v>
      </c>
      <c r="E96" s="75">
        <f>VLOOKUP($A96,'Data Vlaue (Cr)'!$C:$FB,5)</f>
        <v>10.15</v>
      </c>
      <c r="F96" s="75">
        <f t="shared" si="6"/>
        <v>4.0000000000000924E-2</v>
      </c>
      <c r="G96" s="75">
        <f t="shared" si="7"/>
        <v>0.68493150684931781</v>
      </c>
      <c r="H96" s="75">
        <f>VLOOKUP($A96,'Data Vlaue (Cr)'!$C:$FB,99)</f>
        <v>12191</v>
      </c>
      <c r="I96" s="75">
        <f>VLOOKUP($A96,'Data Vlaue (Cr)'!$C:$FB,100)</f>
        <v>12267</v>
      </c>
      <c r="J96" s="75">
        <f t="shared" si="8"/>
        <v>-76</v>
      </c>
      <c r="K96" s="75">
        <f t="shared" si="9"/>
        <v>-0.62341071282093341</v>
      </c>
      <c r="L96" s="75">
        <f>VLOOKUP($A96,'Data Vlaue (Cr)'!$C:$FB,67)</f>
        <v>4318</v>
      </c>
      <c r="M96" s="75">
        <f>VLOOKUP($A96,'Data Vlaue (Cr)'!$C:$FB,68)</f>
        <v>7426</v>
      </c>
      <c r="N96" s="75">
        <f t="shared" si="10"/>
        <v>-3108</v>
      </c>
      <c r="O96" s="75">
        <f t="shared" si="11"/>
        <v>-71.977767484946725</v>
      </c>
      <c r="P96" s="75">
        <f>VLOOKUP($A96,'Data Vlaue (Cr)'!$C:$FB,119)</f>
        <v>0.55000000000000004</v>
      </c>
      <c r="Q96" s="75">
        <f>VLOOKUP($A96,'Data Vlaue (Cr)'!$C:$FB,122)*100</f>
        <v>3.7699999999999996</v>
      </c>
      <c r="R96" s="75">
        <f>VLOOKUP($A96,'Data Vlaue (Cr)'!$C:$FB,125)</f>
        <v>0.48</v>
      </c>
      <c r="S96" s="75">
        <f>VLOOKUP($A96,'Data Vlaue (Cr)'!$C:$FB,128)*100</f>
        <v>2.13</v>
      </c>
    </row>
    <row r="97" spans="1:19" x14ac:dyDescent="0.25">
      <c r="A97" s="96" t="str">
        <f>'Data Vlaue (Cr)'!C88</f>
        <v>IDFCFIRSTB</v>
      </c>
      <c r="B97" s="75">
        <f>VLOOKUP($A97,'Data Vlaue (Cr)'!$C:$FB,2)</f>
        <v>9275</v>
      </c>
      <c r="C97" s="75">
        <f>VLOOKUP($A97,'Data Vlaue (Cr)'!$C:$FB,8)</f>
        <v>84.2</v>
      </c>
      <c r="D97" s="75">
        <f>VLOOKUP($A97,'Data Vlaue (Cr)'!$C:$FB,4)</f>
        <v>84.14</v>
      </c>
      <c r="E97" s="75">
        <f>VLOOKUP($A97,'Data Vlaue (Cr)'!$C:$FB,5)</f>
        <v>81.44</v>
      </c>
      <c r="F97" s="75">
        <f t="shared" si="6"/>
        <v>-6.0000000000002274E-2</v>
      </c>
      <c r="G97" s="75">
        <f t="shared" si="7"/>
        <v>3.2089374851438111</v>
      </c>
      <c r="H97" s="75">
        <f>VLOOKUP($A97,'Data Vlaue (Cr)'!$C:$FB,99)</f>
        <v>4507</v>
      </c>
      <c r="I97" s="75">
        <f>VLOOKUP($A97,'Data Vlaue (Cr)'!$C:$FB,100)</f>
        <v>4666</v>
      </c>
      <c r="J97" s="75">
        <f t="shared" si="8"/>
        <v>-159</v>
      </c>
      <c r="K97" s="75">
        <f t="shared" si="9"/>
        <v>-3.527845573552252</v>
      </c>
      <c r="L97" s="75">
        <f>VLOOKUP($A97,'Data Vlaue (Cr)'!$C:$FB,67)</f>
        <v>3979</v>
      </c>
      <c r="M97" s="75">
        <f>VLOOKUP($A97,'Data Vlaue (Cr)'!$C:$FB,68)</f>
        <v>3900</v>
      </c>
      <c r="N97" s="75">
        <f t="shared" si="10"/>
        <v>79</v>
      </c>
      <c r="O97" s="75">
        <f t="shared" si="11"/>
        <v>1.9854234732344811</v>
      </c>
      <c r="P97" s="75">
        <f>VLOOKUP($A97,'Data Vlaue (Cr)'!$C:$FB,119)</f>
        <v>0.6</v>
      </c>
      <c r="Q97" s="75">
        <f>VLOOKUP($A97,'Data Vlaue (Cr)'!$C:$FB,122)*100</f>
        <v>9.09</v>
      </c>
      <c r="R97" s="75">
        <f>VLOOKUP($A97,'Data Vlaue (Cr)'!$C:$FB,125)</f>
        <v>0.43</v>
      </c>
      <c r="S97" s="75">
        <f>VLOOKUP($A97,'Data Vlaue (Cr)'!$C:$FB,128)*100</f>
        <v>-32.81</v>
      </c>
    </row>
    <row r="98" spans="1:19" x14ac:dyDescent="0.25">
      <c r="A98" s="96" t="str">
        <f>'Data Vlaue (Cr)'!C89</f>
        <v>IEX</v>
      </c>
      <c r="B98" s="75">
        <f>VLOOKUP($A98,'Data Vlaue (Cr)'!$C:$FB,2)</f>
        <v>3750</v>
      </c>
      <c r="C98" s="75">
        <f>VLOOKUP($A98,'Data Vlaue (Cr)'!$C:$FB,8)</f>
        <v>131.06</v>
      </c>
      <c r="D98" s="75">
        <f>VLOOKUP($A98,'Data Vlaue (Cr)'!$C:$FB,4)</f>
        <v>131.43</v>
      </c>
      <c r="E98" s="75">
        <f>VLOOKUP($A98,'Data Vlaue (Cr)'!$C:$FB,5)</f>
        <v>128.44999999999999</v>
      </c>
      <c r="F98" s="75">
        <f t="shared" si="6"/>
        <v>0.37000000000000455</v>
      </c>
      <c r="G98" s="75">
        <f t="shared" si="7"/>
        <v>2.2673666590580672</v>
      </c>
      <c r="H98" s="75">
        <f>VLOOKUP($A98,'Data Vlaue (Cr)'!$C:$FB,99)</f>
        <v>3420</v>
      </c>
      <c r="I98" s="75">
        <f>VLOOKUP($A98,'Data Vlaue (Cr)'!$C:$FB,100)</f>
        <v>3664</v>
      </c>
      <c r="J98" s="75">
        <f t="shared" si="8"/>
        <v>-244</v>
      </c>
      <c r="K98" s="75">
        <f t="shared" si="9"/>
        <v>-7.1345029239766085</v>
      </c>
      <c r="L98" s="75">
        <f>VLOOKUP($A98,'Data Vlaue (Cr)'!$C:$FB,67)</f>
        <v>2403</v>
      </c>
      <c r="M98" s="75">
        <f>VLOOKUP($A98,'Data Vlaue (Cr)'!$C:$FB,68)</f>
        <v>2994</v>
      </c>
      <c r="N98" s="75">
        <f t="shared" si="10"/>
        <v>-591</v>
      </c>
      <c r="O98" s="75">
        <f t="shared" si="11"/>
        <v>-24.594257178526842</v>
      </c>
      <c r="P98" s="75">
        <f>VLOOKUP($A98,'Data Vlaue (Cr)'!$C:$FB,119)</f>
        <v>0.67</v>
      </c>
      <c r="Q98" s="75">
        <f>VLOOKUP($A98,'Data Vlaue (Cr)'!$C:$FB,122)*100</f>
        <v>3.08</v>
      </c>
      <c r="R98" s="75">
        <f>VLOOKUP($A98,'Data Vlaue (Cr)'!$C:$FB,125)</f>
        <v>0.5</v>
      </c>
      <c r="S98" s="75">
        <f>VLOOKUP($A98,'Data Vlaue (Cr)'!$C:$FB,128)*100</f>
        <v>-16.669999999999998</v>
      </c>
    </row>
    <row r="99" spans="1:19" x14ac:dyDescent="0.25">
      <c r="A99" s="96" t="str">
        <f>'Data Vlaue (Cr)'!C90</f>
        <v>IIFL</v>
      </c>
      <c r="B99" s="75">
        <f>VLOOKUP($A99,'Data Vlaue (Cr)'!$C:$FB,2)</f>
        <v>1650</v>
      </c>
      <c r="C99" s="75">
        <f>VLOOKUP($A99,'Data Vlaue (Cr)'!$C:$FB,8)</f>
        <v>538.75</v>
      </c>
      <c r="D99" s="75">
        <f>VLOOKUP($A99,'Data Vlaue (Cr)'!$C:$FB,4)</f>
        <v>542.70000000000005</v>
      </c>
      <c r="E99" s="75">
        <f>VLOOKUP($A99,'Data Vlaue (Cr)'!$C:$FB,5)</f>
        <v>624.5</v>
      </c>
      <c r="F99" s="75">
        <f t="shared" si="6"/>
        <v>3.9500000000000455</v>
      </c>
      <c r="G99" s="75">
        <f t="shared" si="7"/>
        <v>-15.072784227013072</v>
      </c>
      <c r="H99" s="75">
        <f>VLOOKUP($A99,'Data Vlaue (Cr)'!$C:$FB,99)</f>
        <v>1802</v>
      </c>
      <c r="I99" s="75">
        <f>VLOOKUP($A99,'Data Vlaue (Cr)'!$C:$FB,100)</f>
        <v>1232</v>
      </c>
      <c r="J99" s="75">
        <f t="shared" si="8"/>
        <v>570</v>
      </c>
      <c r="K99" s="75">
        <f t="shared" si="9"/>
        <v>31.631520532741398</v>
      </c>
      <c r="L99" s="75">
        <f>VLOOKUP($A99,'Data Vlaue (Cr)'!$C:$FB,67)</f>
        <v>12592</v>
      </c>
      <c r="M99" s="75">
        <f>VLOOKUP($A99,'Data Vlaue (Cr)'!$C:$FB,68)</f>
        <v>2200</v>
      </c>
      <c r="N99" s="75">
        <f t="shared" si="10"/>
        <v>10392</v>
      </c>
      <c r="O99" s="75">
        <f t="shared" si="11"/>
        <v>82.528589580686145</v>
      </c>
      <c r="P99" s="75">
        <f>VLOOKUP($A99,'Data Vlaue (Cr)'!$C:$FB,119)</f>
        <v>0.56000000000000005</v>
      </c>
      <c r="Q99" s="75">
        <f>VLOOKUP($A99,'Data Vlaue (Cr)'!$C:$FB,122)*100</f>
        <v>-12.5</v>
      </c>
      <c r="R99" s="75">
        <f>VLOOKUP($A99,'Data Vlaue (Cr)'!$C:$FB,125)</f>
        <v>1.06</v>
      </c>
      <c r="S99" s="75">
        <f>VLOOKUP($A99,'Data Vlaue (Cr)'!$C:$FB,128)*100</f>
        <v>58.209999999999994</v>
      </c>
    </row>
    <row r="100" spans="1:19" x14ac:dyDescent="0.25">
      <c r="A100" s="96" t="str">
        <f>'Data Vlaue (Cr)'!C91</f>
        <v>INDHOTEL</v>
      </c>
      <c r="B100" s="75">
        <f>VLOOKUP($A100,'Data Vlaue (Cr)'!$C:$FB,2)</f>
        <v>1000</v>
      </c>
      <c r="C100" s="75">
        <f>VLOOKUP($A100,'Data Vlaue (Cr)'!$C:$FB,8)</f>
        <v>656.55</v>
      </c>
      <c r="D100" s="75">
        <f>VLOOKUP($A100,'Data Vlaue (Cr)'!$C:$FB,4)</f>
        <v>657.6</v>
      </c>
      <c r="E100" s="75">
        <f>VLOOKUP($A100,'Data Vlaue (Cr)'!$C:$FB,5)</f>
        <v>655.29999999999995</v>
      </c>
      <c r="F100" s="75">
        <f t="shared" si="6"/>
        <v>1.0500000000000682</v>
      </c>
      <c r="G100" s="75">
        <f t="shared" si="7"/>
        <v>0.34975669099757728</v>
      </c>
      <c r="H100" s="75">
        <f>VLOOKUP($A100,'Data Vlaue (Cr)'!$C:$FB,99)</f>
        <v>3394</v>
      </c>
      <c r="I100" s="75">
        <f>VLOOKUP($A100,'Data Vlaue (Cr)'!$C:$FB,100)</f>
        <v>3395</v>
      </c>
      <c r="J100" s="75">
        <f t="shared" si="8"/>
        <v>-1</v>
      </c>
      <c r="K100" s="75">
        <f t="shared" si="9"/>
        <v>-2.9463759575721862E-2</v>
      </c>
      <c r="L100" s="75">
        <f>VLOOKUP($A100,'Data Vlaue (Cr)'!$C:$FB,67)</f>
        <v>3060</v>
      </c>
      <c r="M100" s="75">
        <f>VLOOKUP($A100,'Data Vlaue (Cr)'!$C:$FB,68)</f>
        <v>3241</v>
      </c>
      <c r="N100" s="75">
        <f t="shared" si="10"/>
        <v>-181</v>
      </c>
      <c r="O100" s="75">
        <f t="shared" si="11"/>
        <v>-5.9150326797385615</v>
      </c>
      <c r="P100" s="75">
        <f>VLOOKUP($A100,'Data Vlaue (Cr)'!$C:$FB,119)</f>
        <v>0.67</v>
      </c>
      <c r="Q100" s="75">
        <f>VLOOKUP($A100,'Data Vlaue (Cr)'!$C:$FB,122)*100</f>
        <v>9.84</v>
      </c>
      <c r="R100" s="75">
        <f>VLOOKUP($A100,'Data Vlaue (Cr)'!$C:$FB,125)</f>
        <v>0.42</v>
      </c>
      <c r="S100" s="75">
        <f>VLOOKUP($A100,'Data Vlaue (Cr)'!$C:$FB,128)*100</f>
        <v>-20.75</v>
      </c>
    </row>
    <row r="101" spans="1:19" x14ac:dyDescent="0.25">
      <c r="A101" s="96" t="str">
        <f>'Data Vlaue (Cr)'!C92</f>
        <v>INDIANB</v>
      </c>
      <c r="B101" s="75">
        <f>VLOOKUP($A101,'Data Vlaue (Cr)'!$C:$FB,2)</f>
        <v>1000</v>
      </c>
      <c r="C101" s="75">
        <f>VLOOKUP($A101,'Data Vlaue (Cr)'!$C:$FB,8)</f>
        <v>896.75</v>
      </c>
      <c r="D101" s="75">
        <f>VLOOKUP($A101,'Data Vlaue (Cr)'!$C:$FB,4)</f>
        <v>897.1</v>
      </c>
      <c r="E101" s="75">
        <f>VLOOKUP($A101,'Data Vlaue (Cr)'!$C:$FB,5)</f>
        <v>850.1</v>
      </c>
      <c r="F101" s="75">
        <f t="shared" si="6"/>
        <v>0.35000000000002274</v>
      </c>
      <c r="G101" s="75">
        <f t="shared" si="7"/>
        <v>5.2391037788429387</v>
      </c>
      <c r="H101" s="75">
        <f>VLOOKUP($A101,'Data Vlaue (Cr)'!$C:$FB,99)</f>
        <v>2318</v>
      </c>
      <c r="I101" s="75">
        <f>VLOOKUP($A101,'Data Vlaue (Cr)'!$C:$FB,100)</f>
        <v>2042</v>
      </c>
      <c r="J101" s="75">
        <f t="shared" si="8"/>
        <v>276</v>
      </c>
      <c r="K101" s="75">
        <f t="shared" si="9"/>
        <v>11.906816220880069</v>
      </c>
      <c r="L101" s="75">
        <f>VLOOKUP($A101,'Data Vlaue (Cr)'!$C:$FB,67)</f>
        <v>8136</v>
      </c>
      <c r="M101" s="75">
        <f>VLOOKUP($A101,'Data Vlaue (Cr)'!$C:$FB,68)</f>
        <v>1772</v>
      </c>
      <c r="N101" s="75">
        <f t="shared" si="10"/>
        <v>6364</v>
      </c>
      <c r="O101" s="75">
        <f t="shared" si="11"/>
        <v>78.220255653883981</v>
      </c>
      <c r="P101" s="75">
        <f>VLOOKUP($A101,'Data Vlaue (Cr)'!$C:$FB,119)</f>
        <v>0.78</v>
      </c>
      <c r="Q101" s="75">
        <f>VLOOKUP($A101,'Data Vlaue (Cr)'!$C:$FB,122)*100</f>
        <v>-6.02</v>
      </c>
      <c r="R101" s="75">
        <f>VLOOKUP($A101,'Data Vlaue (Cr)'!$C:$FB,125)</f>
        <v>0.32</v>
      </c>
      <c r="S101" s="75">
        <f>VLOOKUP($A101,'Data Vlaue (Cr)'!$C:$FB,128)*100</f>
        <v>-36</v>
      </c>
    </row>
    <row r="102" spans="1:19" x14ac:dyDescent="0.25">
      <c r="A102" s="96" t="str">
        <f>'Data Vlaue (Cr)'!C93</f>
        <v>INDIAVIX</v>
      </c>
      <c r="B102" s="75">
        <f>VLOOKUP($A102,'Data Vlaue (Cr)'!$C:$FB,2)</f>
        <v>1</v>
      </c>
      <c r="C102" s="75">
        <f>VLOOKUP($A102,'Data Vlaue (Cr)'!$C:$FB,8)</f>
        <v>13.35</v>
      </c>
      <c r="D102" s="75">
        <f>VLOOKUP($A102,'Data Vlaue (Cr)'!$C:$FB,4)</f>
        <v>13.35</v>
      </c>
      <c r="E102" s="75">
        <f>VLOOKUP($A102,'Data Vlaue (Cr)'!$C:$FB,5)</f>
        <v>13.78</v>
      </c>
      <c r="F102" s="75">
        <f t="shared" si="6"/>
        <v>0</v>
      </c>
      <c r="G102" s="75">
        <f t="shared" si="7"/>
        <v>-3.2209737827715337</v>
      </c>
      <c r="H102" s="75">
        <f>VLOOKUP($A102,'Data Vlaue (Cr)'!$C:$FB,99)</f>
        <v>0</v>
      </c>
      <c r="I102" s="75">
        <f>VLOOKUP($A102,'Data Vlaue (Cr)'!$C:$FB,100)</f>
        <v>0</v>
      </c>
      <c r="J102" s="75">
        <f t="shared" si="8"/>
        <v>0</v>
      </c>
      <c r="K102" s="75" t="e">
        <f t="shared" si="9"/>
        <v>#DIV/0!</v>
      </c>
      <c r="L102" s="75">
        <f>VLOOKUP($A102,'Data Vlaue (Cr)'!$C:$FB,67)</f>
        <v>0</v>
      </c>
      <c r="M102" s="75">
        <f>VLOOKUP($A102,'Data Vlaue (Cr)'!$C:$FB,68)</f>
        <v>0</v>
      </c>
      <c r="N102" s="75">
        <f t="shared" si="10"/>
        <v>0</v>
      </c>
      <c r="O102" s="75" t="e">
        <f t="shared" si="11"/>
        <v>#DIV/0!</v>
      </c>
      <c r="P102" s="75">
        <f>VLOOKUP($A102,'Data Vlaue (Cr)'!$C:$FB,119)</f>
        <v>0</v>
      </c>
      <c r="Q102" s="75">
        <f>VLOOKUP($A102,'Data Vlaue (Cr)'!$C:$FB,122)*100</f>
        <v>0</v>
      </c>
      <c r="R102" s="75">
        <f>VLOOKUP($A102,'Data Vlaue (Cr)'!$C:$FB,125)</f>
        <v>0</v>
      </c>
      <c r="S102" s="75">
        <f>VLOOKUP($A102,'Data Vlaue (Cr)'!$C:$FB,128)*100</f>
        <v>0</v>
      </c>
    </row>
    <row r="103" spans="1:19" x14ac:dyDescent="0.25">
      <c r="A103" s="96" t="str">
        <f>'Data Vlaue (Cr)'!C94</f>
        <v>INDIGO</v>
      </c>
      <c r="B103" s="75">
        <f>VLOOKUP($A103,'Data Vlaue (Cr)'!$C:$FB,2)</f>
        <v>150</v>
      </c>
      <c r="C103" s="75">
        <f>VLOOKUP($A103,'Data Vlaue (Cr)'!$C:$FB,8)</f>
        <v>4909</v>
      </c>
      <c r="D103" s="75">
        <f>VLOOKUP($A103,'Data Vlaue (Cr)'!$C:$FB,4)</f>
        <v>4916.5</v>
      </c>
      <c r="E103" s="75">
        <f>VLOOKUP($A103,'Data Vlaue (Cr)'!$C:$FB,5)</f>
        <v>4873.5</v>
      </c>
      <c r="F103" s="75">
        <f t="shared" si="6"/>
        <v>7.5</v>
      </c>
      <c r="G103" s="75">
        <f t="shared" si="7"/>
        <v>0.87460591884470662</v>
      </c>
      <c r="H103" s="75">
        <f>VLOOKUP($A103,'Data Vlaue (Cr)'!$C:$FB,99)</f>
        <v>9340</v>
      </c>
      <c r="I103" s="75">
        <f>VLOOKUP($A103,'Data Vlaue (Cr)'!$C:$FB,100)</f>
        <v>9085</v>
      </c>
      <c r="J103" s="75">
        <f t="shared" si="8"/>
        <v>255</v>
      </c>
      <c r="K103" s="75">
        <f t="shared" si="9"/>
        <v>2.7301927194860816</v>
      </c>
      <c r="L103" s="75">
        <f>VLOOKUP($A103,'Data Vlaue (Cr)'!$C:$FB,67)</f>
        <v>10764</v>
      </c>
      <c r="M103" s="75">
        <f>VLOOKUP($A103,'Data Vlaue (Cr)'!$C:$FB,68)</f>
        <v>14450</v>
      </c>
      <c r="N103" s="75">
        <f t="shared" si="10"/>
        <v>-3686</v>
      </c>
      <c r="O103" s="75">
        <f t="shared" si="11"/>
        <v>-34.243775548123374</v>
      </c>
      <c r="P103" s="75">
        <f>VLOOKUP($A103,'Data Vlaue (Cr)'!$C:$FB,119)</f>
        <v>0.69</v>
      </c>
      <c r="Q103" s="75">
        <f>VLOOKUP($A103,'Data Vlaue (Cr)'!$C:$FB,122)*100</f>
        <v>1.47</v>
      </c>
      <c r="R103" s="75">
        <f>VLOOKUP($A103,'Data Vlaue (Cr)'!$C:$FB,125)</f>
        <v>0.88</v>
      </c>
      <c r="S103" s="75">
        <f>VLOOKUP($A103,'Data Vlaue (Cr)'!$C:$FB,128)*100</f>
        <v>33.33</v>
      </c>
    </row>
    <row r="104" spans="1:19" x14ac:dyDescent="0.25">
      <c r="A104" s="96" t="str">
        <f>'Data Vlaue (Cr)'!C95</f>
        <v>INDUSINDBK</v>
      </c>
      <c r="B104" s="75">
        <f>VLOOKUP($A104,'Data Vlaue (Cr)'!$C:$FB,2)</f>
        <v>700</v>
      </c>
      <c r="C104" s="75">
        <f>VLOOKUP($A104,'Data Vlaue (Cr)'!$C:$FB,8)</f>
        <v>902.45</v>
      </c>
      <c r="D104" s="75">
        <f>VLOOKUP($A104,'Data Vlaue (Cr)'!$C:$FB,4)</f>
        <v>903.95</v>
      </c>
      <c r="E104" s="75">
        <f>VLOOKUP($A104,'Data Vlaue (Cr)'!$C:$FB,5)</f>
        <v>906.7</v>
      </c>
      <c r="F104" s="75">
        <f t="shared" si="6"/>
        <v>1.5</v>
      </c>
      <c r="G104" s="75">
        <f t="shared" si="7"/>
        <v>-0.30422036617069526</v>
      </c>
      <c r="H104" s="75">
        <f>VLOOKUP($A104,'Data Vlaue (Cr)'!$C:$FB,99)</f>
        <v>5551</v>
      </c>
      <c r="I104" s="75">
        <f>VLOOKUP($A104,'Data Vlaue (Cr)'!$C:$FB,100)</f>
        <v>5489</v>
      </c>
      <c r="J104" s="75">
        <f t="shared" si="8"/>
        <v>62</v>
      </c>
      <c r="K104" s="75">
        <f t="shared" si="9"/>
        <v>1.1169158710142317</v>
      </c>
      <c r="L104" s="75">
        <f>VLOOKUP($A104,'Data Vlaue (Cr)'!$C:$FB,67)</f>
        <v>4557</v>
      </c>
      <c r="M104" s="75">
        <f>VLOOKUP($A104,'Data Vlaue (Cr)'!$C:$FB,68)</f>
        <v>4598</v>
      </c>
      <c r="N104" s="75">
        <f t="shared" si="10"/>
        <v>-41</v>
      </c>
      <c r="O104" s="75">
        <f t="shared" si="11"/>
        <v>-0.89971472459951729</v>
      </c>
      <c r="P104" s="75">
        <f>VLOOKUP($A104,'Data Vlaue (Cr)'!$C:$FB,119)</f>
        <v>0.95</v>
      </c>
      <c r="Q104" s="75">
        <f>VLOOKUP($A104,'Data Vlaue (Cr)'!$C:$FB,122)*100</f>
        <v>-3.06</v>
      </c>
      <c r="R104" s="75">
        <f>VLOOKUP($A104,'Data Vlaue (Cr)'!$C:$FB,125)</f>
        <v>0.7</v>
      </c>
      <c r="S104" s="75">
        <f>VLOOKUP($A104,'Data Vlaue (Cr)'!$C:$FB,128)*100</f>
        <v>-5.41</v>
      </c>
    </row>
    <row r="105" spans="1:19" x14ac:dyDescent="0.25">
      <c r="A105" s="96" t="str">
        <f>'Data Vlaue (Cr)'!C96</f>
        <v>INDUSTOWER</v>
      </c>
      <c r="B105" s="75">
        <f>VLOOKUP($A105,'Data Vlaue (Cr)'!$C:$FB,2)</f>
        <v>1700</v>
      </c>
      <c r="C105" s="75">
        <f>VLOOKUP($A105,'Data Vlaue (Cr)'!$C:$FB,8)</f>
        <v>419.2</v>
      </c>
      <c r="D105" s="75">
        <f>VLOOKUP($A105,'Data Vlaue (Cr)'!$C:$FB,4)</f>
        <v>419.65</v>
      </c>
      <c r="E105" s="75">
        <f>VLOOKUP($A105,'Data Vlaue (Cr)'!$C:$FB,5)</f>
        <v>414.4</v>
      </c>
      <c r="F105" s="75">
        <f t="shared" si="6"/>
        <v>0.44999999999998863</v>
      </c>
      <c r="G105" s="75">
        <f t="shared" si="7"/>
        <v>1.2510425354462051</v>
      </c>
      <c r="H105" s="75">
        <f>VLOOKUP($A105,'Data Vlaue (Cr)'!$C:$FB,99)</f>
        <v>6173</v>
      </c>
      <c r="I105" s="75">
        <f>VLOOKUP($A105,'Data Vlaue (Cr)'!$C:$FB,100)</f>
        <v>6226</v>
      </c>
      <c r="J105" s="75">
        <f t="shared" si="8"/>
        <v>-53</v>
      </c>
      <c r="K105" s="75">
        <f t="shared" si="9"/>
        <v>-0.85857767698039844</v>
      </c>
      <c r="L105" s="75">
        <f>VLOOKUP($A105,'Data Vlaue (Cr)'!$C:$FB,67)</f>
        <v>4040</v>
      </c>
      <c r="M105" s="75">
        <f>VLOOKUP($A105,'Data Vlaue (Cr)'!$C:$FB,68)</f>
        <v>6655</v>
      </c>
      <c r="N105" s="75">
        <f t="shared" si="10"/>
        <v>-2615</v>
      </c>
      <c r="O105" s="75">
        <f t="shared" si="11"/>
        <v>-64.727722772277232</v>
      </c>
      <c r="P105" s="75">
        <f>VLOOKUP($A105,'Data Vlaue (Cr)'!$C:$FB,119)</f>
        <v>0.53</v>
      </c>
      <c r="Q105" s="75">
        <f>VLOOKUP($A105,'Data Vlaue (Cr)'!$C:$FB,122)*100</f>
        <v>-1.8499999999999999</v>
      </c>
      <c r="R105" s="75">
        <f>VLOOKUP($A105,'Data Vlaue (Cr)'!$C:$FB,125)</f>
        <v>0.54</v>
      </c>
      <c r="S105" s="75">
        <f>VLOOKUP($A105,'Data Vlaue (Cr)'!$C:$FB,128)*100</f>
        <v>-32.5</v>
      </c>
    </row>
    <row r="106" spans="1:19" x14ac:dyDescent="0.25">
      <c r="A106" s="96" t="str">
        <f>'Data Vlaue (Cr)'!C97</f>
        <v>INFY</v>
      </c>
      <c r="B106" s="75">
        <f>VLOOKUP($A106,'Data Vlaue (Cr)'!$C:$FB,2)</f>
        <v>400</v>
      </c>
      <c r="C106" s="75">
        <f>VLOOKUP($A106,'Data Vlaue (Cr)'!$C:$FB,8)</f>
        <v>1663.5</v>
      </c>
      <c r="D106" s="75">
        <f>VLOOKUP($A106,'Data Vlaue (Cr)'!$C:$FB,4)</f>
        <v>1667.4</v>
      </c>
      <c r="E106" s="75">
        <f>VLOOKUP($A106,'Data Vlaue (Cr)'!$C:$FB,5)</f>
        <v>1656.5</v>
      </c>
      <c r="F106" s="75">
        <f t="shared" si="6"/>
        <v>3.9000000000000909</v>
      </c>
      <c r="G106" s="75">
        <f t="shared" si="7"/>
        <v>0.65371236655871967</v>
      </c>
      <c r="H106" s="75">
        <f>VLOOKUP($A106,'Data Vlaue (Cr)'!$C:$FB,99)</f>
        <v>20012</v>
      </c>
      <c r="I106" s="75">
        <f>VLOOKUP($A106,'Data Vlaue (Cr)'!$C:$FB,100)</f>
        <v>20148</v>
      </c>
      <c r="J106" s="75">
        <f t="shared" si="8"/>
        <v>-136</v>
      </c>
      <c r="K106" s="75">
        <f t="shared" si="9"/>
        <v>-0.67959224465320811</v>
      </c>
      <c r="L106" s="75">
        <f>VLOOKUP($A106,'Data Vlaue (Cr)'!$C:$FB,67)</f>
        <v>24311</v>
      </c>
      <c r="M106" s="75">
        <f>VLOOKUP($A106,'Data Vlaue (Cr)'!$C:$FB,68)</f>
        <v>23372</v>
      </c>
      <c r="N106" s="75">
        <f t="shared" si="10"/>
        <v>939</v>
      </c>
      <c r="O106" s="75">
        <f t="shared" si="11"/>
        <v>3.8624490971165319</v>
      </c>
      <c r="P106" s="75">
        <f>VLOOKUP($A106,'Data Vlaue (Cr)'!$C:$FB,119)</f>
        <v>0.6</v>
      </c>
      <c r="Q106" s="75">
        <f>VLOOKUP($A106,'Data Vlaue (Cr)'!$C:$FB,122)*100</f>
        <v>-6.25</v>
      </c>
      <c r="R106" s="75">
        <f>VLOOKUP($A106,'Data Vlaue (Cr)'!$C:$FB,125)</f>
        <v>0.56999999999999995</v>
      </c>
      <c r="S106" s="75">
        <f>VLOOKUP($A106,'Data Vlaue (Cr)'!$C:$FB,128)*100</f>
        <v>-35.96</v>
      </c>
    </row>
    <row r="107" spans="1:19" x14ac:dyDescent="0.25">
      <c r="A107" s="96" t="str">
        <f>'Data Vlaue (Cr)'!C98</f>
        <v>INOXWIND</v>
      </c>
      <c r="B107" s="75">
        <f>VLOOKUP($A107,'Data Vlaue (Cr)'!$C:$FB,2)</f>
        <v>3575</v>
      </c>
      <c r="C107" s="75">
        <f>VLOOKUP($A107,'Data Vlaue (Cr)'!$C:$FB,8)</f>
        <v>106.89</v>
      </c>
      <c r="D107" s="75">
        <f>VLOOKUP($A107,'Data Vlaue (Cr)'!$C:$FB,4)</f>
        <v>107.21</v>
      </c>
      <c r="E107" s="75">
        <f>VLOOKUP($A107,'Data Vlaue (Cr)'!$C:$FB,5)</f>
        <v>105.12</v>
      </c>
      <c r="F107" s="75">
        <f t="shared" si="6"/>
        <v>0.31999999999999318</v>
      </c>
      <c r="G107" s="75">
        <f t="shared" si="7"/>
        <v>1.9494450144575965</v>
      </c>
      <c r="H107" s="75">
        <f>VLOOKUP($A107,'Data Vlaue (Cr)'!$C:$FB,99)</f>
        <v>1953</v>
      </c>
      <c r="I107" s="75">
        <f>VLOOKUP($A107,'Data Vlaue (Cr)'!$C:$FB,100)</f>
        <v>1951</v>
      </c>
      <c r="J107" s="75">
        <f t="shared" si="8"/>
        <v>2</v>
      </c>
      <c r="K107" s="75">
        <f t="shared" si="9"/>
        <v>0.10240655401945725</v>
      </c>
      <c r="L107" s="75">
        <f>VLOOKUP($A107,'Data Vlaue (Cr)'!$C:$FB,67)</f>
        <v>1104</v>
      </c>
      <c r="M107" s="75">
        <f>VLOOKUP($A107,'Data Vlaue (Cr)'!$C:$FB,68)</f>
        <v>1626</v>
      </c>
      <c r="N107" s="75">
        <f t="shared" si="10"/>
        <v>-522</v>
      </c>
      <c r="O107" s="75">
        <f t="shared" si="11"/>
        <v>-47.282608695652172</v>
      </c>
      <c r="P107" s="75">
        <f>VLOOKUP($A107,'Data Vlaue (Cr)'!$C:$FB,119)</f>
        <v>0.61</v>
      </c>
      <c r="Q107" s="75">
        <f>VLOOKUP($A107,'Data Vlaue (Cr)'!$C:$FB,122)*100</f>
        <v>3.39</v>
      </c>
      <c r="R107" s="75">
        <f>VLOOKUP($A107,'Data Vlaue (Cr)'!$C:$FB,125)</f>
        <v>0.52</v>
      </c>
      <c r="S107" s="75">
        <f>VLOOKUP($A107,'Data Vlaue (Cr)'!$C:$FB,128)*100</f>
        <v>-8.77</v>
      </c>
    </row>
    <row r="108" spans="1:19" x14ac:dyDescent="0.25">
      <c r="A108" s="96" t="str">
        <f>'Data Vlaue (Cr)'!C99</f>
        <v>IOC</v>
      </c>
      <c r="B108" s="75">
        <f>VLOOKUP($A108,'Data Vlaue (Cr)'!$C:$FB,2)</f>
        <v>4875</v>
      </c>
      <c r="C108" s="75">
        <f>VLOOKUP($A108,'Data Vlaue (Cr)'!$C:$FB,8)</f>
        <v>159.05000000000001</v>
      </c>
      <c r="D108" s="75">
        <f>VLOOKUP($A108,'Data Vlaue (Cr)'!$C:$FB,4)</f>
        <v>158.91999999999999</v>
      </c>
      <c r="E108" s="75">
        <f>VLOOKUP($A108,'Data Vlaue (Cr)'!$C:$FB,5)</f>
        <v>158.88999999999999</v>
      </c>
      <c r="F108" s="75">
        <f t="shared" si="6"/>
        <v>-0.13000000000002387</v>
      </c>
      <c r="G108" s="75">
        <f t="shared" si="7"/>
        <v>1.8877422602568045E-2</v>
      </c>
      <c r="H108" s="75">
        <f>VLOOKUP($A108,'Data Vlaue (Cr)'!$C:$FB,99)</f>
        <v>2952</v>
      </c>
      <c r="I108" s="75">
        <f>VLOOKUP($A108,'Data Vlaue (Cr)'!$C:$FB,100)</f>
        <v>3006</v>
      </c>
      <c r="J108" s="75">
        <f t="shared" si="8"/>
        <v>-54</v>
      </c>
      <c r="K108" s="75">
        <f t="shared" si="9"/>
        <v>-1.8292682926829267</v>
      </c>
      <c r="L108" s="75">
        <f>VLOOKUP($A108,'Data Vlaue (Cr)'!$C:$FB,67)</f>
        <v>2472</v>
      </c>
      <c r="M108" s="75">
        <f>VLOOKUP($A108,'Data Vlaue (Cr)'!$C:$FB,68)</f>
        <v>2606</v>
      </c>
      <c r="N108" s="75">
        <f t="shared" si="10"/>
        <v>-134</v>
      </c>
      <c r="O108" s="75">
        <f t="shared" si="11"/>
        <v>-5.4207119741100325</v>
      </c>
      <c r="P108" s="75">
        <f>VLOOKUP($A108,'Data Vlaue (Cr)'!$C:$FB,119)</f>
        <v>0.63</v>
      </c>
      <c r="Q108" s="75">
        <f>VLOOKUP($A108,'Data Vlaue (Cr)'!$C:$FB,122)*100</f>
        <v>-1.5599999999999998</v>
      </c>
      <c r="R108" s="75">
        <f>VLOOKUP($A108,'Data Vlaue (Cr)'!$C:$FB,125)</f>
        <v>0.56000000000000005</v>
      </c>
      <c r="S108" s="75">
        <f>VLOOKUP($A108,'Data Vlaue (Cr)'!$C:$FB,128)*100</f>
        <v>-22.220000000000002</v>
      </c>
    </row>
    <row r="109" spans="1:19" x14ac:dyDescent="0.25">
      <c r="A109" s="96" t="str">
        <f>'Data Vlaue (Cr)'!C100</f>
        <v>IRCTC</v>
      </c>
      <c r="B109" s="75">
        <f>VLOOKUP($A109,'Data Vlaue (Cr)'!$C:$FB,2)</f>
        <v>875</v>
      </c>
      <c r="C109" s="75">
        <f>VLOOKUP($A109,'Data Vlaue (Cr)'!$C:$FB,8)</f>
        <v>628.85</v>
      </c>
      <c r="D109" s="75">
        <f>VLOOKUP($A109,'Data Vlaue (Cr)'!$C:$FB,4)</f>
        <v>630.29999999999995</v>
      </c>
      <c r="E109" s="75">
        <f>VLOOKUP($A109,'Data Vlaue (Cr)'!$C:$FB,5)</f>
        <v>614.1</v>
      </c>
      <c r="F109" s="75">
        <f t="shared" si="6"/>
        <v>1.4499999999999318</v>
      </c>
      <c r="G109" s="75">
        <f t="shared" si="7"/>
        <v>2.5702046644454914</v>
      </c>
      <c r="H109" s="75">
        <f>VLOOKUP($A109,'Data Vlaue (Cr)'!$C:$FB,99)</f>
        <v>4027</v>
      </c>
      <c r="I109" s="75">
        <f>VLOOKUP($A109,'Data Vlaue (Cr)'!$C:$FB,100)</f>
        <v>4033</v>
      </c>
      <c r="J109" s="75">
        <f t="shared" si="8"/>
        <v>-6</v>
      </c>
      <c r="K109" s="75">
        <f t="shared" si="9"/>
        <v>-0.14899428855227217</v>
      </c>
      <c r="L109" s="75">
        <f>VLOOKUP($A109,'Data Vlaue (Cr)'!$C:$FB,67)</f>
        <v>3668</v>
      </c>
      <c r="M109" s="75">
        <f>VLOOKUP($A109,'Data Vlaue (Cr)'!$C:$FB,68)</f>
        <v>3811</v>
      </c>
      <c r="N109" s="75">
        <f t="shared" si="10"/>
        <v>-143</v>
      </c>
      <c r="O109" s="75">
        <f t="shared" si="11"/>
        <v>-3.8985823336968375</v>
      </c>
      <c r="P109" s="75">
        <f>VLOOKUP($A109,'Data Vlaue (Cr)'!$C:$FB,119)</f>
        <v>0.48</v>
      </c>
      <c r="Q109" s="75">
        <f>VLOOKUP($A109,'Data Vlaue (Cr)'!$C:$FB,122)*100</f>
        <v>6.67</v>
      </c>
      <c r="R109" s="75">
        <f>VLOOKUP($A109,'Data Vlaue (Cr)'!$C:$FB,125)</f>
        <v>0.43</v>
      </c>
      <c r="S109" s="75">
        <f>VLOOKUP($A109,'Data Vlaue (Cr)'!$C:$FB,128)*100</f>
        <v>13.16</v>
      </c>
    </row>
    <row r="110" spans="1:19" x14ac:dyDescent="0.25">
      <c r="A110" s="96" t="str">
        <f>'Data Vlaue (Cr)'!C101</f>
        <v>IREDA</v>
      </c>
      <c r="B110" s="75">
        <f>VLOOKUP($A110,'Data Vlaue (Cr)'!$C:$FB,2)</f>
        <v>3450</v>
      </c>
      <c r="C110" s="75">
        <f>VLOOKUP($A110,'Data Vlaue (Cr)'!$C:$FB,8)</f>
        <v>129.93</v>
      </c>
      <c r="D110" s="75">
        <f>VLOOKUP($A110,'Data Vlaue (Cr)'!$C:$FB,4)</f>
        <v>130.29</v>
      </c>
      <c r="E110" s="75">
        <f>VLOOKUP($A110,'Data Vlaue (Cr)'!$C:$FB,5)</f>
        <v>127.11</v>
      </c>
      <c r="F110" s="75">
        <f t="shared" si="6"/>
        <v>0.35999999999998522</v>
      </c>
      <c r="G110" s="75">
        <f t="shared" si="7"/>
        <v>2.440709187197784</v>
      </c>
      <c r="H110" s="75">
        <f>VLOOKUP($A110,'Data Vlaue (Cr)'!$C:$FB,99)</f>
        <v>2077</v>
      </c>
      <c r="I110" s="75">
        <f>VLOOKUP($A110,'Data Vlaue (Cr)'!$C:$FB,100)</f>
        <v>2279</v>
      </c>
      <c r="J110" s="75">
        <f t="shared" si="8"/>
        <v>-202</v>
      </c>
      <c r="K110" s="75">
        <f t="shared" si="9"/>
        <v>-9.7255657197881558</v>
      </c>
      <c r="L110" s="75">
        <f>VLOOKUP($A110,'Data Vlaue (Cr)'!$C:$FB,67)</f>
        <v>1783</v>
      </c>
      <c r="M110" s="75">
        <f>VLOOKUP($A110,'Data Vlaue (Cr)'!$C:$FB,68)</f>
        <v>1796</v>
      </c>
      <c r="N110" s="75">
        <f t="shared" si="10"/>
        <v>-13</v>
      </c>
      <c r="O110" s="75">
        <f t="shared" si="11"/>
        <v>-0.7291082445316881</v>
      </c>
      <c r="P110" s="75">
        <f>VLOOKUP($A110,'Data Vlaue (Cr)'!$C:$FB,119)</f>
        <v>0.5</v>
      </c>
      <c r="Q110" s="75">
        <f>VLOOKUP($A110,'Data Vlaue (Cr)'!$C:$FB,122)*100</f>
        <v>8.6999999999999993</v>
      </c>
      <c r="R110" s="75">
        <f>VLOOKUP($A110,'Data Vlaue (Cr)'!$C:$FB,125)</f>
        <v>0.33</v>
      </c>
      <c r="S110" s="75">
        <f>VLOOKUP($A110,'Data Vlaue (Cr)'!$C:$FB,128)*100</f>
        <v>-25</v>
      </c>
    </row>
    <row r="111" spans="1:19" x14ac:dyDescent="0.25">
      <c r="A111" s="96" t="str">
        <f>'Data Vlaue (Cr)'!C102</f>
        <v>IRFC</v>
      </c>
      <c r="B111" s="75">
        <f>VLOOKUP($A111,'Data Vlaue (Cr)'!$C:$FB,2)</f>
        <v>4250</v>
      </c>
      <c r="C111" s="75">
        <f>VLOOKUP($A111,'Data Vlaue (Cr)'!$C:$FB,8)</f>
        <v>117.02</v>
      </c>
      <c r="D111" s="75">
        <f>VLOOKUP($A111,'Data Vlaue (Cr)'!$C:$FB,4)</f>
        <v>117.37</v>
      </c>
      <c r="E111" s="75">
        <f>VLOOKUP($A111,'Data Vlaue (Cr)'!$C:$FB,5)</f>
        <v>115.27</v>
      </c>
      <c r="F111" s="75">
        <f t="shared" si="6"/>
        <v>0.35000000000000853</v>
      </c>
      <c r="G111" s="75">
        <f t="shared" si="7"/>
        <v>1.7892135980233523</v>
      </c>
      <c r="H111" s="75">
        <f>VLOOKUP($A111,'Data Vlaue (Cr)'!$C:$FB,99)</f>
        <v>2660</v>
      </c>
      <c r="I111" s="75">
        <f>VLOOKUP($A111,'Data Vlaue (Cr)'!$C:$FB,100)</f>
        <v>2738</v>
      </c>
      <c r="J111" s="75">
        <f t="shared" si="8"/>
        <v>-78</v>
      </c>
      <c r="K111" s="75">
        <f t="shared" si="9"/>
        <v>-2.9323308270676693</v>
      </c>
      <c r="L111" s="75">
        <f>VLOOKUP($A111,'Data Vlaue (Cr)'!$C:$FB,67)</f>
        <v>3310</v>
      </c>
      <c r="M111" s="75">
        <f>VLOOKUP($A111,'Data Vlaue (Cr)'!$C:$FB,68)</f>
        <v>3224</v>
      </c>
      <c r="N111" s="75">
        <f t="shared" si="10"/>
        <v>86</v>
      </c>
      <c r="O111" s="75">
        <f t="shared" si="11"/>
        <v>2.5981873111782479</v>
      </c>
      <c r="P111" s="75">
        <f>VLOOKUP($A111,'Data Vlaue (Cr)'!$C:$FB,119)</f>
        <v>0.37</v>
      </c>
      <c r="Q111" s="75">
        <f>VLOOKUP($A111,'Data Vlaue (Cr)'!$C:$FB,122)*100</f>
        <v>2.78</v>
      </c>
      <c r="R111" s="75">
        <f>VLOOKUP($A111,'Data Vlaue (Cr)'!$C:$FB,125)</f>
        <v>0.2</v>
      </c>
      <c r="S111" s="75">
        <f>VLOOKUP($A111,'Data Vlaue (Cr)'!$C:$FB,128)*100</f>
        <v>-33.33</v>
      </c>
    </row>
    <row r="112" spans="1:19" x14ac:dyDescent="0.25">
      <c r="A112" s="96" t="str">
        <f>'Data Vlaue (Cr)'!C103</f>
        <v>ITC</v>
      </c>
      <c r="B112" s="75">
        <f>VLOOKUP($A112,'Data Vlaue (Cr)'!$C:$FB,2)</f>
        <v>1600</v>
      </c>
      <c r="C112" s="75">
        <f>VLOOKUP($A112,'Data Vlaue (Cr)'!$C:$FB,8)</f>
        <v>324.85000000000002</v>
      </c>
      <c r="D112" s="75">
        <f>VLOOKUP($A112,'Data Vlaue (Cr)'!$C:$FB,4)</f>
        <v>325.25</v>
      </c>
      <c r="E112" s="75">
        <f>VLOOKUP($A112,'Data Vlaue (Cr)'!$C:$FB,5)</f>
        <v>324.85000000000002</v>
      </c>
      <c r="F112" s="75">
        <f t="shared" si="6"/>
        <v>0.39999999999997726</v>
      </c>
      <c r="G112" s="75">
        <f t="shared" si="7"/>
        <v>0.12298232129130737</v>
      </c>
      <c r="H112" s="75">
        <f>VLOOKUP($A112,'Data Vlaue (Cr)'!$C:$FB,99)</f>
        <v>21116</v>
      </c>
      <c r="I112" s="75">
        <f>VLOOKUP($A112,'Data Vlaue (Cr)'!$C:$FB,100)</f>
        <v>22042</v>
      </c>
      <c r="J112" s="75">
        <f t="shared" si="8"/>
        <v>-926</v>
      </c>
      <c r="K112" s="75">
        <f t="shared" si="9"/>
        <v>-4.3853002462587609</v>
      </c>
      <c r="L112" s="75">
        <f>VLOOKUP($A112,'Data Vlaue (Cr)'!$C:$FB,67)</f>
        <v>16761</v>
      </c>
      <c r="M112" s="75">
        <f>VLOOKUP($A112,'Data Vlaue (Cr)'!$C:$FB,68)</f>
        <v>14212</v>
      </c>
      <c r="N112" s="75">
        <f t="shared" si="10"/>
        <v>2549</v>
      </c>
      <c r="O112" s="75">
        <f t="shared" si="11"/>
        <v>15.207923154943023</v>
      </c>
      <c r="P112" s="75">
        <f>VLOOKUP($A112,'Data Vlaue (Cr)'!$C:$FB,119)</f>
        <v>0.4</v>
      </c>
      <c r="Q112" s="75">
        <f>VLOOKUP($A112,'Data Vlaue (Cr)'!$C:$FB,122)*100</f>
        <v>5.26</v>
      </c>
      <c r="R112" s="75">
        <f>VLOOKUP($A112,'Data Vlaue (Cr)'!$C:$FB,125)</f>
        <v>0.69</v>
      </c>
      <c r="S112" s="75">
        <f>VLOOKUP($A112,'Data Vlaue (Cr)'!$C:$FB,128)*100</f>
        <v>38</v>
      </c>
    </row>
    <row r="113" spans="1:19" x14ac:dyDescent="0.25">
      <c r="A113" s="96" t="str">
        <f>'Data Vlaue (Cr)'!C104</f>
        <v>JINDALSTEL</v>
      </c>
      <c r="B113" s="75">
        <f>VLOOKUP($A113,'Data Vlaue (Cr)'!$C:$FB,2)</f>
        <v>625</v>
      </c>
      <c r="C113" s="75">
        <f>VLOOKUP($A113,'Data Vlaue (Cr)'!$C:$FB,8)</f>
        <v>1076</v>
      </c>
      <c r="D113" s="75">
        <f>VLOOKUP($A113,'Data Vlaue (Cr)'!$C:$FB,4)</f>
        <v>1075.5999999999999</v>
      </c>
      <c r="E113" s="75">
        <f>VLOOKUP($A113,'Data Vlaue (Cr)'!$C:$FB,5)</f>
        <v>1041.4000000000001</v>
      </c>
      <c r="F113" s="75">
        <f t="shared" si="6"/>
        <v>-0.40000000000009095</v>
      </c>
      <c r="G113" s="75">
        <f t="shared" si="7"/>
        <v>3.1796206768315192</v>
      </c>
      <c r="H113" s="75">
        <f>VLOOKUP($A113,'Data Vlaue (Cr)'!$C:$FB,99)</f>
        <v>2149</v>
      </c>
      <c r="I113" s="75">
        <f>VLOOKUP($A113,'Data Vlaue (Cr)'!$C:$FB,100)</f>
        <v>2194</v>
      </c>
      <c r="J113" s="75">
        <f t="shared" si="8"/>
        <v>-45</v>
      </c>
      <c r="K113" s="75">
        <f t="shared" si="9"/>
        <v>-2.0939972080037226</v>
      </c>
      <c r="L113" s="75">
        <f>VLOOKUP($A113,'Data Vlaue (Cr)'!$C:$FB,67)</f>
        <v>2865</v>
      </c>
      <c r="M113" s="75">
        <f>VLOOKUP($A113,'Data Vlaue (Cr)'!$C:$FB,68)</f>
        <v>1877</v>
      </c>
      <c r="N113" s="75">
        <f t="shared" si="10"/>
        <v>988</v>
      </c>
      <c r="O113" s="75">
        <f t="shared" si="11"/>
        <v>34.485165794066319</v>
      </c>
      <c r="P113" s="75">
        <f>VLOOKUP($A113,'Data Vlaue (Cr)'!$C:$FB,119)</f>
        <v>0.94</v>
      </c>
      <c r="Q113" s="75">
        <f>VLOOKUP($A113,'Data Vlaue (Cr)'!$C:$FB,122)*100</f>
        <v>14.63</v>
      </c>
      <c r="R113" s="75">
        <f>VLOOKUP($A113,'Data Vlaue (Cr)'!$C:$FB,125)</f>
        <v>0.47</v>
      </c>
      <c r="S113" s="75">
        <f>VLOOKUP($A113,'Data Vlaue (Cr)'!$C:$FB,128)*100</f>
        <v>-31.879999999999995</v>
      </c>
    </row>
    <row r="114" spans="1:19" x14ac:dyDescent="0.25">
      <c r="A114" s="96" t="str">
        <f>'Data Vlaue (Cr)'!C105</f>
        <v>JIOFIN</v>
      </c>
      <c r="B114" s="75">
        <f>VLOOKUP($A114,'Data Vlaue (Cr)'!$C:$FB,2)</f>
        <v>2350</v>
      </c>
      <c r="C114" s="75">
        <f>VLOOKUP($A114,'Data Vlaue (Cr)'!$C:$FB,8)</f>
        <v>262.60000000000002</v>
      </c>
      <c r="D114" s="75">
        <f>VLOOKUP($A114,'Data Vlaue (Cr)'!$C:$FB,4)</f>
        <v>263.35000000000002</v>
      </c>
      <c r="E114" s="75">
        <f>VLOOKUP($A114,'Data Vlaue (Cr)'!$C:$FB,5)</f>
        <v>263.7</v>
      </c>
      <c r="F114" s="75">
        <f t="shared" si="6"/>
        <v>0.75</v>
      </c>
      <c r="G114" s="75">
        <f t="shared" si="7"/>
        <v>-0.13290298082398552</v>
      </c>
      <c r="H114" s="75">
        <f>VLOOKUP($A114,'Data Vlaue (Cr)'!$C:$FB,99)</f>
        <v>8492</v>
      </c>
      <c r="I114" s="75">
        <f>VLOOKUP($A114,'Data Vlaue (Cr)'!$C:$FB,100)</f>
        <v>8467</v>
      </c>
      <c r="J114" s="75">
        <f t="shared" si="8"/>
        <v>25</v>
      </c>
      <c r="K114" s="75">
        <f t="shared" si="9"/>
        <v>0.29439472444653791</v>
      </c>
      <c r="L114" s="75">
        <f>VLOOKUP($A114,'Data Vlaue (Cr)'!$C:$FB,67)</f>
        <v>6551</v>
      </c>
      <c r="M114" s="75">
        <f>VLOOKUP($A114,'Data Vlaue (Cr)'!$C:$FB,68)</f>
        <v>7531</v>
      </c>
      <c r="N114" s="75">
        <f t="shared" si="10"/>
        <v>-980</v>
      </c>
      <c r="O114" s="75">
        <f t="shared" si="11"/>
        <v>-14.95954816058617</v>
      </c>
      <c r="P114" s="75">
        <f>VLOOKUP($A114,'Data Vlaue (Cr)'!$C:$FB,119)</f>
        <v>0.61</v>
      </c>
      <c r="Q114" s="75">
        <f>VLOOKUP($A114,'Data Vlaue (Cr)'!$C:$FB,122)*100</f>
        <v>-1.6099999999999999</v>
      </c>
      <c r="R114" s="75">
        <f>VLOOKUP($A114,'Data Vlaue (Cr)'!$C:$FB,125)</f>
        <v>0.56999999999999995</v>
      </c>
      <c r="S114" s="75">
        <f>VLOOKUP($A114,'Data Vlaue (Cr)'!$C:$FB,128)*100</f>
        <v>-8.06</v>
      </c>
    </row>
    <row r="115" spans="1:19" x14ac:dyDescent="0.25">
      <c r="A115" s="96" t="str">
        <f>'Data Vlaue (Cr)'!C106</f>
        <v>JSWENERGY</v>
      </c>
      <c r="B115" s="75">
        <f>VLOOKUP($A115,'Data Vlaue (Cr)'!$C:$FB,2)</f>
        <v>1000</v>
      </c>
      <c r="C115" s="75">
        <f>VLOOKUP($A115,'Data Vlaue (Cr)'!$C:$FB,8)</f>
        <v>492.35</v>
      </c>
      <c r="D115" s="75">
        <f>VLOOKUP($A115,'Data Vlaue (Cr)'!$C:$FB,4)</f>
        <v>492.15</v>
      </c>
      <c r="E115" s="75">
        <f>VLOOKUP($A115,'Data Vlaue (Cr)'!$C:$FB,5)</f>
        <v>477.9</v>
      </c>
      <c r="F115" s="75">
        <f t="shared" si="6"/>
        <v>-0.20000000000004547</v>
      </c>
      <c r="G115" s="75">
        <f t="shared" si="7"/>
        <v>2.8954587016153615</v>
      </c>
      <c r="H115" s="75">
        <f>VLOOKUP($A115,'Data Vlaue (Cr)'!$C:$FB,99)</f>
        <v>2611</v>
      </c>
      <c r="I115" s="75">
        <f>VLOOKUP($A115,'Data Vlaue (Cr)'!$C:$FB,100)</f>
        <v>2666</v>
      </c>
      <c r="J115" s="75">
        <f t="shared" si="8"/>
        <v>-55</v>
      </c>
      <c r="K115" s="75">
        <f t="shared" si="9"/>
        <v>-2.1064726158559939</v>
      </c>
      <c r="L115" s="75">
        <f>VLOOKUP($A115,'Data Vlaue (Cr)'!$C:$FB,67)</f>
        <v>1434</v>
      </c>
      <c r="M115" s="75">
        <f>VLOOKUP($A115,'Data Vlaue (Cr)'!$C:$FB,68)</f>
        <v>1582</v>
      </c>
      <c r="N115" s="75">
        <f t="shared" si="10"/>
        <v>-148</v>
      </c>
      <c r="O115" s="75">
        <f t="shared" si="11"/>
        <v>-10.320781032078104</v>
      </c>
      <c r="P115" s="75">
        <f>VLOOKUP($A115,'Data Vlaue (Cr)'!$C:$FB,119)</f>
        <v>0.74</v>
      </c>
      <c r="Q115" s="75">
        <f>VLOOKUP($A115,'Data Vlaue (Cr)'!$C:$FB,122)*100</f>
        <v>-2.63</v>
      </c>
      <c r="R115" s="75">
        <f>VLOOKUP($A115,'Data Vlaue (Cr)'!$C:$FB,125)</f>
        <v>0.45</v>
      </c>
      <c r="S115" s="75">
        <f>VLOOKUP($A115,'Data Vlaue (Cr)'!$C:$FB,128)*100</f>
        <v>-43.75</v>
      </c>
    </row>
    <row r="116" spans="1:19" x14ac:dyDescent="0.25">
      <c r="A116" s="96" t="str">
        <f>'Data Vlaue (Cr)'!C107</f>
        <v>JSWSTEEL</v>
      </c>
      <c r="B116" s="75">
        <f>VLOOKUP($A116,'Data Vlaue (Cr)'!$C:$FB,2)</f>
        <v>675</v>
      </c>
      <c r="C116" s="75">
        <f>VLOOKUP($A116,'Data Vlaue (Cr)'!$C:$FB,8)</f>
        <v>1184.4000000000001</v>
      </c>
      <c r="D116" s="75">
        <f>VLOOKUP($A116,'Data Vlaue (Cr)'!$C:$FB,4)</f>
        <v>1187</v>
      </c>
      <c r="E116" s="75">
        <f>VLOOKUP($A116,'Data Vlaue (Cr)'!$C:$FB,5)</f>
        <v>1173.8</v>
      </c>
      <c r="F116" s="75">
        <f t="shared" si="6"/>
        <v>2.5999999999999091</v>
      </c>
      <c r="G116" s="75">
        <f t="shared" si="7"/>
        <v>1.1120471777590604</v>
      </c>
      <c r="H116" s="75">
        <f>VLOOKUP($A116,'Data Vlaue (Cr)'!$C:$FB,99)</f>
        <v>7552</v>
      </c>
      <c r="I116" s="75">
        <f>VLOOKUP($A116,'Data Vlaue (Cr)'!$C:$FB,100)</f>
        <v>7530</v>
      </c>
      <c r="J116" s="75">
        <f t="shared" si="8"/>
        <v>22</v>
      </c>
      <c r="K116" s="75">
        <f t="shared" si="9"/>
        <v>0.2913135593220339</v>
      </c>
      <c r="L116" s="75">
        <f>VLOOKUP($A116,'Data Vlaue (Cr)'!$C:$FB,67)</f>
        <v>5849</v>
      </c>
      <c r="M116" s="75">
        <f>VLOOKUP($A116,'Data Vlaue (Cr)'!$C:$FB,68)</f>
        <v>4991</v>
      </c>
      <c r="N116" s="75">
        <f t="shared" si="10"/>
        <v>858</v>
      </c>
      <c r="O116" s="75">
        <f t="shared" si="11"/>
        <v>14.669174217815012</v>
      </c>
      <c r="P116" s="75">
        <f>VLOOKUP($A116,'Data Vlaue (Cr)'!$C:$FB,119)</f>
        <v>0.93</v>
      </c>
      <c r="Q116" s="75">
        <f>VLOOKUP($A116,'Data Vlaue (Cr)'!$C:$FB,122)*100</f>
        <v>4.49</v>
      </c>
      <c r="R116" s="75">
        <f>VLOOKUP($A116,'Data Vlaue (Cr)'!$C:$FB,125)</f>
        <v>0.5</v>
      </c>
      <c r="S116" s="75">
        <f>VLOOKUP($A116,'Data Vlaue (Cr)'!$C:$FB,128)*100</f>
        <v>-15.25</v>
      </c>
    </row>
    <row r="117" spans="1:19" x14ac:dyDescent="0.25">
      <c r="A117" s="96" t="str">
        <f>'Data Vlaue (Cr)'!C108</f>
        <v>JUBLFOOD</v>
      </c>
      <c r="B117" s="75">
        <f>VLOOKUP($A117,'Data Vlaue (Cr)'!$C:$FB,2)</f>
        <v>1250</v>
      </c>
      <c r="C117" s="75">
        <f>VLOOKUP($A117,'Data Vlaue (Cr)'!$C:$FB,8)</f>
        <v>501</v>
      </c>
      <c r="D117" s="75">
        <f>VLOOKUP($A117,'Data Vlaue (Cr)'!$C:$FB,4)</f>
        <v>503.1</v>
      </c>
      <c r="E117" s="75">
        <f>VLOOKUP($A117,'Data Vlaue (Cr)'!$C:$FB,5)</f>
        <v>508.7</v>
      </c>
      <c r="F117" s="75">
        <f t="shared" si="6"/>
        <v>2.1000000000000227</v>
      </c>
      <c r="G117" s="75">
        <f t="shared" si="7"/>
        <v>-1.1130987875173854</v>
      </c>
      <c r="H117" s="75">
        <f>VLOOKUP($A117,'Data Vlaue (Cr)'!$C:$FB,99)</f>
        <v>2356</v>
      </c>
      <c r="I117" s="75">
        <f>VLOOKUP($A117,'Data Vlaue (Cr)'!$C:$FB,100)</f>
        <v>2236</v>
      </c>
      <c r="J117" s="75">
        <f t="shared" si="8"/>
        <v>120</v>
      </c>
      <c r="K117" s="75">
        <f t="shared" si="9"/>
        <v>5.0933786078098473</v>
      </c>
      <c r="L117" s="75">
        <f>VLOOKUP($A117,'Data Vlaue (Cr)'!$C:$FB,67)</f>
        <v>2143</v>
      </c>
      <c r="M117" s="75">
        <f>VLOOKUP($A117,'Data Vlaue (Cr)'!$C:$FB,68)</f>
        <v>1870</v>
      </c>
      <c r="N117" s="75">
        <f t="shared" si="10"/>
        <v>273</v>
      </c>
      <c r="O117" s="75">
        <f t="shared" si="11"/>
        <v>12.739150723285114</v>
      </c>
      <c r="P117" s="75">
        <f>VLOOKUP($A117,'Data Vlaue (Cr)'!$C:$FB,119)</f>
        <v>0.61</v>
      </c>
      <c r="Q117" s="75">
        <f>VLOOKUP($A117,'Data Vlaue (Cr)'!$C:$FB,122)*100</f>
        <v>1.67</v>
      </c>
      <c r="R117" s="75">
        <f>VLOOKUP($A117,'Data Vlaue (Cr)'!$C:$FB,125)</f>
        <v>0.5</v>
      </c>
      <c r="S117" s="75">
        <f>VLOOKUP($A117,'Data Vlaue (Cr)'!$C:$FB,128)*100</f>
        <v>-3.85</v>
      </c>
    </row>
    <row r="118" spans="1:19" x14ac:dyDescent="0.25">
      <c r="A118" s="96" t="str">
        <f>'Data Vlaue (Cr)'!C109</f>
        <v>KALYANKJIL</v>
      </c>
      <c r="B118" s="75">
        <f>VLOOKUP($A118,'Data Vlaue (Cr)'!$C:$FB,2)</f>
        <v>1175</v>
      </c>
      <c r="C118" s="75">
        <f>VLOOKUP($A118,'Data Vlaue (Cr)'!$C:$FB,8)</f>
        <v>373.55</v>
      </c>
      <c r="D118" s="75">
        <f>VLOOKUP($A118,'Data Vlaue (Cr)'!$C:$FB,4)</f>
        <v>375.1</v>
      </c>
      <c r="E118" s="75">
        <f>VLOOKUP($A118,'Data Vlaue (Cr)'!$C:$FB,5)</f>
        <v>396.85</v>
      </c>
      <c r="F118" s="75">
        <f t="shared" si="6"/>
        <v>1.5500000000000114</v>
      </c>
      <c r="G118" s="75">
        <f t="shared" si="7"/>
        <v>-5.798453745667822</v>
      </c>
      <c r="H118" s="75">
        <f>VLOOKUP($A118,'Data Vlaue (Cr)'!$C:$FB,99)</f>
        <v>3075</v>
      </c>
      <c r="I118" s="75">
        <f>VLOOKUP($A118,'Data Vlaue (Cr)'!$C:$FB,100)</f>
        <v>3042</v>
      </c>
      <c r="J118" s="75">
        <f t="shared" si="8"/>
        <v>33</v>
      </c>
      <c r="K118" s="75">
        <f t="shared" si="9"/>
        <v>1.0731707317073171</v>
      </c>
      <c r="L118" s="75">
        <f>VLOOKUP($A118,'Data Vlaue (Cr)'!$C:$FB,67)</f>
        <v>9681</v>
      </c>
      <c r="M118" s="75">
        <f>VLOOKUP($A118,'Data Vlaue (Cr)'!$C:$FB,68)</f>
        <v>15093</v>
      </c>
      <c r="N118" s="75">
        <f t="shared" si="10"/>
        <v>-5412</v>
      </c>
      <c r="O118" s="75">
        <f t="shared" si="11"/>
        <v>-55.903315773163932</v>
      </c>
      <c r="P118" s="75">
        <f>VLOOKUP($A118,'Data Vlaue (Cr)'!$C:$FB,119)</f>
        <v>0.56000000000000005</v>
      </c>
      <c r="Q118" s="75">
        <f>VLOOKUP($A118,'Data Vlaue (Cr)'!$C:$FB,122)*100</f>
        <v>19.149999999999999</v>
      </c>
      <c r="R118" s="75">
        <f>VLOOKUP($A118,'Data Vlaue (Cr)'!$C:$FB,125)</f>
        <v>1.1599999999999999</v>
      </c>
      <c r="S118" s="75">
        <f>VLOOKUP($A118,'Data Vlaue (Cr)'!$C:$FB,128)*100</f>
        <v>23.400000000000002</v>
      </c>
    </row>
    <row r="119" spans="1:19" x14ac:dyDescent="0.25">
      <c r="A119" s="96" t="str">
        <f>'Data Vlaue (Cr)'!C110</f>
        <v>KAYNES</v>
      </c>
      <c r="B119" s="75">
        <f>VLOOKUP($A119,'Data Vlaue (Cr)'!$C:$FB,2)</f>
        <v>100</v>
      </c>
      <c r="C119" s="75">
        <f>VLOOKUP($A119,'Data Vlaue (Cr)'!$C:$FB,8)</f>
        <v>3527.2</v>
      </c>
      <c r="D119" s="75">
        <f>VLOOKUP($A119,'Data Vlaue (Cr)'!$C:$FB,4)</f>
        <v>3536.8</v>
      </c>
      <c r="E119" s="75">
        <f>VLOOKUP($A119,'Data Vlaue (Cr)'!$C:$FB,5)</f>
        <v>3496</v>
      </c>
      <c r="F119" s="75">
        <f t="shared" si="6"/>
        <v>9.6000000000003638</v>
      </c>
      <c r="G119" s="75">
        <f t="shared" si="7"/>
        <v>1.1535851617281208</v>
      </c>
      <c r="H119" s="75">
        <f>VLOOKUP($A119,'Data Vlaue (Cr)'!$C:$FB,99)</f>
        <v>3053</v>
      </c>
      <c r="I119" s="75">
        <f>VLOOKUP($A119,'Data Vlaue (Cr)'!$C:$FB,100)</f>
        <v>3137</v>
      </c>
      <c r="J119" s="75">
        <f t="shared" si="8"/>
        <v>-84</v>
      </c>
      <c r="K119" s="75">
        <f t="shared" si="9"/>
        <v>-2.7513920733704551</v>
      </c>
      <c r="L119" s="75">
        <f>VLOOKUP($A119,'Data Vlaue (Cr)'!$C:$FB,67)</f>
        <v>2820</v>
      </c>
      <c r="M119" s="75">
        <f>VLOOKUP($A119,'Data Vlaue (Cr)'!$C:$FB,68)</f>
        <v>3304</v>
      </c>
      <c r="N119" s="75">
        <f t="shared" si="10"/>
        <v>-484</v>
      </c>
      <c r="O119" s="75">
        <f t="shared" si="11"/>
        <v>-17.163120567375888</v>
      </c>
      <c r="P119" s="75">
        <f>VLOOKUP($A119,'Data Vlaue (Cr)'!$C:$FB,119)</f>
        <v>0.48</v>
      </c>
      <c r="Q119" s="75">
        <f>VLOOKUP($A119,'Data Vlaue (Cr)'!$C:$FB,122)*100</f>
        <v>-2.04</v>
      </c>
      <c r="R119" s="75">
        <f>VLOOKUP($A119,'Data Vlaue (Cr)'!$C:$FB,125)</f>
        <v>0.43</v>
      </c>
      <c r="S119" s="75">
        <f>VLOOKUP($A119,'Data Vlaue (Cr)'!$C:$FB,128)*100</f>
        <v>-18.87</v>
      </c>
    </row>
    <row r="120" spans="1:19" x14ac:dyDescent="0.25">
      <c r="A120" s="96" t="str">
        <f>'Data Vlaue (Cr)'!C111</f>
        <v>KEI</v>
      </c>
      <c r="B120" s="75">
        <f>VLOOKUP($A120,'Data Vlaue (Cr)'!$C:$FB,2)</f>
        <v>175</v>
      </c>
      <c r="C120" s="75">
        <f>VLOOKUP($A120,'Data Vlaue (Cr)'!$C:$FB,8)</f>
        <v>3848.4</v>
      </c>
      <c r="D120" s="75">
        <f>VLOOKUP($A120,'Data Vlaue (Cr)'!$C:$FB,4)</f>
        <v>3855.7</v>
      </c>
      <c r="E120" s="75">
        <f>VLOOKUP($A120,'Data Vlaue (Cr)'!$C:$FB,5)</f>
        <v>3936.6</v>
      </c>
      <c r="F120" s="75">
        <f t="shared" si="6"/>
        <v>7.2999999999997272</v>
      </c>
      <c r="G120" s="75">
        <f t="shared" si="7"/>
        <v>-2.098192286744303</v>
      </c>
      <c r="H120" s="75">
        <f>VLOOKUP($A120,'Data Vlaue (Cr)'!$C:$FB,99)</f>
        <v>1179</v>
      </c>
      <c r="I120" s="75">
        <f>VLOOKUP($A120,'Data Vlaue (Cr)'!$C:$FB,100)</f>
        <v>1013</v>
      </c>
      <c r="J120" s="75">
        <f t="shared" si="8"/>
        <v>166</v>
      </c>
      <c r="K120" s="75">
        <f t="shared" si="9"/>
        <v>14.079728583545378</v>
      </c>
      <c r="L120" s="75">
        <f>VLOOKUP($A120,'Data Vlaue (Cr)'!$C:$FB,67)</f>
        <v>6737</v>
      </c>
      <c r="M120" s="75">
        <f>VLOOKUP($A120,'Data Vlaue (Cr)'!$C:$FB,68)</f>
        <v>2685</v>
      </c>
      <c r="N120" s="75">
        <f t="shared" si="10"/>
        <v>4052</v>
      </c>
      <c r="O120" s="75">
        <f t="shared" si="11"/>
        <v>60.145465340656081</v>
      </c>
      <c r="P120" s="75">
        <f>VLOOKUP($A120,'Data Vlaue (Cr)'!$C:$FB,119)</f>
        <v>0.6</v>
      </c>
      <c r="Q120" s="75">
        <f>VLOOKUP($A120,'Data Vlaue (Cr)'!$C:$FB,122)*100</f>
        <v>-24.05</v>
      </c>
      <c r="R120" s="75">
        <f>VLOOKUP($A120,'Data Vlaue (Cr)'!$C:$FB,125)</f>
        <v>0.8</v>
      </c>
      <c r="S120" s="75">
        <f>VLOOKUP($A120,'Data Vlaue (Cr)'!$C:$FB,128)*100</f>
        <v>-10.11</v>
      </c>
    </row>
    <row r="121" spans="1:19" x14ac:dyDescent="0.25">
      <c r="A121" s="96" t="str">
        <f>'Data Vlaue (Cr)'!C112</f>
        <v>KFINTECH</v>
      </c>
      <c r="B121" s="75">
        <f>VLOOKUP($A121,'Data Vlaue (Cr)'!$C:$FB,2)</f>
        <v>500</v>
      </c>
      <c r="C121" s="75">
        <f>VLOOKUP($A121,'Data Vlaue (Cr)'!$C:$FB,8)</f>
        <v>1033.5</v>
      </c>
      <c r="D121" s="75">
        <f>VLOOKUP($A121,'Data Vlaue (Cr)'!$C:$FB,4)</f>
        <v>1035.3</v>
      </c>
      <c r="E121" s="75">
        <f>VLOOKUP($A121,'Data Vlaue (Cr)'!$C:$FB,5)</f>
        <v>996.8</v>
      </c>
      <c r="F121" s="75">
        <f t="shared" si="6"/>
        <v>1.7999999999999545</v>
      </c>
      <c r="G121" s="75">
        <f t="shared" si="7"/>
        <v>3.7187288708586883</v>
      </c>
      <c r="H121" s="75">
        <f>VLOOKUP($A121,'Data Vlaue (Cr)'!$C:$FB,99)</f>
        <v>1072</v>
      </c>
      <c r="I121" s="75">
        <f>VLOOKUP($A121,'Data Vlaue (Cr)'!$C:$FB,100)</f>
        <v>1182</v>
      </c>
      <c r="J121" s="75">
        <f t="shared" si="8"/>
        <v>-110</v>
      </c>
      <c r="K121" s="75">
        <f t="shared" si="9"/>
        <v>-10.261194029850747</v>
      </c>
      <c r="L121" s="75">
        <f>VLOOKUP($A121,'Data Vlaue (Cr)'!$C:$FB,67)</f>
        <v>1628</v>
      </c>
      <c r="M121" s="75">
        <f>VLOOKUP($A121,'Data Vlaue (Cr)'!$C:$FB,68)</f>
        <v>1406</v>
      </c>
      <c r="N121" s="75">
        <f t="shared" si="10"/>
        <v>222</v>
      </c>
      <c r="O121" s="75">
        <f t="shared" si="11"/>
        <v>13.636363636363635</v>
      </c>
      <c r="P121" s="75">
        <f>VLOOKUP($A121,'Data Vlaue (Cr)'!$C:$FB,119)</f>
        <v>0.9</v>
      </c>
      <c r="Q121" s="75">
        <f>VLOOKUP($A121,'Data Vlaue (Cr)'!$C:$FB,122)*100</f>
        <v>11.110000000000001</v>
      </c>
      <c r="R121" s="75">
        <f>VLOOKUP($A121,'Data Vlaue (Cr)'!$C:$FB,125)</f>
        <v>0.48</v>
      </c>
      <c r="S121" s="75">
        <f>VLOOKUP($A121,'Data Vlaue (Cr)'!$C:$FB,128)*100</f>
        <v>-71.08</v>
      </c>
    </row>
    <row r="122" spans="1:19" x14ac:dyDescent="0.25">
      <c r="A122" s="96" t="str">
        <f>'Data Vlaue (Cr)'!C113</f>
        <v>KOTAKBANK</v>
      </c>
      <c r="B122" s="75">
        <f>VLOOKUP($A122,'Data Vlaue (Cr)'!$C:$FB,2)</f>
        <v>2000</v>
      </c>
      <c r="C122" s="75">
        <f>VLOOKUP($A122,'Data Vlaue (Cr)'!$C:$FB,8)</f>
        <v>426</v>
      </c>
      <c r="D122" s="75">
        <f>VLOOKUP($A122,'Data Vlaue (Cr)'!$C:$FB,4)</f>
        <v>426.2</v>
      </c>
      <c r="E122" s="75">
        <f>VLOOKUP($A122,'Data Vlaue (Cr)'!$C:$FB,5)</f>
        <v>422.1</v>
      </c>
      <c r="F122" s="75">
        <f t="shared" si="6"/>
        <v>0.19999999999998863</v>
      </c>
      <c r="G122" s="75">
        <f t="shared" si="7"/>
        <v>0.96198967620834497</v>
      </c>
      <c r="H122" s="75">
        <f>VLOOKUP($A122,'Data Vlaue (Cr)'!$C:$FB,99)</f>
        <v>11385</v>
      </c>
      <c r="I122" s="75">
        <f>VLOOKUP($A122,'Data Vlaue (Cr)'!$C:$FB,100)</f>
        <v>11465</v>
      </c>
      <c r="J122" s="75">
        <f t="shared" si="8"/>
        <v>-80</v>
      </c>
      <c r="K122" s="75">
        <f t="shared" si="9"/>
        <v>-0.70267896354852877</v>
      </c>
      <c r="L122" s="75">
        <f>VLOOKUP($A122,'Data Vlaue (Cr)'!$C:$FB,67)</f>
        <v>6774</v>
      </c>
      <c r="M122" s="75">
        <f>VLOOKUP($A122,'Data Vlaue (Cr)'!$C:$FB,68)</f>
        <v>7532</v>
      </c>
      <c r="N122" s="75">
        <f t="shared" si="10"/>
        <v>-758</v>
      </c>
      <c r="O122" s="75">
        <f t="shared" si="11"/>
        <v>-11.189843519338648</v>
      </c>
      <c r="P122" s="75">
        <f>VLOOKUP($A122,'Data Vlaue (Cr)'!$C:$FB,119)</f>
        <v>0.63</v>
      </c>
      <c r="Q122" s="75">
        <f>VLOOKUP($A122,'Data Vlaue (Cr)'!$C:$FB,122)*100</f>
        <v>-1.5599999999999998</v>
      </c>
      <c r="R122" s="75">
        <f>VLOOKUP($A122,'Data Vlaue (Cr)'!$C:$FB,125)</f>
        <v>0.64</v>
      </c>
      <c r="S122" s="75">
        <f>VLOOKUP($A122,'Data Vlaue (Cr)'!$C:$FB,128)*100</f>
        <v>16.36</v>
      </c>
    </row>
    <row r="123" spans="1:19" x14ac:dyDescent="0.25">
      <c r="A123" s="96" t="str">
        <f>'Data Vlaue (Cr)'!C114</f>
        <v>KPITTECH</v>
      </c>
      <c r="B123" s="75">
        <f>VLOOKUP($A123,'Data Vlaue (Cr)'!$C:$FB,2)</f>
        <v>425</v>
      </c>
      <c r="C123" s="75">
        <f>VLOOKUP($A123,'Data Vlaue (Cr)'!$C:$FB,8)</f>
        <v>1109.2</v>
      </c>
      <c r="D123" s="75">
        <f>VLOOKUP($A123,'Data Vlaue (Cr)'!$C:$FB,4)</f>
        <v>1113.3</v>
      </c>
      <c r="E123" s="75">
        <f>VLOOKUP($A123,'Data Vlaue (Cr)'!$C:$FB,5)</f>
        <v>1119</v>
      </c>
      <c r="F123" s="75">
        <f t="shared" si="6"/>
        <v>4.0999999999999091</v>
      </c>
      <c r="G123" s="75">
        <f t="shared" si="7"/>
        <v>-0.5119913769873391</v>
      </c>
      <c r="H123" s="75">
        <f>VLOOKUP($A123,'Data Vlaue (Cr)'!$C:$FB,99)</f>
        <v>1005</v>
      </c>
      <c r="I123" s="75">
        <f>VLOOKUP($A123,'Data Vlaue (Cr)'!$C:$FB,100)</f>
        <v>1009</v>
      </c>
      <c r="J123" s="75">
        <f t="shared" si="8"/>
        <v>-4</v>
      </c>
      <c r="K123" s="75">
        <f t="shared" si="9"/>
        <v>-0.39800995024875618</v>
      </c>
      <c r="L123" s="75">
        <f>VLOOKUP($A123,'Data Vlaue (Cr)'!$C:$FB,67)</f>
        <v>998</v>
      </c>
      <c r="M123" s="75">
        <f>VLOOKUP($A123,'Data Vlaue (Cr)'!$C:$FB,68)</f>
        <v>1323</v>
      </c>
      <c r="N123" s="75">
        <f t="shared" si="10"/>
        <v>-325</v>
      </c>
      <c r="O123" s="75">
        <f t="shared" si="11"/>
        <v>-32.565130260521045</v>
      </c>
      <c r="P123" s="75">
        <f>VLOOKUP($A123,'Data Vlaue (Cr)'!$C:$FB,119)</f>
        <v>0.68</v>
      </c>
      <c r="Q123" s="75">
        <f>VLOOKUP($A123,'Data Vlaue (Cr)'!$C:$FB,122)*100</f>
        <v>0</v>
      </c>
      <c r="R123" s="75">
        <f>VLOOKUP($A123,'Data Vlaue (Cr)'!$C:$FB,125)</f>
        <v>0.42</v>
      </c>
      <c r="S123" s="75">
        <f>VLOOKUP($A123,'Data Vlaue (Cr)'!$C:$FB,128)*100</f>
        <v>-52.81</v>
      </c>
    </row>
    <row r="124" spans="1:19" x14ac:dyDescent="0.25">
      <c r="A124" s="96" t="str">
        <f>'Data Vlaue (Cr)'!C115</f>
        <v>LAURUSLABS</v>
      </c>
      <c r="B124" s="75">
        <f>VLOOKUP($A124,'Data Vlaue (Cr)'!$C:$FB,2)</f>
        <v>850</v>
      </c>
      <c r="C124" s="75">
        <f>VLOOKUP($A124,'Data Vlaue (Cr)'!$C:$FB,8)</f>
        <v>1005.8</v>
      </c>
      <c r="D124" s="75">
        <f>VLOOKUP($A124,'Data Vlaue (Cr)'!$C:$FB,4)</f>
        <v>1009.8</v>
      </c>
      <c r="E124" s="75">
        <f>VLOOKUP($A124,'Data Vlaue (Cr)'!$C:$FB,5)</f>
        <v>990.4</v>
      </c>
      <c r="F124" s="75">
        <f t="shared" si="6"/>
        <v>4</v>
      </c>
      <c r="G124" s="75">
        <f t="shared" si="7"/>
        <v>1.9211725094078016</v>
      </c>
      <c r="H124" s="75">
        <f>VLOOKUP($A124,'Data Vlaue (Cr)'!$C:$FB,99)</f>
        <v>4290</v>
      </c>
      <c r="I124" s="75">
        <f>VLOOKUP($A124,'Data Vlaue (Cr)'!$C:$FB,100)</f>
        <v>4158</v>
      </c>
      <c r="J124" s="75">
        <f t="shared" si="8"/>
        <v>132</v>
      </c>
      <c r="K124" s="75">
        <f t="shared" si="9"/>
        <v>3.0769230769230771</v>
      </c>
      <c r="L124" s="75">
        <f>VLOOKUP($A124,'Data Vlaue (Cr)'!$C:$FB,67)</f>
        <v>4242</v>
      </c>
      <c r="M124" s="75">
        <f>VLOOKUP($A124,'Data Vlaue (Cr)'!$C:$FB,68)</f>
        <v>5569</v>
      </c>
      <c r="N124" s="75">
        <f t="shared" si="10"/>
        <v>-1327</v>
      </c>
      <c r="O124" s="75">
        <f t="shared" si="11"/>
        <v>-31.282413955681282</v>
      </c>
      <c r="P124" s="75">
        <f>VLOOKUP($A124,'Data Vlaue (Cr)'!$C:$FB,119)</f>
        <v>0.52</v>
      </c>
      <c r="Q124" s="75">
        <f>VLOOKUP($A124,'Data Vlaue (Cr)'!$C:$FB,122)*100</f>
        <v>-3.6999999999999997</v>
      </c>
      <c r="R124" s="75">
        <f>VLOOKUP($A124,'Data Vlaue (Cr)'!$C:$FB,125)</f>
        <v>0.43</v>
      </c>
      <c r="S124" s="75">
        <f>VLOOKUP($A124,'Data Vlaue (Cr)'!$C:$FB,128)*100</f>
        <v>-34.849999999999994</v>
      </c>
    </row>
    <row r="125" spans="1:19" x14ac:dyDescent="0.25">
      <c r="A125" s="96" t="str">
        <f>'Data Vlaue (Cr)'!C116</f>
        <v>LICHSGFIN</v>
      </c>
      <c r="B125" s="75">
        <f>VLOOKUP($A125,'Data Vlaue (Cr)'!$C:$FB,2)</f>
        <v>1000</v>
      </c>
      <c r="C125" s="75">
        <f>VLOOKUP($A125,'Data Vlaue (Cr)'!$C:$FB,8)</f>
        <v>517.1</v>
      </c>
      <c r="D125" s="75">
        <f>VLOOKUP($A125,'Data Vlaue (Cr)'!$C:$FB,4)</f>
        <v>517.54999999999995</v>
      </c>
      <c r="E125" s="75">
        <f>VLOOKUP($A125,'Data Vlaue (Cr)'!$C:$FB,5)</f>
        <v>507.3</v>
      </c>
      <c r="F125" s="75">
        <f t="shared" si="6"/>
        <v>0.44999999999993179</v>
      </c>
      <c r="G125" s="75">
        <f t="shared" si="7"/>
        <v>1.9804849772968689</v>
      </c>
      <c r="H125" s="75">
        <f>VLOOKUP($A125,'Data Vlaue (Cr)'!$C:$FB,99)</f>
        <v>2543</v>
      </c>
      <c r="I125" s="75">
        <f>VLOOKUP($A125,'Data Vlaue (Cr)'!$C:$FB,100)</f>
        <v>2617</v>
      </c>
      <c r="J125" s="75">
        <f t="shared" si="8"/>
        <v>-74</v>
      </c>
      <c r="K125" s="75">
        <f t="shared" si="9"/>
        <v>-2.909948879276445</v>
      </c>
      <c r="L125" s="75">
        <f>VLOOKUP($A125,'Data Vlaue (Cr)'!$C:$FB,67)</f>
        <v>1812</v>
      </c>
      <c r="M125" s="75">
        <f>VLOOKUP($A125,'Data Vlaue (Cr)'!$C:$FB,68)</f>
        <v>2067</v>
      </c>
      <c r="N125" s="75">
        <f t="shared" si="10"/>
        <v>-255</v>
      </c>
      <c r="O125" s="75">
        <f t="shared" si="11"/>
        <v>-14.072847682119205</v>
      </c>
      <c r="P125" s="75">
        <f>VLOOKUP($A125,'Data Vlaue (Cr)'!$C:$FB,119)</f>
        <v>1.0900000000000001</v>
      </c>
      <c r="Q125" s="75">
        <f>VLOOKUP($A125,'Data Vlaue (Cr)'!$C:$FB,122)*100</f>
        <v>12.370000000000001</v>
      </c>
      <c r="R125" s="75">
        <f>VLOOKUP($A125,'Data Vlaue (Cr)'!$C:$FB,125)</f>
        <v>0.87</v>
      </c>
      <c r="S125" s="75">
        <f>VLOOKUP($A125,'Data Vlaue (Cr)'!$C:$FB,128)*100</f>
        <v>22.54</v>
      </c>
    </row>
    <row r="126" spans="1:19" x14ac:dyDescent="0.25">
      <c r="A126" s="96" t="str">
        <f>'Data Vlaue (Cr)'!C117</f>
        <v>LICI</v>
      </c>
      <c r="B126" s="75">
        <f>VLOOKUP($A126,'Data Vlaue (Cr)'!$C:$FB,2)</f>
        <v>700</v>
      </c>
      <c r="C126" s="75">
        <f>VLOOKUP($A126,'Data Vlaue (Cr)'!$C:$FB,8)</f>
        <v>819.3</v>
      </c>
      <c r="D126" s="75">
        <f>VLOOKUP($A126,'Data Vlaue (Cr)'!$C:$FB,4)</f>
        <v>821.15</v>
      </c>
      <c r="E126" s="75">
        <f>VLOOKUP($A126,'Data Vlaue (Cr)'!$C:$FB,5)</f>
        <v>809.5</v>
      </c>
      <c r="F126" s="75">
        <f t="shared" si="6"/>
        <v>1.8500000000000227</v>
      </c>
      <c r="G126" s="75">
        <f t="shared" si="7"/>
        <v>1.4187420081592861</v>
      </c>
      <c r="H126" s="75">
        <f>VLOOKUP($A126,'Data Vlaue (Cr)'!$C:$FB,99)</f>
        <v>1886</v>
      </c>
      <c r="I126" s="75">
        <f>VLOOKUP($A126,'Data Vlaue (Cr)'!$C:$FB,100)</f>
        <v>1942</v>
      </c>
      <c r="J126" s="75">
        <f t="shared" si="8"/>
        <v>-56</v>
      </c>
      <c r="K126" s="75">
        <f t="shared" si="9"/>
        <v>-2.9692470837751856</v>
      </c>
      <c r="L126" s="75">
        <f>VLOOKUP($A126,'Data Vlaue (Cr)'!$C:$FB,67)</f>
        <v>4299</v>
      </c>
      <c r="M126" s="75">
        <f>VLOOKUP($A126,'Data Vlaue (Cr)'!$C:$FB,68)</f>
        <v>1385</v>
      </c>
      <c r="N126" s="75">
        <f t="shared" si="10"/>
        <v>2914</v>
      </c>
      <c r="O126" s="75">
        <f t="shared" si="11"/>
        <v>67.783205396603861</v>
      </c>
      <c r="P126" s="75">
        <f>VLOOKUP($A126,'Data Vlaue (Cr)'!$C:$FB,119)</f>
        <v>0.57999999999999996</v>
      </c>
      <c r="Q126" s="75">
        <f>VLOOKUP($A126,'Data Vlaue (Cr)'!$C:$FB,122)*100</f>
        <v>-3.3300000000000005</v>
      </c>
      <c r="R126" s="75">
        <f>VLOOKUP($A126,'Data Vlaue (Cr)'!$C:$FB,125)</f>
        <v>0.67</v>
      </c>
      <c r="S126" s="75">
        <f>VLOOKUP($A126,'Data Vlaue (Cr)'!$C:$FB,128)*100</f>
        <v>-1.47</v>
      </c>
    </row>
    <row r="127" spans="1:19" x14ac:dyDescent="0.25">
      <c r="A127" s="96" t="str">
        <f>'Data Vlaue (Cr)'!C118</f>
        <v>LODHA</v>
      </c>
      <c r="B127" s="75">
        <f>VLOOKUP($A127,'Data Vlaue (Cr)'!$C:$FB,2)</f>
        <v>450</v>
      </c>
      <c r="C127" s="75">
        <f>VLOOKUP($A127,'Data Vlaue (Cr)'!$C:$FB,8)</f>
        <v>945.5</v>
      </c>
      <c r="D127" s="75">
        <f>VLOOKUP($A127,'Data Vlaue (Cr)'!$C:$FB,4)</f>
        <v>950</v>
      </c>
      <c r="E127" s="75">
        <f>VLOOKUP($A127,'Data Vlaue (Cr)'!$C:$FB,5)</f>
        <v>980.6</v>
      </c>
      <c r="F127" s="75">
        <f t="shared" si="6"/>
        <v>4.5</v>
      </c>
      <c r="G127" s="75">
        <f t="shared" si="7"/>
        <v>-3.2210526315789494</v>
      </c>
      <c r="H127" s="75">
        <f>VLOOKUP($A127,'Data Vlaue (Cr)'!$C:$FB,99)</f>
        <v>1802</v>
      </c>
      <c r="I127" s="75">
        <f>VLOOKUP($A127,'Data Vlaue (Cr)'!$C:$FB,100)</f>
        <v>1724</v>
      </c>
      <c r="J127" s="75">
        <f t="shared" si="8"/>
        <v>78</v>
      </c>
      <c r="K127" s="75">
        <f t="shared" si="9"/>
        <v>4.328523862375139</v>
      </c>
      <c r="L127" s="75">
        <f>VLOOKUP($A127,'Data Vlaue (Cr)'!$C:$FB,67)</f>
        <v>1982</v>
      </c>
      <c r="M127" s="75">
        <f>VLOOKUP($A127,'Data Vlaue (Cr)'!$C:$FB,68)</f>
        <v>1695</v>
      </c>
      <c r="N127" s="75">
        <f t="shared" si="10"/>
        <v>287</v>
      </c>
      <c r="O127" s="75">
        <f t="shared" si="11"/>
        <v>14.480322906155399</v>
      </c>
      <c r="P127" s="75">
        <f>VLOOKUP($A127,'Data Vlaue (Cr)'!$C:$FB,119)</f>
        <v>0.52</v>
      </c>
      <c r="Q127" s="75">
        <f>VLOOKUP($A127,'Data Vlaue (Cr)'!$C:$FB,122)*100</f>
        <v>1.96</v>
      </c>
      <c r="R127" s="75">
        <f>VLOOKUP($A127,'Data Vlaue (Cr)'!$C:$FB,125)</f>
        <v>0.85</v>
      </c>
      <c r="S127" s="75">
        <f>VLOOKUP($A127,'Data Vlaue (Cr)'!$C:$FB,128)*100</f>
        <v>37.1</v>
      </c>
    </row>
    <row r="128" spans="1:19" x14ac:dyDescent="0.25">
      <c r="A128" s="96" t="str">
        <f>'Data Vlaue (Cr)'!C119</f>
        <v>LT</v>
      </c>
      <c r="B128" s="75">
        <f>VLOOKUP($A128,'Data Vlaue (Cr)'!$C:$FB,2)</f>
        <v>175</v>
      </c>
      <c r="C128" s="75">
        <f>VLOOKUP($A128,'Data Vlaue (Cr)'!$C:$FB,8)</f>
        <v>3793.8</v>
      </c>
      <c r="D128" s="75">
        <f>VLOOKUP($A128,'Data Vlaue (Cr)'!$C:$FB,4)</f>
        <v>3800.6</v>
      </c>
      <c r="E128" s="75">
        <f>VLOOKUP($A128,'Data Vlaue (Cr)'!$C:$FB,5)</f>
        <v>3765.6</v>
      </c>
      <c r="F128" s="75">
        <f t="shared" si="6"/>
        <v>6.7999999999997272</v>
      </c>
      <c r="G128" s="75">
        <f t="shared" si="7"/>
        <v>0.92090722517497237</v>
      </c>
      <c r="H128" s="75">
        <f>VLOOKUP($A128,'Data Vlaue (Cr)'!$C:$FB,99)</f>
        <v>9790</v>
      </c>
      <c r="I128" s="75">
        <f>VLOOKUP($A128,'Data Vlaue (Cr)'!$C:$FB,100)</f>
        <v>9766</v>
      </c>
      <c r="J128" s="75">
        <f t="shared" si="8"/>
        <v>24</v>
      </c>
      <c r="K128" s="75">
        <f t="shared" si="9"/>
        <v>0.24514811031664963</v>
      </c>
      <c r="L128" s="75">
        <f>VLOOKUP($A128,'Data Vlaue (Cr)'!$C:$FB,67)</f>
        <v>8713</v>
      </c>
      <c r="M128" s="75">
        <f>VLOOKUP($A128,'Data Vlaue (Cr)'!$C:$FB,68)</f>
        <v>9201</v>
      </c>
      <c r="N128" s="75">
        <f t="shared" si="10"/>
        <v>-488</v>
      </c>
      <c r="O128" s="75">
        <f t="shared" si="11"/>
        <v>-5.6008263514288998</v>
      </c>
      <c r="P128" s="75">
        <f>VLOOKUP($A128,'Data Vlaue (Cr)'!$C:$FB,119)</f>
        <v>0.48</v>
      </c>
      <c r="Q128" s="75">
        <f>VLOOKUP($A128,'Data Vlaue (Cr)'!$C:$FB,122)*100</f>
        <v>4.3499999999999996</v>
      </c>
      <c r="R128" s="75">
        <f>VLOOKUP($A128,'Data Vlaue (Cr)'!$C:$FB,125)</f>
        <v>0.36</v>
      </c>
      <c r="S128" s="75">
        <f>VLOOKUP($A128,'Data Vlaue (Cr)'!$C:$FB,128)*100</f>
        <v>-26.529999999999998</v>
      </c>
    </row>
    <row r="129" spans="1:19" x14ac:dyDescent="0.25">
      <c r="A129" s="96" t="str">
        <f>'Data Vlaue (Cr)'!C120</f>
        <v>LTF</v>
      </c>
      <c r="B129" s="75">
        <f>VLOOKUP($A129,'Data Vlaue (Cr)'!$C:$FB,2)</f>
        <v>2250</v>
      </c>
      <c r="C129" s="75">
        <f>VLOOKUP($A129,'Data Vlaue (Cr)'!$C:$FB,8)</f>
        <v>287.3</v>
      </c>
      <c r="D129" s="75">
        <f>VLOOKUP($A129,'Data Vlaue (Cr)'!$C:$FB,4)</f>
        <v>287.35000000000002</v>
      </c>
      <c r="E129" s="75">
        <f>VLOOKUP($A129,'Data Vlaue (Cr)'!$C:$FB,5)</f>
        <v>282.55</v>
      </c>
      <c r="F129" s="75">
        <f t="shared" si="6"/>
        <v>5.0000000000011369E-2</v>
      </c>
      <c r="G129" s="75">
        <f t="shared" si="7"/>
        <v>1.6704367496084953</v>
      </c>
      <c r="H129" s="75">
        <f>VLOOKUP($A129,'Data Vlaue (Cr)'!$C:$FB,99)</f>
        <v>3711</v>
      </c>
      <c r="I129" s="75">
        <f>VLOOKUP($A129,'Data Vlaue (Cr)'!$C:$FB,100)</f>
        <v>3869</v>
      </c>
      <c r="J129" s="75">
        <f t="shared" si="8"/>
        <v>-158</v>
      </c>
      <c r="K129" s="75">
        <f t="shared" si="9"/>
        <v>-4.2576125033683647</v>
      </c>
      <c r="L129" s="75">
        <f>VLOOKUP($A129,'Data Vlaue (Cr)'!$C:$FB,67)</f>
        <v>4060</v>
      </c>
      <c r="M129" s="75">
        <f>VLOOKUP($A129,'Data Vlaue (Cr)'!$C:$FB,68)</f>
        <v>10737</v>
      </c>
      <c r="N129" s="75">
        <f t="shared" si="10"/>
        <v>-6677</v>
      </c>
      <c r="O129" s="75">
        <f t="shared" si="11"/>
        <v>-164.45812807881774</v>
      </c>
      <c r="P129" s="75">
        <f>VLOOKUP($A129,'Data Vlaue (Cr)'!$C:$FB,119)</f>
        <v>0.46</v>
      </c>
      <c r="Q129" s="75">
        <f>VLOOKUP($A129,'Data Vlaue (Cr)'!$C:$FB,122)*100</f>
        <v>4.55</v>
      </c>
      <c r="R129" s="75">
        <f>VLOOKUP($A129,'Data Vlaue (Cr)'!$C:$FB,125)</f>
        <v>0.35</v>
      </c>
      <c r="S129" s="75">
        <f>VLOOKUP($A129,'Data Vlaue (Cr)'!$C:$FB,128)*100</f>
        <v>-31.369999999999997</v>
      </c>
    </row>
    <row r="130" spans="1:19" x14ac:dyDescent="0.25">
      <c r="A130" s="96" t="str">
        <f>'Data Vlaue (Cr)'!C121</f>
        <v>LTIM</v>
      </c>
      <c r="B130" s="75">
        <f>VLOOKUP($A130,'Data Vlaue (Cr)'!$C:$FB,2)</f>
        <v>150</v>
      </c>
      <c r="C130" s="75">
        <f>VLOOKUP($A130,'Data Vlaue (Cr)'!$C:$FB,8)</f>
        <v>5947</v>
      </c>
      <c r="D130" s="75">
        <f>VLOOKUP($A130,'Data Vlaue (Cr)'!$C:$FB,4)</f>
        <v>5949</v>
      </c>
      <c r="E130" s="75">
        <f>VLOOKUP($A130,'Data Vlaue (Cr)'!$C:$FB,5)</f>
        <v>5860</v>
      </c>
      <c r="F130" s="75">
        <f t="shared" si="6"/>
        <v>2</v>
      </c>
      <c r="G130" s="75">
        <f t="shared" si="7"/>
        <v>1.4960497562615565</v>
      </c>
      <c r="H130" s="75">
        <f>VLOOKUP($A130,'Data Vlaue (Cr)'!$C:$FB,99)</f>
        <v>3403</v>
      </c>
      <c r="I130" s="75">
        <f>VLOOKUP($A130,'Data Vlaue (Cr)'!$C:$FB,100)</f>
        <v>3717</v>
      </c>
      <c r="J130" s="75">
        <f t="shared" si="8"/>
        <v>-314</v>
      </c>
      <c r="K130" s="75">
        <f t="shared" si="9"/>
        <v>-9.2271525124889795</v>
      </c>
      <c r="L130" s="75">
        <f>VLOOKUP($A130,'Data Vlaue (Cr)'!$C:$FB,67)</f>
        <v>7701</v>
      </c>
      <c r="M130" s="75">
        <f>VLOOKUP($A130,'Data Vlaue (Cr)'!$C:$FB,68)</f>
        <v>12152</v>
      </c>
      <c r="N130" s="75">
        <f t="shared" si="10"/>
        <v>-4451</v>
      </c>
      <c r="O130" s="75">
        <f t="shared" si="11"/>
        <v>-57.797688611868594</v>
      </c>
      <c r="P130" s="75">
        <f>VLOOKUP($A130,'Data Vlaue (Cr)'!$C:$FB,119)</f>
        <v>0.59</v>
      </c>
      <c r="Q130" s="75">
        <f>VLOOKUP($A130,'Data Vlaue (Cr)'!$C:$FB,122)*100</f>
        <v>18</v>
      </c>
      <c r="R130" s="75">
        <f>VLOOKUP($A130,'Data Vlaue (Cr)'!$C:$FB,125)</f>
        <v>0.46</v>
      </c>
      <c r="S130" s="75">
        <f>VLOOKUP($A130,'Data Vlaue (Cr)'!$C:$FB,128)*100</f>
        <v>-42.5</v>
      </c>
    </row>
    <row r="131" spans="1:19" x14ac:dyDescent="0.25">
      <c r="A131" s="96" t="str">
        <f>'Data Vlaue (Cr)'!C122</f>
        <v>LUPIN</v>
      </c>
      <c r="B131" s="75">
        <f>VLOOKUP($A131,'Data Vlaue (Cr)'!$C:$FB,2)</f>
        <v>425</v>
      </c>
      <c r="C131" s="75">
        <f>VLOOKUP($A131,'Data Vlaue (Cr)'!$C:$FB,8)</f>
        <v>2163.1999999999998</v>
      </c>
      <c r="D131" s="75">
        <f>VLOOKUP($A131,'Data Vlaue (Cr)'!$C:$FB,4)</f>
        <v>2161.6</v>
      </c>
      <c r="E131" s="75">
        <f>VLOOKUP($A131,'Data Vlaue (Cr)'!$C:$FB,5)</f>
        <v>2145.5</v>
      </c>
      <c r="F131" s="75">
        <f t="shared" si="6"/>
        <v>-1.5999999999999091</v>
      </c>
      <c r="G131" s="75">
        <f t="shared" si="7"/>
        <v>0.7448186528497367</v>
      </c>
      <c r="H131" s="75">
        <f>VLOOKUP($A131,'Data Vlaue (Cr)'!$C:$FB,99)</f>
        <v>2408</v>
      </c>
      <c r="I131" s="75">
        <f>VLOOKUP($A131,'Data Vlaue (Cr)'!$C:$FB,100)</f>
        <v>2462</v>
      </c>
      <c r="J131" s="75">
        <f t="shared" si="8"/>
        <v>-54</v>
      </c>
      <c r="K131" s="75">
        <f t="shared" si="9"/>
        <v>-2.2425249169435215</v>
      </c>
      <c r="L131" s="75">
        <f>VLOOKUP($A131,'Data Vlaue (Cr)'!$C:$FB,67)</f>
        <v>2235</v>
      </c>
      <c r="M131" s="75">
        <f>VLOOKUP($A131,'Data Vlaue (Cr)'!$C:$FB,68)</f>
        <v>2900</v>
      </c>
      <c r="N131" s="75">
        <f t="shared" si="10"/>
        <v>-665</v>
      </c>
      <c r="O131" s="75">
        <f t="shared" si="11"/>
        <v>-29.753914988814316</v>
      </c>
      <c r="P131" s="75">
        <f>VLOOKUP($A131,'Data Vlaue (Cr)'!$C:$FB,119)</f>
        <v>0.59</v>
      </c>
      <c r="Q131" s="75">
        <f>VLOOKUP($A131,'Data Vlaue (Cr)'!$C:$FB,122)*100</f>
        <v>-1.67</v>
      </c>
      <c r="R131" s="75">
        <f>VLOOKUP($A131,'Data Vlaue (Cr)'!$C:$FB,125)</f>
        <v>0.55000000000000004</v>
      </c>
      <c r="S131" s="75">
        <f>VLOOKUP($A131,'Data Vlaue (Cr)'!$C:$FB,128)*100</f>
        <v>37.5</v>
      </c>
    </row>
    <row r="132" spans="1:19" x14ac:dyDescent="0.25">
      <c r="A132" s="96" t="str">
        <f>'Data Vlaue (Cr)'!C123</f>
        <v>M&amp;M</v>
      </c>
      <c r="B132" s="75">
        <f>VLOOKUP($A132,'Data Vlaue (Cr)'!$C:$FB,2)</f>
        <v>200</v>
      </c>
      <c r="C132" s="75">
        <f>VLOOKUP($A132,'Data Vlaue (Cr)'!$C:$FB,8)</f>
        <v>3573.7</v>
      </c>
      <c r="D132" s="75">
        <f>VLOOKUP($A132,'Data Vlaue (Cr)'!$C:$FB,4)</f>
        <v>3579.7</v>
      </c>
      <c r="E132" s="75">
        <f>VLOOKUP($A132,'Data Vlaue (Cr)'!$C:$FB,5)</f>
        <v>3551.7</v>
      </c>
      <c r="F132" s="75">
        <f t="shared" si="6"/>
        <v>6</v>
      </c>
      <c r="G132" s="75">
        <f t="shared" si="7"/>
        <v>0.78218845154621897</v>
      </c>
      <c r="H132" s="75">
        <f>VLOOKUP($A132,'Data Vlaue (Cr)'!$C:$FB,99)</f>
        <v>8740</v>
      </c>
      <c r="I132" s="75">
        <f>VLOOKUP($A132,'Data Vlaue (Cr)'!$C:$FB,100)</f>
        <v>8815</v>
      </c>
      <c r="J132" s="75">
        <f t="shared" si="8"/>
        <v>-75</v>
      </c>
      <c r="K132" s="75">
        <f t="shared" si="9"/>
        <v>-0.85812356979405036</v>
      </c>
      <c r="L132" s="75">
        <f>VLOOKUP($A132,'Data Vlaue (Cr)'!$C:$FB,67)</f>
        <v>10476</v>
      </c>
      <c r="M132" s="75">
        <f>VLOOKUP($A132,'Data Vlaue (Cr)'!$C:$FB,68)</f>
        <v>7834</v>
      </c>
      <c r="N132" s="75">
        <f t="shared" si="10"/>
        <v>2642</v>
      </c>
      <c r="O132" s="75">
        <f t="shared" si="11"/>
        <v>25.219549446353568</v>
      </c>
      <c r="P132" s="75">
        <f>VLOOKUP($A132,'Data Vlaue (Cr)'!$C:$FB,119)</f>
        <v>0.6</v>
      </c>
      <c r="Q132" s="75">
        <f>VLOOKUP($A132,'Data Vlaue (Cr)'!$C:$FB,122)*100</f>
        <v>11.110000000000001</v>
      </c>
      <c r="R132" s="75">
        <f>VLOOKUP($A132,'Data Vlaue (Cr)'!$C:$FB,125)</f>
        <v>0.49</v>
      </c>
      <c r="S132" s="75">
        <f>VLOOKUP($A132,'Data Vlaue (Cr)'!$C:$FB,128)*100</f>
        <v>-28.99</v>
      </c>
    </row>
    <row r="133" spans="1:19" x14ac:dyDescent="0.25">
      <c r="A133" s="96" t="str">
        <f>'Data Vlaue (Cr)'!C124</f>
        <v>MANAPPURAM</v>
      </c>
      <c r="B133" s="75">
        <f>VLOOKUP($A133,'Data Vlaue (Cr)'!$C:$FB,2)</f>
        <v>3000</v>
      </c>
      <c r="C133" s="75">
        <f>VLOOKUP($A133,'Data Vlaue (Cr)'!$C:$FB,8)</f>
        <v>300.2</v>
      </c>
      <c r="D133" s="75">
        <f>VLOOKUP($A133,'Data Vlaue (Cr)'!$C:$FB,4)</f>
        <v>300.75</v>
      </c>
      <c r="E133" s="75">
        <f>VLOOKUP($A133,'Data Vlaue (Cr)'!$C:$FB,5)</f>
        <v>298.5</v>
      </c>
      <c r="F133" s="75">
        <f t="shared" si="6"/>
        <v>0.55000000000001137</v>
      </c>
      <c r="G133" s="75">
        <f t="shared" si="7"/>
        <v>0.74812967581047385</v>
      </c>
      <c r="H133" s="75">
        <f>VLOOKUP($A133,'Data Vlaue (Cr)'!$C:$FB,99)</f>
        <v>2857</v>
      </c>
      <c r="I133" s="75">
        <f>VLOOKUP($A133,'Data Vlaue (Cr)'!$C:$FB,100)</f>
        <v>3103</v>
      </c>
      <c r="J133" s="75">
        <f t="shared" si="8"/>
        <v>-246</v>
      </c>
      <c r="K133" s="75">
        <f t="shared" si="9"/>
        <v>-8.6104305215260766</v>
      </c>
      <c r="L133" s="75">
        <f>VLOOKUP($A133,'Data Vlaue (Cr)'!$C:$FB,67)</f>
        <v>3093</v>
      </c>
      <c r="M133" s="75">
        <f>VLOOKUP($A133,'Data Vlaue (Cr)'!$C:$FB,68)</f>
        <v>3873</v>
      </c>
      <c r="N133" s="75">
        <f t="shared" si="10"/>
        <v>-780</v>
      </c>
      <c r="O133" s="75">
        <f t="shared" si="11"/>
        <v>-25.218234723569349</v>
      </c>
      <c r="P133" s="75">
        <f>VLOOKUP($A133,'Data Vlaue (Cr)'!$C:$FB,119)</f>
        <v>0.75</v>
      </c>
      <c r="Q133" s="75">
        <f>VLOOKUP($A133,'Data Vlaue (Cr)'!$C:$FB,122)*100</f>
        <v>20.97</v>
      </c>
      <c r="R133" s="75">
        <f>VLOOKUP($A133,'Data Vlaue (Cr)'!$C:$FB,125)</f>
        <v>0.42</v>
      </c>
      <c r="S133" s="75">
        <f>VLOOKUP($A133,'Data Vlaue (Cr)'!$C:$FB,128)*100</f>
        <v>-2.33</v>
      </c>
    </row>
    <row r="134" spans="1:19" x14ac:dyDescent="0.25">
      <c r="A134" s="96" t="str">
        <f>'Data Vlaue (Cr)'!C125</f>
        <v>MANKIND</v>
      </c>
      <c r="B134" s="75">
        <f>VLOOKUP($A134,'Data Vlaue (Cr)'!$C:$FB,2)</f>
        <v>225</v>
      </c>
      <c r="C134" s="75">
        <f>VLOOKUP($A134,'Data Vlaue (Cr)'!$C:$FB,8)</f>
        <v>2147</v>
      </c>
      <c r="D134" s="75">
        <f>VLOOKUP($A134,'Data Vlaue (Cr)'!$C:$FB,4)</f>
        <v>2152.1999999999998</v>
      </c>
      <c r="E134" s="75">
        <f>VLOOKUP($A134,'Data Vlaue (Cr)'!$C:$FB,5)</f>
        <v>2099.9</v>
      </c>
      <c r="F134" s="75">
        <f t="shared" si="6"/>
        <v>5.1999999999998181</v>
      </c>
      <c r="G134" s="75">
        <f t="shared" si="7"/>
        <v>2.4300715546882135</v>
      </c>
      <c r="H134" s="75">
        <f>VLOOKUP($A134,'Data Vlaue (Cr)'!$C:$FB,99)</f>
        <v>823</v>
      </c>
      <c r="I134" s="75">
        <f>VLOOKUP($A134,'Data Vlaue (Cr)'!$C:$FB,100)</f>
        <v>871</v>
      </c>
      <c r="J134" s="75">
        <f t="shared" si="8"/>
        <v>-48</v>
      </c>
      <c r="K134" s="75">
        <f t="shared" si="9"/>
        <v>-5.8323207776427699</v>
      </c>
      <c r="L134" s="75">
        <f>VLOOKUP($A134,'Data Vlaue (Cr)'!$C:$FB,67)</f>
        <v>782</v>
      </c>
      <c r="M134" s="75">
        <f>VLOOKUP($A134,'Data Vlaue (Cr)'!$C:$FB,68)</f>
        <v>726</v>
      </c>
      <c r="N134" s="75">
        <f t="shared" si="10"/>
        <v>56</v>
      </c>
      <c r="O134" s="75">
        <f t="shared" si="11"/>
        <v>7.1611253196930944</v>
      </c>
      <c r="P134" s="75">
        <f>VLOOKUP($A134,'Data Vlaue (Cr)'!$C:$FB,119)</f>
        <v>0.57999999999999996</v>
      </c>
      <c r="Q134" s="75">
        <f>VLOOKUP($A134,'Data Vlaue (Cr)'!$C:$FB,122)*100</f>
        <v>-3.3300000000000005</v>
      </c>
      <c r="R134" s="75">
        <f>VLOOKUP($A134,'Data Vlaue (Cr)'!$C:$FB,125)</f>
        <v>0.37</v>
      </c>
      <c r="S134" s="75">
        <f>VLOOKUP($A134,'Data Vlaue (Cr)'!$C:$FB,128)*100</f>
        <v>-51.32</v>
      </c>
    </row>
    <row r="135" spans="1:19" x14ac:dyDescent="0.25">
      <c r="A135" s="96" t="str">
        <f>'Data Vlaue (Cr)'!C126</f>
        <v>MARICO</v>
      </c>
      <c r="B135" s="75">
        <f>VLOOKUP($A135,'Data Vlaue (Cr)'!$C:$FB,2)</f>
        <v>1200</v>
      </c>
      <c r="C135" s="75">
        <f>VLOOKUP($A135,'Data Vlaue (Cr)'!$C:$FB,8)</f>
        <v>751.75</v>
      </c>
      <c r="D135" s="75">
        <f>VLOOKUP($A135,'Data Vlaue (Cr)'!$C:$FB,4)</f>
        <v>752.25</v>
      </c>
      <c r="E135" s="75">
        <f>VLOOKUP($A135,'Data Vlaue (Cr)'!$C:$FB,5)</f>
        <v>747.95</v>
      </c>
      <c r="F135" s="75">
        <f t="shared" si="6"/>
        <v>0.5</v>
      </c>
      <c r="G135" s="75">
        <f t="shared" si="7"/>
        <v>0.57161847789962839</v>
      </c>
      <c r="H135" s="75">
        <f>VLOOKUP($A135,'Data Vlaue (Cr)'!$C:$FB,99)</f>
        <v>3308</v>
      </c>
      <c r="I135" s="75">
        <f>VLOOKUP($A135,'Data Vlaue (Cr)'!$C:$FB,100)</f>
        <v>3309</v>
      </c>
      <c r="J135" s="75">
        <f t="shared" si="8"/>
        <v>-1</v>
      </c>
      <c r="K135" s="75">
        <f t="shared" si="9"/>
        <v>-3.0229746070133009E-2</v>
      </c>
      <c r="L135" s="75">
        <f>VLOOKUP($A135,'Data Vlaue (Cr)'!$C:$FB,67)</f>
        <v>2665</v>
      </c>
      <c r="M135" s="75">
        <f>VLOOKUP($A135,'Data Vlaue (Cr)'!$C:$FB,68)</f>
        <v>1964</v>
      </c>
      <c r="N135" s="75">
        <f t="shared" si="10"/>
        <v>701</v>
      </c>
      <c r="O135" s="75">
        <f t="shared" si="11"/>
        <v>26.303939962476548</v>
      </c>
      <c r="P135" s="75">
        <f>VLOOKUP($A135,'Data Vlaue (Cr)'!$C:$FB,119)</f>
        <v>0.52</v>
      </c>
      <c r="Q135" s="75">
        <f>VLOOKUP($A135,'Data Vlaue (Cr)'!$C:$FB,122)*100</f>
        <v>-5.45</v>
      </c>
      <c r="R135" s="75">
        <f>VLOOKUP($A135,'Data Vlaue (Cr)'!$C:$FB,125)</f>
        <v>0.31</v>
      </c>
      <c r="S135" s="75">
        <f>VLOOKUP($A135,'Data Vlaue (Cr)'!$C:$FB,128)*100</f>
        <v>-22.5</v>
      </c>
    </row>
    <row r="136" spans="1:19" x14ac:dyDescent="0.25">
      <c r="A136" s="96" t="str">
        <f>'Data Vlaue (Cr)'!C127</f>
        <v>MARUTI</v>
      </c>
      <c r="B136" s="75">
        <f>VLOOKUP($A136,'Data Vlaue (Cr)'!$C:$FB,2)</f>
        <v>50</v>
      </c>
      <c r="C136" s="75">
        <f>VLOOKUP($A136,'Data Vlaue (Cr)'!$C:$FB,8)</f>
        <v>15765</v>
      </c>
      <c r="D136" s="75">
        <f>VLOOKUP($A136,'Data Vlaue (Cr)'!$C:$FB,4)</f>
        <v>15752</v>
      </c>
      <c r="E136" s="75">
        <f>VLOOKUP($A136,'Data Vlaue (Cr)'!$C:$FB,5)</f>
        <v>15793</v>
      </c>
      <c r="F136" s="75">
        <f t="shared" si="6"/>
        <v>-13</v>
      </c>
      <c r="G136" s="75">
        <f t="shared" si="7"/>
        <v>-0.2602844083291011</v>
      </c>
      <c r="H136" s="75">
        <f>VLOOKUP($A136,'Data Vlaue (Cr)'!$C:$FB,99)</f>
        <v>10677</v>
      </c>
      <c r="I136" s="75">
        <f>VLOOKUP($A136,'Data Vlaue (Cr)'!$C:$FB,100)</f>
        <v>11100</v>
      </c>
      <c r="J136" s="75">
        <f t="shared" si="8"/>
        <v>-423</v>
      </c>
      <c r="K136" s="75">
        <f t="shared" si="9"/>
        <v>-3.9617870188255124</v>
      </c>
      <c r="L136" s="75">
        <f>VLOOKUP($A136,'Data Vlaue (Cr)'!$C:$FB,67)</f>
        <v>17345</v>
      </c>
      <c r="M136" s="75">
        <f>VLOOKUP($A136,'Data Vlaue (Cr)'!$C:$FB,68)</f>
        <v>16777</v>
      </c>
      <c r="N136" s="75">
        <f t="shared" si="10"/>
        <v>568</v>
      </c>
      <c r="O136" s="75">
        <f t="shared" si="11"/>
        <v>3.2747189391755547</v>
      </c>
      <c r="P136" s="75">
        <f>VLOOKUP($A136,'Data Vlaue (Cr)'!$C:$FB,119)</f>
        <v>0.36</v>
      </c>
      <c r="Q136" s="75">
        <f>VLOOKUP($A136,'Data Vlaue (Cr)'!$C:$FB,122)*100</f>
        <v>0</v>
      </c>
      <c r="R136" s="75">
        <f>VLOOKUP($A136,'Data Vlaue (Cr)'!$C:$FB,125)</f>
        <v>0.43</v>
      </c>
      <c r="S136" s="75">
        <f>VLOOKUP($A136,'Data Vlaue (Cr)'!$C:$FB,128)*100</f>
        <v>-21.82</v>
      </c>
    </row>
    <row r="137" spans="1:19" x14ac:dyDescent="0.25">
      <c r="A137" s="96" t="str">
        <f>'Data Vlaue (Cr)'!C128</f>
        <v>MAXHEALTH</v>
      </c>
      <c r="B137" s="75">
        <f>VLOOKUP($A137,'Data Vlaue (Cr)'!$C:$FB,2)</f>
        <v>525</v>
      </c>
      <c r="C137" s="75">
        <f>VLOOKUP($A137,'Data Vlaue (Cr)'!$C:$FB,8)</f>
        <v>998.8</v>
      </c>
      <c r="D137" s="75">
        <f>VLOOKUP($A137,'Data Vlaue (Cr)'!$C:$FB,4)</f>
        <v>998.4</v>
      </c>
      <c r="E137" s="75">
        <f>VLOOKUP($A137,'Data Vlaue (Cr)'!$C:$FB,5)</f>
        <v>1003.5</v>
      </c>
      <c r="F137" s="75">
        <f t="shared" si="6"/>
        <v>-0.39999999999997726</v>
      </c>
      <c r="G137" s="75">
        <f t="shared" si="7"/>
        <v>-0.51081730769230993</v>
      </c>
      <c r="H137" s="75">
        <f>VLOOKUP($A137,'Data Vlaue (Cr)'!$C:$FB,99)</f>
        <v>2540</v>
      </c>
      <c r="I137" s="75">
        <f>VLOOKUP($A137,'Data Vlaue (Cr)'!$C:$FB,100)</f>
        <v>2547</v>
      </c>
      <c r="J137" s="75">
        <f t="shared" si="8"/>
        <v>-7</v>
      </c>
      <c r="K137" s="75">
        <f t="shared" si="9"/>
        <v>-0.27559055118110237</v>
      </c>
      <c r="L137" s="75">
        <f>VLOOKUP($A137,'Data Vlaue (Cr)'!$C:$FB,67)</f>
        <v>2214</v>
      </c>
      <c r="M137" s="75">
        <f>VLOOKUP($A137,'Data Vlaue (Cr)'!$C:$FB,68)</f>
        <v>2175</v>
      </c>
      <c r="N137" s="75">
        <f t="shared" si="10"/>
        <v>39</v>
      </c>
      <c r="O137" s="75">
        <f t="shared" si="11"/>
        <v>1.7615176151761516</v>
      </c>
      <c r="P137" s="75">
        <f>VLOOKUP($A137,'Data Vlaue (Cr)'!$C:$FB,119)</f>
        <v>0.64</v>
      </c>
      <c r="Q137" s="75">
        <f>VLOOKUP($A137,'Data Vlaue (Cr)'!$C:$FB,122)*100</f>
        <v>-9.86</v>
      </c>
      <c r="R137" s="75">
        <f>VLOOKUP($A137,'Data Vlaue (Cr)'!$C:$FB,125)</f>
        <v>0.42</v>
      </c>
      <c r="S137" s="75">
        <f>VLOOKUP($A137,'Data Vlaue (Cr)'!$C:$FB,128)*100</f>
        <v>-26.32</v>
      </c>
    </row>
    <row r="138" spans="1:19" x14ac:dyDescent="0.25">
      <c r="A138" s="96" t="str">
        <f>'Data Vlaue (Cr)'!C129</f>
        <v>MAZDOCK</v>
      </c>
      <c r="B138" s="75">
        <f>VLOOKUP($A138,'Data Vlaue (Cr)'!$C:$FB,2)</f>
        <v>200</v>
      </c>
      <c r="C138" s="75">
        <f>VLOOKUP($A138,'Data Vlaue (Cr)'!$C:$FB,8)</f>
        <v>2369</v>
      </c>
      <c r="D138" s="75">
        <f>VLOOKUP($A138,'Data Vlaue (Cr)'!$C:$FB,4)</f>
        <v>2366.6999999999998</v>
      </c>
      <c r="E138" s="75">
        <f>VLOOKUP($A138,'Data Vlaue (Cr)'!$C:$FB,5)</f>
        <v>2329.5</v>
      </c>
      <c r="F138" s="75">
        <f t="shared" si="6"/>
        <v>-2.3000000000001819</v>
      </c>
      <c r="G138" s="75">
        <f t="shared" si="7"/>
        <v>1.5718088477626999</v>
      </c>
      <c r="H138" s="75">
        <f>VLOOKUP($A138,'Data Vlaue (Cr)'!$C:$FB,99)</f>
        <v>2816</v>
      </c>
      <c r="I138" s="75">
        <f>VLOOKUP($A138,'Data Vlaue (Cr)'!$C:$FB,100)</f>
        <v>3048</v>
      </c>
      <c r="J138" s="75">
        <f t="shared" si="8"/>
        <v>-232</v>
      </c>
      <c r="K138" s="75">
        <f t="shared" si="9"/>
        <v>-8.2386363636363633</v>
      </c>
      <c r="L138" s="75">
        <f>VLOOKUP($A138,'Data Vlaue (Cr)'!$C:$FB,67)</f>
        <v>2509</v>
      </c>
      <c r="M138" s="75">
        <f>VLOOKUP($A138,'Data Vlaue (Cr)'!$C:$FB,68)</f>
        <v>2304</v>
      </c>
      <c r="N138" s="75">
        <f t="shared" si="10"/>
        <v>205</v>
      </c>
      <c r="O138" s="75">
        <f t="shared" si="11"/>
        <v>8.170585890793145</v>
      </c>
      <c r="P138" s="75">
        <f>VLOOKUP($A138,'Data Vlaue (Cr)'!$C:$FB,119)</f>
        <v>0.47</v>
      </c>
      <c r="Q138" s="75">
        <f>VLOOKUP($A138,'Data Vlaue (Cr)'!$C:$FB,122)*100</f>
        <v>9.3000000000000007</v>
      </c>
      <c r="R138" s="75">
        <f>VLOOKUP($A138,'Data Vlaue (Cr)'!$C:$FB,125)</f>
        <v>0.27</v>
      </c>
      <c r="S138" s="75">
        <f>VLOOKUP($A138,'Data Vlaue (Cr)'!$C:$FB,128)*100</f>
        <v>-25</v>
      </c>
    </row>
    <row r="139" spans="1:19" x14ac:dyDescent="0.25">
      <c r="A139" s="96" t="str">
        <f>'Data Vlaue (Cr)'!C130</f>
        <v>MCX</v>
      </c>
      <c r="B139" s="75">
        <f>VLOOKUP($A139,'Data Vlaue (Cr)'!$C:$FB,2)</f>
        <v>625</v>
      </c>
      <c r="C139" s="75">
        <f>VLOOKUP($A139,'Data Vlaue (Cr)'!$C:$FB,8)</f>
        <v>2314</v>
      </c>
      <c r="D139" s="75">
        <f>VLOOKUP($A139,'Data Vlaue (Cr)'!$C:$FB,4)</f>
        <v>2319</v>
      </c>
      <c r="E139" s="75">
        <f>VLOOKUP($A139,'Data Vlaue (Cr)'!$C:$FB,5)</f>
        <v>2329</v>
      </c>
      <c r="F139" s="75">
        <f t="shared" si="6"/>
        <v>5</v>
      </c>
      <c r="G139" s="75">
        <f t="shared" si="7"/>
        <v>-0.43122035360068989</v>
      </c>
      <c r="H139" s="75">
        <f>VLOOKUP($A139,'Data Vlaue (Cr)'!$C:$FB,99)</f>
        <v>10161</v>
      </c>
      <c r="I139" s="75">
        <f>VLOOKUP($A139,'Data Vlaue (Cr)'!$C:$FB,100)</f>
        <v>9593</v>
      </c>
      <c r="J139" s="75">
        <f t="shared" si="8"/>
        <v>568</v>
      </c>
      <c r="K139" s="75">
        <f t="shared" si="9"/>
        <v>5.590000984155103</v>
      </c>
      <c r="L139" s="75">
        <f>VLOOKUP($A139,'Data Vlaue (Cr)'!$C:$FB,67)</f>
        <v>21829</v>
      </c>
      <c r="M139" s="75">
        <f>VLOOKUP($A139,'Data Vlaue (Cr)'!$C:$FB,68)</f>
        <v>14029</v>
      </c>
      <c r="N139" s="75">
        <f t="shared" si="10"/>
        <v>7800</v>
      </c>
      <c r="O139" s="75">
        <f t="shared" si="11"/>
        <v>35.732282743139862</v>
      </c>
      <c r="P139" s="75">
        <f>VLOOKUP($A139,'Data Vlaue (Cr)'!$C:$FB,119)</f>
        <v>0.45</v>
      </c>
      <c r="Q139" s="75">
        <f>VLOOKUP($A139,'Data Vlaue (Cr)'!$C:$FB,122)*100</f>
        <v>-8.16</v>
      </c>
      <c r="R139" s="75">
        <f>VLOOKUP($A139,'Data Vlaue (Cr)'!$C:$FB,125)</f>
        <v>0.44</v>
      </c>
      <c r="S139" s="75">
        <f>VLOOKUP($A139,'Data Vlaue (Cr)'!$C:$FB,128)*100</f>
        <v>-6.38</v>
      </c>
    </row>
    <row r="140" spans="1:19" x14ac:dyDescent="0.25">
      <c r="A140" s="96" t="str">
        <f>'Data Vlaue (Cr)'!C131</f>
        <v>MFSL</v>
      </c>
      <c r="B140" s="75">
        <f>VLOOKUP($A140,'Data Vlaue (Cr)'!$C:$FB,2)</f>
        <v>400</v>
      </c>
      <c r="C140" s="75">
        <f>VLOOKUP($A140,'Data Vlaue (Cr)'!$C:$FB,8)</f>
        <v>1627.7</v>
      </c>
      <c r="D140" s="75">
        <f>VLOOKUP($A140,'Data Vlaue (Cr)'!$C:$FB,4)</f>
        <v>1626.7</v>
      </c>
      <c r="E140" s="75">
        <f>VLOOKUP($A140,'Data Vlaue (Cr)'!$C:$FB,5)</f>
        <v>1618.4</v>
      </c>
      <c r="F140" s="75">
        <f t="shared" ref="F140:F176" si="12">D140-C140</f>
        <v>-1</v>
      </c>
      <c r="G140" s="75">
        <f t="shared" ref="G140:G176" si="13">(D140-E140)/D140*100</f>
        <v>0.51023544599495629</v>
      </c>
      <c r="H140" s="75">
        <f>VLOOKUP($A140,'Data Vlaue (Cr)'!$C:$FB,99)</f>
        <v>1873</v>
      </c>
      <c r="I140" s="75">
        <f>VLOOKUP($A140,'Data Vlaue (Cr)'!$C:$FB,100)</f>
        <v>1937</v>
      </c>
      <c r="J140" s="75">
        <f t="shared" ref="J140:J176" si="14">H140-I140</f>
        <v>-64</v>
      </c>
      <c r="K140" s="75">
        <f t="shared" ref="K140:K176" si="15">J140/H140*100</f>
        <v>-3.4169781099839827</v>
      </c>
      <c r="L140" s="75">
        <f>VLOOKUP($A140,'Data Vlaue (Cr)'!$C:$FB,67)</f>
        <v>1674</v>
      </c>
      <c r="M140" s="75">
        <f>VLOOKUP($A140,'Data Vlaue (Cr)'!$C:$FB,68)</f>
        <v>1624</v>
      </c>
      <c r="N140" s="75">
        <f t="shared" ref="N140:N176" si="16">L140-M140</f>
        <v>50</v>
      </c>
      <c r="O140" s="75">
        <f t="shared" ref="O140:O176" si="17">N140/L140*100</f>
        <v>2.9868578255675029</v>
      </c>
      <c r="P140" s="75">
        <f>VLOOKUP($A140,'Data Vlaue (Cr)'!$C:$FB,119)</f>
        <v>0.69</v>
      </c>
      <c r="Q140" s="75">
        <f>VLOOKUP($A140,'Data Vlaue (Cr)'!$C:$FB,122)*100</f>
        <v>1.47</v>
      </c>
      <c r="R140" s="75">
        <f>VLOOKUP($A140,'Data Vlaue (Cr)'!$C:$FB,125)</f>
        <v>0.56000000000000005</v>
      </c>
      <c r="S140" s="75">
        <f>VLOOKUP($A140,'Data Vlaue (Cr)'!$C:$FB,128)*100</f>
        <v>-44.55</v>
      </c>
    </row>
    <row r="141" spans="1:19" x14ac:dyDescent="0.25">
      <c r="A141" s="96" t="str">
        <f>'Data Vlaue (Cr)'!C132</f>
        <v>MIDCPNIFTY</v>
      </c>
      <c r="B141" s="75">
        <f>VLOOKUP($A141,'Data Vlaue (Cr)'!$C:$FB,2)</f>
        <v>120</v>
      </c>
      <c r="C141" s="75">
        <f>VLOOKUP($A141,'Data Vlaue (Cr)'!$C:$FB,8)</f>
        <v>13325.45</v>
      </c>
      <c r="D141" s="75">
        <f>VLOOKUP($A141,'Data Vlaue (Cr)'!$C:$FB,4)</f>
        <v>13337.15</v>
      </c>
      <c r="E141" s="75">
        <f>VLOOKUP($A141,'Data Vlaue (Cr)'!$C:$FB,5)</f>
        <v>13141.2</v>
      </c>
      <c r="F141" s="75">
        <f t="shared" si="12"/>
        <v>11.699999999998909</v>
      </c>
      <c r="G141" s="75">
        <f t="shared" si="13"/>
        <v>1.4692044402289763</v>
      </c>
      <c r="H141" s="75">
        <f>VLOOKUP($A141,'Data Vlaue (Cr)'!$C:$FB,99)</f>
        <v>39888</v>
      </c>
      <c r="I141" s="75">
        <f>VLOOKUP($A141,'Data Vlaue (Cr)'!$C:$FB,100)</f>
        <v>38626</v>
      </c>
      <c r="J141" s="75">
        <f t="shared" si="14"/>
        <v>1262</v>
      </c>
      <c r="K141" s="75">
        <f t="shared" si="15"/>
        <v>3.163858804653028</v>
      </c>
      <c r="L141" s="75">
        <f>VLOOKUP($A141,'Data Vlaue (Cr)'!$C:$FB,67)</f>
        <v>214808</v>
      </c>
      <c r="M141" s="75">
        <f>VLOOKUP($A141,'Data Vlaue (Cr)'!$C:$FB,68)</f>
        <v>307099</v>
      </c>
      <c r="N141" s="75">
        <f t="shared" si="16"/>
        <v>-92291</v>
      </c>
      <c r="O141" s="75">
        <f t="shared" si="17"/>
        <v>-42.964414733157049</v>
      </c>
      <c r="P141" s="75">
        <f>VLOOKUP($A141,'Data Vlaue (Cr)'!$C:$FB,119)</f>
        <v>0.74</v>
      </c>
      <c r="Q141" s="75">
        <f>VLOOKUP($A141,'Data Vlaue (Cr)'!$C:$FB,122)*100</f>
        <v>10.45</v>
      </c>
      <c r="R141" s="75">
        <f>VLOOKUP($A141,'Data Vlaue (Cr)'!$C:$FB,125)</f>
        <v>0.83</v>
      </c>
      <c r="S141" s="75">
        <f>VLOOKUP($A141,'Data Vlaue (Cr)'!$C:$FB,128)*100</f>
        <v>-6.74</v>
      </c>
    </row>
    <row r="142" spans="1:19" x14ac:dyDescent="0.25">
      <c r="A142" s="96" t="str">
        <f>'Data Vlaue (Cr)'!C133</f>
        <v>MOTHERSON</v>
      </c>
      <c r="B142" s="75">
        <f>VLOOKUP($A142,'Data Vlaue (Cr)'!$C:$FB,2)</f>
        <v>6150</v>
      </c>
      <c r="C142" s="75">
        <f>VLOOKUP($A142,'Data Vlaue (Cr)'!$C:$FB,8)</f>
        <v>111.33</v>
      </c>
      <c r="D142" s="75">
        <f>VLOOKUP($A142,'Data Vlaue (Cr)'!$C:$FB,4)</f>
        <v>111.52</v>
      </c>
      <c r="E142" s="75">
        <f>VLOOKUP($A142,'Data Vlaue (Cr)'!$C:$FB,5)</f>
        <v>109.66</v>
      </c>
      <c r="F142" s="75">
        <f t="shared" si="12"/>
        <v>0.18999999999999773</v>
      </c>
      <c r="G142" s="75">
        <f t="shared" si="13"/>
        <v>1.6678622668579624</v>
      </c>
      <c r="H142" s="75">
        <f>VLOOKUP($A142,'Data Vlaue (Cr)'!$C:$FB,99)</f>
        <v>3182</v>
      </c>
      <c r="I142" s="75">
        <f>VLOOKUP($A142,'Data Vlaue (Cr)'!$C:$FB,100)</f>
        <v>3226</v>
      </c>
      <c r="J142" s="75">
        <f t="shared" si="14"/>
        <v>-44</v>
      </c>
      <c r="K142" s="75">
        <f t="shared" si="15"/>
        <v>-1.3827781269641735</v>
      </c>
      <c r="L142" s="75">
        <f>VLOOKUP($A142,'Data Vlaue (Cr)'!$C:$FB,67)</f>
        <v>2957</v>
      </c>
      <c r="M142" s="75">
        <f>VLOOKUP($A142,'Data Vlaue (Cr)'!$C:$FB,68)</f>
        <v>3441</v>
      </c>
      <c r="N142" s="75">
        <f t="shared" si="16"/>
        <v>-484</v>
      </c>
      <c r="O142" s="75">
        <f t="shared" si="17"/>
        <v>-16.367940480216436</v>
      </c>
      <c r="P142" s="75">
        <f>VLOOKUP($A142,'Data Vlaue (Cr)'!$C:$FB,119)</f>
        <v>0.54</v>
      </c>
      <c r="Q142" s="75">
        <f>VLOOKUP($A142,'Data Vlaue (Cr)'!$C:$FB,122)*100</f>
        <v>10.199999999999999</v>
      </c>
      <c r="R142" s="75">
        <f>VLOOKUP($A142,'Data Vlaue (Cr)'!$C:$FB,125)</f>
        <v>0.36</v>
      </c>
      <c r="S142" s="75">
        <f>VLOOKUP($A142,'Data Vlaue (Cr)'!$C:$FB,128)*100</f>
        <v>-12.2</v>
      </c>
    </row>
    <row r="143" spans="1:19" x14ac:dyDescent="0.25">
      <c r="A143" s="96" t="str">
        <f>'Data Vlaue (Cr)'!C134</f>
        <v>MPHASIS</v>
      </c>
      <c r="B143" s="75">
        <f>VLOOKUP($A143,'Data Vlaue (Cr)'!$C:$FB,2)</f>
        <v>275</v>
      </c>
      <c r="C143" s="75">
        <f>VLOOKUP($A143,'Data Vlaue (Cr)'!$C:$FB,8)</f>
        <v>2810.1</v>
      </c>
      <c r="D143" s="75">
        <f>VLOOKUP($A143,'Data Vlaue (Cr)'!$C:$FB,4)</f>
        <v>2808.2</v>
      </c>
      <c r="E143" s="75">
        <f>VLOOKUP($A143,'Data Vlaue (Cr)'!$C:$FB,5)</f>
        <v>2792.6</v>
      </c>
      <c r="F143" s="75">
        <f t="shared" si="12"/>
        <v>-1.9000000000000909</v>
      </c>
      <c r="G143" s="75">
        <f t="shared" si="13"/>
        <v>0.55551598888967701</v>
      </c>
      <c r="H143" s="75">
        <f>VLOOKUP($A143,'Data Vlaue (Cr)'!$C:$FB,99)</f>
        <v>1979</v>
      </c>
      <c r="I143" s="75">
        <f>VLOOKUP($A143,'Data Vlaue (Cr)'!$C:$FB,100)</f>
        <v>1943</v>
      </c>
      <c r="J143" s="75">
        <f t="shared" si="14"/>
        <v>36</v>
      </c>
      <c r="K143" s="75"/>
      <c r="L143" s="75">
        <f>VLOOKUP($A143,'Data Vlaue (Cr)'!$C:$FB,67)</f>
        <v>3028</v>
      </c>
      <c r="M143" s="75">
        <f>VLOOKUP($A143,'Data Vlaue (Cr)'!$C:$FB,68)</f>
        <v>3108</v>
      </c>
      <c r="N143" s="75">
        <f t="shared" si="16"/>
        <v>-80</v>
      </c>
      <c r="O143" s="75">
        <f t="shared" si="17"/>
        <v>-2.6420079260237781</v>
      </c>
      <c r="P143" s="75">
        <f>VLOOKUP($A143,'Data Vlaue (Cr)'!$C:$FB,119)</f>
        <v>0.75</v>
      </c>
      <c r="Q143" s="75">
        <f>VLOOKUP($A143,'Data Vlaue (Cr)'!$C:$FB,122)*100</f>
        <v>-7.41</v>
      </c>
      <c r="R143" s="75">
        <f>VLOOKUP($A143,'Data Vlaue (Cr)'!$C:$FB,125)</f>
        <v>0.76</v>
      </c>
      <c r="S143" s="75">
        <f>VLOOKUP($A143,'Data Vlaue (Cr)'!$C:$FB,128)*100</f>
        <v>-51.59</v>
      </c>
    </row>
    <row r="144" spans="1:19" x14ac:dyDescent="0.25">
      <c r="A144" s="96" t="str">
        <f>'Data Vlaue (Cr)'!C135</f>
        <v>MUTHOOTFIN</v>
      </c>
      <c r="B144" s="75">
        <f>VLOOKUP($A144,'Data Vlaue (Cr)'!$C:$FB,2)</f>
        <v>275</v>
      </c>
      <c r="C144" s="75">
        <f>VLOOKUP($A144,'Data Vlaue (Cr)'!$C:$FB,8)</f>
        <v>3861.9</v>
      </c>
      <c r="D144" s="75">
        <f>VLOOKUP($A144,'Data Vlaue (Cr)'!$C:$FB,4)</f>
        <v>3865.6</v>
      </c>
      <c r="E144" s="75">
        <f>VLOOKUP($A144,'Data Vlaue (Cr)'!$C:$FB,5)</f>
        <v>3918.8</v>
      </c>
      <c r="F144" s="75">
        <f t="shared" si="12"/>
        <v>3.6999999999998181</v>
      </c>
      <c r="G144" s="75">
        <f t="shared" si="13"/>
        <v>-1.3762417218543117</v>
      </c>
      <c r="H144" s="75">
        <f>VLOOKUP($A144,'Data Vlaue (Cr)'!$C:$FB,99)</f>
        <v>3110</v>
      </c>
      <c r="I144" s="75">
        <f>VLOOKUP($A144,'Data Vlaue (Cr)'!$C:$FB,100)</f>
        <v>3046</v>
      </c>
      <c r="J144" s="75">
        <f t="shared" si="14"/>
        <v>64</v>
      </c>
      <c r="K144" s="75">
        <f t="shared" si="15"/>
        <v>2.057877813504823</v>
      </c>
      <c r="L144" s="75">
        <f>VLOOKUP($A144,'Data Vlaue (Cr)'!$C:$FB,67)</f>
        <v>8582</v>
      </c>
      <c r="M144" s="75">
        <f>VLOOKUP($A144,'Data Vlaue (Cr)'!$C:$FB,68)</f>
        <v>8796</v>
      </c>
      <c r="N144" s="75">
        <f t="shared" si="16"/>
        <v>-214</v>
      </c>
      <c r="O144" s="75">
        <f t="shared" si="17"/>
        <v>-2.4935912374737823</v>
      </c>
      <c r="P144" s="75">
        <f>VLOOKUP($A144,'Data Vlaue (Cr)'!$C:$FB,119)</f>
        <v>0.64</v>
      </c>
      <c r="Q144" s="75">
        <f>VLOOKUP($A144,'Data Vlaue (Cr)'!$C:$FB,122)*100</f>
        <v>6.67</v>
      </c>
      <c r="R144" s="75">
        <f>VLOOKUP($A144,'Data Vlaue (Cr)'!$C:$FB,125)</f>
        <v>1.02</v>
      </c>
      <c r="S144" s="75">
        <f>VLOOKUP($A144,'Data Vlaue (Cr)'!$C:$FB,128)*100</f>
        <v>148.78</v>
      </c>
    </row>
    <row r="145" spans="1:19" x14ac:dyDescent="0.25">
      <c r="A145" s="96" t="str">
        <f>'Data Vlaue (Cr)'!C136</f>
        <v>NATIONALUM</v>
      </c>
      <c r="B145" s="75">
        <f>VLOOKUP($A145,'Data Vlaue (Cr)'!$C:$FB,2)</f>
        <v>3750</v>
      </c>
      <c r="C145" s="75">
        <f>VLOOKUP($A145,'Data Vlaue (Cr)'!$C:$FB,8)</f>
        <v>364.6</v>
      </c>
      <c r="D145" s="75">
        <f>VLOOKUP($A145,'Data Vlaue (Cr)'!$C:$FB,4)</f>
        <v>364.2</v>
      </c>
      <c r="E145" s="75">
        <f>VLOOKUP($A145,'Data Vlaue (Cr)'!$C:$FB,5)</f>
        <v>361.75</v>
      </c>
      <c r="F145" s="75">
        <f t="shared" si="12"/>
        <v>-0.40000000000003411</v>
      </c>
      <c r="G145" s="75">
        <f t="shared" si="13"/>
        <v>0.67270730367929399</v>
      </c>
      <c r="H145" s="75">
        <f>VLOOKUP($A145,'Data Vlaue (Cr)'!$C:$FB,99)</f>
        <v>5067</v>
      </c>
      <c r="I145" s="75">
        <f>VLOOKUP($A145,'Data Vlaue (Cr)'!$C:$FB,100)</f>
        <v>5158</v>
      </c>
      <c r="J145" s="75">
        <f t="shared" si="14"/>
        <v>-91</v>
      </c>
      <c r="K145" s="75">
        <f t="shared" si="15"/>
        <v>-1.7959344779948687</v>
      </c>
      <c r="L145" s="75">
        <f>VLOOKUP($A145,'Data Vlaue (Cr)'!$C:$FB,67)</f>
        <v>6309</v>
      </c>
      <c r="M145" s="75">
        <f>VLOOKUP($A145,'Data Vlaue (Cr)'!$C:$FB,68)</f>
        <v>8337</v>
      </c>
      <c r="N145" s="75">
        <f t="shared" si="16"/>
        <v>-2028</v>
      </c>
      <c r="O145" s="75">
        <f t="shared" si="17"/>
        <v>-32.144555397051832</v>
      </c>
      <c r="P145" s="75">
        <f>VLOOKUP($A145,'Data Vlaue (Cr)'!$C:$FB,119)</f>
        <v>0.84</v>
      </c>
      <c r="Q145" s="75">
        <f>VLOOKUP($A145,'Data Vlaue (Cr)'!$C:$FB,122)*100</f>
        <v>6.3299999999999992</v>
      </c>
      <c r="R145" s="75">
        <f>VLOOKUP($A145,'Data Vlaue (Cr)'!$C:$FB,125)</f>
        <v>0.68</v>
      </c>
      <c r="S145" s="75">
        <f>VLOOKUP($A145,'Data Vlaue (Cr)'!$C:$FB,128)*100</f>
        <v>30.769999999999996</v>
      </c>
    </row>
    <row r="146" spans="1:19" x14ac:dyDescent="0.25">
      <c r="A146" s="96" t="str">
        <f>'Data Vlaue (Cr)'!C137</f>
        <v>NAUKRI</v>
      </c>
      <c r="B146" s="75">
        <f>VLOOKUP($A146,'Data Vlaue (Cr)'!$C:$FB,2)</f>
        <v>375</v>
      </c>
      <c r="C146" s="75">
        <f>VLOOKUP($A146,'Data Vlaue (Cr)'!$C:$FB,8)</f>
        <v>1319.5</v>
      </c>
      <c r="D146" s="75">
        <f>VLOOKUP($A146,'Data Vlaue (Cr)'!$C:$FB,4)</f>
        <v>1317.2</v>
      </c>
      <c r="E146" s="75">
        <f>VLOOKUP($A146,'Data Vlaue (Cr)'!$C:$FB,5)</f>
        <v>1337.7</v>
      </c>
      <c r="F146" s="75">
        <f t="shared" si="12"/>
        <v>-2.2999999999999545</v>
      </c>
      <c r="G146" s="75">
        <f t="shared" si="13"/>
        <v>-1.5563316125113877</v>
      </c>
      <c r="H146" s="75">
        <f>VLOOKUP($A146,'Data Vlaue (Cr)'!$C:$FB,99)</f>
        <v>1746</v>
      </c>
      <c r="I146" s="75">
        <f>VLOOKUP($A146,'Data Vlaue (Cr)'!$C:$FB,100)</f>
        <v>1828</v>
      </c>
      <c r="J146" s="75">
        <f t="shared" si="14"/>
        <v>-82</v>
      </c>
      <c r="K146" s="75">
        <f t="shared" si="15"/>
        <v>-4.6964490263459338</v>
      </c>
      <c r="L146" s="75">
        <f>VLOOKUP($A146,'Data Vlaue (Cr)'!$C:$FB,67)</f>
        <v>2587</v>
      </c>
      <c r="M146" s="75">
        <f>VLOOKUP($A146,'Data Vlaue (Cr)'!$C:$FB,68)</f>
        <v>3327</v>
      </c>
      <c r="N146" s="75">
        <f t="shared" si="16"/>
        <v>-740</v>
      </c>
      <c r="O146" s="75">
        <f t="shared" si="17"/>
        <v>-28.604561267877848</v>
      </c>
      <c r="P146" s="75">
        <f>VLOOKUP($A146,'Data Vlaue (Cr)'!$C:$FB,119)</f>
        <v>0.57999999999999996</v>
      </c>
      <c r="Q146" s="75">
        <f>VLOOKUP($A146,'Data Vlaue (Cr)'!$C:$FB,122)*100</f>
        <v>0</v>
      </c>
      <c r="R146" s="75">
        <f>VLOOKUP($A146,'Data Vlaue (Cr)'!$C:$FB,125)</f>
        <v>0.74</v>
      </c>
      <c r="S146" s="75">
        <f>VLOOKUP($A146,'Data Vlaue (Cr)'!$C:$FB,128)*100</f>
        <v>12.120000000000001</v>
      </c>
    </row>
    <row r="147" spans="1:19" x14ac:dyDescent="0.25">
      <c r="A147" s="96" t="str">
        <f>'Data Vlaue (Cr)'!C138</f>
        <v>NBCC</v>
      </c>
      <c r="B147" s="75">
        <f>VLOOKUP($A147,'Data Vlaue (Cr)'!$C:$FB,2)</f>
        <v>6500</v>
      </c>
      <c r="C147" s="75">
        <f>VLOOKUP($A147,'Data Vlaue (Cr)'!$C:$FB,8)</f>
        <v>98.68</v>
      </c>
      <c r="D147" s="75">
        <f>VLOOKUP($A147,'Data Vlaue (Cr)'!$C:$FB,4)</f>
        <v>98.76</v>
      </c>
      <c r="E147" s="75">
        <f>VLOOKUP($A147,'Data Vlaue (Cr)'!$C:$FB,5)</f>
        <v>96.61</v>
      </c>
      <c r="F147" s="75">
        <f t="shared" si="12"/>
        <v>7.9999999999998295E-2</v>
      </c>
      <c r="G147" s="75">
        <f t="shared" si="13"/>
        <v>2.1769947347104148</v>
      </c>
      <c r="H147" s="75">
        <f>VLOOKUP($A147,'Data Vlaue (Cr)'!$C:$FB,99)</f>
        <v>1995</v>
      </c>
      <c r="I147" s="75">
        <f>VLOOKUP($A147,'Data Vlaue (Cr)'!$C:$FB,100)</f>
        <v>2029</v>
      </c>
      <c r="J147" s="75">
        <f t="shared" si="14"/>
        <v>-34</v>
      </c>
      <c r="K147" s="75">
        <f t="shared" si="15"/>
        <v>-1.7042606516290728</v>
      </c>
      <c r="L147" s="75">
        <f>VLOOKUP($A147,'Data Vlaue (Cr)'!$C:$FB,67)</f>
        <v>1283</v>
      </c>
      <c r="M147" s="75">
        <f>VLOOKUP($A147,'Data Vlaue (Cr)'!$C:$FB,68)</f>
        <v>1485</v>
      </c>
      <c r="N147" s="75">
        <f t="shared" si="16"/>
        <v>-202</v>
      </c>
      <c r="O147" s="75">
        <f t="shared" si="17"/>
        <v>-15.744349181605614</v>
      </c>
      <c r="P147" s="75">
        <f>VLOOKUP($A147,'Data Vlaue (Cr)'!$C:$FB,119)</f>
        <v>0.39</v>
      </c>
      <c r="Q147" s="75">
        <f>VLOOKUP($A147,'Data Vlaue (Cr)'!$C:$FB,122)*100</f>
        <v>2.63</v>
      </c>
      <c r="R147" s="75">
        <f>VLOOKUP($A147,'Data Vlaue (Cr)'!$C:$FB,125)</f>
        <v>0.31</v>
      </c>
      <c r="S147" s="75">
        <f>VLOOKUP($A147,'Data Vlaue (Cr)'!$C:$FB,128)*100</f>
        <v>-22.5</v>
      </c>
    </row>
    <row r="148" spans="1:19" x14ac:dyDescent="0.25">
      <c r="A148" s="96" t="str">
        <f>'Data Vlaue (Cr)'!C139</f>
        <v>NESTLEIND</v>
      </c>
      <c r="B148" s="75">
        <f>VLOOKUP($A148,'Data Vlaue (Cr)'!$C:$FB,2)</f>
        <v>500</v>
      </c>
      <c r="C148" s="75">
        <f>VLOOKUP($A148,'Data Vlaue (Cr)'!$C:$FB,8)</f>
        <v>1306</v>
      </c>
      <c r="D148" s="75">
        <f>VLOOKUP($A148,'Data Vlaue (Cr)'!$C:$FB,4)</f>
        <v>1306.5</v>
      </c>
      <c r="E148" s="75">
        <f>VLOOKUP($A148,'Data Vlaue (Cr)'!$C:$FB,5)</f>
        <v>1283.5999999999999</v>
      </c>
      <c r="F148" s="75">
        <f t="shared" si="12"/>
        <v>0.5</v>
      </c>
      <c r="G148" s="75">
        <f t="shared" si="13"/>
        <v>1.7527745885954911</v>
      </c>
      <c r="H148" s="75">
        <f>VLOOKUP($A148,'Data Vlaue (Cr)'!$C:$FB,99)</f>
        <v>2978</v>
      </c>
      <c r="I148" s="75">
        <f>VLOOKUP($A148,'Data Vlaue (Cr)'!$C:$FB,100)</f>
        <v>3049</v>
      </c>
      <c r="J148" s="75">
        <f t="shared" si="14"/>
        <v>-71</v>
      </c>
      <c r="K148" s="75">
        <f t="shared" si="15"/>
        <v>-2.3841504365345871</v>
      </c>
      <c r="L148" s="75">
        <f>VLOOKUP($A148,'Data Vlaue (Cr)'!$C:$FB,67)</f>
        <v>2673</v>
      </c>
      <c r="M148" s="75">
        <f>VLOOKUP($A148,'Data Vlaue (Cr)'!$C:$FB,68)</f>
        <v>2373</v>
      </c>
      <c r="N148" s="75">
        <f t="shared" si="16"/>
        <v>300</v>
      </c>
      <c r="O148" s="75">
        <f t="shared" si="17"/>
        <v>11.22334455667789</v>
      </c>
      <c r="P148" s="75">
        <f>VLOOKUP($A148,'Data Vlaue (Cr)'!$C:$FB,119)</f>
        <v>0.56000000000000005</v>
      </c>
      <c r="Q148" s="75">
        <f>VLOOKUP($A148,'Data Vlaue (Cr)'!$C:$FB,122)*100</f>
        <v>16.669999999999998</v>
      </c>
      <c r="R148" s="75">
        <f>VLOOKUP($A148,'Data Vlaue (Cr)'!$C:$FB,125)</f>
        <v>0.56999999999999995</v>
      </c>
      <c r="S148" s="75">
        <f>VLOOKUP($A148,'Data Vlaue (Cr)'!$C:$FB,128)*100</f>
        <v>-6.5600000000000005</v>
      </c>
    </row>
    <row r="149" spans="1:19" x14ac:dyDescent="0.25">
      <c r="A149" s="96" t="str">
        <f>'Data Vlaue (Cr)'!C140</f>
        <v>NHPC</v>
      </c>
      <c r="B149" s="75">
        <f>VLOOKUP($A149,'Data Vlaue (Cr)'!$C:$FB,2)</f>
        <v>6400</v>
      </c>
      <c r="C149" s="75">
        <f>VLOOKUP($A149,'Data Vlaue (Cr)'!$C:$FB,8)</f>
        <v>77.45</v>
      </c>
      <c r="D149" s="75">
        <f>VLOOKUP($A149,'Data Vlaue (Cr)'!$C:$FB,4)</f>
        <v>77.709999999999994</v>
      </c>
      <c r="E149" s="75">
        <f>VLOOKUP($A149,'Data Vlaue (Cr)'!$C:$FB,5)</f>
        <v>76.33</v>
      </c>
      <c r="F149" s="75">
        <f t="shared" si="12"/>
        <v>0.25999999999999091</v>
      </c>
      <c r="G149" s="75">
        <f t="shared" si="13"/>
        <v>1.7758332260970215</v>
      </c>
      <c r="H149" s="75">
        <f>VLOOKUP($A149,'Data Vlaue (Cr)'!$C:$FB,99)</f>
        <v>1104</v>
      </c>
      <c r="I149" s="75">
        <f>VLOOKUP($A149,'Data Vlaue (Cr)'!$C:$FB,100)</f>
        <v>1174</v>
      </c>
      <c r="J149" s="75">
        <f t="shared" si="14"/>
        <v>-70</v>
      </c>
      <c r="K149" s="75">
        <f t="shared" si="15"/>
        <v>-6.3405797101449277</v>
      </c>
      <c r="L149" s="75">
        <f>VLOOKUP($A149,'Data Vlaue (Cr)'!$C:$FB,67)</f>
        <v>877</v>
      </c>
      <c r="M149" s="75">
        <f>VLOOKUP($A149,'Data Vlaue (Cr)'!$C:$FB,68)</f>
        <v>1261</v>
      </c>
      <c r="N149" s="75">
        <f t="shared" si="16"/>
        <v>-384</v>
      </c>
      <c r="O149" s="75">
        <f t="shared" si="17"/>
        <v>-43.785632839224633</v>
      </c>
      <c r="P149" s="75">
        <f>VLOOKUP($A149,'Data Vlaue (Cr)'!$C:$FB,119)</f>
        <v>0.51</v>
      </c>
      <c r="Q149" s="75">
        <f>VLOOKUP($A149,'Data Vlaue (Cr)'!$C:$FB,122)*100</f>
        <v>8.51</v>
      </c>
      <c r="R149" s="75">
        <f>VLOOKUP($A149,'Data Vlaue (Cr)'!$C:$FB,125)</f>
        <v>0.41</v>
      </c>
      <c r="S149" s="75">
        <f>VLOOKUP($A149,'Data Vlaue (Cr)'!$C:$FB,128)*100</f>
        <v>-36.919999999999995</v>
      </c>
    </row>
    <row r="150" spans="1:19" x14ac:dyDescent="0.25">
      <c r="A150" s="96" t="str">
        <f>'Data Vlaue (Cr)'!C141</f>
        <v>NIFTY</v>
      </c>
      <c r="B150" s="75">
        <f>VLOOKUP($A150,'Data Vlaue (Cr)'!$C:$FB,2)</f>
        <v>65</v>
      </c>
      <c r="C150" s="75">
        <f>VLOOKUP($A150,'Data Vlaue (Cr)'!$C:$FB,8)</f>
        <v>25289.9</v>
      </c>
      <c r="D150" s="75">
        <f>VLOOKUP($A150,'Data Vlaue (Cr)'!$C:$FB,4)</f>
        <v>25349.8</v>
      </c>
      <c r="E150" s="75">
        <f>VLOOKUP($A150,'Data Vlaue (Cr)'!$C:$FB,5)</f>
        <v>25178.2</v>
      </c>
      <c r="F150" s="75">
        <f t="shared" si="12"/>
        <v>59.899999999997817</v>
      </c>
      <c r="G150" s="75">
        <f t="shared" si="13"/>
        <v>0.67692841758119804</v>
      </c>
      <c r="H150" s="75">
        <f>VLOOKUP($A150,'Data Vlaue (Cr)'!$C:$FB,99)</f>
        <v>1238388</v>
      </c>
      <c r="I150" s="75">
        <f>VLOOKUP($A150,'Data Vlaue (Cr)'!$C:$FB,100)</f>
        <v>1150723</v>
      </c>
      <c r="J150" s="75">
        <f t="shared" si="14"/>
        <v>87665</v>
      </c>
      <c r="K150" s="75">
        <f t="shared" si="15"/>
        <v>7.0789607134436068</v>
      </c>
      <c r="L150" s="75">
        <f>VLOOKUP($A150,'Data Vlaue (Cr)'!$C:$FB,67)</f>
        <v>15321471</v>
      </c>
      <c r="M150" s="75">
        <f>VLOOKUP($A150,'Data Vlaue (Cr)'!$C:$FB,68)</f>
        <v>16973219</v>
      </c>
      <c r="N150" s="75">
        <f t="shared" si="16"/>
        <v>-1651748</v>
      </c>
      <c r="O150" s="75">
        <f t="shared" si="17"/>
        <v>-10.780609773043333</v>
      </c>
      <c r="P150" s="75">
        <f>VLOOKUP($A150,'Data Vlaue (Cr)'!$C:$FB,119)</f>
        <v>0.87</v>
      </c>
      <c r="Q150" s="75">
        <f>VLOOKUP($A150,'Data Vlaue (Cr)'!$C:$FB,122)*100</f>
        <v>11.540000000000001</v>
      </c>
      <c r="R150" s="75">
        <f>VLOOKUP($A150,'Data Vlaue (Cr)'!$C:$FB,125)</f>
        <v>1.05</v>
      </c>
      <c r="S150" s="75">
        <f>VLOOKUP($A150,'Data Vlaue (Cr)'!$C:$FB,128)*100</f>
        <v>0.96</v>
      </c>
    </row>
    <row r="151" spans="1:19" x14ac:dyDescent="0.25">
      <c r="A151" s="96" t="str">
        <f>'Data Vlaue (Cr)'!C142</f>
        <v>NIFTYNXT50</v>
      </c>
      <c r="B151" s="75">
        <f>VLOOKUP($A151,'Data Vlaue (Cr)'!$C:$FB,2)</f>
        <v>25</v>
      </c>
      <c r="C151" s="75">
        <f>VLOOKUP($A151,'Data Vlaue (Cr)'!$C:$FB,8)</f>
        <v>67592.800000000003</v>
      </c>
      <c r="D151" s="75">
        <f>VLOOKUP($A151,'Data Vlaue (Cr)'!$C:$FB,4)</f>
        <v>67754</v>
      </c>
      <c r="E151" s="75">
        <f>VLOOKUP($A151,'Data Vlaue (Cr)'!$C:$FB,5)</f>
        <v>66991.199999999997</v>
      </c>
      <c r="F151" s="75">
        <f t="shared" si="12"/>
        <v>161.19999999999709</v>
      </c>
      <c r="G151" s="75">
        <f t="shared" si="13"/>
        <v>1.1258375889246435</v>
      </c>
      <c r="H151" s="75">
        <f>VLOOKUP($A151,'Data Vlaue (Cr)'!$C:$FB,99)</f>
        <v>372</v>
      </c>
      <c r="I151" s="75">
        <f>VLOOKUP($A151,'Data Vlaue (Cr)'!$C:$FB,100)</f>
        <v>369</v>
      </c>
      <c r="J151" s="75">
        <f t="shared" si="14"/>
        <v>3</v>
      </c>
      <c r="K151" s="75">
        <f t="shared" si="15"/>
        <v>0.80645161290322576</v>
      </c>
      <c r="L151" s="75">
        <f>VLOOKUP($A151,'Data Vlaue (Cr)'!$C:$FB,67)</f>
        <v>335</v>
      </c>
      <c r="M151" s="75">
        <f>VLOOKUP($A151,'Data Vlaue (Cr)'!$C:$FB,68)</f>
        <v>243</v>
      </c>
      <c r="N151" s="75">
        <f t="shared" si="16"/>
        <v>92</v>
      </c>
      <c r="O151" s="75">
        <f t="shared" si="17"/>
        <v>27.46268656716418</v>
      </c>
      <c r="P151" s="75">
        <f>VLOOKUP($A151,'Data Vlaue (Cr)'!$C:$FB,119)</f>
        <v>0.3</v>
      </c>
      <c r="Q151" s="75">
        <f>VLOOKUP($A151,'Data Vlaue (Cr)'!$C:$FB,122)*100</f>
        <v>0</v>
      </c>
      <c r="R151" s="75">
        <f>VLOOKUP($A151,'Data Vlaue (Cr)'!$C:$FB,125)</f>
        <v>0.4</v>
      </c>
      <c r="S151" s="75">
        <f>VLOOKUP($A151,'Data Vlaue (Cr)'!$C:$FB,128)*100</f>
        <v>8.1100000000000012</v>
      </c>
    </row>
    <row r="152" spans="1:19" x14ac:dyDescent="0.25">
      <c r="A152" s="96" t="str">
        <f>'Data Vlaue (Cr)'!C143</f>
        <v>NMDC</v>
      </c>
      <c r="B152" s="75">
        <f>VLOOKUP($A152,'Data Vlaue (Cr)'!$C:$FB,2)</f>
        <v>6750</v>
      </c>
      <c r="C152" s="75">
        <f>VLOOKUP($A152,'Data Vlaue (Cr)'!$C:$FB,8)</f>
        <v>78.23</v>
      </c>
      <c r="D152" s="75">
        <f>VLOOKUP($A152,'Data Vlaue (Cr)'!$C:$FB,4)</f>
        <v>78.39</v>
      </c>
      <c r="E152" s="75">
        <f>VLOOKUP($A152,'Data Vlaue (Cr)'!$C:$FB,5)</f>
        <v>78.58</v>
      </c>
      <c r="F152" s="75">
        <f t="shared" si="12"/>
        <v>0.15999999999999659</v>
      </c>
      <c r="G152" s="75">
        <f t="shared" si="13"/>
        <v>-0.2423778543181499</v>
      </c>
      <c r="H152" s="75">
        <f>VLOOKUP($A152,'Data Vlaue (Cr)'!$C:$FB,99)</f>
        <v>4396</v>
      </c>
      <c r="I152" s="75">
        <f>VLOOKUP($A152,'Data Vlaue (Cr)'!$C:$FB,100)</f>
        <v>4421</v>
      </c>
      <c r="J152" s="75">
        <f t="shared" si="14"/>
        <v>-25</v>
      </c>
      <c r="K152" s="75">
        <f t="shared" si="15"/>
        <v>-0.56869881710646042</v>
      </c>
      <c r="L152" s="75">
        <f>VLOOKUP($A152,'Data Vlaue (Cr)'!$C:$FB,67)</f>
        <v>2279</v>
      </c>
      <c r="M152" s="75">
        <f>VLOOKUP($A152,'Data Vlaue (Cr)'!$C:$FB,68)</f>
        <v>2770</v>
      </c>
      <c r="N152" s="75">
        <f t="shared" si="16"/>
        <v>-491</v>
      </c>
      <c r="O152" s="75">
        <f t="shared" si="17"/>
        <v>-21.544537077665645</v>
      </c>
      <c r="P152" s="75">
        <f>VLOOKUP($A152,'Data Vlaue (Cr)'!$C:$FB,119)</f>
        <v>0.39</v>
      </c>
      <c r="Q152" s="75">
        <f>VLOOKUP($A152,'Data Vlaue (Cr)'!$C:$FB,122)*100</f>
        <v>0</v>
      </c>
      <c r="R152" s="75">
        <f>VLOOKUP($A152,'Data Vlaue (Cr)'!$C:$FB,125)</f>
        <v>0.4</v>
      </c>
      <c r="S152" s="75">
        <f>VLOOKUP($A152,'Data Vlaue (Cr)'!$C:$FB,128)*100</f>
        <v>-23.080000000000002</v>
      </c>
    </row>
    <row r="153" spans="1:19" x14ac:dyDescent="0.25">
      <c r="A153" s="96" t="str">
        <f>'Data Vlaue (Cr)'!C144</f>
        <v>NTPC</v>
      </c>
      <c r="B153" s="75">
        <f>VLOOKUP($A153,'Data Vlaue (Cr)'!$C:$FB,2)</f>
        <v>1500</v>
      </c>
      <c r="C153" s="75">
        <f>VLOOKUP($A153,'Data Vlaue (Cr)'!$C:$FB,8)</f>
        <v>342.45</v>
      </c>
      <c r="D153" s="75">
        <f>VLOOKUP($A153,'Data Vlaue (Cr)'!$C:$FB,4)</f>
        <v>342.8</v>
      </c>
      <c r="E153" s="75">
        <f>VLOOKUP($A153,'Data Vlaue (Cr)'!$C:$FB,5)</f>
        <v>338.55</v>
      </c>
      <c r="F153" s="75">
        <f t="shared" si="12"/>
        <v>0.35000000000002274</v>
      </c>
      <c r="G153" s="75">
        <f t="shared" si="13"/>
        <v>1.2397899649941657</v>
      </c>
      <c r="H153" s="75">
        <f>VLOOKUP($A153,'Data Vlaue (Cr)'!$C:$FB,99)</f>
        <v>6232</v>
      </c>
      <c r="I153" s="75">
        <f>VLOOKUP($A153,'Data Vlaue (Cr)'!$C:$FB,100)</f>
        <v>6198</v>
      </c>
      <c r="J153" s="75">
        <f t="shared" si="14"/>
        <v>34</v>
      </c>
      <c r="K153" s="75">
        <f t="shared" si="15"/>
        <v>0.54557124518613609</v>
      </c>
      <c r="L153" s="75">
        <f>VLOOKUP($A153,'Data Vlaue (Cr)'!$C:$FB,67)</f>
        <v>5415</v>
      </c>
      <c r="M153" s="75">
        <f>VLOOKUP($A153,'Data Vlaue (Cr)'!$C:$FB,68)</f>
        <v>5113</v>
      </c>
      <c r="N153" s="75">
        <f t="shared" si="16"/>
        <v>302</v>
      </c>
      <c r="O153" s="75">
        <f t="shared" si="17"/>
        <v>5.577100646352724</v>
      </c>
      <c r="P153" s="75">
        <f>VLOOKUP($A153,'Data Vlaue (Cr)'!$C:$FB,119)</f>
        <v>0.43</v>
      </c>
      <c r="Q153" s="75">
        <f>VLOOKUP($A153,'Data Vlaue (Cr)'!$C:$FB,122)*100</f>
        <v>7.5</v>
      </c>
      <c r="R153" s="75">
        <f>VLOOKUP($A153,'Data Vlaue (Cr)'!$C:$FB,125)</f>
        <v>0.65</v>
      </c>
      <c r="S153" s="75">
        <f>VLOOKUP($A153,'Data Vlaue (Cr)'!$C:$FB,128)*100</f>
        <v>0</v>
      </c>
    </row>
    <row r="154" spans="1:19" x14ac:dyDescent="0.25">
      <c r="A154" s="96" t="str">
        <f>'Data Vlaue (Cr)'!C145</f>
        <v>NUVAMA</v>
      </c>
      <c r="B154" s="75">
        <f>VLOOKUP($A154,'Data Vlaue (Cr)'!$C:$FB,2)</f>
        <v>500</v>
      </c>
      <c r="C154" s="75">
        <f>VLOOKUP($A154,'Data Vlaue (Cr)'!$C:$FB,8)</f>
        <v>1383.3</v>
      </c>
      <c r="D154" s="75">
        <f>VLOOKUP($A154,'Data Vlaue (Cr)'!$C:$FB,4)</f>
        <v>1383.4</v>
      </c>
      <c r="E154" s="75">
        <f>VLOOKUP($A154,'Data Vlaue (Cr)'!$C:$FB,5)</f>
        <v>1365.7</v>
      </c>
      <c r="F154" s="75">
        <f t="shared" si="12"/>
        <v>0.10000000000013642</v>
      </c>
      <c r="G154" s="75">
        <f t="shared" si="13"/>
        <v>1.2794564117391967</v>
      </c>
      <c r="H154" s="75">
        <f>VLOOKUP($A154,'Data Vlaue (Cr)'!$C:$FB,99)</f>
        <v>662</v>
      </c>
      <c r="I154" s="75">
        <f>VLOOKUP($A154,'Data Vlaue (Cr)'!$C:$FB,100)</f>
        <v>674</v>
      </c>
      <c r="J154" s="75">
        <f t="shared" si="14"/>
        <v>-12</v>
      </c>
      <c r="K154" s="75">
        <f t="shared" si="15"/>
        <v>-1.8126888217522661</v>
      </c>
      <c r="L154" s="75">
        <f>VLOOKUP($A154,'Data Vlaue (Cr)'!$C:$FB,67)</f>
        <v>509</v>
      </c>
      <c r="M154" s="75">
        <f>VLOOKUP($A154,'Data Vlaue (Cr)'!$C:$FB,68)</f>
        <v>674</v>
      </c>
      <c r="N154" s="75">
        <f t="shared" si="16"/>
        <v>-165</v>
      </c>
      <c r="O154" s="75">
        <f t="shared" si="17"/>
        <v>-32.416502946954814</v>
      </c>
      <c r="P154" s="75">
        <f>VLOOKUP($A154,'Data Vlaue (Cr)'!$C:$FB,119)</f>
        <v>0.41</v>
      </c>
      <c r="Q154" s="75">
        <f>VLOOKUP($A154,'Data Vlaue (Cr)'!$C:$FB,122)*100</f>
        <v>5.13</v>
      </c>
      <c r="R154" s="75">
        <f>VLOOKUP($A154,'Data Vlaue (Cr)'!$C:$FB,125)</f>
        <v>0.57999999999999996</v>
      </c>
      <c r="S154" s="75">
        <f>VLOOKUP($A154,'Data Vlaue (Cr)'!$C:$FB,128)*100</f>
        <v>-7.9399999999999995</v>
      </c>
    </row>
    <row r="155" spans="1:19" x14ac:dyDescent="0.25">
      <c r="A155" s="96" t="str">
        <f>'Data Vlaue (Cr)'!C146</f>
        <v>NYKAA</v>
      </c>
      <c r="B155" s="75">
        <f>VLOOKUP($A155,'Data Vlaue (Cr)'!$C:$FB,2)</f>
        <v>3125</v>
      </c>
      <c r="C155" s="75">
        <f>VLOOKUP($A155,'Data Vlaue (Cr)'!$C:$FB,8)</f>
        <v>239.45</v>
      </c>
      <c r="D155" s="75">
        <f>VLOOKUP($A155,'Data Vlaue (Cr)'!$C:$FB,4)</f>
        <v>239.8</v>
      </c>
      <c r="E155" s="75">
        <f>VLOOKUP($A155,'Data Vlaue (Cr)'!$C:$FB,5)</f>
        <v>242.2</v>
      </c>
      <c r="F155" s="75">
        <f t="shared" si="12"/>
        <v>0.35000000000002274</v>
      </c>
      <c r="G155" s="75">
        <f t="shared" si="13"/>
        <v>-1.0008340283569546</v>
      </c>
      <c r="H155" s="75">
        <f>VLOOKUP($A155,'Data Vlaue (Cr)'!$C:$FB,99)</f>
        <v>1845</v>
      </c>
      <c r="I155" s="75">
        <f>VLOOKUP($A155,'Data Vlaue (Cr)'!$C:$FB,100)</f>
        <v>1802</v>
      </c>
      <c r="J155" s="75">
        <f t="shared" si="14"/>
        <v>43</v>
      </c>
      <c r="K155" s="75">
        <f t="shared" si="15"/>
        <v>2.3306233062330621</v>
      </c>
      <c r="L155" s="75">
        <f>VLOOKUP($A155,'Data Vlaue (Cr)'!$C:$FB,67)</f>
        <v>1878</v>
      </c>
      <c r="M155" s="75">
        <f>VLOOKUP($A155,'Data Vlaue (Cr)'!$C:$FB,68)</f>
        <v>1385</v>
      </c>
      <c r="N155" s="75">
        <f t="shared" si="16"/>
        <v>493</v>
      </c>
      <c r="O155" s="75">
        <f t="shared" si="17"/>
        <v>26.251331203407879</v>
      </c>
      <c r="P155" s="75">
        <f>VLOOKUP($A155,'Data Vlaue (Cr)'!$C:$FB,119)</f>
        <v>0.68</v>
      </c>
      <c r="Q155" s="75">
        <f>VLOOKUP($A155,'Data Vlaue (Cr)'!$C:$FB,122)*100</f>
        <v>6.25</v>
      </c>
      <c r="R155" s="75">
        <f>VLOOKUP($A155,'Data Vlaue (Cr)'!$C:$FB,125)</f>
        <v>0.71</v>
      </c>
      <c r="S155" s="75">
        <f>VLOOKUP($A155,'Data Vlaue (Cr)'!$C:$FB,128)*100</f>
        <v>36.54</v>
      </c>
    </row>
    <row r="156" spans="1:19" x14ac:dyDescent="0.25">
      <c r="A156" s="96" t="str">
        <f>'Data Vlaue (Cr)'!C147</f>
        <v>OBEROIRLTY</v>
      </c>
      <c r="B156" s="75">
        <f>VLOOKUP($A156,'Data Vlaue (Cr)'!$C:$FB,2)</f>
        <v>350</v>
      </c>
      <c r="C156" s="75">
        <f>VLOOKUP($A156,'Data Vlaue (Cr)'!$C:$FB,8)</f>
        <v>1480.2</v>
      </c>
      <c r="D156" s="75">
        <f>VLOOKUP($A156,'Data Vlaue (Cr)'!$C:$FB,4)</f>
        <v>1477.9</v>
      </c>
      <c r="E156" s="75">
        <f>VLOOKUP($A156,'Data Vlaue (Cr)'!$C:$FB,5)</f>
        <v>1502.3</v>
      </c>
      <c r="F156" s="75">
        <f t="shared" si="12"/>
        <v>-2.2999999999999545</v>
      </c>
      <c r="G156" s="75">
        <f t="shared" si="13"/>
        <v>-1.6509912713985968</v>
      </c>
      <c r="H156" s="75">
        <f>VLOOKUP($A156,'Data Vlaue (Cr)'!$C:$FB,99)</f>
        <v>1501</v>
      </c>
      <c r="I156" s="75">
        <f>VLOOKUP($A156,'Data Vlaue (Cr)'!$C:$FB,100)</f>
        <v>1623</v>
      </c>
      <c r="J156" s="75">
        <f t="shared" si="14"/>
        <v>-122</v>
      </c>
      <c r="K156" s="75">
        <f t="shared" si="15"/>
        <v>-8.1279147235176552</v>
      </c>
      <c r="L156" s="75">
        <f>VLOOKUP($A156,'Data Vlaue (Cr)'!$C:$FB,67)</f>
        <v>1919</v>
      </c>
      <c r="M156" s="75">
        <f>VLOOKUP($A156,'Data Vlaue (Cr)'!$C:$FB,68)</f>
        <v>3394</v>
      </c>
      <c r="N156" s="75">
        <f t="shared" si="16"/>
        <v>-1475</v>
      </c>
      <c r="O156" s="75">
        <f t="shared" si="17"/>
        <v>-76.862949452840027</v>
      </c>
      <c r="P156" s="75">
        <f>VLOOKUP($A156,'Data Vlaue (Cr)'!$C:$FB,119)</f>
        <v>0.53</v>
      </c>
      <c r="Q156" s="75">
        <f>VLOOKUP($A156,'Data Vlaue (Cr)'!$C:$FB,122)*100</f>
        <v>3.92</v>
      </c>
      <c r="R156" s="75">
        <f>VLOOKUP($A156,'Data Vlaue (Cr)'!$C:$FB,125)</f>
        <v>0.6</v>
      </c>
      <c r="S156" s="75">
        <f>VLOOKUP($A156,'Data Vlaue (Cr)'!$C:$FB,128)*100</f>
        <v>-13.04</v>
      </c>
    </row>
    <row r="157" spans="1:19" x14ac:dyDescent="0.25">
      <c r="A157" s="96" t="str">
        <f>'Data Vlaue (Cr)'!C148</f>
        <v>OFSS</v>
      </c>
      <c r="B157" s="75">
        <f>VLOOKUP($A157,'Data Vlaue (Cr)'!$C:$FB,2)</f>
        <v>75</v>
      </c>
      <c r="C157" s="75">
        <f>VLOOKUP($A157,'Data Vlaue (Cr)'!$C:$FB,8)</f>
        <v>7897</v>
      </c>
      <c r="D157" s="75">
        <f>VLOOKUP($A157,'Data Vlaue (Cr)'!$C:$FB,4)</f>
        <v>7895</v>
      </c>
      <c r="E157" s="75">
        <f>VLOOKUP($A157,'Data Vlaue (Cr)'!$C:$FB,5)</f>
        <v>7696</v>
      </c>
      <c r="F157" s="75">
        <f t="shared" si="12"/>
        <v>-2</v>
      </c>
      <c r="G157" s="75">
        <f t="shared" si="13"/>
        <v>2.5205826472450918</v>
      </c>
      <c r="H157" s="75">
        <f>VLOOKUP($A157,'Data Vlaue (Cr)'!$C:$FB,99)</f>
        <v>1950</v>
      </c>
      <c r="I157" s="75">
        <f>VLOOKUP($A157,'Data Vlaue (Cr)'!$C:$FB,100)</f>
        <v>2354</v>
      </c>
      <c r="J157" s="75">
        <f t="shared" si="14"/>
        <v>-404</v>
      </c>
      <c r="K157" s="75">
        <f t="shared" si="15"/>
        <v>-20.717948717948715</v>
      </c>
      <c r="L157" s="75">
        <f>VLOOKUP($A157,'Data Vlaue (Cr)'!$C:$FB,67)</f>
        <v>6799</v>
      </c>
      <c r="M157" s="75">
        <f>VLOOKUP($A157,'Data Vlaue (Cr)'!$C:$FB,68)</f>
        <v>4424</v>
      </c>
      <c r="N157" s="75">
        <f t="shared" si="16"/>
        <v>2375</v>
      </c>
      <c r="O157" s="75">
        <f t="shared" si="17"/>
        <v>34.93160758935138</v>
      </c>
      <c r="P157" s="75">
        <f>VLOOKUP($A157,'Data Vlaue (Cr)'!$C:$FB,119)</f>
        <v>0.79</v>
      </c>
      <c r="Q157" s="75">
        <f>VLOOKUP($A157,'Data Vlaue (Cr)'!$C:$FB,122)*100</f>
        <v>-1.25</v>
      </c>
      <c r="R157" s="75">
        <f>VLOOKUP($A157,'Data Vlaue (Cr)'!$C:$FB,125)</f>
        <v>0.45</v>
      </c>
      <c r="S157" s="75">
        <f>VLOOKUP($A157,'Data Vlaue (Cr)'!$C:$FB,128)*100</f>
        <v>-45.78</v>
      </c>
    </row>
    <row r="158" spans="1:19" x14ac:dyDescent="0.25">
      <c r="A158" s="96" t="str">
        <f>'Data Vlaue (Cr)'!C149</f>
        <v>OIL</v>
      </c>
      <c r="B158" s="75">
        <f>VLOOKUP($A158,'Data Vlaue (Cr)'!$C:$FB,2)</f>
        <v>1400</v>
      </c>
      <c r="C158" s="75">
        <f>VLOOKUP($A158,'Data Vlaue (Cr)'!$C:$FB,8)</f>
        <v>436.45</v>
      </c>
      <c r="D158" s="75">
        <f>VLOOKUP($A158,'Data Vlaue (Cr)'!$C:$FB,4)</f>
        <v>438.05</v>
      </c>
      <c r="E158" s="75">
        <f>VLOOKUP($A158,'Data Vlaue (Cr)'!$C:$FB,5)</f>
        <v>433.55</v>
      </c>
      <c r="F158" s="75">
        <f t="shared" si="12"/>
        <v>1.6000000000000227</v>
      </c>
      <c r="G158" s="75">
        <f t="shared" si="13"/>
        <v>1.0272799908686223</v>
      </c>
      <c r="H158" s="75">
        <f>VLOOKUP($A158,'Data Vlaue (Cr)'!$C:$FB,99)</f>
        <v>1234</v>
      </c>
      <c r="I158" s="75">
        <f>VLOOKUP($A158,'Data Vlaue (Cr)'!$C:$FB,100)</f>
        <v>1299</v>
      </c>
      <c r="J158" s="75">
        <f t="shared" si="14"/>
        <v>-65</v>
      </c>
      <c r="K158" s="75">
        <f t="shared" si="15"/>
        <v>-5.2674230145867096</v>
      </c>
      <c r="L158" s="75">
        <f>VLOOKUP($A158,'Data Vlaue (Cr)'!$C:$FB,67)</f>
        <v>1465</v>
      </c>
      <c r="M158" s="75">
        <f>VLOOKUP($A158,'Data Vlaue (Cr)'!$C:$FB,68)</f>
        <v>1278</v>
      </c>
      <c r="N158" s="75">
        <f t="shared" si="16"/>
        <v>187</v>
      </c>
      <c r="O158" s="75">
        <f t="shared" si="17"/>
        <v>12.764505119453926</v>
      </c>
      <c r="P158" s="75">
        <f>VLOOKUP($A158,'Data Vlaue (Cr)'!$C:$FB,119)</f>
        <v>0.64</v>
      </c>
      <c r="Q158" s="75">
        <f>VLOOKUP($A158,'Data Vlaue (Cr)'!$C:$FB,122)*100</f>
        <v>4.92</v>
      </c>
      <c r="R158" s="75">
        <f>VLOOKUP($A158,'Data Vlaue (Cr)'!$C:$FB,125)</f>
        <v>0.35</v>
      </c>
      <c r="S158" s="75">
        <f>VLOOKUP($A158,'Data Vlaue (Cr)'!$C:$FB,128)*100</f>
        <v>-18.600000000000001</v>
      </c>
    </row>
    <row r="159" spans="1:19" x14ac:dyDescent="0.25">
      <c r="A159" s="96" t="str">
        <f>'Data Vlaue (Cr)'!C150</f>
        <v>ONGC</v>
      </c>
      <c r="B159" s="75">
        <f>VLOOKUP($A159,'Data Vlaue (Cr)'!$C:$FB,2)</f>
        <v>2250</v>
      </c>
      <c r="C159" s="75">
        <f>VLOOKUP($A159,'Data Vlaue (Cr)'!$C:$FB,8)</f>
        <v>244.01</v>
      </c>
      <c r="D159" s="75">
        <f>VLOOKUP($A159,'Data Vlaue (Cr)'!$C:$FB,4)</f>
        <v>243.78</v>
      </c>
      <c r="E159" s="75">
        <f>VLOOKUP($A159,'Data Vlaue (Cr)'!$C:$FB,5)</f>
        <v>242.14</v>
      </c>
      <c r="F159" s="75">
        <f t="shared" si="12"/>
        <v>-0.22999999999998977</v>
      </c>
      <c r="G159" s="75">
        <f t="shared" si="13"/>
        <v>0.67273771433260099</v>
      </c>
      <c r="H159" s="75">
        <f>VLOOKUP($A159,'Data Vlaue (Cr)'!$C:$FB,99)</f>
        <v>6368</v>
      </c>
      <c r="I159" s="75">
        <f>VLOOKUP($A159,'Data Vlaue (Cr)'!$C:$FB,100)</f>
        <v>6332</v>
      </c>
      <c r="J159" s="75">
        <f t="shared" si="14"/>
        <v>36</v>
      </c>
      <c r="K159" s="75">
        <f t="shared" si="15"/>
        <v>0.56532663316582921</v>
      </c>
      <c r="L159" s="75">
        <f>VLOOKUP($A159,'Data Vlaue (Cr)'!$C:$FB,67)</f>
        <v>4766</v>
      </c>
      <c r="M159" s="75">
        <f>VLOOKUP($A159,'Data Vlaue (Cr)'!$C:$FB,68)</f>
        <v>4674</v>
      </c>
      <c r="N159" s="75">
        <f t="shared" si="16"/>
        <v>92</v>
      </c>
      <c r="O159" s="75">
        <f t="shared" si="17"/>
        <v>1.9303399076793955</v>
      </c>
      <c r="P159" s="75">
        <f>VLOOKUP($A159,'Data Vlaue (Cr)'!$C:$FB,119)</f>
        <v>0.45</v>
      </c>
      <c r="Q159" s="75">
        <f>VLOOKUP($A159,'Data Vlaue (Cr)'!$C:$FB,122)*100</f>
        <v>2.27</v>
      </c>
      <c r="R159" s="75">
        <f>VLOOKUP($A159,'Data Vlaue (Cr)'!$C:$FB,125)</f>
        <v>0.69</v>
      </c>
      <c r="S159" s="75">
        <f>VLOOKUP($A159,'Data Vlaue (Cr)'!$C:$FB,128)*100</f>
        <v>-1.43</v>
      </c>
    </row>
    <row r="160" spans="1:19" x14ac:dyDescent="0.25">
      <c r="A160" s="96" t="str">
        <f>'Data Vlaue (Cr)'!C151</f>
        <v>PAGEIND</v>
      </c>
      <c r="B160" s="75">
        <f>VLOOKUP($A160,'Data Vlaue (Cr)'!$C:$FB,2)</f>
        <v>15</v>
      </c>
      <c r="C160" s="75">
        <f>VLOOKUP($A160,'Data Vlaue (Cr)'!$C:$FB,8)</f>
        <v>32875</v>
      </c>
      <c r="D160" s="75">
        <f>VLOOKUP($A160,'Data Vlaue (Cr)'!$C:$FB,4)</f>
        <v>33005</v>
      </c>
      <c r="E160" s="75">
        <f>VLOOKUP($A160,'Data Vlaue (Cr)'!$C:$FB,5)</f>
        <v>33050</v>
      </c>
      <c r="F160" s="75">
        <f t="shared" si="12"/>
        <v>130</v>
      </c>
      <c r="G160" s="75">
        <f t="shared" si="13"/>
        <v>-0.13634297833661566</v>
      </c>
      <c r="H160" s="75">
        <f>VLOOKUP($A160,'Data Vlaue (Cr)'!$C:$FB,99)</f>
        <v>1556</v>
      </c>
      <c r="I160" s="75">
        <f>VLOOKUP($A160,'Data Vlaue (Cr)'!$C:$FB,100)</f>
        <v>1488</v>
      </c>
      <c r="J160" s="75">
        <f t="shared" si="14"/>
        <v>68</v>
      </c>
      <c r="K160" s="75">
        <f t="shared" si="15"/>
        <v>4.3701799485861184</v>
      </c>
      <c r="L160" s="75">
        <f>VLOOKUP($A160,'Data Vlaue (Cr)'!$C:$FB,67)</f>
        <v>1893</v>
      </c>
      <c r="M160" s="75">
        <f>VLOOKUP($A160,'Data Vlaue (Cr)'!$C:$FB,68)</f>
        <v>1800</v>
      </c>
      <c r="N160" s="75">
        <f t="shared" si="16"/>
        <v>93</v>
      </c>
      <c r="O160" s="75">
        <f t="shared" si="17"/>
        <v>4.9128367670364499</v>
      </c>
      <c r="P160" s="75">
        <f>VLOOKUP($A160,'Data Vlaue (Cr)'!$C:$FB,119)</f>
        <v>0.47</v>
      </c>
      <c r="Q160" s="75">
        <f>VLOOKUP($A160,'Data Vlaue (Cr)'!$C:$FB,122)*100</f>
        <v>-4.08</v>
      </c>
      <c r="R160" s="75">
        <f>VLOOKUP($A160,'Data Vlaue (Cr)'!$C:$FB,125)</f>
        <v>0.37</v>
      </c>
      <c r="S160" s="75">
        <f>VLOOKUP($A160,'Data Vlaue (Cr)'!$C:$FB,128)*100</f>
        <v>0</v>
      </c>
    </row>
    <row r="161" spans="1:19" x14ac:dyDescent="0.25">
      <c r="A161" s="96" t="str">
        <f>'Data Vlaue (Cr)'!C152</f>
        <v>PATANJALI</v>
      </c>
      <c r="B161" s="75">
        <f>VLOOKUP($A161,'Data Vlaue (Cr)'!$C:$FB,2)</f>
        <v>900</v>
      </c>
      <c r="C161" s="75">
        <f>VLOOKUP($A161,'Data Vlaue (Cr)'!$C:$FB,8)</f>
        <v>511</v>
      </c>
      <c r="D161" s="75">
        <f>VLOOKUP($A161,'Data Vlaue (Cr)'!$C:$FB,4)</f>
        <v>510.55</v>
      </c>
      <c r="E161" s="75">
        <f>VLOOKUP($A161,'Data Vlaue (Cr)'!$C:$FB,5)</f>
        <v>503.55</v>
      </c>
      <c r="F161" s="75">
        <f t="shared" si="12"/>
        <v>-0.44999999999998863</v>
      </c>
      <c r="G161" s="75">
        <f t="shared" si="13"/>
        <v>1.3710704142591323</v>
      </c>
      <c r="H161" s="75">
        <f>VLOOKUP($A161,'Data Vlaue (Cr)'!$C:$FB,99)</f>
        <v>2479</v>
      </c>
      <c r="I161" s="75">
        <f>VLOOKUP($A161,'Data Vlaue (Cr)'!$C:$FB,100)</f>
        <v>2551</v>
      </c>
      <c r="J161" s="75">
        <f t="shared" si="14"/>
        <v>-72</v>
      </c>
      <c r="K161" s="75">
        <f t="shared" si="15"/>
        <v>-2.9043969342476808</v>
      </c>
      <c r="L161" s="75">
        <f>VLOOKUP($A161,'Data Vlaue (Cr)'!$C:$FB,67)</f>
        <v>1621</v>
      </c>
      <c r="M161" s="75">
        <f>VLOOKUP($A161,'Data Vlaue (Cr)'!$C:$FB,68)</f>
        <v>2067</v>
      </c>
      <c r="N161" s="75">
        <f t="shared" si="16"/>
        <v>-446</v>
      </c>
      <c r="O161" s="75">
        <f t="shared" si="17"/>
        <v>-27.513880320789635</v>
      </c>
      <c r="P161" s="75">
        <f>VLOOKUP($A161,'Data Vlaue (Cr)'!$C:$FB,119)</f>
        <v>0.47</v>
      </c>
      <c r="Q161" s="75">
        <f>VLOOKUP($A161,'Data Vlaue (Cr)'!$C:$FB,122)*100</f>
        <v>4.4400000000000004</v>
      </c>
      <c r="R161" s="75">
        <f>VLOOKUP($A161,'Data Vlaue (Cr)'!$C:$FB,125)</f>
        <v>0.39</v>
      </c>
      <c r="S161" s="75">
        <f>VLOOKUP($A161,'Data Vlaue (Cr)'!$C:$FB,128)*100</f>
        <v>-35</v>
      </c>
    </row>
    <row r="162" spans="1:19" x14ac:dyDescent="0.25">
      <c r="A162" s="96" t="str">
        <f>'Data Vlaue (Cr)'!C153</f>
        <v>PAYTM</v>
      </c>
      <c r="B162" s="75">
        <f>VLOOKUP($A162,'Data Vlaue (Cr)'!$C:$FB,2)</f>
        <v>725</v>
      </c>
      <c r="C162" s="75">
        <f>VLOOKUP($A162,'Data Vlaue (Cr)'!$C:$FB,8)</f>
        <v>1260.5</v>
      </c>
      <c r="D162" s="75">
        <f>VLOOKUP($A162,'Data Vlaue (Cr)'!$C:$FB,4)</f>
        <v>1262.5999999999999</v>
      </c>
      <c r="E162" s="75">
        <f>VLOOKUP($A162,'Data Vlaue (Cr)'!$C:$FB,5)</f>
        <v>1234.7</v>
      </c>
      <c r="F162" s="75">
        <f t="shared" si="12"/>
        <v>2.0999999999999091</v>
      </c>
      <c r="G162" s="75">
        <f t="shared" si="13"/>
        <v>2.2097259623000052</v>
      </c>
      <c r="H162" s="75">
        <f>VLOOKUP($A162,'Data Vlaue (Cr)'!$C:$FB,99)</f>
        <v>3429</v>
      </c>
      <c r="I162" s="75">
        <f>VLOOKUP($A162,'Data Vlaue (Cr)'!$C:$FB,100)</f>
        <v>3582</v>
      </c>
      <c r="J162" s="75">
        <f t="shared" si="14"/>
        <v>-153</v>
      </c>
      <c r="K162" s="75">
        <f t="shared" si="15"/>
        <v>-4.4619422572178475</v>
      </c>
      <c r="L162" s="75">
        <f>VLOOKUP($A162,'Data Vlaue (Cr)'!$C:$FB,67)</f>
        <v>3811</v>
      </c>
      <c r="M162" s="75">
        <f>VLOOKUP($A162,'Data Vlaue (Cr)'!$C:$FB,68)</f>
        <v>6927</v>
      </c>
      <c r="N162" s="75">
        <f t="shared" si="16"/>
        <v>-3116</v>
      </c>
      <c r="O162" s="75">
        <f t="shared" si="17"/>
        <v>-81.763316714773026</v>
      </c>
      <c r="P162" s="75">
        <f>VLOOKUP($A162,'Data Vlaue (Cr)'!$C:$FB,119)</f>
        <v>0.74</v>
      </c>
      <c r="Q162" s="75">
        <f>VLOOKUP($A162,'Data Vlaue (Cr)'!$C:$FB,122)*100</f>
        <v>19.350000000000001</v>
      </c>
      <c r="R162" s="75">
        <f>VLOOKUP($A162,'Data Vlaue (Cr)'!$C:$FB,125)</f>
        <v>0.63</v>
      </c>
      <c r="S162" s="75">
        <f>VLOOKUP($A162,'Data Vlaue (Cr)'!$C:$FB,128)*100</f>
        <v>-30</v>
      </c>
    </row>
    <row r="163" spans="1:19" x14ac:dyDescent="0.25">
      <c r="A163" s="96" t="str">
        <f>'Data Vlaue (Cr)'!C154</f>
        <v>PERSISTENT</v>
      </c>
      <c r="B163" s="75">
        <f>VLOOKUP($A163,'Data Vlaue (Cr)'!$C:$FB,2)</f>
        <v>100</v>
      </c>
      <c r="C163" s="75">
        <f>VLOOKUP($A163,'Data Vlaue (Cr)'!$C:$FB,8)</f>
        <v>6320.5</v>
      </c>
      <c r="D163" s="75">
        <f>VLOOKUP($A163,'Data Vlaue (Cr)'!$C:$FB,4)</f>
        <v>6297.5</v>
      </c>
      <c r="E163" s="75">
        <f>VLOOKUP($A163,'Data Vlaue (Cr)'!$C:$FB,5)</f>
        <v>6219.5</v>
      </c>
      <c r="F163" s="75">
        <f t="shared" si="12"/>
        <v>-23</v>
      </c>
      <c r="G163" s="75">
        <f t="shared" si="13"/>
        <v>1.2385867407701467</v>
      </c>
      <c r="H163" s="75">
        <f>VLOOKUP($A163,'Data Vlaue (Cr)'!$C:$FB,99)</f>
        <v>3051</v>
      </c>
      <c r="I163" s="75">
        <f>VLOOKUP($A163,'Data Vlaue (Cr)'!$C:$FB,100)</f>
        <v>3559</v>
      </c>
      <c r="J163" s="75">
        <f t="shared" si="14"/>
        <v>-508</v>
      </c>
      <c r="K163" s="75">
        <f t="shared" si="15"/>
        <v>-16.650278597181252</v>
      </c>
      <c r="L163" s="75">
        <f>VLOOKUP($A163,'Data Vlaue (Cr)'!$C:$FB,67)</f>
        <v>5989</v>
      </c>
      <c r="M163" s="75">
        <f>VLOOKUP($A163,'Data Vlaue (Cr)'!$C:$FB,68)</f>
        <v>20150</v>
      </c>
      <c r="N163" s="75">
        <f t="shared" si="16"/>
        <v>-14161</v>
      </c>
      <c r="O163" s="75">
        <f t="shared" si="17"/>
        <v>-236.45015862414428</v>
      </c>
      <c r="P163" s="75">
        <f>VLOOKUP($A163,'Data Vlaue (Cr)'!$C:$FB,119)</f>
        <v>0.83</v>
      </c>
      <c r="Q163" s="75">
        <f>VLOOKUP($A163,'Data Vlaue (Cr)'!$C:$FB,122)*100</f>
        <v>10.67</v>
      </c>
      <c r="R163" s="75">
        <f>VLOOKUP($A163,'Data Vlaue (Cr)'!$C:$FB,125)</f>
        <v>0.73</v>
      </c>
      <c r="S163" s="75">
        <f>VLOOKUP($A163,'Data Vlaue (Cr)'!$C:$FB,128)*100</f>
        <v>-30.48</v>
      </c>
    </row>
    <row r="164" spans="1:19" x14ac:dyDescent="0.25">
      <c r="A164" s="96" t="str">
        <f>'Data Vlaue (Cr)'!C155</f>
        <v>PETRONET</v>
      </c>
      <c r="B164" s="75">
        <f>VLOOKUP($A164,'Data Vlaue (Cr)'!$C:$FB,2)</f>
        <v>1900</v>
      </c>
      <c r="C164" s="75">
        <f>VLOOKUP($A164,'Data Vlaue (Cr)'!$C:$FB,8)</f>
        <v>275.05</v>
      </c>
      <c r="D164" s="75">
        <f>VLOOKUP($A164,'Data Vlaue (Cr)'!$C:$FB,4)</f>
        <v>275.14999999999998</v>
      </c>
      <c r="E164" s="75">
        <f>VLOOKUP($A164,'Data Vlaue (Cr)'!$C:$FB,5)</f>
        <v>275.64999999999998</v>
      </c>
      <c r="F164" s="75">
        <f t="shared" si="12"/>
        <v>9.9999999999965894E-2</v>
      </c>
      <c r="G164" s="75">
        <f t="shared" si="13"/>
        <v>-0.18171906232963839</v>
      </c>
      <c r="H164" s="75">
        <f>VLOOKUP($A164,'Data Vlaue (Cr)'!$C:$FB,99)</f>
        <v>1993</v>
      </c>
      <c r="I164" s="75">
        <f>VLOOKUP($A164,'Data Vlaue (Cr)'!$C:$FB,100)</f>
        <v>2004</v>
      </c>
      <c r="J164" s="75">
        <f t="shared" si="14"/>
        <v>-11</v>
      </c>
      <c r="K164" s="75">
        <f t="shared" si="15"/>
        <v>-0.55193176116407427</v>
      </c>
      <c r="L164" s="75">
        <f>VLOOKUP($A164,'Data Vlaue (Cr)'!$C:$FB,67)</f>
        <v>1139</v>
      </c>
      <c r="M164" s="75">
        <f>VLOOKUP($A164,'Data Vlaue (Cr)'!$C:$FB,68)</f>
        <v>1238</v>
      </c>
      <c r="N164" s="75">
        <f t="shared" si="16"/>
        <v>-99</v>
      </c>
      <c r="O164" s="75">
        <f t="shared" si="17"/>
        <v>-8.6918349429323971</v>
      </c>
      <c r="P164" s="75">
        <f>VLOOKUP($A164,'Data Vlaue (Cr)'!$C:$FB,119)</f>
        <v>1.39</v>
      </c>
      <c r="Q164" s="75">
        <f>VLOOKUP($A164,'Data Vlaue (Cr)'!$C:$FB,122)*100</f>
        <v>4.51</v>
      </c>
      <c r="R164" s="75">
        <f>VLOOKUP($A164,'Data Vlaue (Cr)'!$C:$FB,125)</f>
        <v>1.28</v>
      </c>
      <c r="S164" s="75">
        <f>VLOOKUP($A164,'Data Vlaue (Cr)'!$C:$FB,128)*100</f>
        <v>109.84</v>
      </c>
    </row>
    <row r="165" spans="1:19" x14ac:dyDescent="0.25">
      <c r="A165" s="96" t="str">
        <f>'Data Vlaue (Cr)'!C156</f>
        <v>PFC</v>
      </c>
      <c r="B165" s="75">
        <f>VLOOKUP($A165,'Data Vlaue (Cr)'!$C:$FB,2)</f>
        <v>1300</v>
      </c>
      <c r="C165" s="75">
        <f>VLOOKUP($A165,'Data Vlaue (Cr)'!$C:$FB,8)</f>
        <v>364.7</v>
      </c>
      <c r="D165" s="75">
        <f>VLOOKUP($A165,'Data Vlaue (Cr)'!$C:$FB,4)</f>
        <v>364.6</v>
      </c>
      <c r="E165" s="75">
        <f>VLOOKUP($A165,'Data Vlaue (Cr)'!$C:$FB,5)</f>
        <v>357.4</v>
      </c>
      <c r="F165" s="75">
        <f t="shared" si="12"/>
        <v>-9.9999999999965894E-2</v>
      </c>
      <c r="G165" s="75">
        <f t="shared" si="13"/>
        <v>1.9747668678003414</v>
      </c>
      <c r="H165" s="75">
        <f>VLOOKUP($A165,'Data Vlaue (Cr)'!$C:$FB,99)</f>
        <v>4935</v>
      </c>
      <c r="I165" s="75">
        <f>VLOOKUP($A165,'Data Vlaue (Cr)'!$C:$FB,100)</f>
        <v>5085</v>
      </c>
      <c r="J165" s="75">
        <f t="shared" si="14"/>
        <v>-150</v>
      </c>
      <c r="K165" s="75">
        <f t="shared" si="15"/>
        <v>-3.0395136778115504</v>
      </c>
      <c r="L165" s="75">
        <f>VLOOKUP($A165,'Data Vlaue (Cr)'!$C:$FB,67)</f>
        <v>3528</v>
      </c>
      <c r="M165" s="75">
        <f>VLOOKUP($A165,'Data Vlaue (Cr)'!$C:$FB,68)</f>
        <v>4621</v>
      </c>
      <c r="N165" s="75">
        <f t="shared" si="16"/>
        <v>-1093</v>
      </c>
      <c r="O165" s="75">
        <f t="shared" si="17"/>
        <v>-30.980725623582767</v>
      </c>
      <c r="P165" s="75">
        <f>VLOOKUP($A165,'Data Vlaue (Cr)'!$C:$FB,119)</f>
        <v>0.75</v>
      </c>
      <c r="Q165" s="75">
        <f>VLOOKUP($A165,'Data Vlaue (Cr)'!$C:$FB,122)*100</f>
        <v>4.17</v>
      </c>
      <c r="R165" s="75">
        <f>VLOOKUP($A165,'Data Vlaue (Cr)'!$C:$FB,125)</f>
        <v>0.62</v>
      </c>
      <c r="S165" s="75">
        <f>VLOOKUP($A165,'Data Vlaue (Cr)'!$C:$FB,128)*100</f>
        <v>-8.82</v>
      </c>
    </row>
    <row r="166" spans="1:19" x14ac:dyDescent="0.25">
      <c r="A166" s="96" t="str">
        <f>'Data Vlaue (Cr)'!C157</f>
        <v>PGEL</v>
      </c>
      <c r="B166" s="75">
        <f>VLOOKUP($A166,'Data Vlaue (Cr)'!$C:$FB,2)</f>
        <v>950</v>
      </c>
      <c r="C166" s="75">
        <f>VLOOKUP($A166,'Data Vlaue (Cr)'!$C:$FB,8)</f>
        <v>530.4</v>
      </c>
      <c r="D166" s="75">
        <f>VLOOKUP($A166,'Data Vlaue (Cr)'!$C:$FB,4)</f>
        <v>532.04999999999995</v>
      </c>
      <c r="E166" s="75">
        <f>VLOOKUP($A166,'Data Vlaue (Cr)'!$C:$FB,5)</f>
        <v>535.70000000000005</v>
      </c>
      <c r="F166" s="75">
        <f t="shared" si="12"/>
        <v>1.6499999999999773</v>
      </c>
      <c r="G166" s="75">
        <f t="shared" si="13"/>
        <v>-0.68602574945965444</v>
      </c>
      <c r="H166" s="75">
        <f>VLOOKUP($A166,'Data Vlaue (Cr)'!$C:$FB,99)</f>
        <v>1303</v>
      </c>
      <c r="I166" s="75">
        <f>VLOOKUP($A166,'Data Vlaue (Cr)'!$C:$FB,100)</f>
        <v>1419</v>
      </c>
      <c r="J166" s="75">
        <f t="shared" si="14"/>
        <v>-116</v>
      </c>
      <c r="K166" s="75">
        <f t="shared" si="15"/>
        <v>-8.902532617037604</v>
      </c>
      <c r="L166" s="75">
        <f>VLOOKUP($A166,'Data Vlaue (Cr)'!$C:$FB,67)</f>
        <v>1705</v>
      </c>
      <c r="M166" s="75">
        <f>VLOOKUP($A166,'Data Vlaue (Cr)'!$C:$FB,68)</f>
        <v>2931</v>
      </c>
      <c r="N166" s="75">
        <f t="shared" si="16"/>
        <v>-1226</v>
      </c>
      <c r="O166" s="75">
        <f t="shared" si="17"/>
        <v>-71.906158357771261</v>
      </c>
      <c r="P166" s="75">
        <f>VLOOKUP($A166,'Data Vlaue (Cr)'!$C:$FB,119)</f>
        <v>0.52</v>
      </c>
      <c r="Q166" s="75">
        <f>VLOOKUP($A166,'Data Vlaue (Cr)'!$C:$FB,122)*100</f>
        <v>-7.1400000000000006</v>
      </c>
      <c r="R166" s="75">
        <f>VLOOKUP($A166,'Data Vlaue (Cr)'!$C:$FB,125)</f>
        <v>0.5</v>
      </c>
      <c r="S166" s="75">
        <f>VLOOKUP($A166,'Data Vlaue (Cr)'!$C:$FB,128)*100</f>
        <v>-54.13</v>
      </c>
    </row>
    <row r="167" spans="1:19" x14ac:dyDescent="0.25">
      <c r="A167" s="96" t="str">
        <f>'Data Vlaue (Cr)'!C158</f>
        <v>PHOENIXLTD</v>
      </c>
      <c r="B167" s="75">
        <f>VLOOKUP($A167,'Data Vlaue (Cr)'!$C:$FB,2)</f>
        <v>350</v>
      </c>
      <c r="C167" s="75">
        <f>VLOOKUP($A167,'Data Vlaue (Cr)'!$C:$FB,8)</f>
        <v>1768.2</v>
      </c>
      <c r="D167" s="75">
        <f>VLOOKUP($A167,'Data Vlaue (Cr)'!$C:$FB,4)</f>
        <v>1770.7</v>
      </c>
      <c r="E167" s="75">
        <f>VLOOKUP($A167,'Data Vlaue (Cr)'!$C:$FB,5)</f>
        <v>1749.4</v>
      </c>
      <c r="F167" s="75">
        <f t="shared" si="12"/>
        <v>2.5</v>
      </c>
      <c r="G167" s="75">
        <f t="shared" si="13"/>
        <v>1.2029141017676599</v>
      </c>
      <c r="H167" s="75">
        <f>VLOOKUP($A167,'Data Vlaue (Cr)'!$C:$FB,99)</f>
        <v>1052</v>
      </c>
      <c r="I167" s="75">
        <f>VLOOKUP($A167,'Data Vlaue (Cr)'!$C:$FB,100)</f>
        <v>1061</v>
      </c>
      <c r="J167" s="75">
        <f t="shared" si="14"/>
        <v>-9</v>
      </c>
      <c r="K167" s="75">
        <f t="shared" si="15"/>
        <v>-0.85551330798479086</v>
      </c>
      <c r="L167" s="75">
        <f>VLOOKUP($A167,'Data Vlaue (Cr)'!$C:$FB,67)</f>
        <v>1195</v>
      </c>
      <c r="M167" s="75">
        <f>VLOOKUP($A167,'Data Vlaue (Cr)'!$C:$FB,68)</f>
        <v>1184</v>
      </c>
      <c r="N167" s="75">
        <f t="shared" si="16"/>
        <v>11</v>
      </c>
      <c r="O167" s="75">
        <f t="shared" si="17"/>
        <v>0.92050209205020928</v>
      </c>
      <c r="P167" s="75">
        <f>VLOOKUP($A167,'Data Vlaue (Cr)'!$C:$FB,119)</f>
        <v>0.66</v>
      </c>
      <c r="Q167" s="75">
        <f>VLOOKUP($A167,'Data Vlaue (Cr)'!$C:$FB,122)*100</f>
        <v>1.54</v>
      </c>
      <c r="R167" s="75">
        <f>VLOOKUP($A167,'Data Vlaue (Cr)'!$C:$FB,125)</f>
        <v>0.25</v>
      </c>
      <c r="S167" s="75">
        <f>VLOOKUP($A167,'Data Vlaue (Cr)'!$C:$FB,128)*100</f>
        <v>-77.680000000000007</v>
      </c>
    </row>
    <row r="168" spans="1:19" x14ac:dyDescent="0.25">
      <c r="A168" s="96" t="str">
        <f>'Data Vlaue (Cr)'!C159</f>
        <v>PIDILITIND</v>
      </c>
      <c r="B168" s="75">
        <f>VLOOKUP($A168,'Data Vlaue (Cr)'!$C:$FB,2)</f>
        <v>500</v>
      </c>
      <c r="C168" s="75">
        <f>VLOOKUP($A168,'Data Vlaue (Cr)'!$C:$FB,8)</f>
        <v>1452.8</v>
      </c>
      <c r="D168" s="75">
        <f>VLOOKUP($A168,'Data Vlaue (Cr)'!$C:$FB,4)</f>
        <v>1455.2</v>
      </c>
      <c r="E168" s="75">
        <f>VLOOKUP($A168,'Data Vlaue (Cr)'!$C:$FB,5)</f>
        <v>1423.2</v>
      </c>
      <c r="F168" s="75">
        <f t="shared" si="12"/>
        <v>2.4000000000000909</v>
      </c>
      <c r="G168" s="75">
        <f t="shared" si="13"/>
        <v>2.1990104452996153</v>
      </c>
      <c r="H168" s="75">
        <f>VLOOKUP($A168,'Data Vlaue (Cr)'!$C:$FB,99)</f>
        <v>1566</v>
      </c>
      <c r="I168" s="75">
        <f>VLOOKUP($A168,'Data Vlaue (Cr)'!$C:$FB,100)</f>
        <v>1580</v>
      </c>
      <c r="J168" s="75">
        <f t="shared" si="14"/>
        <v>-14</v>
      </c>
      <c r="K168" s="75">
        <f t="shared" si="15"/>
        <v>-0.89399744572158357</v>
      </c>
      <c r="L168" s="75">
        <f>VLOOKUP($A168,'Data Vlaue (Cr)'!$C:$FB,67)</f>
        <v>1538</v>
      </c>
      <c r="M168" s="75">
        <f>VLOOKUP($A168,'Data Vlaue (Cr)'!$C:$FB,68)</f>
        <v>1250</v>
      </c>
      <c r="N168" s="75">
        <f t="shared" si="16"/>
        <v>288</v>
      </c>
      <c r="O168" s="75">
        <f t="shared" si="17"/>
        <v>18.725617685305593</v>
      </c>
      <c r="P168" s="75">
        <f>VLOOKUP($A168,'Data Vlaue (Cr)'!$C:$FB,119)</f>
        <v>0.98</v>
      </c>
      <c r="Q168" s="75">
        <f>VLOOKUP($A168,'Data Vlaue (Cr)'!$C:$FB,122)*100</f>
        <v>4.26</v>
      </c>
      <c r="R168" s="75">
        <f>VLOOKUP($A168,'Data Vlaue (Cr)'!$C:$FB,125)</f>
        <v>0.99</v>
      </c>
      <c r="S168" s="75">
        <f>VLOOKUP($A168,'Data Vlaue (Cr)'!$C:$FB,128)*100</f>
        <v>0</v>
      </c>
    </row>
    <row r="169" spans="1:19" x14ac:dyDescent="0.25">
      <c r="A169" s="96" t="str">
        <f>'Data Vlaue (Cr)'!C160</f>
        <v>PIIND</v>
      </c>
      <c r="B169" s="75">
        <f>VLOOKUP($A169,'Data Vlaue (Cr)'!$C:$FB,2)</f>
        <v>175</v>
      </c>
      <c r="C169" s="75">
        <f>VLOOKUP($A169,'Data Vlaue (Cr)'!$C:$FB,8)</f>
        <v>3170.4</v>
      </c>
      <c r="D169" s="75">
        <f>VLOOKUP($A169,'Data Vlaue (Cr)'!$C:$FB,4)</f>
        <v>3173.6</v>
      </c>
      <c r="E169" s="75">
        <f>VLOOKUP($A169,'Data Vlaue (Cr)'!$C:$FB,5)</f>
        <v>3116.6</v>
      </c>
      <c r="F169" s="75">
        <f t="shared" si="12"/>
        <v>3.1999999999998181</v>
      </c>
      <c r="G169" s="75">
        <f t="shared" si="13"/>
        <v>1.796067557348122</v>
      </c>
      <c r="H169" s="75">
        <f>VLOOKUP($A169,'Data Vlaue (Cr)'!$C:$FB,99)</f>
        <v>1324</v>
      </c>
      <c r="I169" s="75">
        <f>VLOOKUP($A169,'Data Vlaue (Cr)'!$C:$FB,100)</f>
        <v>1386</v>
      </c>
      <c r="J169" s="75">
        <f t="shared" si="14"/>
        <v>-62</v>
      </c>
      <c r="K169" s="75">
        <f t="shared" si="15"/>
        <v>-4.6827794561933533</v>
      </c>
      <c r="L169" s="75">
        <f>VLOOKUP($A169,'Data Vlaue (Cr)'!$C:$FB,67)</f>
        <v>1230</v>
      </c>
      <c r="M169" s="75">
        <f>VLOOKUP($A169,'Data Vlaue (Cr)'!$C:$FB,68)</f>
        <v>1088</v>
      </c>
      <c r="N169" s="75">
        <f t="shared" si="16"/>
        <v>142</v>
      </c>
      <c r="O169" s="75">
        <f t="shared" si="17"/>
        <v>11.544715447154472</v>
      </c>
      <c r="P169" s="75">
        <f>VLOOKUP($A169,'Data Vlaue (Cr)'!$C:$FB,119)</f>
        <v>0.56000000000000005</v>
      </c>
      <c r="Q169" s="75">
        <f>VLOOKUP($A169,'Data Vlaue (Cr)'!$C:$FB,122)*100</f>
        <v>0</v>
      </c>
      <c r="R169" s="75">
        <f>VLOOKUP($A169,'Data Vlaue (Cr)'!$C:$FB,125)</f>
        <v>0.52</v>
      </c>
      <c r="S169" s="75">
        <f>VLOOKUP($A169,'Data Vlaue (Cr)'!$C:$FB,128)*100</f>
        <v>-35</v>
      </c>
    </row>
    <row r="170" spans="1:19" x14ac:dyDescent="0.25">
      <c r="A170" s="96" t="str">
        <f>'Data Vlaue (Cr)'!C161</f>
        <v>PNB</v>
      </c>
      <c r="B170" s="75">
        <f>VLOOKUP($A170,'Data Vlaue (Cr)'!$C:$FB,2)</f>
        <v>8000</v>
      </c>
      <c r="C170" s="75">
        <f>VLOOKUP($A170,'Data Vlaue (Cr)'!$C:$FB,8)</f>
        <v>125.16</v>
      </c>
      <c r="D170" s="75">
        <f>VLOOKUP($A170,'Data Vlaue (Cr)'!$C:$FB,4)</f>
        <v>125.29</v>
      </c>
      <c r="E170" s="75">
        <f>VLOOKUP($A170,'Data Vlaue (Cr)'!$C:$FB,5)</f>
        <v>124.08</v>
      </c>
      <c r="F170" s="75">
        <f t="shared" si="12"/>
        <v>0.13000000000000966</v>
      </c>
      <c r="G170" s="75">
        <f t="shared" si="13"/>
        <v>0.96575943810360587</v>
      </c>
      <c r="H170" s="75">
        <f>VLOOKUP($A170,'Data Vlaue (Cr)'!$C:$FB,99)</f>
        <v>6011</v>
      </c>
      <c r="I170" s="75">
        <f>VLOOKUP($A170,'Data Vlaue (Cr)'!$C:$FB,100)</f>
        <v>6184</v>
      </c>
      <c r="J170" s="75">
        <f t="shared" si="14"/>
        <v>-173</v>
      </c>
      <c r="K170" s="75">
        <f t="shared" si="15"/>
        <v>-2.8780568956912327</v>
      </c>
      <c r="L170" s="75">
        <f>VLOOKUP($A170,'Data Vlaue (Cr)'!$C:$FB,67)</f>
        <v>5675</v>
      </c>
      <c r="M170" s="75">
        <f>VLOOKUP($A170,'Data Vlaue (Cr)'!$C:$FB,68)</f>
        <v>7315</v>
      </c>
      <c r="N170" s="75">
        <f t="shared" si="16"/>
        <v>-1640</v>
      </c>
      <c r="O170" s="75">
        <f t="shared" si="17"/>
        <v>-28.898678414096917</v>
      </c>
      <c r="P170" s="75">
        <f>VLOOKUP($A170,'Data Vlaue (Cr)'!$C:$FB,119)</f>
        <v>0.63</v>
      </c>
      <c r="Q170" s="75">
        <f>VLOOKUP($A170,'Data Vlaue (Cr)'!$C:$FB,122)*100</f>
        <v>6.78</v>
      </c>
      <c r="R170" s="75">
        <f>VLOOKUP($A170,'Data Vlaue (Cr)'!$C:$FB,125)</f>
        <v>0.56999999999999995</v>
      </c>
      <c r="S170" s="75">
        <f>VLOOKUP($A170,'Data Vlaue (Cr)'!$C:$FB,128)*100</f>
        <v>-19.72</v>
      </c>
    </row>
    <row r="171" spans="1:19" x14ac:dyDescent="0.25">
      <c r="A171" s="96" t="str">
        <f>'Data Vlaue (Cr)'!C162</f>
        <v>PNBHOUSING</v>
      </c>
      <c r="B171" s="75">
        <f>VLOOKUP($A171,'Data Vlaue (Cr)'!$C:$FB,2)</f>
        <v>650</v>
      </c>
      <c r="C171" s="75">
        <f>VLOOKUP($A171,'Data Vlaue (Cr)'!$C:$FB,8)</f>
        <v>860.25</v>
      </c>
      <c r="D171" s="75">
        <f>VLOOKUP($A171,'Data Vlaue (Cr)'!$C:$FB,4)</f>
        <v>859.7</v>
      </c>
      <c r="E171" s="75">
        <f>VLOOKUP($A171,'Data Vlaue (Cr)'!$C:$FB,5)</f>
        <v>932.35</v>
      </c>
      <c r="F171" s="75">
        <f t="shared" si="12"/>
        <v>-0.54999999999995453</v>
      </c>
      <c r="G171" s="75">
        <f t="shared" si="13"/>
        <v>-8.4506223101081748</v>
      </c>
      <c r="H171" s="75">
        <f>VLOOKUP($A171,'Data Vlaue (Cr)'!$C:$FB,99)</f>
        <v>2129</v>
      </c>
      <c r="I171" s="75">
        <f>VLOOKUP($A171,'Data Vlaue (Cr)'!$C:$FB,100)</f>
        <v>1640</v>
      </c>
      <c r="J171" s="75">
        <f t="shared" si="14"/>
        <v>489</v>
      </c>
      <c r="K171" s="75">
        <f t="shared" si="15"/>
        <v>22.968529826209487</v>
      </c>
      <c r="L171" s="75">
        <f>VLOOKUP($A171,'Data Vlaue (Cr)'!$C:$FB,67)</f>
        <v>8532</v>
      </c>
      <c r="M171" s="75">
        <f>VLOOKUP($A171,'Data Vlaue (Cr)'!$C:$FB,68)</f>
        <v>2165</v>
      </c>
      <c r="N171" s="75">
        <f t="shared" si="16"/>
        <v>6367</v>
      </c>
      <c r="O171" s="75">
        <f t="shared" si="17"/>
        <v>74.624941397093295</v>
      </c>
      <c r="P171" s="75">
        <f>VLOOKUP($A171,'Data Vlaue (Cr)'!$C:$FB,119)</f>
        <v>0.7</v>
      </c>
      <c r="Q171" s="75">
        <f>VLOOKUP($A171,'Data Vlaue (Cr)'!$C:$FB,122)*100</f>
        <v>-6.67</v>
      </c>
      <c r="R171" s="75">
        <f>VLOOKUP($A171,'Data Vlaue (Cr)'!$C:$FB,125)</f>
        <v>1.08</v>
      </c>
      <c r="S171" s="75">
        <f>VLOOKUP($A171,'Data Vlaue (Cr)'!$C:$FB,128)*100</f>
        <v>58.819999999999993</v>
      </c>
    </row>
    <row r="172" spans="1:19" x14ac:dyDescent="0.25">
      <c r="A172" s="96" t="str">
        <f>'Data Vlaue (Cr)'!C163</f>
        <v>POLICYBZR</v>
      </c>
      <c r="B172" s="75">
        <f>VLOOKUP($A172,'Data Vlaue (Cr)'!$C:$FB,2)</f>
        <v>350</v>
      </c>
      <c r="C172" s="75">
        <f>VLOOKUP($A172,'Data Vlaue (Cr)'!$C:$FB,8)</f>
        <v>1714.6</v>
      </c>
      <c r="D172" s="75">
        <f>VLOOKUP($A172,'Data Vlaue (Cr)'!$C:$FB,4)</f>
        <v>1713.9</v>
      </c>
      <c r="E172" s="75">
        <f>VLOOKUP($A172,'Data Vlaue (Cr)'!$C:$FB,5)</f>
        <v>1662.2</v>
      </c>
      <c r="F172" s="75">
        <f t="shared" si="12"/>
        <v>-0.6999999999998181</v>
      </c>
      <c r="G172" s="75">
        <f t="shared" si="13"/>
        <v>3.016512048544258</v>
      </c>
      <c r="H172" s="75">
        <f>VLOOKUP($A172,'Data Vlaue (Cr)'!$C:$FB,99)</f>
        <v>1872</v>
      </c>
      <c r="I172" s="75">
        <f>VLOOKUP($A172,'Data Vlaue (Cr)'!$C:$FB,100)</f>
        <v>1978</v>
      </c>
      <c r="J172" s="75">
        <f t="shared" si="14"/>
        <v>-106</v>
      </c>
      <c r="K172" s="75">
        <f t="shared" si="15"/>
        <v>-5.6623931623931627</v>
      </c>
      <c r="L172" s="75">
        <f>VLOOKUP($A172,'Data Vlaue (Cr)'!$C:$FB,67)</f>
        <v>2216</v>
      </c>
      <c r="M172" s="75">
        <f>VLOOKUP($A172,'Data Vlaue (Cr)'!$C:$FB,68)</f>
        <v>1652</v>
      </c>
      <c r="N172" s="75">
        <f t="shared" si="16"/>
        <v>564</v>
      </c>
      <c r="O172" s="75">
        <f t="shared" si="17"/>
        <v>25.451263537906136</v>
      </c>
      <c r="P172" s="75">
        <f>VLOOKUP($A172,'Data Vlaue (Cr)'!$C:$FB,119)</f>
        <v>0.62</v>
      </c>
      <c r="Q172" s="75">
        <f>VLOOKUP($A172,'Data Vlaue (Cr)'!$C:$FB,122)*100</f>
        <v>14.81</v>
      </c>
      <c r="R172" s="75">
        <f>VLOOKUP($A172,'Data Vlaue (Cr)'!$C:$FB,125)</f>
        <v>0.44</v>
      </c>
      <c r="S172" s="75">
        <f>VLOOKUP($A172,'Data Vlaue (Cr)'!$C:$FB,128)*100</f>
        <v>-33.33</v>
      </c>
    </row>
    <row r="173" spans="1:19" x14ac:dyDescent="0.25">
      <c r="A173" s="96" t="str">
        <f>'Data Vlaue (Cr)'!C164</f>
        <v>POLYCAB</v>
      </c>
      <c r="B173" s="75">
        <f>VLOOKUP($A173,'Data Vlaue (Cr)'!$C:$FB,2)</f>
        <v>125</v>
      </c>
      <c r="C173" s="75">
        <f>VLOOKUP($A173,'Data Vlaue (Cr)'!$C:$FB,8)</f>
        <v>6999</v>
      </c>
      <c r="D173" s="75">
        <f>VLOOKUP($A173,'Data Vlaue (Cr)'!$C:$FB,4)</f>
        <v>7014.5</v>
      </c>
      <c r="E173" s="75">
        <f>VLOOKUP($A173,'Data Vlaue (Cr)'!$C:$FB,5)</f>
        <v>6973.5</v>
      </c>
      <c r="F173" s="75">
        <f t="shared" si="12"/>
        <v>15.5</v>
      </c>
      <c r="G173" s="75">
        <f t="shared" si="13"/>
        <v>0.58450352840544584</v>
      </c>
      <c r="H173" s="75">
        <f>VLOOKUP($A173,'Data Vlaue (Cr)'!$C:$FB,99)</f>
        <v>5295</v>
      </c>
      <c r="I173" s="75">
        <f>VLOOKUP($A173,'Data Vlaue (Cr)'!$C:$FB,100)</f>
        <v>5445</v>
      </c>
      <c r="J173" s="75">
        <f t="shared" si="14"/>
        <v>-150</v>
      </c>
      <c r="K173" s="75">
        <f t="shared" si="15"/>
        <v>-2.8328611898017</v>
      </c>
      <c r="L173" s="75">
        <f>VLOOKUP($A173,'Data Vlaue (Cr)'!$C:$FB,67)</f>
        <v>6259</v>
      </c>
      <c r="M173" s="75">
        <f>VLOOKUP($A173,'Data Vlaue (Cr)'!$C:$FB,68)</f>
        <v>10853</v>
      </c>
      <c r="N173" s="75">
        <f t="shared" si="16"/>
        <v>-4594</v>
      </c>
      <c r="O173" s="75">
        <f t="shared" si="17"/>
        <v>-73.398306438728227</v>
      </c>
      <c r="P173" s="75">
        <f>VLOOKUP($A173,'Data Vlaue (Cr)'!$C:$FB,119)</f>
        <v>0.43</v>
      </c>
      <c r="Q173" s="75">
        <f>VLOOKUP($A173,'Data Vlaue (Cr)'!$C:$FB,122)*100</f>
        <v>2.3800000000000003</v>
      </c>
      <c r="R173" s="75">
        <f>VLOOKUP($A173,'Data Vlaue (Cr)'!$C:$FB,125)</f>
        <v>0.48</v>
      </c>
      <c r="S173" s="75">
        <f>VLOOKUP($A173,'Data Vlaue (Cr)'!$C:$FB,128)*100</f>
        <v>-29.409999999999997</v>
      </c>
    </row>
    <row r="174" spans="1:19" x14ac:dyDescent="0.25">
      <c r="A174" s="96" t="str">
        <f>'Data Vlaue (Cr)'!C165</f>
        <v>POWERGRID</v>
      </c>
      <c r="B174" s="75">
        <f>VLOOKUP($A174,'Data Vlaue (Cr)'!$C:$FB,2)</f>
        <v>1900</v>
      </c>
      <c r="C174" s="75">
        <f>VLOOKUP($A174,'Data Vlaue (Cr)'!$C:$FB,8)</f>
        <v>259.25</v>
      </c>
      <c r="D174" s="75">
        <f>VLOOKUP($A174,'Data Vlaue (Cr)'!$C:$FB,4)</f>
        <v>259.14999999999998</v>
      </c>
      <c r="E174" s="75">
        <f>VLOOKUP($A174,'Data Vlaue (Cr)'!$C:$FB,5)</f>
        <v>255.65</v>
      </c>
      <c r="F174" s="75">
        <f t="shared" si="12"/>
        <v>-0.10000000000002274</v>
      </c>
      <c r="G174" s="75">
        <f t="shared" si="13"/>
        <v>1.3505691684352583</v>
      </c>
      <c r="H174" s="75">
        <f>VLOOKUP($A174,'Data Vlaue (Cr)'!$C:$FB,99)</f>
        <v>4432</v>
      </c>
      <c r="I174" s="75">
        <f>VLOOKUP($A174,'Data Vlaue (Cr)'!$C:$FB,100)</f>
        <v>4472</v>
      </c>
      <c r="J174" s="75">
        <f t="shared" si="14"/>
        <v>-40</v>
      </c>
      <c r="K174" s="75">
        <f t="shared" si="15"/>
        <v>-0.90252707581227432</v>
      </c>
      <c r="L174" s="75">
        <f>VLOOKUP($A174,'Data Vlaue (Cr)'!$C:$FB,67)</f>
        <v>2085</v>
      </c>
      <c r="M174" s="75">
        <f>VLOOKUP($A174,'Data Vlaue (Cr)'!$C:$FB,68)</f>
        <v>3086</v>
      </c>
      <c r="N174" s="75">
        <f t="shared" si="16"/>
        <v>-1001</v>
      </c>
      <c r="O174" s="75">
        <f t="shared" si="17"/>
        <v>-48.009592326139092</v>
      </c>
      <c r="P174" s="75">
        <f>VLOOKUP($A174,'Data Vlaue (Cr)'!$C:$FB,119)</f>
        <v>0.62</v>
      </c>
      <c r="Q174" s="75">
        <f>VLOOKUP($A174,'Data Vlaue (Cr)'!$C:$FB,122)*100</f>
        <v>3.3300000000000005</v>
      </c>
      <c r="R174" s="75">
        <f>VLOOKUP($A174,'Data Vlaue (Cr)'!$C:$FB,125)</f>
        <v>0.52</v>
      </c>
      <c r="S174" s="75">
        <f>VLOOKUP($A174,'Data Vlaue (Cr)'!$C:$FB,128)*100</f>
        <v>-13.33</v>
      </c>
    </row>
    <row r="175" spans="1:19" x14ac:dyDescent="0.25">
      <c r="A175" s="96" t="str">
        <f>'Data Vlaue (Cr)'!C166</f>
        <v>POWERINDIA</v>
      </c>
      <c r="B175" s="75">
        <f>VLOOKUP($A175,'Data Vlaue (Cr)'!$C:$FB,2)</f>
        <v>50</v>
      </c>
      <c r="C175" s="75">
        <f>VLOOKUP($A175,'Data Vlaue (Cr)'!$C:$FB,8)</f>
        <v>16847</v>
      </c>
      <c r="D175" s="75">
        <f>VLOOKUP($A175,'Data Vlaue (Cr)'!$C:$FB,4)</f>
        <v>16841</v>
      </c>
      <c r="E175" s="75">
        <f>VLOOKUP($A175,'Data Vlaue (Cr)'!$C:$FB,5)</f>
        <v>16685</v>
      </c>
      <c r="F175" s="75">
        <f t="shared" si="12"/>
        <v>-6</v>
      </c>
      <c r="G175" s="75">
        <f t="shared" si="13"/>
        <v>0.92631078914553766</v>
      </c>
      <c r="H175" s="75">
        <f>VLOOKUP($A175,'Data Vlaue (Cr)'!$C:$FB,99)</f>
        <v>1428</v>
      </c>
      <c r="I175" s="75">
        <f>VLOOKUP($A175,'Data Vlaue (Cr)'!$C:$FB,100)</f>
        <v>1543</v>
      </c>
      <c r="J175" s="75">
        <f t="shared" si="14"/>
        <v>-115</v>
      </c>
      <c r="K175" s="75">
        <f t="shared" si="15"/>
        <v>-8.053221288515406</v>
      </c>
      <c r="L175" s="75">
        <f>VLOOKUP($A175,'Data Vlaue (Cr)'!$C:$FB,67)</f>
        <v>1682</v>
      </c>
      <c r="M175" s="75">
        <f>VLOOKUP($A175,'Data Vlaue (Cr)'!$C:$FB,68)</f>
        <v>2118</v>
      </c>
      <c r="N175" s="75">
        <f t="shared" si="16"/>
        <v>-436</v>
      </c>
      <c r="O175" s="75">
        <f t="shared" si="17"/>
        <v>-25.921521997621877</v>
      </c>
      <c r="P175" s="75">
        <f>VLOOKUP($A175,'Data Vlaue (Cr)'!$C:$FB,119)</f>
        <v>0.59</v>
      </c>
      <c r="Q175" s="75">
        <f>VLOOKUP($A175,'Data Vlaue (Cr)'!$C:$FB,122)*100</f>
        <v>11.32</v>
      </c>
      <c r="R175" s="75">
        <f>VLOOKUP($A175,'Data Vlaue (Cr)'!$C:$FB,125)</f>
        <v>0.28999999999999998</v>
      </c>
      <c r="S175" s="75">
        <f>VLOOKUP($A175,'Data Vlaue (Cr)'!$C:$FB,128)*100</f>
        <v>-9.379999999999999</v>
      </c>
    </row>
    <row r="176" spans="1:19" x14ac:dyDescent="0.25">
      <c r="A176" s="96" t="str">
        <f>'Data Vlaue (Cr)'!C167</f>
        <v>PPLPHARMA</v>
      </c>
      <c r="B176" s="75">
        <f>VLOOKUP($A176,'Data Vlaue (Cr)'!$C:$FB,2)</f>
        <v>2625</v>
      </c>
      <c r="C176" s="75">
        <f>VLOOKUP($A176,'Data Vlaue (Cr)'!$C:$FB,8)</f>
        <v>156.5</v>
      </c>
      <c r="D176" s="75">
        <f>VLOOKUP($A176,'Data Vlaue (Cr)'!$C:$FB,4)</f>
        <v>156.82</v>
      </c>
      <c r="E176" s="75">
        <f>VLOOKUP($A176,'Data Vlaue (Cr)'!$C:$FB,5)</f>
        <v>155.16999999999999</v>
      </c>
      <c r="F176" s="75">
        <f t="shared" si="12"/>
        <v>0.31999999999999318</v>
      </c>
      <c r="G176" s="75">
        <f t="shared" si="13"/>
        <v>1.0521617140670869</v>
      </c>
      <c r="H176" s="75">
        <f>VLOOKUP($A176,'Data Vlaue (Cr)'!$C:$FB,99)</f>
        <v>760</v>
      </c>
      <c r="I176" s="75">
        <f>VLOOKUP($A176,'Data Vlaue (Cr)'!$C:$FB,100)</f>
        <v>796</v>
      </c>
      <c r="J176" s="75">
        <f t="shared" si="14"/>
        <v>-36</v>
      </c>
      <c r="K176" s="75">
        <f t="shared" si="15"/>
        <v>-4.7368421052631584</v>
      </c>
      <c r="L176" s="75">
        <f>VLOOKUP($A176,'Data Vlaue (Cr)'!$C:$FB,67)</f>
        <v>508</v>
      </c>
      <c r="M176" s="75">
        <f>VLOOKUP($A176,'Data Vlaue (Cr)'!$C:$FB,68)</f>
        <v>706</v>
      </c>
      <c r="N176" s="75">
        <f t="shared" si="16"/>
        <v>-198</v>
      </c>
      <c r="O176" s="75">
        <f t="shared" si="17"/>
        <v>-38.976377952755904</v>
      </c>
      <c r="P176" s="75">
        <f>VLOOKUP($A176,'Data Vlaue (Cr)'!$C:$FB,119)</f>
        <v>0.43</v>
      </c>
      <c r="Q176" s="75">
        <f>VLOOKUP($A176,'Data Vlaue (Cr)'!$C:$FB,122)*100</f>
        <v>7.5</v>
      </c>
      <c r="R176" s="75">
        <f>VLOOKUP($A176,'Data Vlaue (Cr)'!$C:$FB,125)</f>
        <v>0.43</v>
      </c>
      <c r="S176" s="75">
        <f>VLOOKUP($A176,'Data Vlaue (Cr)'!$C:$FB,128)*100</f>
        <v>-42.67</v>
      </c>
    </row>
    <row r="177" spans="1:19" x14ac:dyDescent="0.25">
      <c r="A177" s="96" t="str">
        <f>'Data Vlaue (Cr)'!C168</f>
        <v>PREMIERENE</v>
      </c>
      <c r="B177" s="75">
        <f>VLOOKUP($A177,'Data Vlaue (Cr)'!$C:$FB,2)</f>
        <v>575</v>
      </c>
      <c r="C177" s="75">
        <f>VLOOKUP($A177,'Data Vlaue (Cr)'!$C:$FB,8)</f>
        <v>739.75</v>
      </c>
      <c r="D177" s="75">
        <f>VLOOKUP($A177,'Data Vlaue (Cr)'!$C:$FB,4)</f>
        <v>742.5</v>
      </c>
      <c r="E177" s="75">
        <f>VLOOKUP($A177,'Data Vlaue (Cr)'!$C:$FB,5)</f>
        <v>714.1</v>
      </c>
      <c r="F177" s="75">
        <f t="shared" ref="F177:F185" si="18">D177-C177</f>
        <v>2.75</v>
      </c>
      <c r="G177" s="75">
        <f t="shared" ref="G177:G185" si="19">(D177-E177)/D177*100</f>
        <v>3.8249158249158222</v>
      </c>
      <c r="H177" s="75">
        <f>VLOOKUP($A177,'Data Vlaue (Cr)'!$C:$FB,99)</f>
        <v>1021</v>
      </c>
      <c r="I177" s="75">
        <f>VLOOKUP($A177,'Data Vlaue (Cr)'!$C:$FB,100)</f>
        <v>942</v>
      </c>
      <c r="J177" s="75">
        <f t="shared" ref="J177:J185" si="20">H177-I177</f>
        <v>79</v>
      </c>
      <c r="K177" s="75">
        <f t="shared" ref="K177:K185" si="21">J177/H177*100</f>
        <v>7.7375122428991183</v>
      </c>
      <c r="L177" s="75">
        <f>VLOOKUP($A177,'Data Vlaue (Cr)'!$C:$FB,67)</f>
        <v>2443</v>
      </c>
      <c r="M177" s="75">
        <f>VLOOKUP($A177,'Data Vlaue (Cr)'!$C:$FB,68)</f>
        <v>636</v>
      </c>
      <c r="N177" s="75">
        <f t="shared" ref="N177:N185" si="22">L177-M177</f>
        <v>1807</v>
      </c>
      <c r="O177" s="75">
        <f t="shared" ref="O177:O185" si="23">N177/L177*100</f>
        <v>73.966434711420376</v>
      </c>
      <c r="P177" s="75">
        <f>VLOOKUP($A177,'Data Vlaue (Cr)'!$C:$FB,119)</f>
        <v>0.53</v>
      </c>
      <c r="Q177" s="75">
        <f>VLOOKUP($A177,'Data Vlaue (Cr)'!$C:$FB,122)*100</f>
        <v>-13.11</v>
      </c>
      <c r="R177" s="75">
        <f>VLOOKUP($A177,'Data Vlaue (Cr)'!$C:$FB,125)</f>
        <v>0.44</v>
      </c>
      <c r="S177" s="75">
        <f>VLOOKUP($A177,'Data Vlaue (Cr)'!$C:$FB,128)*100</f>
        <v>-61.06</v>
      </c>
    </row>
    <row r="178" spans="1:19" x14ac:dyDescent="0.25">
      <c r="A178" s="96" t="str">
        <f>'Data Vlaue (Cr)'!C169</f>
        <v>PRESTIGE</v>
      </c>
      <c r="B178" s="75">
        <f>VLOOKUP($A178,'Data Vlaue (Cr)'!$C:$FB,2)</f>
        <v>450</v>
      </c>
      <c r="C178" s="75">
        <f>VLOOKUP($A178,'Data Vlaue (Cr)'!$C:$FB,8)</f>
        <v>1422.6</v>
      </c>
      <c r="D178" s="75">
        <f>VLOOKUP($A178,'Data Vlaue (Cr)'!$C:$FB,4)</f>
        <v>1422.6</v>
      </c>
      <c r="E178" s="75">
        <f>VLOOKUP($A178,'Data Vlaue (Cr)'!$C:$FB,5)</f>
        <v>1438.1</v>
      </c>
      <c r="F178" s="75">
        <f t="shared" si="18"/>
        <v>0</v>
      </c>
      <c r="G178" s="75">
        <f t="shared" si="19"/>
        <v>-1.0895543371292</v>
      </c>
      <c r="H178" s="75">
        <f>VLOOKUP($A178,'Data Vlaue (Cr)'!$C:$FB,99)</f>
        <v>1181</v>
      </c>
      <c r="I178" s="75">
        <f>VLOOKUP($A178,'Data Vlaue (Cr)'!$C:$FB,100)</f>
        <v>1203</v>
      </c>
      <c r="J178" s="75">
        <f t="shared" si="20"/>
        <v>-22</v>
      </c>
      <c r="K178" s="75">
        <f t="shared" si="21"/>
        <v>-1.8628281117696865</v>
      </c>
      <c r="L178" s="75">
        <f>VLOOKUP($A178,'Data Vlaue (Cr)'!$C:$FB,67)</f>
        <v>985</v>
      </c>
      <c r="M178" s="75">
        <f>VLOOKUP($A178,'Data Vlaue (Cr)'!$C:$FB,68)</f>
        <v>1312</v>
      </c>
      <c r="N178" s="75">
        <f t="shared" si="22"/>
        <v>-327</v>
      </c>
      <c r="O178" s="75">
        <f t="shared" si="23"/>
        <v>-33.197969543147209</v>
      </c>
      <c r="P178" s="75">
        <f>VLOOKUP($A178,'Data Vlaue (Cr)'!$C:$FB,119)</f>
        <v>0.45</v>
      </c>
      <c r="Q178" s="75">
        <f>VLOOKUP($A178,'Data Vlaue (Cr)'!$C:$FB,122)*100</f>
        <v>-4.26</v>
      </c>
      <c r="R178" s="75">
        <f>VLOOKUP($A178,'Data Vlaue (Cr)'!$C:$FB,125)</f>
        <v>0.38</v>
      </c>
      <c r="S178" s="75">
        <f>VLOOKUP($A178,'Data Vlaue (Cr)'!$C:$FB,128)*100</f>
        <v>-42.42</v>
      </c>
    </row>
    <row r="179" spans="1:19" x14ac:dyDescent="0.25">
      <c r="A179" s="96" t="str">
        <f>'Data Vlaue (Cr)'!C170</f>
        <v>RBLBANK</v>
      </c>
      <c r="B179" s="75">
        <f>VLOOKUP($A179,'Data Vlaue (Cr)'!$C:$FB,2)</f>
        <v>3175</v>
      </c>
      <c r="C179" s="75">
        <f>VLOOKUP($A179,'Data Vlaue (Cr)'!$C:$FB,8)</f>
        <v>296.2</v>
      </c>
      <c r="D179" s="75">
        <f>VLOOKUP($A179,'Data Vlaue (Cr)'!$C:$FB,4)</f>
        <v>297</v>
      </c>
      <c r="E179" s="75">
        <f>VLOOKUP($A179,'Data Vlaue (Cr)'!$C:$FB,5)</f>
        <v>297.75</v>
      </c>
      <c r="F179" s="75">
        <f t="shared" si="18"/>
        <v>0.80000000000001137</v>
      </c>
      <c r="G179" s="75">
        <f t="shared" si="19"/>
        <v>-0.25252525252525254</v>
      </c>
      <c r="H179" s="75">
        <f>VLOOKUP($A179,'Data Vlaue (Cr)'!$C:$FB,99)</f>
        <v>4167</v>
      </c>
      <c r="I179" s="75">
        <f>VLOOKUP($A179,'Data Vlaue (Cr)'!$C:$FB,100)</f>
        <v>4287</v>
      </c>
      <c r="J179" s="75">
        <f t="shared" si="20"/>
        <v>-120</v>
      </c>
      <c r="K179" s="75">
        <f t="shared" si="21"/>
        <v>-2.8797696184305255</v>
      </c>
      <c r="L179" s="75">
        <f>VLOOKUP($A179,'Data Vlaue (Cr)'!$C:$FB,67)</f>
        <v>3002</v>
      </c>
      <c r="M179" s="75">
        <f>VLOOKUP($A179,'Data Vlaue (Cr)'!$C:$FB,68)</f>
        <v>5299</v>
      </c>
      <c r="N179" s="75">
        <f t="shared" si="22"/>
        <v>-2297</v>
      </c>
      <c r="O179" s="75">
        <f t="shared" si="23"/>
        <v>-76.51565622918055</v>
      </c>
      <c r="P179" s="75">
        <f>VLOOKUP($A179,'Data Vlaue (Cr)'!$C:$FB,119)</f>
        <v>0.61</v>
      </c>
      <c r="Q179" s="75">
        <f>VLOOKUP($A179,'Data Vlaue (Cr)'!$C:$FB,122)*100</f>
        <v>0</v>
      </c>
      <c r="R179" s="75">
        <f>VLOOKUP($A179,'Data Vlaue (Cr)'!$C:$FB,125)</f>
        <v>0.56000000000000005</v>
      </c>
      <c r="S179" s="75">
        <f>VLOOKUP($A179,'Data Vlaue (Cr)'!$C:$FB,128)*100</f>
        <v>9.8000000000000007</v>
      </c>
    </row>
    <row r="180" spans="1:19" x14ac:dyDescent="0.25">
      <c r="A180" s="96" t="str">
        <f>'Data Vlaue (Cr)'!C171</f>
        <v>RECLTD</v>
      </c>
      <c r="B180" s="75">
        <f>VLOOKUP($A180,'Data Vlaue (Cr)'!$C:$FB,2)</f>
        <v>1400</v>
      </c>
      <c r="C180" s="75">
        <f>VLOOKUP($A180,'Data Vlaue (Cr)'!$C:$FB,8)</f>
        <v>366.2</v>
      </c>
      <c r="D180" s="75">
        <f>VLOOKUP($A180,'Data Vlaue (Cr)'!$C:$FB,4)</f>
        <v>366</v>
      </c>
      <c r="E180" s="75">
        <f>VLOOKUP($A180,'Data Vlaue (Cr)'!$C:$FB,5)</f>
        <v>355.5</v>
      </c>
      <c r="F180" s="75">
        <f t="shared" si="18"/>
        <v>-0.19999999999998863</v>
      </c>
      <c r="G180" s="75">
        <f t="shared" si="19"/>
        <v>2.8688524590163933</v>
      </c>
      <c r="H180" s="75">
        <f>VLOOKUP($A180,'Data Vlaue (Cr)'!$C:$FB,99)</f>
        <v>5843</v>
      </c>
      <c r="I180" s="75">
        <f>VLOOKUP($A180,'Data Vlaue (Cr)'!$C:$FB,100)</f>
        <v>6173</v>
      </c>
      <c r="J180" s="75">
        <f t="shared" si="20"/>
        <v>-330</v>
      </c>
      <c r="K180" s="75">
        <f t="shared" si="21"/>
        <v>-5.6477836727708368</v>
      </c>
      <c r="L180" s="75">
        <f>VLOOKUP($A180,'Data Vlaue (Cr)'!$C:$FB,67)</f>
        <v>5181</v>
      </c>
      <c r="M180" s="75">
        <f>VLOOKUP($A180,'Data Vlaue (Cr)'!$C:$FB,68)</f>
        <v>5544</v>
      </c>
      <c r="N180" s="75">
        <f t="shared" si="22"/>
        <v>-363</v>
      </c>
      <c r="O180" s="75">
        <f t="shared" si="23"/>
        <v>-7.0063694267515926</v>
      </c>
      <c r="P180" s="75">
        <f>VLOOKUP($A180,'Data Vlaue (Cr)'!$C:$FB,119)</f>
        <v>0.74</v>
      </c>
      <c r="Q180" s="75">
        <f>VLOOKUP($A180,'Data Vlaue (Cr)'!$C:$FB,122)*100</f>
        <v>0</v>
      </c>
      <c r="R180" s="75">
        <f>VLOOKUP($A180,'Data Vlaue (Cr)'!$C:$FB,125)</f>
        <v>0.79</v>
      </c>
      <c r="S180" s="75">
        <f>VLOOKUP($A180,'Data Vlaue (Cr)'!$C:$FB,128)*100</f>
        <v>9.7199999999999989</v>
      </c>
    </row>
    <row r="181" spans="1:19" x14ac:dyDescent="0.25">
      <c r="A181" s="96" t="str">
        <f>'Data Vlaue (Cr)'!C172</f>
        <v>RELIANCE</v>
      </c>
      <c r="B181" s="75">
        <f>VLOOKUP($A181,'Data Vlaue (Cr)'!$C:$FB,2)</f>
        <v>500</v>
      </c>
      <c r="C181" s="75">
        <f>VLOOKUP($A181,'Data Vlaue (Cr)'!$C:$FB,8)</f>
        <v>1402.5</v>
      </c>
      <c r="D181" s="75">
        <f>VLOOKUP($A181,'Data Vlaue (Cr)'!$C:$FB,4)</f>
        <v>1405.4</v>
      </c>
      <c r="E181" s="75">
        <f>VLOOKUP($A181,'Data Vlaue (Cr)'!$C:$FB,5)</f>
        <v>1405.3</v>
      </c>
      <c r="F181" s="75">
        <f t="shared" si="18"/>
        <v>2.9000000000000909</v>
      </c>
      <c r="G181" s="75">
        <f t="shared" si="19"/>
        <v>7.1154119823634851E-3</v>
      </c>
      <c r="H181" s="75">
        <f>VLOOKUP($A181,'Data Vlaue (Cr)'!$C:$FB,99)</f>
        <v>38537</v>
      </c>
      <c r="I181" s="75">
        <f>VLOOKUP($A181,'Data Vlaue (Cr)'!$C:$FB,100)</f>
        <v>39045</v>
      </c>
      <c r="J181" s="75">
        <f t="shared" si="20"/>
        <v>-508</v>
      </c>
      <c r="K181" s="75">
        <f t="shared" si="21"/>
        <v>-1.3182136647896827</v>
      </c>
      <c r="L181" s="75">
        <f>VLOOKUP($A181,'Data Vlaue (Cr)'!$C:$FB,67)</f>
        <v>42542</v>
      </c>
      <c r="M181" s="75">
        <f>VLOOKUP($A181,'Data Vlaue (Cr)'!$C:$FB,68)</f>
        <v>54975</v>
      </c>
      <c r="N181" s="75">
        <f t="shared" si="22"/>
        <v>-12433</v>
      </c>
      <c r="O181" s="75">
        <f t="shared" si="23"/>
        <v>-29.225236237130364</v>
      </c>
      <c r="P181" s="75">
        <f>VLOOKUP($A181,'Data Vlaue (Cr)'!$C:$FB,119)</f>
        <v>0.42</v>
      </c>
      <c r="Q181" s="75">
        <f>VLOOKUP($A181,'Data Vlaue (Cr)'!$C:$FB,122)*100</f>
        <v>0</v>
      </c>
      <c r="R181" s="75">
        <f>VLOOKUP($A181,'Data Vlaue (Cr)'!$C:$FB,125)</f>
        <v>0.53</v>
      </c>
      <c r="S181" s="75">
        <f>VLOOKUP($A181,'Data Vlaue (Cr)'!$C:$FB,128)*100</f>
        <v>6</v>
      </c>
    </row>
    <row r="182" spans="1:19" x14ac:dyDescent="0.25">
      <c r="A182" s="96" t="str">
        <f>'Data Vlaue (Cr)'!C173</f>
        <v>RVNL</v>
      </c>
      <c r="B182" s="75">
        <f>VLOOKUP($A182,'Data Vlaue (Cr)'!$C:$FB,2)</f>
        <v>1525</v>
      </c>
      <c r="C182" s="75">
        <f>VLOOKUP($A182,'Data Vlaue (Cr)'!$C:$FB,8)</f>
        <v>329</v>
      </c>
      <c r="D182" s="75">
        <f>VLOOKUP($A182,'Data Vlaue (Cr)'!$C:$FB,4)</f>
        <v>329.75</v>
      </c>
      <c r="E182" s="75">
        <f>VLOOKUP($A182,'Data Vlaue (Cr)'!$C:$FB,5)</f>
        <v>317.10000000000002</v>
      </c>
      <c r="F182" s="75">
        <f t="shared" si="18"/>
        <v>0.75</v>
      </c>
      <c r="G182" s="75">
        <f t="shared" si="19"/>
        <v>3.8362395754359291</v>
      </c>
      <c r="H182" s="75">
        <f>VLOOKUP($A182,'Data Vlaue (Cr)'!$C:$FB,99)</f>
        <v>4137</v>
      </c>
      <c r="I182" s="75">
        <f>VLOOKUP($A182,'Data Vlaue (Cr)'!$C:$FB,100)</f>
        <v>4269</v>
      </c>
      <c r="J182" s="75">
        <f t="shared" si="20"/>
        <v>-132</v>
      </c>
      <c r="K182" s="75">
        <f t="shared" si="21"/>
        <v>-3.1907179115300943</v>
      </c>
      <c r="L182" s="75">
        <f>VLOOKUP($A182,'Data Vlaue (Cr)'!$C:$FB,67)</f>
        <v>4489</v>
      </c>
      <c r="M182" s="75">
        <f>VLOOKUP($A182,'Data Vlaue (Cr)'!$C:$FB,68)</f>
        <v>3811</v>
      </c>
      <c r="N182" s="75">
        <f t="shared" si="22"/>
        <v>678</v>
      </c>
      <c r="O182" s="75">
        <f t="shared" si="23"/>
        <v>15.103586544887504</v>
      </c>
      <c r="P182" s="75">
        <f>VLOOKUP($A182,'Data Vlaue (Cr)'!$C:$FB,119)</f>
        <v>0.32</v>
      </c>
      <c r="Q182" s="75">
        <f>VLOOKUP($A182,'Data Vlaue (Cr)'!$C:$FB,122)*100</f>
        <v>6.67</v>
      </c>
      <c r="R182" s="75">
        <f>VLOOKUP($A182,'Data Vlaue (Cr)'!$C:$FB,125)</f>
        <v>0.23</v>
      </c>
      <c r="S182" s="75">
        <f>VLOOKUP($A182,'Data Vlaue (Cr)'!$C:$FB,128)*100</f>
        <v>-45.24</v>
      </c>
    </row>
    <row r="183" spans="1:19" x14ac:dyDescent="0.25">
      <c r="A183" s="96" t="str">
        <f>'Data Vlaue (Cr)'!C174</f>
        <v>SAIL</v>
      </c>
      <c r="B183" s="75">
        <f>VLOOKUP($A183,'Data Vlaue (Cr)'!$C:$FB,2)</f>
        <v>4700</v>
      </c>
      <c r="C183" s="75">
        <f>VLOOKUP($A183,'Data Vlaue (Cr)'!$C:$FB,8)</f>
        <v>151.65</v>
      </c>
      <c r="D183" s="75">
        <f>VLOOKUP($A183,'Data Vlaue (Cr)'!$C:$FB,4)</f>
        <v>152.09</v>
      </c>
      <c r="E183" s="75">
        <f>VLOOKUP($A183,'Data Vlaue (Cr)'!$C:$FB,5)</f>
        <v>146.38999999999999</v>
      </c>
      <c r="F183" s="75">
        <f t="shared" si="18"/>
        <v>0.43999999999999773</v>
      </c>
      <c r="G183" s="75">
        <f t="shared" si="19"/>
        <v>3.7477809191925942</v>
      </c>
      <c r="H183" s="75">
        <f>VLOOKUP($A183,'Data Vlaue (Cr)'!$C:$FB,99)</f>
        <v>3976</v>
      </c>
      <c r="I183" s="75">
        <f>VLOOKUP($A183,'Data Vlaue (Cr)'!$C:$FB,100)</f>
        <v>3793</v>
      </c>
      <c r="J183" s="75">
        <f t="shared" si="20"/>
        <v>183</v>
      </c>
      <c r="K183" s="75">
        <f t="shared" si="21"/>
        <v>4.6026156941649905</v>
      </c>
      <c r="L183" s="75">
        <f>VLOOKUP($A183,'Data Vlaue (Cr)'!$C:$FB,67)</f>
        <v>7390</v>
      </c>
      <c r="M183" s="75">
        <f>VLOOKUP($A183,'Data Vlaue (Cr)'!$C:$FB,68)</f>
        <v>305</v>
      </c>
      <c r="N183" s="75">
        <f t="shared" si="22"/>
        <v>7085</v>
      </c>
      <c r="O183" s="75">
        <f t="shared" si="23"/>
        <v>95.872801082543972</v>
      </c>
      <c r="P183" s="75">
        <f>VLOOKUP($A183,'Data Vlaue (Cr)'!$C:$FB,119)</f>
        <v>0.78</v>
      </c>
      <c r="Q183" s="75">
        <f>VLOOKUP($A183,'Data Vlaue (Cr)'!$C:$FB,122)*100</f>
        <v>-1.27</v>
      </c>
      <c r="R183" s="75">
        <f>VLOOKUP($A183,'Data Vlaue (Cr)'!$C:$FB,125)</f>
        <v>0.53</v>
      </c>
      <c r="S183" s="75">
        <f>VLOOKUP($A183,'Data Vlaue (Cr)'!$C:$FB,128)*100</f>
        <v>-34.57</v>
      </c>
    </row>
    <row r="184" spans="1:19" x14ac:dyDescent="0.25">
      <c r="A184" s="96" t="str">
        <f>'Data Vlaue (Cr)'!C175</f>
        <v>SAMMAANCAP</v>
      </c>
      <c r="B184" s="75">
        <f>VLOOKUP($A184,'Data Vlaue (Cr)'!$C:$FB,2)</f>
        <v>4300</v>
      </c>
      <c r="C184" s="75">
        <f>VLOOKUP($A184,'Data Vlaue (Cr)'!$C:$FB,8)</f>
        <v>139.97</v>
      </c>
      <c r="D184" s="75">
        <f>VLOOKUP($A184,'Data Vlaue (Cr)'!$C:$FB,4)</f>
        <v>140.81</v>
      </c>
      <c r="E184" s="75">
        <f>VLOOKUP($A184,'Data Vlaue (Cr)'!$C:$FB,5)</f>
        <v>137.94999999999999</v>
      </c>
      <c r="F184" s="75">
        <f t="shared" si="18"/>
        <v>0.84000000000000341</v>
      </c>
      <c r="G184" s="75">
        <f t="shared" si="19"/>
        <v>2.031105745330597</v>
      </c>
      <c r="H184" s="75">
        <f>VLOOKUP($A184,'Data Vlaue (Cr)'!$C:$FB,99)</f>
        <v>2253</v>
      </c>
      <c r="I184" s="75">
        <f>VLOOKUP($A184,'Data Vlaue (Cr)'!$C:$FB,100)</f>
        <v>2303</v>
      </c>
      <c r="J184" s="75">
        <f t="shared" si="20"/>
        <v>-50</v>
      </c>
      <c r="K184" s="75">
        <f t="shared" si="21"/>
        <v>-2.2192632046160679</v>
      </c>
      <c r="L184" s="75">
        <f>VLOOKUP($A184,'Data Vlaue (Cr)'!$C:$FB,67)</f>
        <v>163</v>
      </c>
      <c r="M184" s="75">
        <f>VLOOKUP($A184,'Data Vlaue (Cr)'!$C:$FB,68)</f>
        <v>110</v>
      </c>
      <c r="N184" s="75">
        <f t="shared" si="22"/>
        <v>53</v>
      </c>
      <c r="O184" s="75">
        <f t="shared" si="23"/>
        <v>32.515337423312886</v>
      </c>
      <c r="P184" s="75">
        <f>VLOOKUP($A184,'Data Vlaue (Cr)'!$C:$FB,119)</f>
        <v>0.76</v>
      </c>
      <c r="Q184" s="75">
        <f>VLOOKUP($A184,'Data Vlaue (Cr)'!$C:$FB,122)*100</f>
        <v>0</v>
      </c>
      <c r="R184" s="75">
        <f>VLOOKUP($A184,'Data Vlaue (Cr)'!$C:$FB,125)</f>
        <v>0.5</v>
      </c>
      <c r="S184" s="75">
        <f>VLOOKUP($A184,'Data Vlaue (Cr)'!$C:$FB,128)*100</f>
        <v>-19.350000000000001</v>
      </c>
    </row>
    <row r="185" spans="1:19" x14ac:dyDescent="0.25">
      <c r="A185" s="96" t="str">
        <f>'Data Vlaue (Cr)'!C176</f>
        <v>SBICARD</v>
      </c>
      <c r="B185" s="75">
        <f>VLOOKUP($A185,'Data Vlaue (Cr)'!$C:$FB,2)</f>
        <v>800</v>
      </c>
      <c r="C185" s="75">
        <f>VLOOKUP($A185,'Data Vlaue (Cr)'!$C:$FB,8)</f>
        <v>789.1</v>
      </c>
      <c r="D185" s="75">
        <f>VLOOKUP($A185,'Data Vlaue (Cr)'!$C:$FB,4)</f>
        <v>792.05</v>
      </c>
      <c r="E185" s="75">
        <f>VLOOKUP($A185,'Data Vlaue (Cr)'!$C:$FB,5)</f>
        <v>786.6</v>
      </c>
      <c r="F185" s="75">
        <f t="shared" si="18"/>
        <v>2.9499999999999318</v>
      </c>
      <c r="G185" s="75">
        <f t="shared" si="19"/>
        <v>0.68808787324031717</v>
      </c>
      <c r="H185" s="75">
        <f>VLOOKUP($A185,'Data Vlaue (Cr)'!$C:$FB,99)</f>
        <v>2454</v>
      </c>
      <c r="I185" s="75">
        <f>VLOOKUP($A185,'Data Vlaue (Cr)'!$C:$FB,100)</f>
        <v>2537</v>
      </c>
      <c r="J185" s="75">
        <f t="shared" si="20"/>
        <v>-83</v>
      </c>
      <c r="K185" s="75">
        <f t="shared" si="21"/>
        <v>-3.382233088834556</v>
      </c>
      <c r="L185" s="75">
        <f>VLOOKUP($A185,'Data Vlaue (Cr)'!$C:$FB,67)</f>
        <v>2599</v>
      </c>
      <c r="M185" s="75">
        <f>VLOOKUP($A185,'Data Vlaue (Cr)'!$C:$FB,68)</f>
        <v>2896</v>
      </c>
      <c r="N185" s="75">
        <f t="shared" si="22"/>
        <v>-297</v>
      </c>
      <c r="O185" s="75">
        <f t="shared" si="23"/>
        <v>-11.427472104655637</v>
      </c>
      <c r="P185" s="75">
        <f>VLOOKUP($A185,'Data Vlaue (Cr)'!$C:$FB,119)</f>
        <v>0.7</v>
      </c>
      <c r="Q185" s="75">
        <f>VLOOKUP($A185,'Data Vlaue (Cr)'!$C:$FB,122)*100</f>
        <v>11.110000000000001</v>
      </c>
      <c r="R185" s="75">
        <f>VLOOKUP($A185,'Data Vlaue (Cr)'!$C:$FB,125)</f>
        <v>0.69</v>
      </c>
      <c r="S185" s="75">
        <f>VLOOKUP($A185,'Data Vlaue (Cr)'!$C:$FB,128)*100</f>
        <v>-9.2100000000000009</v>
      </c>
    </row>
    <row r="186" spans="1:19" x14ac:dyDescent="0.25">
      <c r="A186" s="96" t="str">
        <f>'Data Vlaue (Cr)'!C177</f>
        <v>SBILIFE</v>
      </c>
      <c r="B186" s="75">
        <f>VLOOKUP($A186,'Data Vlaue (Cr)'!$C:$FB,2)</f>
        <v>375</v>
      </c>
      <c r="C186" s="75">
        <f>VLOOKUP($A186,'Data Vlaue (Cr)'!$C:$FB,8)</f>
        <v>2022</v>
      </c>
      <c r="D186" s="75">
        <f>VLOOKUP($A186,'Data Vlaue (Cr)'!$C:$FB,4)</f>
        <v>2027.2</v>
      </c>
      <c r="E186" s="75">
        <f>VLOOKUP($A186,'Data Vlaue (Cr)'!$C:$FB,5)</f>
        <v>2053.1</v>
      </c>
      <c r="F186" s="75">
        <f t="shared" ref="F186:F193" si="24">D186-C186</f>
        <v>5.2000000000000455</v>
      </c>
      <c r="G186" s="75">
        <f t="shared" ref="G186:G193" si="25">(D186-E186)/D186*100</f>
        <v>-1.2776243093922584</v>
      </c>
      <c r="H186" s="75">
        <f>VLOOKUP($A186,'Data Vlaue (Cr)'!$C:$FB,99)</f>
        <v>4112</v>
      </c>
      <c r="I186" s="75">
        <f>VLOOKUP($A186,'Data Vlaue (Cr)'!$C:$FB,100)</f>
        <v>3975</v>
      </c>
      <c r="J186" s="75">
        <f t="shared" ref="J186:J193" si="26">H186-I186</f>
        <v>137</v>
      </c>
      <c r="K186" s="75">
        <f t="shared" ref="K186:K193" si="27">J186/H186*100</f>
        <v>3.3317120622568095</v>
      </c>
      <c r="L186" s="75">
        <f>VLOOKUP($A186,'Data Vlaue (Cr)'!$C:$FB,67)</f>
        <v>5558</v>
      </c>
      <c r="M186" s="75">
        <f>VLOOKUP($A186,'Data Vlaue (Cr)'!$C:$FB,68)</f>
        <v>3987</v>
      </c>
      <c r="N186" s="75">
        <f t="shared" ref="N186:N193" si="28">L186-M186</f>
        <v>1571</v>
      </c>
      <c r="O186" s="75">
        <f t="shared" ref="O186:O193" si="29">N186/L186*100</f>
        <v>28.265563152213026</v>
      </c>
      <c r="P186" s="75">
        <f>VLOOKUP($A186,'Data Vlaue (Cr)'!$C:$FB,119)</f>
        <v>0.31</v>
      </c>
      <c r="Q186" s="75">
        <f>VLOOKUP($A186,'Data Vlaue (Cr)'!$C:$FB,122)*100</f>
        <v>10.71</v>
      </c>
      <c r="R186" s="75">
        <f>VLOOKUP($A186,'Data Vlaue (Cr)'!$C:$FB,125)</f>
        <v>0.9</v>
      </c>
      <c r="S186" s="75">
        <f>VLOOKUP($A186,'Data Vlaue (Cr)'!$C:$FB,128)*100</f>
        <v>76.47</v>
      </c>
    </row>
    <row r="187" spans="1:19" x14ac:dyDescent="0.25">
      <c r="A187" s="96" t="str">
        <f>'Data Vlaue (Cr)'!C178</f>
        <v>SBIN</v>
      </c>
      <c r="B187" s="75">
        <f>VLOOKUP($A187,'Data Vlaue (Cr)'!$C:$FB,2)</f>
        <v>750</v>
      </c>
      <c r="C187" s="75">
        <f>VLOOKUP($A187,'Data Vlaue (Cr)'!$C:$FB,8)</f>
        <v>1048.3499999999999</v>
      </c>
      <c r="D187" s="75">
        <f>VLOOKUP($A187,'Data Vlaue (Cr)'!$C:$FB,4)</f>
        <v>1047.25</v>
      </c>
      <c r="E187" s="75">
        <f>VLOOKUP($A187,'Data Vlaue (Cr)'!$C:$FB,5)</f>
        <v>1030.25</v>
      </c>
      <c r="F187" s="75">
        <f t="shared" si="24"/>
        <v>-1.0999999999999091</v>
      </c>
      <c r="G187" s="75">
        <f t="shared" si="25"/>
        <v>1.623299116734304</v>
      </c>
      <c r="H187" s="75">
        <f>VLOOKUP($A187,'Data Vlaue (Cr)'!$C:$FB,99)</f>
        <v>16960</v>
      </c>
      <c r="I187" s="75">
        <f>VLOOKUP($A187,'Data Vlaue (Cr)'!$C:$FB,100)</f>
        <v>16980</v>
      </c>
      <c r="J187" s="75">
        <f t="shared" si="26"/>
        <v>-20</v>
      </c>
      <c r="K187" s="75">
        <f t="shared" si="27"/>
        <v>-0.11792452830188679</v>
      </c>
      <c r="L187" s="75">
        <f>VLOOKUP($A187,'Data Vlaue (Cr)'!$C:$FB,67)</f>
        <v>31833</v>
      </c>
      <c r="M187" s="75">
        <f>VLOOKUP($A187,'Data Vlaue (Cr)'!$C:$FB,68)</f>
        <v>30980</v>
      </c>
      <c r="N187" s="75">
        <f t="shared" si="28"/>
        <v>853</v>
      </c>
      <c r="O187" s="75">
        <f t="shared" si="29"/>
        <v>2.6796092105676501</v>
      </c>
      <c r="P187" s="75">
        <f>VLOOKUP($A187,'Data Vlaue (Cr)'!$C:$FB,119)</f>
        <v>0.96</v>
      </c>
      <c r="Q187" s="75">
        <f>VLOOKUP($A187,'Data Vlaue (Cr)'!$C:$FB,122)*100</f>
        <v>10.34</v>
      </c>
      <c r="R187" s="75">
        <f>VLOOKUP($A187,'Data Vlaue (Cr)'!$C:$FB,125)</f>
        <v>0.7</v>
      </c>
      <c r="S187" s="75">
        <f>VLOOKUP($A187,'Data Vlaue (Cr)'!$C:$FB,128)*100</f>
        <v>-15.659999999999998</v>
      </c>
    </row>
    <row r="188" spans="1:19" x14ac:dyDescent="0.25">
      <c r="A188" s="96" t="str">
        <f>'Data Vlaue (Cr)'!C179</f>
        <v>SHREECEM</v>
      </c>
      <c r="B188" s="75">
        <f>VLOOKUP($A188,'Data Vlaue (Cr)'!$C:$FB,2)</f>
        <v>25</v>
      </c>
      <c r="C188" s="75">
        <f>VLOOKUP($A188,'Data Vlaue (Cr)'!$C:$FB,8)</f>
        <v>27430</v>
      </c>
      <c r="D188" s="75">
        <f>VLOOKUP($A188,'Data Vlaue (Cr)'!$C:$FB,4)</f>
        <v>27525</v>
      </c>
      <c r="E188" s="75">
        <f>VLOOKUP($A188,'Data Vlaue (Cr)'!$C:$FB,5)</f>
        <v>27440</v>
      </c>
      <c r="F188" s="75">
        <f t="shared" si="24"/>
        <v>95</v>
      </c>
      <c r="G188" s="75">
        <f t="shared" si="25"/>
        <v>0.30881017257039056</v>
      </c>
      <c r="H188" s="75">
        <f>VLOOKUP($A188,'Data Vlaue (Cr)'!$C:$FB,99)</f>
        <v>1033</v>
      </c>
      <c r="I188" s="75">
        <f>VLOOKUP($A188,'Data Vlaue (Cr)'!$C:$FB,100)</f>
        <v>1078</v>
      </c>
      <c r="J188" s="75">
        <f t="shared" si="26"/>
        <v>-45</v>
      </c>
      <c r="K188" s="75">
        <f t="shared" si="27"/>
        <v>-4.3562439496611809</v>
      </c>
      <c r="L188" s="75">
        <f>VLOOKUP($A188,'Data Vlaue (Cr)'!$C:$FB,67)</f>
        <v>1071</v>
      </c>
      <c r="M188" s="75">
        <f>VLOOKUP($A188,'Data Vlaue (Cr)'!$C:$FB,68)</f>
        <v>1271</v>
      </c>
      <c r="N188" s="75">
        <f t="shared" si="28"/>
        <v>-200</v>
      </c>
      <c r="O188" s="75">
        <f t="shared" si="29"/>
        <v>-18.674136321195146</v>
      </c>
      <c r="P188" s="75">
        <f>VLOOKUP($A188,'Data Vlaue (Cr)'!$C:$FB,119)</f>
        <v>0.73</v>
      </c>
      <c r="Q188" s="75">
        <f>VLOOKUP($A188,'Data Vlaue (Cr)'!$C:$FB,122)*100</f>
        <v>-3.95</v>
      </c>
      <c r="R188" s="75">
        <f>VLOOKUP($A188,'Data Vlaue (Cr)'!$C:$FB,125)</f>
        <v>0.54</v>
      </c>
      <c r="S188" s="75">
        <f>VLOOKUP($A188,'Data Vlaue (Cr)'!$C:$FB,128)*100</f>
        <v>3.85</v>
      </c>
    </row>
    <row r="189" spans="1:19" x14ac:dyDescent="0.25">
      <c r="A189" s="96" t="str">
        <f>'Data Vlaue (Cr)'!C180</f>
        <v>SHRIRAMFIN</v>
      </c>
      <c r="B189" s="75">
        <f>VLOOKUP($A189,'Data Vlaue (Cr)'!$C:$FB,2)</f>
        <v>825</v>
      </c>
      <c r="C189" s="75">
        <f>VLOOKUP($A189,'Data Vlaue (Cr)'!$C:$FB,8)</f>
        <v>1005.5</v>
      </c>
      <c r="D189" s="75">
        <f>VLOOKUP($A189,'Data Vlaue (Cr)'!$C:$FB,4)</f>
        <v>1005.15</v>
      </c>
      <c r="E189" s="75">
        <f>VLOOKUP($A189,'Data Vlaue (Cr)'!$C:$FB,5)</f>
        <v>985.7</v>
      </c>
      <c r="F189" s="75">
        <f t="shared" si="24"/>
        <v>-0.35000000000002274</v>
      </c>
      <c r="G189" s="75">
        <f t="shared" si="25"/>
        <v>1.935034571954428</v>
      </c>
      <c r="H189" s="75">
        <f>VLOOKUP($A189,'Data Vlaue (Cr)'!$C:$FB,99)</f>
        <v>7344</v>
      </c>
      <c r="I189" s="75">
        <f>VLOOKUP($A189,'Data Vlaue (Cr)'!$C:$FB,100)</f>
        <v>7442</v>
      </c>
      <c r="J189" s="75">
        <f t="shared" si="26"/>
        <v>-98</v>
      </c>
      <c r="K189" s="75">
        <f t="shared" si="27"/>
        <v>-1.3344226579520697</v>
      </c>
      <c r="L189" s="75">
        <f>VLOOKUP($A189,'Data Vlaue (Cr)'!$C:$FB,67)</f>
        <v>7752</v>
      </c>
      <c r="M189" s="75">
        <f>VLOOKUP($A189,'Data Vlaue (Cr)'!$C:$FB,68)</f>
        <v>5720</v>
      </c>
      <c r="N189" s="75">
        <f t="shared" si="28"/>
        <v>2032</v>
      </c>
      <c r="O189" s="75">
        <f t="shared" si="29"/>
        <v>26.212590299277604</v>
      </c>
      <c r="P189" s="75">
        <f>VLOOKUP($A189,'Data Vlaue (Cr)'!$C:$FB,119)</f>
        <v>0.82</v>
      </c>
      <c r="Q189" s="75">
        <f>VLOOKUP($A189,'Data Vlaue (Cr)'!$C:$FB,122)*100</f>
        <v>12.33</v>
      </c>
      <c r="R189" s="75">
        <f>VLOOKUP($A189,'Data Vlaue (Cr)'!$C:$FB,125)</f>
        <v>0.47</v>
      </c>
      <c r="S189" s="75">
        <f>VLOOKUP($A189,'Data Vlaue (Cr)'!$C:$FB,128)*100</f>
        <v>-12.959999999999999</v>
      </c>
    </row>
    <row r="190" spans="1:19" x14ac:dyDescent="0.25">
      <c r="A190" s="96" t="str">
        <f>'Data Vlaue (Cr)'!C181</f>
        <v>SIEMENS</v>
      </c>
      <c r="B190" s="75">
        <f>VLOOKUP($A190,'Data Vlaue (Cr)'!$C:$FB,2)</f>
        <v>175</v>
      </c>
      <c r="C190" s="75">
        <f>VLOOKUP($A190,'Data Vlaue (Cr)'!$C:$FB,8)</f>
        <v>2928.2</v>
      </c>
      <c r="D190" s="75">
        <f>VLOOKUP($A190,'Data Vlaue (Cr)'!$C:$FB,4)</f>
        <v>2931.2</v>
      </c>
      <c r="E190" s="75">
        <f>VLOOKUP($A190,'Data Vlaue (Cr)'!$C:$FB,5)</f>
        <v>2885</v>
      </c>
      <c r="F190" s="75">
        <f t="shared" si="24"/>
        <v>3</v>
      </c>
      <c r="G190" s="75">
        <f t="shared" si="25"/>
        <v>1.5761462882096007</v>
      </c>
      <c r="H190" s="75">
        <f>VLOOKUP($A190,'Data Vlaue (Cr)'!$C:$FB,99)</f>
        <v>1342</v>
      </c>
      <c r="I190" s="75">
        <f>VLOOKUP($A190,'Data Vlaue (Cr)'!$C:$FB,100)</f>
        <v>1417</v>
      </c>
      <c r="J190" s="75">
        <f t="shared" si="26"/>
        <v>-75</v>
      </c>
      <c r="K190" s="75">
        <f t="shared" si="27"/>
        <v>-5.5886736214605071</v>
      </c>
      <c r="L190" s="75">
        <f>VLOOKUP($A190,'Data Vlaue (Cr)'!$C:$FB,67)</f>
        <v>1285</v>
      </c>
      <c r="M190" s="75">
        <f>VLOOKUP($A190,'Data Vlaue (Cr)'!$C:$FB,68)</f>
        <v>1503</v>
      </c>
      <c r="N190" s="75">
        <f t="shared" si="28"/>
        <v>-218</v>
      </c>
      <c r="O190" s="75">
        <f t="shared" si="29"/>
        <v>-16.964980544747082</v>
      </c>
      <c r="P190" s="75">
        <f>VLOOKUP($A190,'Data Vlaue (Cr)'!$C:$FB,119)</f>
        <v>0.55000000000000004</v>
      </c>
      <c r="Q190" s="75">
        <f>VLOOKUP($A190,'Data Vlaue (Cr)'!$C:$FB,122)*100</f>
        <v>-3.51</v>
      </c>
      <c r="R190" s="75">
        <f>VLOOKUP($A190,'Data Vlaue (Cr)'!$C:$FB,125)</f>
        <v>0.4</v>
      </c>
      <c r="S190" s="75">
        <f>VLOOKUP($A190,'Data Vlaue (Cr)'!$C:$FB,128)*100</f>
        <v>-9.09</v>
      </c>
    </row>
    <row r="191" spans="1:19" x14ac:dyDescent="0.25">
      <c r="A191" s="96" t="str">
        <f>'Data Vlaue (Cr)'!C182</f>
        <v>SOLARINDS</v>
      </c>
      <c r="B191" s="75">
        <f>VLOOKUP($A191,'Data Vlaue (Cr)'!$C:$FB,2)</f>
        <v>50</v>
      </c>
      <c r="C191" s="75">
        <f>VLOOKUP($A191,'Data Vlaue (Cr)'!$C:$FB,8)</f>
        <v>12901</v>
      </c>
      <c r="D191" s="75">
        <f>VLOOKUP($A191,'Data Vlaue (Cr)'!$C:$FB,4)</f>
        <v>12886</v>
      </c>
      <c r="E191" s="75">
        <f>VLOOKUP($A191,'Data Vlaue (Cr)'!$C:$FB,5)</f>
        <v>12532</v>
      </c>
      <c r="F191" s="75">
        <f t="shared" si="24"/>
        <v>-15</v>
      </c>
      <c r="G191" s="75">
        <f t="shared" si="25"/>
        <v>2.7471674685705416</v>
      </c>
      <c r="H191" s="75">
        <f>VLOOKUP($A191,'Data Vlaue (Cr)'!$C:$FB,99)</f>
        <v>2334</v>
      </c>
      <c r="I191" s="75">
        <f>VLOOKUP($A191,'Data Vlaue (Cr)'!$C:$FB,100)</f>
        <v>2493</v>
      </c>
      <c r="J191" s="75">
        <f t="shared" si="26"/>
        <v>-159</v>
      </c>
      <c r="K191" s="75">
        <f t="shared" si="27"/>
        <v>-6.8123393316195369</v>
      </c>
      <c r="L191" s="75">
        <f>VLOOKUP($A191,'Data Vlaue (Cr)'!$C:$FB,67)</f>
        <v>1973</v>
      </c>
      <c r="M191" s="75">
        <f>VLOOKUP($A191,'Data Vlaue (Cr)'!$C:$FB,68)</f>
        <v>1392</v>
      </c>
      <c r="N191" s="75">
        <f t="shared" si="28"/>
        <v>581</v>
      </c>
      <c r="O191" s="75">
        <f t="shared" si="29"/>
        <v>29.447541814495693</v>
      </c>
      <c r="P191" s="75">
        <f>VLOOKUP($A191,'Data Vlaue (Cr)'!$C:$FB,119)</f>
        <v>0.7</v>
      </c>
      <c r="Q191" s="75">
        <f>VLOOKUP($A191,'Data Vlaue (Cr)'!$C:$FB,122)*100</f>
        <v>11.110000000000001</v>
      </c>
      <c r="R191" s="75">
        <f>VLOOKUP($A191,'Data Vlaue (Cr)'!$C:$FB,125)</f>
        <v>0.46</v>
      </c>
      <c r="S191" s="75">
        <f>VLOOKUP($A191,'Data Vlaue (Cr)'!$C:$FB,128)*100</f>
        <v>43.75</v>
      </c>
    </row>
    <row r="192" spans="1:19" x14ac:dyDescent="0.25">
      <c r="A192" s="96" t="str">
        <f>'Data Vlaue (Cr)'!C183</f>
        <v>SONACOMS</v>
      </c>
      <c r="B192" s="75">
        <f>VLOOKUP($A192,'Data Vlaue (Cr)'!$C:$FB,2)</f>
        <v>1225</v>
      </c>
      <c r="C192" s="75">
        <f>VLOOKUP($A192,'Data Vlaue (Cr)'!$C:$FB,8)</f>
        <v>469.1</v>
      </c>
      <c r="D192" s="75">
        <f>VLOOKUP($A192,'Data Vlaue (Cr)'!$C:$FB,4)</f>
        <v>469.75</v>
      </c>
      <c r="E192" s="75">
        <f>VLOOKUP($A192,'Data Vlaue (Cr)'!$C:$FB,5)</f>
        <v>443.95</v>
      </c>
      <c r="F192" s="75">
        <f t="shared" si="24"/>
        <v>0.64999999999997726</v>
      </c>
      <c r="G192" s="75">
        <f t="shared" si="25"/>
        <v>5.492283129324111</v>
      </c>
      <c r="H192" s="75">
        <f>VLOOKUP($A192,'Data Vlaue (Cr)'!$C:$FB,99)</f>
        <v>1235</v>
      </c>
      <c r="I192" s="75">
        <f>VLOOKUP($A192,'Data Vlaue (Cr)'!$C:$FB,100)</f>
        <v>1244</v>
      </c>
      <c r="J192" s="75">
        <f t="shared" si="26"/>
        <v>-9</v>
      </c>
      <c r="K192" s="75">
        <f t="shared" si="27"/>
        <v>-0.72874493927125505</v>
      </c>
      <c r="L192" s="75">
        <f>VLOOKUP($A192,'Data Vlaue (Cr)'!$C:$FB,67)</f>
        <v>1863</v>
      </c>
      <c r="M192" s="75">
        <f>VLOOKUP($A192,'Data Vlaue (Cr)'!$C:$FB,68)</f>
        <v>745</v>
      </c>
      <c r="N192" s="75">
        <f t="shared" si="28"/>
        <v>1118</v>
      </c>
      <c r="O192" s="75">
        <f t="shared" si="29"/>
        <v>60.010735373054217</v>
      </c>
      <c r="P192" s="75">
        <f>VLOOKUP($A192,'Data Vlaue (Cr)'!$C:$FB,119)</f>
        <v>0.68</v>
      </c>
      <c r="Q192" s="75">
        <f>VLOOKUP($A192,'Data Vlaue (Cr)'!$C:$FB,122)*100</f>
        <v>17.239999999999998</v>
      </c>
      <c r="R192" s="75">
        <f>VLOOKUP($A192,'Data Vlaue (Cr)'!$C:$FB,125)</f>
        <v>0.45</v>
      </c>
      <c r="S192" s="75">
        <f>VLOOKUP($A192,'Data Vlaue (Cr)'!$C:$FB,128)*100</f>
        <v>-10</v>
      </c>
    </row>
    <row r="193" spans="1:19" x14ac:dyDescent="0.25">
      <c r="A193" s="96" t="str">
        <f>'Data Vlaue (Cr)'!C184</f>
        <v>SRF</v>
      </c>
      <c r="B193" s="75">
        <f>VLOOKUP($A193,'Data Vlaue (Cr)'!$C:$FB,2)</f>
        <v>200</v>
      </c>
      <c r="C193" s="75">
        <f>VLOOKUP($A193,'Data Vlaue (Cr)'!$C:$FB,8)</f>
        <v>2735.9</v>
      </c>
      <c r="D193" s="75">
        <f>VLOOKUP($A193,'Data Vlaue (Cr)'!$C:$FB,4)</f>
        <v>2729.6</v>
      </c>
      <c r="E193" s="75">
        <f>VLOOKUP($A193,'Data Vlaue (Cr)'!$C:$FB,5)</f>
        <v>2680.3</v>
      </c>
      <c r="F193" s="75">
        <f t="shared" si="24"/>
        <v>-6.3000000000001819</v>
      </c>
      <c r="G193" s="75">
        <f t="shared" si="25"/>
        <v>1.8061254396248436</v>
      </c>
      <c r="H193" s="75">
        <f>VLOOKUP($A193,'Data Vlaue (Cr)'!$C:$FB,99)</f>
        <v>2211</v>
      </c>
      <c r="I193" s="75">
        <f>VLOOKUP($A193,'Data Vlaue (Cr)'!$C:$FB,100)</f>
        <v>2567</v>
      </c>
      <c r="J193" s="75">
        <f t="shared" si="26"/>
        <v>-356</v>
      </c>
      <c r="K193" s="75">
        <f t="shared" si="27"/>
        <v>-16.101311623699683</v>
      </c>
      <c r="L193" s="75">
        <f>VLOOKUP($A193,'Data Vlaue (Cr)'!$C:$FB,67)</f>
        <v>3309</v>
      </c>
      <c r="M193" s="75">
        <f>VLOOKUP($A193,'Data Vlaue (Cr)'!$C:$FB,68)</f>
        <v>12133</v>
      </c>
      <c r="N193" s="75">
        <f t="shared" si="28"/>
        <v>-8824</v>
      </c>
      <c r="O193" s="75">
        <f t="shared" si="29"/>
        <v>-266.66666666666663</v>
      </c>
      <c r="P193" s="75">
        <f>VLOOKUP($A193,'Data Vlaue (Cr)'!$C:$FB,119)</f>
        <v>0.5</v>
      </c>
      <c r="Q193" s="75">
        <f>VLOOKUP($A193,'Data Vlaue (Cr)'!$C:$FB,122)*100</f>
        <v>11.110000000000001</v>
      </c>
      <c r="R193" s="75">
        <f>VLOOKUP($A193,'Data Vlaue (Cr)'!$C:$FB,125)</f>
        <v>0.54</v>
      </c>
      <c r="S193" s="75">
        <f>VLOOKUP($A193,'Data Vlaue (Cr)'!$C:$FB,128)*100</f>
        <v>-50.91</v>
      </c>
    </row>
    <row r="194" spans="1:19" ht="13.9" customHeight="1" x14ac:dyDescent="0.25">
      <c r="A194" s="96" t="str">
        <f>'Data Vlaue (Cr)'!C185</f>
        <v>SUNPHARMA</v>
      </c>
      <c r="B194" s="75">
        <f>VLOOKUP($A194,'Data Vlaue (Cr)'!$C:$FB,2)</f>
        <v>350</v>
      </c>
      <c r="C194" s="75">
        <f>VLOOKUP($A194,'Data Vlaue (Cr)'!$C:$FB,8)</f>
        <v>1634.2</v>
      </c>
      <c r="D194" s="75">
        <f>VLOOKUP($A194,'Data Vlaue (Cr)'!$C:$FB,4)</f>
        <v>1635.4</v>
      </c>
      <c r="E194" s="75">
        <f>VLOOKUP($A194,'Data Vlaue (Cr)'!$C:$FB,5)</f>
        <v>1616.4</v>
      </c>
      <c r="F194" s="75">
        <f t="shared" ref="F194:F223" si="30">D194-C194</f>
        <v>1.2000000000000455</v>
      </c>
      <c r="G194" s="75">
        <f t="shared" ref="G194:G223" si="31">(D194-E194)/D194*100</f>
        <v>1.1617952794423383</v>
      </c>
      <c r="H194" s="75">
        <f>VLOOKUP($A194,'Data Vlaue (Cr)'!$C:$FB,99)</f>
        <v>6181</v>
      </c>
      <c r="I194" s="75">
        <f>VLOOKUP($A194,'Data Vlaue (Cr)'!$C:$FB,100)</f>
        <v>6267</v>
      </c>
      <c r="J194" s="75">
        <f t="shared" ref="J194:J223" si="32">H194-I194</f>
        <v>-86</v>
      </c>
      <c r="K194" s="75">
        <f t="shared" ref="K194:K223" si="33">J194/H194*100</f>
        <v>-1.391360621258696</v>
      </c>
      <c r="L194" s="75">
        <f>VLOOKUP($A194,'Data Vlaue (Cr)'!$C:$FB,67)</f>
        <v>5257</v>
      </c>
      <c r="M194" s="75">
        <f>VLOOKUP($A194,'Data Vlaue (Cr)'!$C:$FB,68)</f>
        <v>5543</v>
      </c>
      <c r="N194" s="75">
        <f t="shared" ref="N194:N223" si="34">L194-M194</f>
        <v>-286</v>
      </c>
      <c r="O194" s="75">
        <f t="shared" ref="O194:O223" si="35">N194/L194*100</f>
        <v>-5.4403652273159597</v>
      </c>
      <c r="P194" s="75">
        <f>VLOOKUP($A194,'Data Vlaue (Cr)'!$C:$FB,119)</f>
        <v>0.4</v>
      </c>
      <c r="Q194" s="75">
        <f>VLOOKUP($A194,'Data Vlaue (Cr)'!$C:$FB,122)*100</f>
        <v>-6.98</v>
      </c>
      <c r="R194" s="75">
        <f>VLOOKUP($A194,'Data Vlaue (Cr)'!$C:$FB,125)</f>
        <v>0.89</v>
      </c>
      <c r="S194" s="75">
        <f>VLOOKUP($A194,'Data Vlaue (Cr)'!$C:$FB,128)*100</f>
        <v>58.930000000000007</v>
      </c>
    </row>
    <row r="195" spans="1:19" x14ac:dyDescent="0.25">
      <c r="A195" s="96" t="str">
        <f>'Data Vlaue (Cr)'!C186</f>
        <v>SUPREMEIND</v>
      </c>
      <c r="B195" s="75">
        <f>VLOOKUP($A195,'Data Vlaue (Cr)'!$C:$FB,2)</f>
        <v>175</v>
      </c>
      <c r="C195" s="75">
        <f>VLOOKUP($A195,'Data Vlaue (Cr)'!$C:$FB,8)</f>
        <v>3487.8</v>
      </c>
      <c r="D195" s="75">
        <f>VLOOKUP($A195,'Data Vlaue (Cr)'!$C:$FB,4)</f>
        <v>3487.1</v>
      </c>
      <c r="E195" s="75">
        <f>VLOOKUP($A195,'Data Vlaue (Cr)'!$C:$FB,5)</f>
        <v>3349.8</v>
      </c>
      <c r="F195" s="75">
        <f t="shared" si="30"/>
        <v>-0.70000000000027285</v>
      </c>
      <c r="G195" s="75">
        <f t="shared" si="31"/>
        <v>3.9373691606205652</v>
      </c>
      <c r="H195" s="75">
        <f>VLOOKUP($A195,'Data Vlaue (Cr)'!$C:$FB,99)</f>
        <v>1308</v>
      </c>
      <c r="I195" s="75">
        <f>VLOOKUP($A195,'Data Vlaue (Cr)'!$C:$FB,100)</f>
        <v>1462</v>
      </c>
      <c r="J195" s="75">
        <f t="shared" si="32"/>
        <v>-154</v>
      </c>
      <c r="K195" s="75">
        <f t="shared" si="33"/>
        <v>-11.773700305810397</v>
      </c>
      <c r="L195" s="75">
        <f>VLOOKUP($A195,'Data Vlaue (Cr)'!$C:$FB,67)</f>
        <v>3029</v>
      </c>
      <c r="M195" s="75">
        <f>VLOOKUP($A195,'Data Vlaue (Cr)'!$C:$FB,68)</f>
        <v>5025</v>
      </c>
      <c r="N195" s="75">
        <f t="shared" si="34"/>
        <v>-1996</v>
      </c>
      <c r="O195" s="75">
        <f t="shared" si="35"/>
        <v>-65.896335424232419</v>
      </c>
      <c r="P195" s="75">
        <f>VLOOKUP($A195,'Data Vlaue (Cr)'!$C:$FB,119)</f>
        <v>0.98</v>
      </c>
      <c r="Q195" s="75">
        <f>VLOOKUP($A195,'Data Vlaue (Cr)'!$C:$FB,122)*100</f>
        <v>4.26</v>
      </c>
      <c r="R195" s="75">
        <f>VLOOKUP($A195,'Data Vlaue (Cr)'!$C:$FB,125)</f>
        <v>0.57999999999999996</v>
      </c>
      <c r="S195" s="75">
        <f>VLOOKUP($A195,'Data Vlaue (Cr)'!$C:$FB,128)*100</f>
        <v>-28.4</v>
      </c>
    </row>
    <row r="196" spans="1:19" x14ac:dyDescent="0.25">
      <c r="A196" s="96" t="str">
        <f>'Data Vlaue (Cr)'!C187</f>
        <v>SUZLON</v>
      </c>
      <c r="B196" s="75">
        <f>VLOOKUP($A196,'Data Vlaue (Cr)'!$C:$FB,2)</f>
        <v>9025</v>
      </c>
      <c r="C196" s="75">
        <f>VLOOKUP($A196,'Data Vlaue (Cr)'!$C:$FB,8)</f>
        <v>46.99</v>
      </c>
      <c r="D196" s="75">
        <f>VLOOKUP($A196,'Data Vlaue (Cr)'!$C:$FB,4)</f>
        <v>47.01</v>
      </c>
      <c r="E196" s="75">
        <f>VLOOKUP($A196,'Data Vlaue (Cr)'!$C:$FB,5)</f>
        <v>45.65</v>
      </c>
      <c r="F196" s="75">
        <f t="shared" si="30"/>
        <v>1.9999999999996021E-2</v>
      </c>
      <c r="G196" s="75">
        <f t="shared" si="31"/>
        <v>2.8930014890448827</v>
      </c>
      <c r="H196" s="75">
        <f>VLOOKUP($A196,'Data Vlaue (Cr)'!$C:$FB,99)</f>
        <v>3128</v>
      </c>
      <c r="I196" s="75">
        <f>VLOOKUP($A196,'Data Vlaue (Cr)'!$C:$FB,100)</f>
        <v>3226</v>
      </c>
      <c r="J196" s="75">
        <f t="shared" si="32"/>
        <v>-98</v>
      </c>
      <c r="K196" s="75">
        <f t="shared" si="33"/>
        <v>-3.1329923273657285</v>
      </c>
      <c r="L196" s="75">
        <f>VLOOKUP($A196,'Data Vlaue (Cr)'!$C:$FB,67)</f>
        <v>1813</v>
      </c>
      <c r="M196" s="75">
        <f>VLOOKUP($A196,'Data Vlaue (Cr)'!$C:$FB,68)</f>
        <v>2204</v>
      </c>
      <c r="N196" s="75">
        <f t="shared" si="34"/>
        <v>-391</v>
      </c>
      <c r="O196" s="75">
        <f t="shared" si="35"/>
        <v>-21.566464423607282</v>
      </c>
      <c r="P196" s="75">
        <f>VLOOKUP($A196,'Data Vlaue (Cr)'!$C:$FB,119)</f>
        <v>0.45</v>
      </c>
      <c r="Q196" s="75">
        <f>VLOOKUP($A196,'Data Vlaue (Cr)'!$C:$FB,122)*100</f>
        <v>9.76</v>
      </c>
      <c r="R196" s="75">
        <f>VLOOKUP($A196,'Data Vlaue (Cr)'!$C:$FB,125)</f>
        <v>0.36</v>
      </c>
      <c r="S196" s="75">
        <f>VLOOKUP($A196,'Data Vlaue (Cr)'!$C:$FB,128)*100</f>
        <v>-41.94</v>
      </c>
    </row>
    <row r="197" spans="1:19" x14ac:dyDescent="0.25">
      <c r="A197" s="96" t="str">
        <f>'Data Vlaue (Cr)'!C188</f>
        <v>SWIGGY</v>
      </c>
      <c r="B197" s="75">
        <f>VLOOKUP($A197,'Data Vlaue (Cr)'!$C:$FB,2)</f>
        <v>1300</v>
      </c>
      <c r="C197" s="75">
        <f>VLOOKUP($A197,'Data Vlaue (Cr)'!$C:$FB,8)</f>
        <v>320.3</v>
      </c>
      <c r="D197" s="75">
        <f>VLOOKUP($A197,'Data Vlaue (Cr)'!$C:$FB,4)</f>
        <v>319.8</v>
      </c>
      <c r="E197" s="75">
        <f>VLOOKUP($A197,'Data Vlaue (Cr)'!$C:$FB,5)</f>
        <v>336.25</v>
      </c>
      <c r="F197" s="75">
        <f t="shared" si="30"/>
        <v>-0.5</v>
      </c>
      <c r="G197" s="75">
        <f t="shared" si="31"/>
        <v>-5.1438398999374568</v>
      </c>
      <c r="H197" s="75">
        <f>VLOOKUP($A197,'Data Vlaue (Cr)'!$C:$FB,99)</f>
        <v>1558</v>
      </c>
      <c r="I197" s="75">
        <f>VLOOKUP($A197,'Data Vlaue (Cr)'!$C:$FB,100)</f>
        <v>1577</v>
      </c>
      <c r="J197" s="75">
        <f t="shared" si="32"/>
        <v>-19</v>
      </c>
      <c r="K197" s="75">
        <f t="shared" si="33"/>
        <v>-1.2195121951219512</v>
      </c>
      <c r="L197" s="75">
        <f>VLOOKUP($A197,'Data Vlaue (Cr)'!$C:$FB,67)</f>
        <v>2824</v>
      </c>
      <c r="M197" s="75">
        <f>VLOOKUP($A197,'Data Vlaue (Cr)'!$C:$FB,68)</f>
        <v>1977</v>
      </c>
      <c r="N197" s="75">
        <f t="shared" si="34"/>
        <v>847</v>
      </c>
      <c r="O197" s="75">
        <f t="shared" si="35"/>
        <v>29.992917847025495</v>
      </c>
      <c r="P197" s="75">
        <f>VLOOKUP($A197,'Data Vlaue (Cr)'!$C:$FB,119)</f>
        <v>0.63</v>
      </c>
      <c r="Q197" s="75">
        <f>VLOOKUP($A197,'Data Vlaue (Cr)'!$C:$FB,122)*100</f>
        <v>5</v>
      </c>
      <c r="R197" s="75">
        <f>VLOOKUP($A197,'Data Vlaue (Cr)'!$C:$FB,125)</f>
        <v>0.79</v>
      </c>
      <c r="S197" s="75">
        <f>VLOOKUP($A197,'Data Vlaue (Cr)'!$C:$FB,128)*100</f>
        <v>75.56</v>
      </c>
    </row>
    <row r="198" spans="1:19" x14ac:dyDescent="0.25">
      <c r="A198" s="96" t="str">
        <f>'Data Vlaue (Cr)'!C189</f>
        <v>SYNGENE</v>
      </c>
      <c r="B198" s="75">
        <f>VLOOKUP($A198,'Data Vlaue (Cr)'!$C:$FB,2)</f>
        <v>1000</v>
      </c>
      <c r="C198" s="75">
        <f>VLOOKUP($A198,'Data Vlaue (Cr)'!$C:$FB,8)</f>
        <v>592.6</v>
      </c>
      <c r="D198" s="75">
        <f>VLOOKUP($A198,'Data Vlaue (Cr)'!$C:$FB,4)</f>
        <v>591.35</v>
      </c>
      <c r="E198" s="75">
        <f>VLOOKUP($A198,'Data Vlaue (Cr)'!$C:$FB,5)</f>
        <v>601.54999999999995</v>
      </c>
      <c r="F198" s="75">
        <f t="shared" si="30"/>
        <v>-1.25</v>
      </c>
      <c r="G198" s="75">
        <f t="shared" si="31"/>
        <v>-1.7248668301344263</v>
      </c>
      <c r="H198" s="75">
        <f>VLOOKUP($A198,'Data Vlaue (Cr)'!$C:$FB,99)</f>
        <v>1092</v>
      </c>
      <c r="I198" s="75">
        <f>VLOOKUP($A198,'Data Vlaue (Cr)'!$C:$FB,100)</f>
        <v>1060</v>
      </c>
      <c r="J198" s="75">
        <f t="shared" si="32"/>
        <v>32</v>
      </c>
      <c r="K198" s="75">
        <f t="shared" si="33"/>
        <v>2.9304029304029302</v>
      </c>
      <c r="L198" s="75">
        <f>VLOOKUP($A198,'Data Vlaue (Cr)'!$C:$FB,67)</f>
        <v>1427</v>
      </c>
      <c r="M198" s="75">
        <f>VLOOKUP($A198,'Data Vlaue (Cr)'!$C:$FB,68)</f>
        <v>699</v>
      </c>
      <c r="N198" s="75">
        <f t="shared" si="34"/>
        <v>728</v>
      </c>
      <c r="O198" s="75">
        <f t="shared" si="35"/>
        <v>51.016117729502454</v>
      </c>
      <c r="P198" s="75">
        <f>VLOOKUP($A198,'Data Vlaue (Cr)'!$C:$FB,119)</f>
        <v>0.66</v>
      </c>
      <c r="Q198" s="75">
        <f>VLOOKUP($A198,'Data Vlaue (Cr)'!$C:$FB,122)*100</f>
        <v>17.86</v>
      </c>
      <c r="R198" s="75">
        <f>VLOOKUP($A198,'Data Vlaue (Cr)'!$C:$FB,125)</f>
        <v>1.21</v>
      </c>
      <c r="S198" s="75">
        <f>VLOOKUP($A198,'Data Vlaue (Cr)'!$C:$FB,128)*100</f>
        <v>105.08</v>
      </c>
    </row>
    <row r="199" spans="1:19" x14ac:dyDescent="0.25">
      <c r="A199" s="96" t="str">
        <f>'Data Vlaue (Cr)'!C190</f>
        <v>TATACONSUM</v>
      </c>
      <c r="B199" s="75">
        <f>VLOOKUP($A199,'Data Vlaue (Cr)'!$C:$FB,2)</f>
        <v>550</v>
      </c>
      <c r="C199" s="75">
        <f>VLOOKUP($A199,'Data Vlaue (Cr)'!$C:$FB,8)</f>
        <v>1175.2</v>
      </c>
      <c r="D199" s="75">
        <f>VLOOKUP($A199,'Data Vlaue (Cr)'!$C:$FB,4)</f>
        <v>1177.8</v>
      </c>
      <c r="E199" s="75">
        <f>VLOOKUP($A199,'Data Vlaue (Cr)'!$C:$FB,5)</f>
        <v>1164.5999999999999</v>
      </c>
      <c r="F199" s="75">
        <f t="shared" si="30"/>
        <v>2.5999999999999091</v>
      </c>
      <c r="G199" s="75">
        <f t="shared" si="31"/>
        <v>1.1207335710647008</v>
      </c>
      <c r="H199" s="75">
        <f>VLOOKUP($A199,'Data Vlaue (Cr)'!$C:$FB,99)</f>
        <v>2178</v>
      </c>
      <c r="I199" s="75">
        <f>VLOOKUP($A199,'Data Vlaue (Cr)'!$C:$FB,100)</f>
        <v>2258</v>
      </c>
      <c r="J199" s="75">
        <f t="shared" si="32"/>
        <v>-80</v>
      </c>
      <c r="K199" s="75">
        <f t="shared" si="33"/>
        <v>-3.6730945821854912</v>
      </c>
      <c r="L199" s="75">
        <f>VLOOKUP($A199,'Data Vlaue (Cr)'!$C:$FB,67)</f>
        <v>2305</v>
      </c>
      <c r="M199" s="75">
        <f>VLOOKUP($A199,'Data Vlaue (Cr)'!$C:$FB,68)</f>
        <v>2241</v>
      </c>
      <c r="N199" s="75">
        <f t="shared" si="34"/>
        <v>64</v>
      </c>
      <c r="O199" s="75">
        <f t="shared" si="35"/>
        <v>2.7765726681127982</v>
      </c>
      <c r="P199" s="75">
        <f>VLOOKUP($A199,'Data Vlaue (Cr)'!$C:$FB,119)</f>
        <v>0.72</v>
      </c>
      <c r="Q199" s="75">
        <f>VLOOKUP($A199,'Data Vlaue (Cr)'!$C:$FB,122)*100</f>
        <v>4.3499999999999996</v>
      </c>
      <c r="R199" s="75">
        <f>VLOOKUP($A199,'Data Vlaue (Cr)'!$C:$FB,125)</f>
        <v>0.62</v>
      </c>
      <c r="S199" s="75">
        <f>VLOOKUP($A199,'Data Vlaue (Cr)'!$C:$FB,128)*100</f>
        <v>31.91</v>
      </c>
    </row>
    <row r="200" spans="1:19" x14ac:dyDescent="0.25">
      <c r="A200" s="96" t="str">
        <f>'Data Vlaue (Cr)'!C191</f>
        <v>TATAELXSI</v>
      </c>
      <c r="B200" s="75">
        <f>VLOOKUP($A200,'Data Vlaue (Cr)'!$C:$FB,2)</f>
        <v>100</v>
      </c>
      <c r="C200" s="75">
        <f>VLOOKUP($A200,'Data Vlaue (Cr)'!$C:$FB,8)</f>
        <v>5464</v>
      </c>
      <c r="D200" s="75">
        <f>VLOOKUP($A200,'Data Vlaue (Cr)'!$C:$FB,4)</f>
        <v>5462</v>
      </c>
      <c r="E200" s="75">
        <f>VLOOKUP($A200,'Data Vlaue (Cr)'!$C:$FB,5)</f>
        <v>5342</v>
      </c>
      <c r="F200" s="75">
        <f t="shared" si="30"/>
        <v>-2</v>
      </c>
      <c r="G200" s="75">
        <f t="shared" si="31"/>
        <v>2.1969974368363236</v>
      </c>
      <c r="H200" s="75">
        <f>VLOOKUP($A200,'Data Vlaue (Cr)'!$C:$FB,99)</f>
        <v>2330</v>
      </c>
      <c r="I200" s="75">
        <f>VLOOKUP($A200,'Data Vlaue (Cr)'!$C:$FB,100)</f>
        <v>2548</v>
      </c>
      <c r="J200" s="75">
        <f t="shared" si="32"/>
        <v>-218</v>
      </c>
      <c r="K200" s="75">
        <f t="shared" si="33"/>
        <v>-9.3562231759656651</v>
      </c>
      <c r="L200" s="75">
        <f>VLOOKUP($A200,'Data Vlaue (Cr)'!$C:$FB,67)</f>
        <v>4205</v>
      </c>
      <c r="M200" s="75">
        <f>VLOOKUP($A200,'Data Vlaue (Cr)'!$C:$FB,68)</f>
        <v>3647</v>
      </c>
      <c r="N200" s="75">
        <f t="shared" si="34"/>
        <v>558</v>
      </c>
      <c r="O200" s="75">
        <f t="shared" si="35"/>
        <v>13.269916765755054</v>
      </c>
      <c r="P200" s="75">
        <f>VLOOKUP($A200,'Data Vlaue (Cr)'!$C:$FB,119)</f>
        <v>0.53</v>
      </c>
      <c r="Q200" s="75">
        <f>VLOOKUP($A200,'Data Vlaue (Cr)'!$C:$FB,122)*100</f>
        <v>-1.8499999999999999</v>
      </c>
      <c r="R200" s="75">
        <f>VLOOKUP($A200,'Data Vlaue (Cr)'!$C:$FB,125)</f>
        <v>0.48</v>
      </c>
      <c r="S200" s="75">
        <f>VLOOKUP($A200,'Data Vlaue (Cr)'!$C:$FB,128)*100</f>
        <v>-20</v>
      </c>
    </row>
    <row r="201" spans="1:19" x14ac:dyDescent="0.25">
      <c r="A201" s="96" t="str">
        <f>'Data Vlaue (Cr)'!C192</f>
        <v>TATAPOWER</v>
      </c>
      <c r="B201" s="75">
        <f>VLOOKUP($A201,'Data Vlaue (Cr)'!$C:$FB,2)</f>
        <v>1450</v>
      </c>
      <c r="C201" s="75">
        <f>VLOOKUP($A201,'Data Vlaue (Cr)'!$C:$FB,8)</f>
        <v>353.3</v>
      </c>
      <c r="D201" s="75">
        <f>VLOOKUP($A201,'Data Vlaue (Cr)'!$C:$FB,4)</f>
        <v>353.5</v>
      </c>
      <c r="E201" s="75">
        <f>VLOOKUP($A201,'Data Vlaue (Cr)'!$C:$FB,5)</f>
        <v>350.15</v>
      </c>
      <c r="F201" s="75">
        <f t="shared" si="30"/>
        <v>0.19999999999998863</v>
      </c>
      <c r="G201" s="75">
        <f t="shared" si="31"/>
        <v>0.94766619519095419</v>
      </c>
      <c r="H201" s="75">
        <f>VLOOKUP($A201,'Data Vlaue (Cr)'!$C:$FB,99)</f>
        <v>4742</v>
      </c>
      <c r="I201" s="75">
        <f>VLOOKUP($A201,'Data Vlaue (Cr)'!$C:$FB,100)</f>
        <v>4605</v>
      </c>
      <c r="J201" s="75">
        <f t="shared" si="32"/>
        <v>137</v>
      </c>
      <c r="K201" s="75">
        <f t="shared" si="33"/>
        <v>2.8890763390974272</v>
      </c>
      <c r="L201" s="75">
        <f>VLOOKUP($A201,'Data Vlaue (Cr)'!$C:$FB,67)</f>
        <v>3226</v>
      </c>
      <c r="M201" s="75">
        <f>VLOOKUP($A201,'Data Vlaue (Cr)'!$C:$FB,68)</f>
        <v>3528</v>
      </c>
      <c r="N201" s="75">
        <f t="shared" si="34"/>
        <v>-302</v>
      </c>
      <c r="O201" s="75">
        <f t="shared" si="35"/>
        <v>-9.3614383137011767</v>
      </c>
      <c r="P201" s="75">
        <f>VLOOKUP($A201,'Data Vlaue (Cr)'!$C:$FB,119)</f>
        <v>0.8</v>
      </c>
      <c r="Q201" s="75">
        <f>VLOOKUP($A201,'Data Vlaue (Cr)'!$C:$FB,122)*100</f>
        <v>5.26</v>
      </c>
      <c r="R201" s="75">
        <f>VLOOKUP($A201,'Data Vlaue (Cr)'!$C:$FB,125)</f>
        <v>0.56000000000000005</v>
      </c>
      <c r="S201" s="75">
        <f>VLOOKUP($A201,'Data Vlaue (Cr)'!$C:$FB,128)*100</f>
        <v>-3.45</v>
      </c>
    </row>
    <row r="202" spans="1:19" x14ac:dyDescent="0.25">
      <c r="A202" s="96" t="str">
        <f>'Data Vlaue (Cr)'!C193</f>
        <v>TATASTEEL</v>
      </c>
      <c r="B202" s="75">
        <f>VLOOKUP($A202,'Data Vlaue (Cr)'!$C:$FB,2)</f>
        <v>5500</v>
      </c>
      <c r="C202" s="75">
        <f>VLOOKUP($A202,'Data Vlaue (Cr)'!$C:$FB,8)</f>
        <v>189.1</v>
      </c>
      <c r="D202" s="75">
        <f>VLOOKUP($A202,'Data Vlaue (Cr)'!$C:$FB,4)</f>
        <v>189.15</v>
      </c>
      <c r="E202" s="75">
        <f>VLOOKUP($A202,'Data Vlaue (Cr)'!$C:$FB,5)</f>
        <v>184.56</v>
      </c>
      <c r="F202" s="75">
        <f t="shared" si="30"/>
        <v>5.0000000000011369E-2</v>
      </c>
      <c r="G202" s="75">
        <f t="shared" si="31"/>
        <v>2.4266455194290262</v>
      </c>
      <c r="H202" s="75">
        <f>VLOOKUP($A202,'Data Vlaue (Cr)'!$C:$FB,99)</f>
        <v>9767</v>
      </c>
      <c r="I202" s="75">
        <f>VLOOKUP($A202,'Data Vlaue (Cr)'!$C:$FB,100)</f>
        <v>9614</v>
      </c>
      <c r="J202" s="75">
        <f t="shared" si="32"/>
        <v>153</v>
      </c>
      <c r="K202" s="75">
        <f t="shared" si="33"/>
        <v>1.5664994368792873</v>
      </c>
      <c r="L202" s="75">
        <f>VLOOKUP($A202,'Data Vlaue (Cr)'!$C:$FB,67)</f>
        <v>13783</v>
      </c>
      <c r="M202" s="75">
        <f>VLOOKUP($A202,'Data Vlaue (Cr)'!$C:$FB,68)</f>
        <v>9987</v>
      </c>
      <c r="N202" s="75">
        <f t="shared" si="34"/>
        <v>3796</v>
      </c>
      <c r="O202" s="75">
        <f t="shared" si="35"/>
        <v>27.541173909888993</v>
      </c>
      <c r="P202" s="75">
        <f>VLOOKUP($A202,'Data Vlaue (Cr)'!$C:$FB,119)</f>
        <v>0.82</v>
      </c>
      <c r="Q202" s="75">
        <f>VLOOKUP($A202,'Data Vlaue (Cr)'!$C:$FB,122)*100</f>
        <v>17.14</v>
      </c>
      <c r="R202" s="75">
        <f>VLOOKUP($A202,'Data Vlaue (Cr)'!$C:$FB,125)</f>
        <v>0.56999999999999995</v>
      </c>
      <c r="S202" s="75">
        <f>VLOOKUP($A202,'Data Vlaue (Cr)'!$C:$FB,128)*100</f>
        <v>0</v>
      </c>
    </row>
    <row r="203" spans="1:19" x14ac:dyDescent="0.25">
      <c r="A203" s="96" t="str">
        <f>'Data Vlaue (Cr)'!C194</f>
        <v>TATATECH</v>
      </c>
      <c r="B203" s="75">
        <f>VLOOKUP($A203,'Data Vlaue (Cr)'!$C:$FB,2)</f>
        <v>800</v>
      </c>
      <c r="C203" s="75">
        <f>VLOOKUP($A203,'Data Vlaue (Cr)'!$C:$FB,8)</f>
        <v>652.15</v>
      </c>
      <c r="D203" s="75">
        <f>VLOOKUP($A203,'Data Vlaue (Cr)'!$C:$FB,4)</f>
        <v>654.20000000000005</v>
      </c>
      <c r="E203" s="75">
        <f>VLOOKUP($A203,'Data Vlaue (Cr)'!$C:$FB,5)</f>
        <v>646</v>
      </c>
      <c r="F203" s="75">
        <f t="shared" si="30"/>
        <v>2.0500000000000682</v>
      </c>
      <c r="G203" s="75">
        <f t="shared" si="31"/>
        <v>1.253439315194137</v>
      </c>
      <c r="H203" s="75">
        <f>VLOOKUP($A203,'Data Vlaue (Cr)'!$C:$FB,99)</f>
        <v>1577</v>
      </c>
      <c r="I203" s="75">
        <f>VLOOKUP($A203,'Data Vlaue (Cr)'!$C:$FB,100)</f>
        <v>1605</v>
      </c>
      <c r="J203" s="75">
        <f t="shared" si="32"/>
        <v>-28</v>
      </c>
      <c r="K203" s="75">
        <f t="shared" si="33"/>
        <v>-1.7755231452124285</v>
      </c>
      <c r="L203" s="75">
        <f>VLOOKUP($A203,'Data Vlaue (Cr)'!$C:$FB,67)</f>
        <v>1430</v>
      </c>
      <c r="M203" s="75">
        <f>VLOOKUP($A203,'Data Vlaue (Cr)'!$C:$FB,68)</f>
        <v>1708</v>
      </c>
      <c r="N203" s="75">
        <f t="shared" si="34"/>
        <v>-278</v>
      </c>
      <c r="O203" s="75">
        <f t="shared" si="35"/>
        <v>-19.44055944055944</v>
      </c>
      <c r="P203" s="75">
        <f>VLOOKUP($A203,'Data Vlaue (Cr)'!$C:$FB,119)</f>
        <v>0.62</v>
      </c>
      <c r="Q203" s="75">
        <f>VLOOKUP($A203,'Data Vlaue (Cr)'!$C:$FB,122)*100</f>
        <v>-3.1300000000000003</v>
      </c>
      <c r="R203" s="75">
        <f>VLOOKUP($A203,'Data Vlaue (Cr)'!$C:$FB,125)</f>
        <v>0.65</v>
      </c>
      <c r="S203" s="75">
        <f>VLOOKUP($A203,'Data Vlaue (Cr)'!$C:$FB,128)*100</f>
        <v>-12.16</v>
      </c>
    </row>
    <row r="204" spans="1:19" x14ac:dyDescent="0.25">
      <c r="A204" s="96" t="str">
        <f>'Data Vlaue (Cr)'!C195</f>
        <v>TCS</v>
      </c>
      <c r="B204" s="75">
        <f>VLOOKUP($A204,'Data Vlaue (Cr)'!$C:$FB,2)</f>
        <v>175</v>
      </c>
      <c r="C204" s="75">
        <f>VLOOKUP($A204,'Data Vlaue (Cr)'!$C:$FB,8)</f>
        <v>3150.4</v>
      </c>
      <c r="D204" s="75">
        <f>VLOOKUP($A204,'Data Vlaue (Cr)'!$C:$FB,4)</f>
        <v>3152.7</v>
      </c>
      <c r="E204" s="75">
        <f>VLOOKUP($A204,'Data Vlaue (Cr)'!$C:$FB,5)</f>
        <v>3125.2</v>
      </c>
      <c r="F204" s="75">
        <f t="shared" si="30"/>
        <v>2.2999999999997272</v>
      </c>
      <c r="G204" s="75">
        <f t="shared" si="31"/>
        <v>0.87226821454626202</v>
      </c>
      <c r="H204" s="75">
        <f>VLOOKUP($A204,'Data Vlaue (Cr)'!$C:$FB,99)</f>
        <v>13763</v>
      </c>
      <c r="I204" s="75">
        <f>VLOOKUP($A204,'Data Vlaue (Cr)'!$C:$FB,100)</f>
        <v>14225</v>
      </c>
      <c r="J204" s="75">
        <f t="shared" si="32"/>
        <v>-462</v>
      </c>
      <c r="K204" s="75">
        <f t="shared" si="33"/>
        <v>-3.3568262733415679</v>
      </c>
      <c r="L204" s="75">
        <f>VLOOKUP($A204,'Data Vlaue (Cr)'!$C:$FB,67)</f>
        <v>12851</v>
      </c>
      <c r="M204" s="75">
        <f>VLOOKUP($A204,'Data Vlaue (Cr)'!$C:$FB,68)</f>
        <v>18537</v>
      </c>
      <c r="N204" s="75">
        <f t="shared" si="34"/>
        <v>-5686</v>
      </c>
      <c r="O204" s="75">
        <f t="shared" si="35"/>
        <v>-44.245584001245042</v>
      </c>
      <c r="P204" s="75">
        <f>VLOOKUP($A204,'Data Vlaue (Cr)'!$C:$FB,119)</f>
        <v>0.52</v>
      </c>
      <c r="Q204" s="75">
        <f>VLOOKUP($A204,'Data Vlaue (Cr)'!$C:$FB,122)*100</f>
        <v>4</v>
      </c>
      <c r="R204" s="75">
        <f>VLOOKUP($A204,'Data Vlaue (Cr)'!$C:$FB,125)</f>
        <v>0.6</v>
      </c>
      <c r="S204" s="75">
        <f>VLOOKUP($A204,'Data Vlaue (Cr)'!$C:$FB,128)*100</f>
        <v>-7.6899999999999995</v>
      </c>
    </row>
    <row r="205" spans="1:19" x14ac:dyDescent="0.25">
      <c r="A205" s="96" t="str">
        <f>'Data Vlaue (Cr)'!C196</f>
        <v>TECHM</v>
      </c>
      <c r="B205" s="75">
        <f>VLOOKUP($A205,'Data Vlaue (Cr)'!$C:$FB,2)</f>
        <v>600</v>
      </c>
      <c r="C205" s="75">
        <f>VLOOKUP($A205,'Data Vlaue (Cr)'!$C:$FB,8)</f>
        <v>1687.4</v>
      </c>
      <c r="D205" s="75">
        <f>VLOOKUP($A205,'Data Vlaue (Cr)'!$C:$FB,4)</f>
        <v>1690.4</v>
      </c>
      <c r="E205" s="75">
        <f>VLOOKUP($A205,'Data Vlaue (Cr)'!$C:$FB,5)</f>
        <v>1687.7</v>
      </c>
      <c r="F205" s="75">
        <f t="shared" si="30"/>
        <v>3</v>
      </c>
      <c r="G205" s="75">
        <f t="shared" si="31"/>
        <v>0.15972550875532684</v>
      </c>
      <c r="H205" s="75">
        <f>VLOOKUP($A205,'Data Vlaue (Cr)'!$C:$FB,99)</f>
        <v>5379</v>
      </c>
      <c r="I205" s="75">
        <f>VLOOKUP($A205,'Data Vlaue (Cr)'!$C:$FB,100)</f>
        <v>5373</v>
      </c>
      <c r="J205" s="75">
        <f t="shared" si="32"/>
        <v>6</v>
      </c>
      <c r="K205" s="75">
        <f t="shared" si="33"/>
        <v>0.11154489682097045</v>
      </c>
      <c r="L205" s="75">
        <f>VLOOKUP($A205,'Data Vlaue (Cr)'!$C:$FB,67)</f>
        <v>7474</v>
      </c>
      <c r="M205" s="75">
        <f>VLOOKUP($A205,'Data Vlaue (Cr)'!$C:$FB,68)</f>
        <v>5170</v>
      </c>
      <c r="N205" s="75">
        <f t="shared" si="34"/>
        <v>2304</v>
      </c>
      <c r="O205" s="75">
        <f t="shared" si="35"/>
        <v>30.826866470430826</v>
      </c>
      <c r="P205" s="75">
        <f>VLOOKUP($A205,'Data Vlaue (Cr)'!$C:$FB,119)</f>
        <v>0.73</v>
      </c>
      <c r="Q205" s="75">
        <f>VLOOKUP($A205,'Data Vlaue (Cr)'!$C:$FB,122)*100</f>
        <v>-3.95</v>
      </c>
      <c r="R205" s="75">
        <f>VLOOKUP($A205,'Data Vlaue (Cr)'!$C:$FB,125)</f>
        <v>0.52</v>
      </c>
      <c r="S205" s="75">
        <f>VLOOKUP($A205,'Data Vlaue (Cr)'!$C:$FB,128)*100</f>
        <v>-29.73</v>
      </c>
    </row>
    <row r="206" spans="1:19" x14ac:dyDescent="0.25">
      <c r="A206" s="96" t="str">
        <f>'Data Vlaue (Cr)'!C197</f>
        <v>TIINDIA</v>
      </c>
      <c r="B206" s="75">
        <f>VLOOKUP($A206,'Data Vlaue (Cr)'!$C:$FB,2)</f>
        <v>200</v>
      </c>
      <c r="C206" s="75">
        <f>VLOOKUP($A206,'Data Vlaue (Cr)'!$C:$FB,8)</f>
        <v>2296.8000000000002</v>
      </c>
      <c r="D206" s="75">
        <f>VLOOKUP($A206,'Data Vlaue (Cr)'!$C:$FB,4)</f>
        <v>2302.1999999999998</v>
      </c>
      <c r="E206" s="75">
        <f>VLOOKUP($A206,'Data Vlaue (Cr)'!$C:$FB,5)</f>
        <v>2274</v>
      </c>
      <c r="F206" s="75">
        <f t="shared" si="30"/>
        <v>5.3999999999996362</v>
      </c>
      <c r="G206" s="75">
        <f t="shared" si="31"/>
        <v>1.2249152984102085</v>
      </c>
      <c r="H206" s="75">
        <f>VLOOKUP($A206,'Data Vlaue (Cr)'!$C:$FB,99)</f>
        <v>1326</v>
      </c>
      <c r="I206" s="75">
        <f>VLOOKUP($A206,'Data Vlaue (Cr)'!$C:$FB,100)</f>
        <v>1348</v>
      </c>
      <c r="J206" s="75">
        <f t="shared" si="32"/>
        <v>-22</v>
      </c>
      <c r="K206" s="75">
        <f t="shared" si="33"/>
        <v>-1.6591251885369533</v>
      </c>
      <c r="L206" s="75">
        <f>VLOOKUP($A206,'Data Vlaue (Cr)'!$C:$FB,67)</f>
        <v>881</v>
      </c>
      <c r="M206" s="75">
        <f>VLOOKUP($A206,'Data Vlaue (Cr)'!$C:$FB,68)</f>
        <v>942</v>
      </c>
      <c r="N206" s="75">
        <f t="shared" si="34"/>
        <v>-61</v>
      </c>
      <c r="O206" s="75">
        <f t="shared" si="35"/>
        <v>-6.9239500567536885</v>
      </c>
      <c r="P206" s="75">
        <f>VLOOKUP($A206,'Data Vlaue (Cr)'!$C:$FB,119)</f>
        <v>0.83</v>
      </c>
      <c r="Q206" s="75">
        <f>VLOOKUP($A206,'Data Vlaue (Cr)'!$C:$FB,122)*100</f>
        <v>5.0599999999999996</v>
      </c>
      <c r="R206" s="75">
        <f>VLOOKUP($A206,'Data Vlaue (Cr)'!$C:$FB,125)</f>
        <v>0.49</v>
      </c>
      <c r="S206" s="75">
        <f>VLOOKUP($A206,'Data Vlaue (Cr)'!$C:$FB,128)*100</f>
        <v>-25.759999999999998</v>
      </c>
    </row>
    <row r="207" spans="1:19" x14ac:dyDescent="0.25">
      <c r="A207" s="96" t="str">
        <f>'Data Vlaue (Cr)'!C198</f>
        <v>TITAN</v>
      </c>
      <c r="B207" s="75">
        <f>VLOOKUP($A207,'Data Vlaue (Cr)'!$C:$FB,2)</f>
        <v>175</v>
      </c>
      <c r="C207" s="75">
        <f>VLOOKUP($A207,'Data Vlaue (Cr)'!$C:$FB,8)</f>
        <v>4018.6</v>
      </c>
      <c r="D207" s="75">
        <f>VLOOKUP($A207,'Data Vlaue (Cr)'!$C:$FB,4)</f>
        <v>4015.9</v>
      </c>
      <c r="E207" s="75">
        <f>VLOOKUP($A207,'Data Vlaue (Cr)'!$C:$FB,5)</f>
        <v>4076</v>
      </c>
      <c r="F207" s="75">
        <f t="shared" si="30"/>
        <v>-2.6999999999998181</v>
      </c>
      <c r="G207" s="75">
        <f t="shared" si="31"/>
        <v>-1.4965512089444435</v>
      </c>
      <c r="H207" s="75">
        <f>VLOOKUP($A207,'Data Vlaue (Cr)'!$C:$FB,99)</f>
        <v>7263</v>
      </c>
      <c r="I207" s="75">
        <f>VLOOKUP($A207,'Data Vlaue (Cr)'!$C:$FB,100)</f>
        <v>7083</v>
      </c>
      <c r="J207" s="75">
        <f t="shared" si="32"/>
        <v>180</v>
      </c>
      <c r="K207" s="75">
        <f t="shared" si="33"/>
        <v>2.4783147459727388</v>
      </c>
      <c r="L207" s="75">
        <f>VLOOKUP($A207,'Data Vlaue (Cr)'!$C:$FB,67)</f>
        <v>10576</v>
      </c>
      <c r="M207" s="75">
        <f>VLOOKUP($A207,'Data Vlaue (Cr)'!$C:$FB,68)</f>
        <v>6119</v>
      </c>
      <c r="N207" s="75">
        <f t="shared" si="34"/>
        <v>4457</v>
      </c>
      <c r="O207" s="75">
        <f t="shared" si="35"/>
        <v>42.142586989409985</v>
      </c>
      <c r="P207" s="75">
        <f>VLOOKUP($A207,'Data Vlaue (Cr)'!$C:$FB,119)</f>
        <v>0.56999999999999995</v>
      </c>
      <c r="Q207" s="75">
        <f>VLOOKUP($A207,'Data Vlaue (Cr)'!$C:$FB,122)*100</f>
        <v>-9.5200000000000014</v>
      </c>
      <c r="R207" s="75">
        <f>VLOOKUP($A207,'Data Vlaue (Cr)'!$C:$FB,125)</f>
        <v>0.74</v>
      </c>
      <c r="S207" s="75">
        <f>VLOOKUP($A207,'Data Vlaue (Cr)'!$C:$FB,128)*100</f>
        <v>-5.13</v>
      </c>
    </row>
    <row r="208" spans="1:19" x14ac:dyDescent="0.25">
      <c r="A208" s="96" t="str">
        <f>'Data Vlaue (Cr)'!C199</f>
        <v>TMPV</v>
      </c>
      <c r="B208" s="75">
        <f>VLOOKUP($A208,'Data Vlaue (Cr)'!$C:$FB,2)</f>
        <v>800</v>
      </c>
      <c r="C208" s="75">
        <f>VLOOKUP($A208,'Data Vlaue (Cr)'!$C:$FB,8)</f>
        <v>347.3</v>
      </c>
      <c r="D208" s="75">
        <f>VLOOKUP($A208,'Data Vlaue (Cr)'!$C:$FB,4)</f>
        <v>348.3</v>
      </c>
      <c r="E208" s="75">
        <f>VLOOKUP($A208,'Data Vlaue (Cr)'!$C:$FB,5)</f>
        <v>339.1</v>
      </c>
      <c r="F208" s="75">
        <f t="shared" si="30"/>
        <v>1</v>
      </c>
      <c r="G208" s="75">
        <f t="shared" si="31"/>
        <v>2.6414010910134906</v>
      </c>
      <c r="H208" s="75">
        <f>VLOOKUP($A208,'Data Vlaue (Cr)'!$C:$FB,99)</f>
        <v>5895</v>
      </c>
      <c r="I208" s="75">
        <f>VLOOKUP($A208,'Data Vlaue (Cr)'!$C:$FB,100)</f>
        <v>6045</v>
      </c>
      <c r="J208" s="75">
        <f t="shared" si="32"/>
        <v>-150</v>
      </c>
      <c r="K208" s="75">
        <f t="shared" si="33"/>
        <v>-2.5445292620865136</v>
      </c>
      <c r="L208" s="75">
        <f>VLOOKUP($A208,'Data Vlaue (Cr)'!$C:$FB,67)</f>
        <v>7611</v>
      </c>
      <c r="M208" s="75">
        <f>VLOOKUP($A208,'Data Vlaue (Cr)'!$C:$FB,68)</f>
        <v>6076</v>
      </c>
      <c r="N208" s="75">
        <f t="shared" si="34"/>
        <v>1535</v>
      </c>
      <c r="O208" s="75">
        <f t="shared" si="35"/>
        <v>20.168177637629746</v>
      </c>
      <c r="P208" s="75">
        <f>VLOOKUP($A208,'Data Vlaue (Cr)'!$C:$FB,119)</f>
        <v>0.56000000000000005</v>
      </c>
      <c r="Q208" s="75">
        <f>VLOOKUP($A208,'Data Vlaue (Cr)'!$C:$FB,122)*100</f>
        <v>9.8000000000000007</v>
      </c>
      <c r="R208" s="75">
        <f>VLOOKUP($A208,'Data Vlaue (Cr)'!$C:$FB,125)</f>
        <v>0.47</v>
      </c>
      <c r="S208" s="75">
        <f>VLOOKUP($A208,'Data Vlaue (Cr)'!$C:$FB,128)*100</f>
        <v>-22.95</v>
      </c>
    </row>
    <row r="209" spans="1:19" x14ac:dyDescent="0.25">
      <c r="A209" s="96" t="str">
        <f>'Data Vlaue (Cr)'!C200</f>
        <v>TORNTPHARM</v>
      </c>
      <c r="B209" s="75">
        <f>VLOOKUP($A209,'Data Vlaue (Cr)'!$C:$FB,2)</f>
        <v>250</v>
      </c>
      <c r="C209" s="75">
        <f>VLOOKUP($A209,'Data Vlaue (Cr)'!$C:$FB,8)</f>
        <v>4020.5</v>
      </c>
      <c r="D209" s="75">
        <f>VLOOKUP($A209,'Data Vlaue (Cr)'!$C:$FB,4)</f>
        <v>4019.7</v>
      </c>
      <c r="E209" s="75">
        <f>VLOOKUP($A209,'Data Vlaue (Cr)'!$C:$FB,5)</f>
        <v>3977.3</v>
      </c>
      <c r="F209" s="75">
        <f t="shared" si="30"/>
        <v>-0.8000000000001819</v>
      </c>
      <c r="G209" s="75">
        <f t="shared" si="31"/>
        <v>1.0548050849565798</v>
      </c>
      <c r="H209" s="75">
        <f>VLOOKUP($A209,'Data Vlaue (Cr)'!$C:$FB,99)</f>
        <v>1423</v>
      </c>
      <c r="I209" s="75">
        <f>VLOOKUP($A209,'Data Vlaue (Cr)'!$C:$FB,100)</f>
        <v>1396</v>
      </c>
      <c r="J209" s="75">
        <f t="shared" si="32"/>
        <v>27</v>
      </c>
      <c r="K209" s="75">
        <f t="shared" si="33"/>
        <v>1.8973998594518624</v>
      </c>
      <c r="L209" s="75">
        <f>VLOOKUP($A209,'Data Vlaue (Cr)'!$C:$FB,67)</f>
        <v>1142</v>
      </c>
      <c r="M209" s="75">
        <f>VLOOKUP($A209,'Data Vlaue (Cr)'!$C:$FB,68)</f>
        <v>1274</v>
      </c>
      <c r="N209" s="75">
        <f t="shared" si="34"/>
        <v>-132</v>
      </c>
      <c r="O209" s="75">
        <f t="shared" si="35"/>
        <v>-11.558669001751314</v>
      </c>
      <c r="P209" s="75">
        <f>VLOOKUP($A209,'Data Vlaue (Cr)'!$C:$FB,119)</f>
        <v>0.84</v>
      </c>
      <c r="Q209" s="75">
        <f>VLOOKUP($A209,'Data Vlaue (Cr)'!$C:$FB,122)*100</f>
        <v>10.530000000000001</v>
      </c>
      <c r="R209" s="75">
        <f>VLOOKUP($A209,'Data Vlaue (Cr)'!$C:$FB,125)</f>
        <v>0.77</v>
      </c>
      <c r="S209" s="75">
        <f>VLOOKUP($A209,'Data Vlaue (Cr)'!$C:$FB,128)*100</f>
        <v>37.5</v>
      </c>
    </row>
    <row r="210" spans="1:19" x14ac:dyDescent="0.25">
      <c r="A210" s="96" t="str">
        <f>'Data Vlaue (Cr)'!C201</f>
        <v>TORNTPOWER</v>
      </c>
      <c r="B210" s="75">
        <f>VLOOKUP($A210,'Data Vlaue (Cr)'!$C:$FB,2)</f>
        <v>425</v>
      </c>
      <c r="C210" s="75">
        <f>VLOOKUP($A210,'Data Vlaue (Cr)'!$C:$FB,8)</f>
        <v>1321.4</v>
      </c>
      <c r="D210" s="75">
        <f>VLOOKUP($A210,'Data Vlaue (Cr)'!$C:$FB,4)</f>
        <v>1322.1</v>
      </c>
      <c r="E210" s="75">
        <f>VLOOKUP($A210,'Data Vlaue (Cr)'!$C:$FB,5)</f>
        <v>1303.3</v>
      </c>
      <c r="F210" s="75">
        <f t="shared" si="30"/>
        <v>0.6999999999998181</v>
      </c>
      <c r="G210" s="75">
        <f t="shared" si="31"/>
        <v>1.4219801830421266</v>
      </c>
      <c r="H210" s="75">
        <f>VLOOKUP($A210,'Data Vlaue (Cr)'!$C:$FB,99)</f>
        <v>748</v>
      </c>
      <c r="I210" s="75">
        <f>VLOOKUP($A210,'Data Vlaue (Cr)'!$C:$FB,100)</f>
        <v>771</v>
      </c>
      <c r="J210" s="75">
        <f t="shared" si="32"/>
        <v>-23</v>
      </c>
      <c r="K210" s="75">
        <f t="shared" si="33"/>
        <v>-3.0748663101604281</v>
      </c>
      <c r="L210" s="75">
        <f>VLOOKUP($A210,'Data Vlaue (Cr)'!$C:$FB,67)</f>
        <v>539</v>
      </c>
      <c r="M210" s="75">
        <f>VLOOKUP($A210,'Data Vlaue (Cr)'!$C:$FB,68)</f>
        <v>737</v>
      </c>
      <c r="N210" s="75">
        <f t="shared" si="34"/>
        <v>-198</v>
      </c>
      <c r="O210" s="75">
        <f t="shared" si="35"/>
        <v>-36.734693877551024</v>
      </c>
      <c r="P210" s="75">
        <f>VLOOKUP($A210,'Data Vlaue (Cr)'!$C:$FB,119)</f>
        <v>0.73</v>
      </c>
      <c r="Q210" s="75">
        <f>VLOOKUP($A210,'Data Vlaue (Cr)'!$C:$FB,122)*100</f>
        <v>5.8000000000000007</v>
      </c>
      <c r="R210" s="75">
        <f>VLOOKUP($A210,'Data Vlaue (Cr)'!$C:$FB,125)</f>
        <v>0.39</v>
      </c>
      <c r="S210" s="75">
        <f>VLOOKUP($A210,'Data Vlaue (Cr)'!$C:$FB,128)*100</f>
        <v>-55.679999999999993</v>
      </c>
    </row>
    <row r="211" spans="1:19" x14ac:dyDescent="0.25">
      <c r="A211" s="96" t="str">
        <f>'Data Vlaue (Cr)'!C202</f>
        <v>TRENT</v>
      </c>
      <c r="B211" s="75">
        <f>VLOOKUP($A211,'Data Vlaue (Cr)'!$C:$FB,2)</f>
        <v>100</v>
      </c>
      <c r="C211" s="75">
        <f>VLOOKUP($A211,'Data Vlaue (Cr)'!$C:$FB,8)</f>
        <v>3803.8</v>
      </c>
      <c r="D211" s="75">
        <f>VLOOKUP($A211,'Data Vlaue (Cr)'!$C:$FB,4)</f>
        <v>3810.1</v>
      </c>
      <c r="E211" s="75">
        <f>VLOOKUP($A211,'Data Vlaue (Cr)'!$C:$FB,5)</f>
        <v>3768.8</v>
      </c>
      <c r="F211" s="75">
        <f t="shared" si="30"/>
        <v>6.2999999999997272</v>
      </c>
      <c r="G211" s="75">
        <f t="shared" si="31"/>
        <v>1.0839610508910458</v>
      </c>
      <c r="H211" s="75">
        <f>VLOOKUP($A211,'Data Vlaue (Cr)'!$C:$FB,99)</f>
        <v>7429</v>
      </c>
      <c r="I211" s="75">
        <f>VLOOKUP($A211,'Data Vlaue (Cr)'!$C:$FB,100)</f>
        <v>7472</v>
      </c>
      <c r="J211" s="75">
        <f t="shared" si="32"/>
        <v>-43</v>
      </c>
      <c r="K211" s="75">
        <f t="shared" si="33"/>
        <v>-0.57881276080226141</v>
      </c>
      <c r="L211" s="75">
        <f>VLOOKUP($A211,'Data Vlaue (Cr)'!$C:$FB,67)</f>
        <v>7376</v>
      </c>
      <c r="M211" s="75">
        <f>VLOOKUP($A211,'Data Vlaue (Cr)'!$C:$FB,68)</f>
        <v>8770</v>
      </c>
      <c r="N211" s="75">
        <f t="shared" si="34"/>
        <v>-1394</v>
      </c>
      <c r="O211" s="75">
        <f t="shared" si="35"/>
        <v>-18.899132321041215</v>
      </c>
      <c r="P211" s="75">
        <f>VLOOKUP($A211,'Data Vlaue (Cr)'!$C:$FB,119)</f>
        <v>0.55000000000000004</v>
      </c>
      <c r="Q211" s="75">
        <f>VLOOKUP($A211,'Data Vlaue (Cr)'!$C:$FB,122)*100</f>
        <v>0</v>
      </c>
      <c r="R211" s="75">
        <f>VLOOKUP($A211,'Data Vlaue (Cr)'!$C:$FB,125)</f>
        <v>0.44</v>
      </c>
      <c r="S211" s="75">
        <f>VLOOKUP($A211,'Data Vlaue (Cr)'!$C:$FB,128)*100</f>
        <v>-31.25</v>
      </c>
    </row>
    <row r="212" spans="1:19" x14ac:dyDescent="0.25">
      <c r="A212" s="96" t="str">
        <f>'Data Vlaue (Cr)'!C203</f>
        <v>TVSMOTOR</v>
      </c>
      <c r="B212" s="75">
        <f>VLOOKUP($A212,'Data Vlaue (Cr)'!$C:$FB,2)</f>
        <v>175</v>
      </c>
      <c r="C212" s="75">
        <f>VLOOKUP($A212,'Data Vlaue (Cr)'!$C:$FB,8)</f>
        <v>3570.1</v>
      </c>
      <c r="D212" s="75">
        <f>VLOOKUP($A212,'Data Vlaue (Cr)'!$C:$FB,4)</f>
        <v>3567.8</v>
      </c>
      <c r="E212" s="75">
        <f>VLOOKUP($A212,'Data Vlaue (Cr)'!$C:$FB,5)</f>
        <v>3602.4</v>
      </c>
      <c r="F212" s="75">
        <f t="shared" si="30"/>
        <v>-2.2999999999997272</v>
      </c>
      <c r="G212" s="75">
        <f t="shared" si="31"/>
        <v>-0.96978530186669387</v>
      </c>
      <c r="H212" s="75">
        <f>VLOOKUP($A212,'Data Vlaue (Cr)'!$C:$FB,99)</f>
        <v>4332</v>
      </c>
      <c r="I212" s="75">
        <f>VLOOKUP($A212,'Data Vlaue (Cr)'!$C:$FB,100)</f>
        <v>4413</v>
      </c>
      <c r="J212" s="75">
        <f t="shared" si="32"/>
        <v>-81</v>
      </c>
      <c r="K212" s="75">
        <f t="shared" si="33"/>
        <v>-1.8698060941828254</v>
      </c>
      <c r="L212" s="75">
        <f>VLOOKUP($A212,'Data Vlaue (Cr)'!$C:$FB,67)</f>
        <v>3793</v>
      </c>
      <c r="M212" s="75">
        <f>VLOOKUP($A212,'Data Vlaue (Cr)'!$C:$FB,68)</f>
        <v>3717</v>
      </c>
      <c r="N212" s="75">
        <f t="shared" si="34"/>
        <v>76</v>
      </c>
      <c r="O212" s="75">
        <f t="shared" si="35"/>
        <v>2.0036910097548115</v>
      </c>
      <c r="P212" s="75">
        <f>VLOOKUP($A212,'Data Vlaue (Cr)'!$C:$FB,119)</f>
        <v>0.66</v>
      </c>
      <c r="Q212" s="75">
        <f>VLOOKUP($A212,'Data Vlaue (Cr)'!$C:$FB,122)*100</f>
        <v>8.2000000000000011</v>
      </c>
      <c r="R212" s="75">
        <f>VLOOKUP($A212,'Data Vlaue (Cr)'!$C:$FB,125)</f>
        <v>0.41</v>
      </c>
      <c r="S212" s="75">
        <f>VLOOKUP($A212,'Data Vlaue (Cr)'!$C:$FB,128)*100</f>
        <v>-16.329999999999998</v>
      </c>
    </row>
    <row r="213" spans="1:19" x14ac:dyDescent="0.25">
      <c r="A213" s="96" t="str">
        <f>'Data Vlaue (Cr)'!C204</f>
        <v>ULTRACEMCO</v>
      </c>
      <c r="B213" s="75">
        <f>VLOOKUP($A213,'Data Vlaue (Cr)'!$C:$FB,2)</f>
        <v>50</v>
      </c>
      <c r="C213" s="75">
        <f>VLOOKUP($A213,'Data Vlaue (Cr)'!$C:$FB,8)</f>
        <v>12364</v>
      </c>
      <c r="D213" s="75">
        <f>VLOOKUP($A213,'Data Vlaue (Cr)'!$C:$FB,4)</f>
        <v>12379</v>
      </c>
      <c r="E213" s="75">
        <f>VLOOKUP($A213,'Data Vlaue (Cr)'!$C:$FB,5)</f>
        <v>12224</v>
      </c>
      <c r="F213" s="75">
        <f t="shared" si="30"/>
        <v>15</v>
      </c>
      <c r="G213" s="75">
        <f t="shared" si="31"/>
        <v>1.252120526698441</v>
      </c>
      <c r="H213" s="75">
        <f>VLOOKUP($A213,'Data Vlaue (Cr)'!$C:$FB,99)</f>
        <v>4934</v>
      </c>
      <c r="I213" s="75">
        <f>VLOOKUP($A213,'Data Vlaue (Cr)'!$C:$FB,100)</f>
        <v>4853</v>
      </c>
      <c r="J213" s="75">
        <f t="shared" si="32"/>
        <v>81</v>
      </c>
      <c r="K213" s="75">
        <f t="shared" si="33"/>
        <v>1.6416700445885692</v>
      </c>
      <c r="L213" s="75">
        <f>VLOOKUP($A213,'Data Vlaue (Cr)'!$C:$FB,67)</f>
        <v>5820</v>
      </c>
      <c r="M213" s="75">
        <f>VLOOKUP($A213,'Data Vlaue (Cr)'!$C:$FB,68)</f>
        <v>4903</v>
      </c>
      <c r="N213" s="75">
        <f t="shared" si="34"/>
        <v>917</v>
      </c>
      <c r="O213" s="75">
        <f t="shared" si="35"/>
        <v>15.756013745704466</v>
      </c>
      <c r="P213" s="75">
        <f>VLOOKUP($A213,'Data Vlaue (Cr)'!$C:$FB,119)</f>
        <v>0.83</v>
      </c>
      <c r="Q213" s="75">
        <f>VLOOKUP($A213,'Data Vlaue (Cr)'!$C:$FB,122)*100</f>
        <v>13.700000000000001</v>
      </c>
      <c r="R213" s="75">
        <f>VLOOKUP($A213,'Data Vlaue (Cr)'!$C:$FB,125)</f>
        <v>0.44</v>
      </c>
      <c r="S213" s="75">
        <f>VLOOKUP($A213,'Data Vlaue (Cr)'!$C:$FB,128)*100</f>
        <v>-25.419999999999998</v>
      </c>
    </row>
    <row r="214" spans="1:19" x14ac:dyDescent="0.25">
      <c r="A214" s="96" t="str">
        <f>'Data Vlaue (Cr)'!C205</f>
        <v>UNIONBANK</v>
      </c>
      <c r="B214" s="75">
        <f>VLOOKUP($A214,'Data Vlaue (Cr)'!$C:$FB,2)</f>
        <v>4425</v>
      </c>
      <c r="C214" s="75">
        <f>VLOOKUP($A214,'Data Vlaue (Cr)'!$C:$FB,8)</f>
        <v>174.78</v>
      </c>
      <c r="D214" s="75">
        <f>VLOOKUP($A214,'Data Vlaue (Cr)'!$C:$FB,4)</f>
        <v>175.06</v>
      </c>
      <c r="E214" s="75">
        <f>VLOOKUP($A214,'Data Vlaue (Cr)'!$C:$FB,5)</f>
        <v>172.41</v>
      </c>
      <c r="F214" s="75">
        <f t="shared" si="30"/>
        <v>0.28000000000000114</v>
      </c>
      <c r="G214" s="75">
        <f t="shared" si="31"/>
        <v>1.5137667085570694</v>
      </c>
      <c r="H214" s="75">
        <f>VLOOKUP($A214,'Data Vlaue (Cr)'!$C:$FB,99)</f>
        <v>3051</v>
      </c>
      <c r="I214" s="75">
        <f>VLOOKUP($A214,'Data Vlaue (Cr)'!$C:$FB,100)</f>
        <v>3081</v>
      </c>
      <c r="J214" s="75">
        <f t="shared" si="32"/>
        <v>-30</v>
      </c>
      <c r="K214" s="75">
        <f t="shared" si="33"/>
        <v>-0.98328416912487704</v>
      </c>
      <c r="L214" s="75">
        <f>VLOOKUP($A214,'Data Vlaue (Cr)'!$C:$FB,67)</f>
        <v>3821</v>
      </c>
      <c r="M214" s="75">
        <f>VLOOKUP($A214,'Data Vlaue (Cr)'!$C:$FB,68)</f>
        <v>4252</v>
      </c>
      <c r="N214" s="75">
        <f t="shared" si="34"/>
        <v>-431</v>
      </c>
      <c r="O214" s="75">
        <f t="shared" si="35"/>
        <v>-11.279769693797435</v>
      </c>
      <c r="P214" s="75">
        <f>VLOOKUP($A214,'Data Vlaue (Cr)'!$C:$FB,119)</f>
        <v>0.8</v>
      </c>
      <c r="Q214" s="75">
        <f>VLOOKUP($A214,'Data Vlaue (Cr)'!$C:$FB,122)*100</f>
        <v>1.27</v>
      </c>
      <c r="R214" s="75">
        <f>VLOOKUP($A214,'Data Vlaue (Cr)'!$C:$FB,125)</f>
        <v>0.56000000000000005</v>
      </c>
      <c r="S214" s="75">
        <f>VLOOKUP($A214,'Data Vlaue (Cr)'!$C:$FB,128)*100</f>
        <v>-9.68</v>
      </c>
    </row>
    <row r="215" spans="1:19" x14ac:dyDescent="0.25">
      <c r="A215" s="96" t="str">
        <f>'Data Vlaue (Cr)'!C206</f>
        <v>UNITDSPR</v>
      </c>
      <c r="B215" s="75">
        <f>VLOOKUP($A215,'Data Vlaue (Cr)'!$C:$FB,2)</f>
        <v>400</v>
      </c>
      <c r="C215" s="75">
        <f>VLOOKUP($A215,'Data Vlaue (Cr)'!$C:$FB,8)</f>
        <v>1338.4</v>
      </c>
      <c r="D215" s="75">
        <f>VLOOKUP($A215,'Data Vlaue (Cr)'!$C:$FB,4)</f>
        <v>1333.6</v>
      </c>
      <c r="E215" s="75">
        <f>VLOOKUP($A215,'Data Vlaue (Cr)'!$C:$FB,5)</f>
        <v>1313.5</v>
      </c>
      <c r="F215" s="75">
        <f t="shared" si="30"/>
        <v>-4.8000000000001819</v>
      </c>
      <c r="G215" s="75">
        <f t="shared" si="31"/>
        <v>1.5071985602879356</v>
      </c>
      <c r="H215" s="75">
        <f>VLOOKUP($A215,'Data Vlaue (Cr)'!$C:$FB,99)</f>
        <v>2778</v>
      </c>
      <c r="I215" s="75">
        <f>VLOOKUP($A215,'Data Vlaue (Cr)'!$C:$FB,100)</f>
        <v>2911</v>
      </c>
      <c r="J215" s="75">
        <f t="shared" si="32"/>
        <v>-133</v>
      </c>
      <c r="K215" s="75">
        <f t="shared" si="33"/>
        <v>-4.7876169906407489</v>
      </c>
      <c r="L215" s="75">
        <f>VLOOKUP($A215,'Data Vlaue (Cr)'!$C:$FB,67)</f>
        <v>3146</v>
      </c>
      <c r="M215" s="75">
        <f>VLOOKUP($A215,'Data Vlaue (Cr)'!$C:$FB,68)</f>
        <v>4636</v>
      </c>
      <c r="N215" s="75">
        <f t="shared" si="34"/>
        <v>-1490</v>
      </c>
      <c r="O215" s="75">
        <f t="shared" si="35"/>
        <v>-47.361729179911002</v>
      </c>
      <c r="P215" s="75">
        <f>VLOOKUP($A215,'Data Vlaue (Cr)'!$C:$FB,119)</f>
        <v>0.76</v>
      </c>
      <c r="Q215" s="75">
        <f>VLOOKUP($A215,'Data Vlaue (Cr)'!$C:$FB,122)*100</f>
        <v>8.57</v>
      </c>
      <c r="R215" s="75">
        <f>VLOOKUP($A215,'Data Vlaue (Cr)'!$C:$FB,125)</f>
        <v>0.56999999999999995</v>
      </c>
      <c r="S215" s="75">
        <f>VLOOKUP($A215,'Data Vlaue (Cr)'!$C:$FB,128)*100</f>
        <v>-26.919999999999998</v>
      </c>
    </row>
    <row r="216" spans="1:19" x14ac:dyDescent="0.25">
      <c r="A216" s="96" t="str">
        <f>'Data Vlaue (Cr)'!C207</f>
        <v>UNOMINDA</v>
      </c>
      <c r="B216" s="75">
        <f>VLOOKUP($A216,'Data Vlaue (Cr)'!$C:$FB,2)</f>
        <v>550</v>
      </c>
      <c r="C216" s="75">
        <f>VLOOKUP($A216,'Data Vlaue (Cr)'!$C:$FB,8)</f>
        <v>1173.5</v>
      </c>
      <c r="D216" s="75">
        <f>VLOOKUP($A216,'Data Vlaue (Cr)'!$C:$FB,4)</f>
        <v>1172.7</v>
      </c>
      <c r="E216" s="75">
        <f>VLOOKUP($A216,'Data Vlaue (Cr)'!$C:$FB,5)</f>
        <v>1128.9000000000001</v>
      </c>
      <c r="F216" s="75">
        <f t="shared" si="30"/>
        <v>-0.79999999999995453</v>
      </c>
      <c r="G216" s="75">
        <f t="shared" si="31"/>
        <v>3.7349705807111757</v>
      </c>
      <c r="H216" s="75">
        <f>VLOOKUP($A216,'Data Vlaue (Cr)'!$C:$FB,99)</f>
        <v>1021</v>
      </c>
      <c r="I216" s="75">
        <f>VLOOKUP($A216,'Data Vlaue (Cr)'!$C:$FB,100)</f>
        <v>975</v>
      </c>
      <c r="J216" s="75">
        <f t="shared" si="32"/>
        <v>46</v>
      </c>
      <c r="K216" s="75">
        <f t="shared" si="33"/>
        <v>4.5053868756121451</v>
      </c>
      <c r="L216" s="75">
        <f>VLOOKUP($A216,'Data Vlaue (Cr)'!$C:$FB,67)</f>
        <v>1159</v>
      </c>
      <c r="M216" s="75">
        <f>VLOOKUP($A216,'Data Vlaue (Cr)'!$C:$FB,68)</f>
        <v>594</v>
      </c>
      <c r="N216" s="75">
        <f t="shared" si="34"/>
        <v>565</v>
      </c>
      <c r="O216" s="75">
        <f t="shared" si="35"/>
        <v>48.748921484037965</v>
      </c>
      <c r="P216" s="75">
        <f>VLOOKUP($A216,'Data Vlaue (Cr)'!$C:$FB,119)</f>
        <v>0.66</v>
      </c>
      <c r="Q216" s="75">
        <f>VLOOKUP($A216,'Data Vlaue (Cr)'!$C:$FB,122)*100</f>
        <v>4.7600000000000007</v>
      </c>
      <c r="R216" s="75">
        <f>VLOOKUP($A216,'Data Vlaue (Cr)'!$C:$FB,125)</f>
        <v>0.42</v>
      </c>
      <c r="S216" s="75">
        <f>VLOOKUP($A216,'Data Vlaue (Cr)'!$C:$FB,128)*100</f>
        <v>13.51</v>
      </c>
    </row>
    <row r="217" spans="1:19" x14ac:dyDescent="0.25">
      <c r="A217" s="96" t="str">
        <f>'Data Vlaue (Cr)'!C208</f>
        <v>UPL</v>
      </c>
      <c r="B217" s="75">
        <f>VLOOKUP($A217,'Data Vlaue (Cr)'!$C:$FB,2)</f>
        <v>1355</v>
      </c>
      <c r="C217" s="75">
        <f>VLOOKUP($A217,'Data Vlaue (Cr)'!$C:$FB,8)</f>
        <v>700.5</v>
      </c>
      <c r="D217" s="75">
        <f>VLOOKUP($A217,'Data Vlaue (Cr)'!$C:$FB,4)</f>
        <v>701.15</v>
      </c>
      <c r="E217" s="75">
        <f>VLOOKUP($A217,'Data Vlaue (Cr)'!$C:$FB,5)</f>
        <v>691.75</v>
      </c>
      <c r="F217" s="75">
        <f t="shared" si="30"/>
        <v>0.64999999999997726</v>
      </c>
      <c r="G217" s="75">
        <f t="shared" si="31"/>
        <v>1.3406546388076699</v>
      </c>
      <c r="H217" s="75">
        <f>VLOOKUP($A217,'Data Vlaue (Cr)'!$C:$FB,99)</f>
        <v>5153</v>
      </c>
      <c r="I217" s="75">
        <f>VLOOKUP($A217,'Data Vlaue (Cr)'!$C:$FB,100)</f>
        <v>5228</v>
      </c>
      <c r="J217" s="75">
        <f t="shared" si="32"/>
        <v>-75</v>
      </c>
      <c r="K217" s="75">
        <f t="shared" si="33"/>
        <v>-1.455462837182224</v>
      </c>
      <c r="L217" s="75">
        <f>VLOOKUP($A217,'Data Vlaue (Cr)'!$C:$FB,67)</f>
        <v>5646</v>
      </c>
      <c r="M217" s="75">
        <f>VLOOKUP($A217,'Data Vlaue (Cr)'!$C:$FB,68)</f>
        <v>13484</v>
      </c>
      <c r="N217" s="75">
        <f t="shared" si="34"/>
        <v>-7838</v>
      </c>
      <c r="O217" s="75">
        <f t="shared" si="35"/>
        <v>-138.82394615657103</v>
      </c>
      <c r="P217" s="75">
        <f>VLOOKUP($A217,'Data Vlaue (Cr)'!$C:$FB,119)</f>
        <v>0.56000000000000005</v>
      </c>
      <c r="Q217" s="75">
        <f>VLOOKUP($A217,'Data Vlaue (Cr)'!$C:$FB,122)*100</f>
        <v>-8.2000000000000011</v>
      </c>
      <c r="R217" s="75">
        <f>VLOOKUP($A217,'Data Vlaue (Cr)'!$C:$FB,125)</f>
        <v>0.56000000000000005</v>
      </c>
      <c r="S217" s="75">
        <f>VLOOKUP($A217,'Data Vlaue (Cr)'!$C:$FB,128)*100</f>
        <v>-36.36</v>
      </c>
    </row>
    <row r="218" spans="1:19" x14ac:dyDescent="0.25">
      <c r="A218" s="96" t="str">
        <f>'Data Vlaue (Cr)'!C209</f>
        <v>VBL</v>
      </c>
      <c r="B218" s="75">
        <f>VLOOKUP($A218,'Data Vlaue (Cr)'!$C:$FB,2)</f>
        <v>1125</v>
      </c>
      <c r="C218" s="75">
        <f>VLOOKUP($A218,'Data Vlaue (Cr)'!$C:$FB,8)</f>
        <v>487.1</v>
      </c>
      <c r="D218" s="75">
        <f>VLOOKUP($A218,'Data Vlaue (Cr)'!$C:$FB,4)</f>
        <v>486.85</v>
      </c>
      <c r="E218" s="75">
        <f>VLOOKUP($A218,'Data Vlaue (Cr)'!$C:$FB,5)</f>
        <v>478.2</v>
      </c>
      <c r="F218" s="75">
        <f t="shared" si="30"/>
        <v>-0.25</v>
      </c>
      <c r="G218" s="75">
        <f t="shared" si="31"/>
        <v>1.7767279449522511</v>
      </c>
      <c r="H218" s="75">
        <f>VLOOKUP($A218,'Data Vlaue (Cr)'!$C:$FB,99)</f>
        <v>3299</v>
      </c>
      <c r="I218" s="75">
        <f>VLOOKUP($A218,'Data Vlaue (Cr)'!$C:$FB,100)</f>
        <v>3322</v>
      </c>
      <c r="J218" s="75">
        <f t="shared" si="32"/>
        <v>-23</v>
      </c>
      <c r="K218" s="75">
        <f t="shared" si="33"/>
        <v>-0.69718096392846318</v>
      </c>
      <c r="L218" s="75">
        <f>VLOOKUP($A218,'Data Vlaue (Cr)'!$C:$FB,67)</f>
        <v>2714</v>
      </c>
      <c r="M218" s="75">
        <f>VLOOKUP($A218,'Data Vlaue (Cr)'!$C:$FB,68)</f>
        <v>3263</v>
      </c>
      <c r="N218" s="75">
        <f t="shared" si="34"/>
        <v>-549</v>
      </c>
      <c r="O218" s="75">
        <f t="shared" si="35"/>
        <v>-20.228445099484158</v>
      </c>
      <c r="P218" s="75">
        <f>VLOOKUP($A218,'Data Vlaue (Cr)'!$C:$FB,119)</f>
        <v>0.76</v>
      </c>
      <c r="Q218" s="75">
        <f>VLOOKUP($A218,'Data Vlaue (Cr)'!$C:$FB,122)*100</f>
        <v>7.04</v>
      </c>
      <c r="R218" s="75">
        <f>VLOOKUP($A218,'Data Vlaue (Cr)'!$C:$FB,125)</f>
        <v>0.69</v>
      </c>
      <c r="S218" s="75">
        <f>VLOOKUP($A218,'Data Vlaue (Cr)'!$C:$FB,128)*100</f>
        <v>-18.82</v>
      </c>
    </row>
    <row r="219" spans="1:19" x14ac:dyDescent="0.25">
      <c r="A219" s="96" t="str">
        <f>'Data Vlaue (Cr)'!C210</f>
        <v>VEDL</v>
      </c>
      <c r="B219" s="75">
        <f>VLOOKUP($A219,'Data Vlaue (Cr)'!$C:$FB,2)</f>
        <v>1150</v>
      </c>
      <c r="C219" s="75">
        <f>VLOOKUP($A219,'Data Vlaue (Cr)'!$C:$FB,8)</f>
        <v>678.65</v>
      </c>
      <c r="D219" s="75">
        <f>VLOOKUP($A219,'Data Vlaue (Cr)'!$C:$FB,4)</f>
        <v>677.7</v>
      </c>
      <c r="E219" s="75">
        <f>VLOOKUP($A219,'Data Vlaue (Cr)'!$C:$FB,5)</f>
        <v>677.4</v>
      </c>
      <c r="F219" s="75">
        <f t="shared" si="30"/>
        <v>-0.94999999999993179</v>
      </c>
      <c r="G219" s="75">
        <f t="shared" si="31"/>
        <v>4.4267374944675843E-2</v>
      </c>
      <c r="H219" s="75">
        <f>VLOOKUP($A219,'Data Vlaue (Cr)'!$C:$FB,99)</f>
        <v>12250</v>
      </c>
      <c r="I219" s="75">
        <f>VLOOKUP($A219,'Data Vlaue (Cr)'!$C:$FB,100)</f>
        <v>12567</v>
      </c>
      <c r="J219" s="75">
        <f t="shared" si="32"/>
        <v>-317</v>
      </c>
      <c r="K219" s="75">
        <f t="shared" si="33"/>
        <v>-2.5877551020408163</v>
      </c>
      <c r="L219" s="75">
        <f>VLOOKUP($A219,'Data Vlaue (Cr)'!$C:$FB,67)</f>
        <v>22546</v>
      </c>
      <c r="M219" s="75">
        <f>VLOOKUP($A219,'Data Vlaue (Cr)'!$C:$FB,68)</f>
        <v>22631</v>
      </c>
      <c r="N219" s="75">
        <f t="shared" si="34"/>
        <v>-85</v>
      </c>
      <c r="O219" s="75">
        <f t="shared" si="35"/>
        <v>-0.37700700789497033</v>
      </c>
      <c r="P219" s="75">
        <f>VLOOKUP($A219,'Data Vlaue (Cr)'!$C:$FB,119)</f>
        <v>0.65</v>
      </c>
      <c r="Q219" s="75">
        <f>VLOOKUP($A219,'Data Vlaue (Cr)'!$C:$FB,122)*100</f>
        <v>0</v>
      </c>
      <c r="R219" s="75">
        <f>VLOOKUP($A219,'Data Vlaue (Cr)'!$C:$FB,125)</f>
        <v>0.52</v>
      </c>
      <c r="S219" s="75">
        <f>VLOOKUP($A219,'Data Vlaue (Cr)'!$C:$FB,128)*100</f>
        <v>33.33</v>
      </c>
    </row>
    <row r="220" spans="1:19" x14ac:dyDescent="0.25">
      <c r="A220" s="96" t="str">
        <f>'Data Vlaue (Cr)'!C211</f>
        <v>VOLTAS</v>
      </c>
      <c r="B220" s="75">
        <f>VLOOKUP($A220,'Data Vlaue (Cr)'!$C:$FB,2)</f>
        <v>375</v>
      </c>
      <c r="C220" s="75">
        <f>VLOOKUP($A220,'Data Vlaue (Cr)'!$C:$FB,8)</f>
        <v>1293.5</v>
      </c>
      <c r="D220" s="75">
        <f>VLOOKUP($A220,'Data Vlaue (Cr)'!$C:$FB,4)</f>
        <v>1295.2</v>
      </c>
      <c r="E220" s="75">
        <f>VLOOKUP($A220,'Data Vlaue (Cr)'!$C:$FB,5)</f>
        <v>1290.5999999999999</v>
      </c>
      <c r="F220" s="75">
        <f t="shared" si="30"/>
        <v>1.7000000000000455</v>
      </c>
      <c r="G220" s="75">
        <f t="shared" si="31"/>
        <v>0.35515750463249973</v>
      </c>
      <c r="H220" s="75">
        <f>VLOOKUP($A220,'Data Vlaue (Cr)'!$C:$FB,99)</f>
        <v>2641</v>
      </c>
      <c r="I220" s="75">
        <f>VLOOKUP($A220,'Data Vlaue (Cr)'!$C:$FB,100)</f>
        <v>2626</v>
      </c>
      <c r="J220" s="75">
        <f t="shared" si="32"/>
        <v>15</v>
      </c>
      <c r="K220" s="75">
        <f t="shared" si="33"/>
        <v>0.56796667928814848</v>
      </c>
      <c r="L220" s="75">
        <f>VLOOKUP($A220,'Data Vlaue (Cr)'!$C:$FB,67)</f>
        <v>2737</v>
      </c>
      <c r="M220" s="75">
        <f>VLOOKUP($A220,'Data Vlaue (Cr)'!$C:$FB,68)</f>
        <v>4628</v>
      </c>
      <c r="N220" s="75">
        <f t="shared" si="34"/>
        <v>-1891</v>
      </c>
      <c r="O220" s="75">
        <f t="shared" si="35"/>
        <v>-69.090244793569596</v>
      </c>
      <c r="P220" s="75">
        <f>VLOOKUP($A220,'Data Vlaue (Cr)'!$C:$FB,119)</f>
        <v>0.77</v>
      </c>
      <c r="Q220" s="75">
        <f>VLOOKUP($A220,'Data Vlaue (Cr)'!$C:$FB,122)*100</f>
        <v>6.94</v>
      </c>
      <c r="R220" s="75">
        <f>VLOOKUP($A220,'Data Vlaue (Cr)'!$C:$FB,125)</f>
        <v>0.62</v>
      </c>
      <c r="S220" s="75">
        <f>VLOOKUP($A220,'Data Vlaue (Cr)'!$C:$FB,128)*100</f>
        <v>-21.52</v>
      </c>
    </row>
    <row r="221" spans="1:19" x14ac:dyDescent="0.25">
      <c r="A221" s="98" t="str">
        <f>'Data Vlaue (Cr)'!C212</f>
        <v>WAAREEENER</v>
      </c>
      <c r="B221" s="75">
        <f>VLOOKUP($A221,'Data Vlaue (Cr)'!$C:$FB,2)</f>
        <v>175</v>
      </c>
      <c r="C221" s="75">
        <f>VLOOKUP($A221,'Data Vlaue (Cr)'!$C:$FB,8)</f>
        <v>2641.7</v>
      </c>
      <c r="D221" s="75">
        <f>VLOOKUP($A221,'Data Vlaue (Cr)'!$C:$FB,4)</f>
        <v>2649.5</v>
      </c>
      <c r="E221" s="75">
        <f>VLOOKUP($A221,'Data Vlaue (Cr)'!$C:$FB,5)</f>
        <v>2427.4</v>
      </c>
      <c r="F221" s="75">
        <f t="shared" si="30"/>
        <v>7.8000000000001819</v>
      </c>
      <c r="G221" s="75">
        <f t="shared" si="31"/>
        <v>8.3827137195697272</v>
      </c>
      <c r="H221" s="75">
        <f>VLOOKUP($A221,'Data Vlaue (Cr)'!$C:$FB,99)</f>
        <v>1957</v>
      </c>
      <c r="I221" s="75">
        <f>VLOOKUP($A221,'Data Vlaue (Cr)'!$C:$FB,100)</f>
        <v>1906</v>
      </c>
      <c r="J221" s="75">
        <f t="shared" si="32"/>
        <v>51</v>
      </c>
      <c r="K221" s="75">
        <f t="shared" si="33"/>
        <v>2.6060296371997955</v>
      </c>
      <c r="L221" s="75">
        <f>VLOOKUP($A221,'Data Vlaue (Cr)'!$C:$FB,67)</f>
        <v>14549</v>
      </c>
      <c r="M221" s="75">
        <f>VLOOKUP($A221,'Data Vlaue (Cr)'!$C:$FB,68)</f>
        <v>2885</v>
      </c>
      <c r="N221" s="75">
        <f t="shared" si="34"/>
        <v>11664</v>
      </c>
      <c r="O221" s="75">
        <f t="shared" si="35"/>
        <v>80.170458450752619</v>
      </c>
      <c r="P221" s="75">
        <f>VLOOKUP($A221,'Data Vlaue (Cr)'!$C:$FB,119)</f>
        <v>0.57999999999999996</v>
      </c>
      <c r="Q221" s="75">
        <f>VLOOKUP($A221,'Data Vlaue (Cr)'!$C:$FB,122)*100</f>
        <v>16</v>
      </c>
      <c r="R221" s="75">
        <f>VLOOKUP($A221,'Data Vlaue (Cr)'!$C:$FB,125)</f>
        <v>0.39</v>
      </c>
      <c r="S221" s="75">
        <f>VLOOKUP($A221,'Data Vlaue (Cr)'!$C:$FB,128)*100</f>
        <v>-53.010000000000005</v>
      </c>
    </row>
    <row r="222" spans="1:19" x14ac:dyDescent="0.25">
      <c r="A222" s="98" t="str">
        <f>'Data Vlaue (Cr)'!C213</f>
        <v>WIPRO</v>
      </c>
      <c r="B222" s="75">
        <f>VLOOKUP($A222,'Data Vlaue (Cr)'!$C:$FB,2)</f>
        <v>3000</v>
      </c>
      <c r="C222" s="75">
        <f>VLOOKUP($A222,'Data Vlaue (Cr)'!$C:$FB,8)</f>
        <v>240.65</v>
      </c>
      <c r="D222" s="75">
        <f>VLOOKUP($A222,'Data Vlaue (Cr)'!$C:$FB,4)</f>
        <v>240.95</v>
      </c>
      <c r="E222" s="75">
        <f>VLOOKUP($A222,'Data Vlaue (Cr)'!$C:$FB,5)</f>
        <v>240.15</v>
      </c>
      <c r="F222" s="75">
        <f t="shared" si="30"/>
        <v>0.29999999999998295</v>
      </c>
      <c r="G222" s="75">
        <f t="shared" si="31"/>
        <v>0.33201909109773109</v>
      </c>
      <c r="H222" s="75">
        <f>VLOOKUP($A222,'Data Vlaue (Cr)'!$C:$FB,99)</f>
        <v>7160</v>
      </c>
      <c r="I222" s="75">
        <f>VLOOKUP($A222,'Data Vlaue (Cr)'!$C:$FB,100)</f>
        <v>7293</v>
      </c>
      <c r="J222" s="75">
        <f t="shared" si="32"/>
        <v>-133</v>
      </c>
      <c r="K222" s="75">
        <f t="shared" si="33"/>
        <v>-1.8575418994413408</v>
      </c>
      <c r="L222" s="75">
        <f>VLOOKUP($A222,'Data Vlaue (Cr)'!$C:$FB,67)</f>
        <v>5145</v>
      </c>
      <c r="M222" s="75">
        <f>VLOOKUP($A222,'Data Vlaue (Cr)'!$C:$FB,68)</f>
        <v>7498</v>
      </c>
      <c r="N222" s="75">
        <f t="shared" si="34"/>
        <v>-2353</v>
      </c>
      <c r="O222" s="75">
        <f t="shared" si="35"/>
        <v>-45.733722060252674</v>
      </c>
      <c r="P222" s="75">
        <f>VLOOKUP($A222,'Data Vlaue (Cr)'!$C:$FB,119)</f>
        <v>0.53</v>
      </c>
      <c r="Q222" s="75">
        <f>VLOOKUP($A222,'Data Vlaue (Cr)'!$C:$FB,122)*100</f>
        <v>1.92</v>
      </c>
      <c r="R222" s="75">
        <f>VLOOKUP($A222,'Data Vlaue (Cr)'!$C:$FB,125)</f>
        <v>0.48</v>
      </c>
      <c r="S222" s="75">
        <f>VLOOKUP($A222,'Data Vlaue (Cr)'!$C:$FB,128)*100</f>
        <v>-11.110000000000001</v>
      </c>
    </row>
    <row r="223" spans="1:19" x14ac:dyDescent="0.25">
      <c r="A223" s="98" t="str">
        <f>'Data Vlaue (Cr)'!C214</f>
        <v>YESBANK</v>
      </c>
      <c r="B223" s="75">
        <f>VLOOKUP($A223,'Data Vlaue (Cr)'!$C:$FB,2)</f>
        <v>31100</v>
      </c>
      <c r="C223" s="75">
        <f>VLOOKUP($A223,'Data Vlaue (Cr)'!$C:$FB,8)</f>
        <v>21.63</v>
      </c>
      <c r="D223" s="75">
        <f>VLOOKUP($A223,'Data Vlaue (Cr)'!$C:$FB,4)</f>
        <v>21.64</v>
      </c>
      <c r="E223" s="75">
        <f>VLOOKUP($A223,'Data Vlaue (Cr)'!$C:$FB,5)</f>
        <v>21.64</v>
      </c>
      <c r="F223" s="75">
        <f t="shared" si="30"/>
        <v>1.0000000000001563E-2</v>
      </c>
      <c r="G223" s="75">
        <f t="shared" si="31"/>
        <v>0</v>
      </c>
      <c r="H223" s="75">
        <f>VLOOKUP($A223,'Data Vlaue (Cr)'!$C:$FB,99)</f>
        <v>4348</v>
      </c>
      <c r="I223" s="75">
        <f>VLOOKUP($A223,'Data Vlaue (Cr)'!$C:$FB,100)</f>
        <v>4295</v>
      </c>
      <c r="J223" s="75">
        <f t="shared" si="32"/>
        <v>53</v>
      </c>
      <c r="K223" s="75">
        <f t="shared" si="33"/>
        <v>1.2189512419503219</v>
      </c>
      <c r="L223" s="75">
        <f>VLOOKUP($A223,'Data Vlaue (Cr)'!$C:$FB,67)</f>
        <v>2640</v>
      </c>
      <c r="M223" s="75">
        <f>VLOOKUP($A223,'Data Vlaue (Cr)'!$C:$FB,68)</f>
        <v>3393</v>
      </c>
      <c r="N223" s="75">
        <f t="shared" si="34"/>
        <v>-753</v>
      </c>
      <c r="O223" s="75">
        <f t="shared" si="35"/>
        <v>-28.522727272727273</v>
      </c>
      <c r="P223" s="75">
        <f>VLOOKUP($A223,'Data Vlaue (Cr)'!$C:$FB,119)</f>
        <v>0.49</v>
      </c>
      <c r="Q223" s="75">
        <f>VLOOKUP($A223,'Data Vlaue (Cr)'!$C:$FB,122)*100</f>
        <v>-3.92</v>
      </c>
      <c r="R223" s="75">
        <f>VLOOKUP($A223,'Data Vlaue (Cr)'!$C:$FB,125)</f>
        <v>0.39</v>
      </c>
      <c r="S223" s="75">
        <f>VLOOKUP($A223,'Data Vlaue (Cr)'!$C:$FB,128)*100</f>
        <v>-17.02</v>
      </c>
    </row>
    <row r="224" spans="1:19" x14ac:dyDescent="0.25">
      <c r="A224" s="98"/>
      <c r="B224" s="75"/>
      <c r="C224" s="75"/>
      <c r="D224" s="75"/>
      <c r="E224" s="75"/>
      <c r="F224" s="75"/>
      <c r="G224" s="75"/>
      <c r="H224" s="75"/>
      <c r="I224" s="75"/>
      <c r="J224" s="75"/>
      <c r="K224" s="75"/>
      <c r="L224" s="75"/>
      <c r="M224" s="75"/>
      <c r="N224" s="75"/>
      <c r="O224" s="75"/>
      <c r="P224" s="75"/>
      <c r="Q224" s="75"/>
      <c r="R224" s="75"/>
      <c r="S224" s="75"/>
    </row>
    <row r="225" spans="1:19" x14ac:dyDescent="0.25">
      <c r="A225" s="98"/>
      <c r="B225" s="75"/>
      <c r="C225" s="75"/>
      <c r="D225" s="75"/>
      <c r="E225" s="75"/>
      <c r="F225" s="75"/>
      <c r="G225" s="75"/>
      <c r="H225" s="75"/>
      <c r="I225" s="75"/>
      <c r="J225" s="75"/>
      <c r="K225" s="75"/>
      <c r="L225" s="75"/>
      <c r="M225" s="75"/>
      <c r="N225" s="75"/>
      <c r="O225" s="75"/>
      <c r="P225" s="75"/>
      <c r="Q225" s="75"/>
      <c r="R225" s="75"/>
      <c r="S225" s="75"/>
    </row>
    <row r="226" spans="1:19" x14ac:dyDescent="0.25">
      <c r="A226" s="98"/>
      <c r="B226" s="75"/>
      <c r="C226" s="75"/>
      <c r="D226" s="75"/>
      <c r="E226" s="75"/>
      <c r="F226" s="75"/>
      <c r="G226" s="75"/>
      <c r="H226" s="75"/>
      <c r="I226" s="75"/>
      <c r="J226" s="75"/>
      <c r="K226" s="75"/>
      <c r="L226" s="75"/>
      <c r="M226" s="75"/>
      <c r="N226" s="75"/>
      <c r="O226" s="75"/>
      <c r="P226" s="75"/>
      <c r="Q226" s="75"/>
      <c r="R226" s="75"/>
      <c r="S226" s="75"/>
    </row>
    <row r="227" spans="1:19" x14ac:dyDescent="0.25">
      <c r="A227" s="256"/>
      <c r="B227" s="256"/>
      <c r="C227" s="256"/>
      <c r="D227" s="256"/>
      <c r="E227" s="256"/>
      <c r="F227" s="256"/>
      <c r="G227" s="15"/>
      <c r="H227" s="16"/>
      <c r="I227" s="256"/>
      <c r="J227" s="256"/>
      <c r="K227" s="256"/>
      <c r="L227" s="256"/>
      <c r="M227" s="256"/>
      <c r="N227" s="16"/>
      <c r="O227" s="16"/>
      <c r="P227" s="16"/>
      <c r="Q227" s="256"/>
      <c r="R227" s="256"/>
      <c r="S227" s="256"/>
    </row>
    <row r="228" spans="1:19" x14ac:dyDescent="0.25">
      <c r="A228" s="253" t="s">
        <v>391</v>
      </c>
      <c r="B228" s="254"/>
      <c r="C228" s="254"/>
      <c r="D228" s="254"/>
      <c r="E228" s="254"/>
      <c r="F228" s="255"/>
      <c r="G228" s="18"/>
      <c r="H228" s="18">
        <f>SUM(H11:H223)</f>
        <v>2487530</v>
      </c>
      <c r="I228" s="18">
        <f>SUM(I11:I223)</f>
        <v>2402187</v>
      </c>
      <c r="J228" s="18">
        <f>H228-I228</f>
        <v>85343</v>
      </c>
      <c r="K228" s="19">
        <f>J228/I228</f>
        <v>3.5527209163982651E-2</v>
      </c>
      <c r="L228" s="18">
        <f>SUM(L11:L223)</f>
        <v>18210472</v>
      </c>
      <c r="M228" s="18">
        <f>SUM(M11:M223)</f>
        <v>20444746</v>
      </c>
      <c r="N228" s="18">
        <f>L228-M228</f>
        <v>-2234274</v>
      </c>
      <c r="O228" s="19">
        <f>N228/M228</f>
        <v>-0.10928352937228958</v>
      </c>
      <c r="P228" s="253"/>
      <c r="Q228" s="254"/>
      <c r="R228" s="254"/>
      <c r="S228" s="255"/>
    </row>
    <row r="232" spans="1:19" x14ac:dyDescent="0.25">
      <c r="A232" s="249" t="s">
        <v>334</v>
      </c>
      <c r="B232" s="249"/>
      <c r="C232" s="249"/>
      <c r="D232" s="6"/>
      <c r="E232" s="6"/>
      <c r="F232" s="6"/>
      <c r="G232" s="6"/>
      <c r="H232" s="8" t="s">
        <v>385</v>
      </c>
      <c r="J232" s="7"/>
      <c r="K232" s="7"/>
      <c r="L232" s="7"/>
      <c r="M232" s="7"/>
    </row>
    <row r="233" spans="1:19" x14ac:dyDescent="0.25">
      <c r="A233" s="22"/>
      <c r="B233" s="23" t="s">
        <v>182</v>
      </c>
      <c r="C233" s="24" t="s">
        <v>386</v>
      </c>
      <c r="D233" s="25" t="s">
        <v>266</v>
      </c>
      <c r="E233" s="24" t="s">
        <v>386</v>
      </c>
      <c r="F233" s="23" t="s">
        <v>461</v>
      </c>
      <c r="G233" s="23" t="s">
        <v>387</v>
      </c>
      <c r="H233" s="24" t="s">
        <v>386</v>
      </c>
    </row>
    <row r="234" spans="1:19" x14ac:dyDescent="0.25">
      <c r="A234" s="26" t="s">
        <v>388</v>
      </c>
      <c r="B234" s="9">
        <f>VLOOKUP(B233,'OI(Value)'!A7:E226,5,0)</f>
        <v>9363</v>
      </c>
      <c r="C234" s="146">
        <f>VLOOKUP(B233,'OI(Value)'!A7:G226,7,0)</f>
        <v>-9.7000000000000003E-3</v>
      </c>
      <c r="D234" s="9">
        <f>VLOOKUP(D233,'OI(Value)'!A7:E226,5,0)</f>
        <v>53174</v>
      </c>
      <c r="E234" s="147">
        <f>VLOOKUP(D233,'OI(Value)'!A7:G226,7,0)</f>
        <v>4.1599999999999998E-2</v>
      </c>
      <c r="F234" s="9">
        <f>G234-D234-B234</f>
        <v>537953</v>
      </c>
      <c r="G234" s="10">
        <f>'OI(Value)'!E227</f>
        <v>600490</v>
      </c>
      <c r="H234" s="147">
        <f>'OI(Value)'!D234</f>
        <v>5.7086712518110211E-3</v>
      </c>
    </row>
    <row r="235" spans="1:19" x14ac:dyDescent="0.25">
      <c r="A235" s="26" t="s">
        <v>389</v>
      </c>
      <c r="B235" s="9">
        <f>VLOOKUP(B233,'OI(Value)'!A7:H226,8,0)</f>
        <v>128779</v>
      </c>
      <c r="C235" s="146">
        <f>VLOOKUP(B233,'OI(Value)'!A7:J226,10,0)</f>
        <v>1.4E-3</v>
      </c>
      <c r="D235" s="9">
        <f>VLOOKUP(D233,'OI(Value)'!A1:O227,8,0)</f>
        <v>632290</v>
      </c>
      <c r="E235" s="147">
        <f>VLOOKUP(D233,'OI(Value)'!A1:J226,10,0)</f>
        <v>2.53E-2</v>
      </c>
      <c r="F235" s="9">
        <f>G235-D235-B235</f>
        <v>296240</v>
      </c>
      <c r="G235" s="9">
        <f>'OI(Value)'!H227</f>
        <v>1057309</v>
      </c>
      <c r="H235" s="147">
        <f>'OI(Value)'!D235</f>
        <v>2.8033432043045128E-3</v>
      </c>
    </row>
    <row r="236" spans="1:19" x14ac:dyDescent="0.25">
      <c r="A236" s="26" t="s">
        <v>390</v>
      </c>
      <c r="B236" s="9">
        <f>VLOOKUP(B233,'OI(Value)'!A7:K226,11,0)</f>
        <v>104321</v>
      </c>
      <c r="C236" s="146">
        <f>VLOOKUP(B233,'OI(Value)'!A7:M226,13,0)</f>
        <v>9.9199999999999997E-2</v>
      </c>
      <c r="D236" s="9">
        <f>VLOOKUP(D233,'OI(Value)'!A2:O228,11,0)</f>
        <v>552924</v>
      </c>
      <c r="E236" s="147">
        <f>VLOOKUP(D233,'OI(Value)'!A7:M226,13,0)</f>
        <v>0.14480000000000001</v>
      </c>
      <c r="F236" s="9">
        <f>G236-D236-B236</f>
        <v>174041</v>
      </c>
      <c r="G236" s="9">
        <f>'OI(Value)'!K227</f>
        <v>831286</v>
      </c>
      <c r="H236" s="147">
        <f>'OI(Volume)'!D242</f>
        <v>-1.1013099049131663E-3</v>
      </c>
    </row>
    <row r="237" spans="1:19" x14ac:dyDescent="0.25">
      <c r="A237" s="22" t="s">
        <v>391</v>
      </c>
      <c r="B237" s="62">
        <f>SUM(B234:B236)</f>
        <v>242463</v>
      </c>
      <c r="C237" s="148">
        <f>VLOOKUP(B233,'OI(Value)'!A7:D148,4,0)</f>
        <v>4.0800000000000003E-2</v>
      </c>
      <c r="D237" s="62">
        <f>SUM(D234:D236)</f>
        <v>1238388</v>
      </c>
      <c r="E237" s="148">
        <f>VLOOKUP(D233,'OI(Value)'!A1:D227,4,0)</f>
        <v>7.6200000000000004E-2</v>
      </c>
      <c r="F237" s="62">
        <f>SUM(F234:F236)</f>
        <v>1008234</v>
      </c>
      <c r="G237" s="62">
        <f>SUM(G234:G236)</f>
        <v>2489085</v>
      </c>
      <c r="H237" s="151">
        <f>'OI(Value)'!D237</f>
        <v>3.4275647476884073E-2</v>
      </c>
    </row>
    <row r="241" spans="1:8" x14ac:dyDescent="0.25">
      <c r="A241" s="20" t="s">
        <v>392</v>
      </c>
      <c r="B241" s="11"/>
      <c r="C241" s="11"/>
      <c r="D241" s="11"/>
      <c r="E241" s="11"/>
      <c r="F241" s="11"/>
      <c r="G241" s="11"/>
      <c r="H241" s="12"/>
    </row>
    <row r="242" spans="1:8" x14ac:dyDescent="0.25">
      <c r="A242" s="27"/>
      <c r="B242" s="27"/>
      <c r="C242" s="250" t="s">
        <v>459</v>
      </c>
      <c r="D242" s="251"/>
      <c r="E242" s="252"/>
      <c r="F242" s="250" t="s">
        <v>460</v>
      </c>
      <c r="G242" s="251"/>
      <c r="H242" s="252"/>
    </row>
    <row r="243" spans="1:8" x14ac:dyDescent="0.25">
      <c r="A243" s="28"/>
      <c r="B243" s="27"/>
      <c r="C243" s="31">
        <f>D10</f>
        <v>46044</v>
      </c>
      <c r="D243" s="31" t="s">
        <v>397</v>
      </c>
      <c r="E243" s="32" t="s">
        <v>321</v>
      </c>
      <c r="F243" s="31">
        <f>C243</f>
        <v>46044</v>
      </c>
      <c r="G243" s="31" t="str">
        <f>D243</f>
        <v>Preious</v>
      </c>
      <c r="H243" s="32" t="s">
        <v>386</v>
      </c>
    </row>
    <row r="244" spans="1:8" x14ac:dyDescent="0.25">
      <c r="A244" s="29" t="s">
        <v>393</v>
      </c>
      <c r="B244" s="30"/>
      <c r="C244" s="13">
        <f>FII!N3</f>
        <v>5363</v>
      </c>
      <c r="D244" s="13">
        <f>FII!J3</f>
        <v>5140</v>
      </c>
      <c r="E244" s="14">
        <f>(C244-D244)/C244</f>
        <v>4.1581204549692337E-2</v>
      </c>
      <c r="F244" s="13">
        <f>FII!M3</f>
        <v>30071</v>
      </c>
      <c r="G244" s="13">
        <f>FII!I3</f>
        <v>29081</v>
      </c>
      <c r="H244" s="14">
        <f>(F244-G244)/F244</f>
        <v>3.2922084400252738E-2</v>
      </c>
    </row>
    <row r="245" spans="1:8" x14ac:dyDescent="0.25">
      <c r="A245" s="247" t="s">
        <v>394</v>
      </c>
      <c r="B245" s="248"/>
      <c r="C245" s="13">
        <f>FII!N4</f>
        <v>62624</v>
      </c>
      <c r="D245" s="13">
        <f>FII!J4</f>
        <v>59909</v>
      </c>
      <c r="E245" s="14">
        <f>(C245-D245)/C245</f>
        <v>4.3353985692386306E-2</v>
      </c>
      <c r="F245" s="13">
        <f>FII!M4</f>
        <v>352612</v>
      </c>
      <c r="G245" s="13">
        <f>FII!I4</f>
        <v>339621</v>
      </c>
      <c r="H245" s="14">
        <f>(F245-G245)/F245</f>
        <v>3.6842194820369129E-2</v>
      </c>
    </row>
    <row r="246" spans="1:8" x14ac:dyDescent="0.25">
      <c r="A246" s="247" t="s">
        <v>395</v>
      </c>
      <c r="B246" s="248"/>
      <c r="C246" s="13">
        <f>FII!N15</f>
        <v>428754</v>
      </c>
      <c r="D246" s="13">
        <f>FII!J15</f>
        <v>421378</v>
      </c>
      <c r="E246" s="14">
        <f>(C246-D246)/C246</f>
        <v>1.7203338044659643E-2</v>
      </c>
      <c r="F246" s="13">
        <f>FII!M15</f>
        <v>6469344</v>
      </c>
      <c r="G246" s="13">
        <f>FII!I15</f>
        <v>6420097</v>
      </c>
      <c r="H246" s="14">
        <f>(F246-G246)/F246</f>
        <v>7.6123637883531931E-3</v>
      </c>
    </row>
    <row r="247" spans="1:8" x14ac:dyDescent="0.25">
      <c r="A247" s="247" t="s">
        <v>396</v>
      </c>
      <c r="B247" s="248"/>
      <c r="C247" s="13">
        <f>FII!N16</f>
        <v>53751</v>
      </c>
      <c r="D247" s="13">
        <f>FII!J16</f>
        <v>57797</v>
      </c>
      <c r="E247" s="14">
        <f>(C247-D247)/C247</f>
        <v>-7.5273018176406026E-2</v>
      </c>
      <c r="F247" s="13">
        <f>FII!M16</f>
        <v>803140</v>
      </c>
      <c r="G247" s="13">
        <f>FII!I16</f>
        <v>870553</v>
      </c>
      <c r="H247" s="14">
        <f>(F247-G247)/F247</f>
        <v>-8.3936798067584736E-2</v>
      </c>
    </row>
    <row r="248" spans="1:8" x14ac:dyDescent="0.25">
      <c r="A248" s="247" t="s">
        <v>391</v>
      </c>
      <c r="B248" s="248"/>
      <c r="C248" s="155">
        <f>SUM(C244:C247)</f>
        <v>550492</v>
      </c>
      <c r="D248" s="155">
        <f>SUM(D244:D247)</f>
        <v>544224</v>
      </c>
      <c r="E248" s="156">
        <f>(C248-D248)/C248</f>
        <v>1.1386178182425903E-2</v>
      </c>
      <c r="F248" s="157">
        <f>SUM(F244:F247)</f>
        <v>7655167</v>
      </c>
      <c r="G248" s="158">
        <f>SUM(G244:G247)</f>
        <v>7659352</v>
      </c>
      <c r="H248" s="156">
        <f>(F248-G248)/F248</f>
        <v>-5.4668957581199731E-4</v>
      </c>
    </row>
  </sheetData>
  <mergeCells count="24">
    <mergeCell ref="P228:S228"/>
    <mergeCell ref="A228:F228"/>
    <mergeCell ref="Q227:S227"/>
    <mergeCell ref="I227:M227"/>
    <mergeCell ref="A227:F227"/>
    <mergeCell ref="A247:B247"/>
    <mergeCell ref="A248:B248"/>
    <mergeCell ref="A232:C232"/>
    <mergeCell ref="C242:E242"/>
    <mergeCell ref="F242:H242"/>
    <mergeCell ref="A245:B245"/>
    <mergeCell ref="A246:B246"/>
    <mergeCell ref="A6:S6"/>
    <mergeCell ref="A7:S7"/>
    <mergeCell ref="A8:A9"/>
    <mergeCell ref="H8:K8"/>
    <mergeCell ref="L8:O8"/>
    <mergeCell ref="P8:S8"/>
    <mergeCell ref="D9:G9"/>
    <mergeCell ref="H9:K9"/>
    <mergeCell ref="C8:G8"/>
    <mergeCell ref="L9:O9"/>
    <mergeCell ref="P9:Q9"/>
    <mergeCell ref="R9:S9"/>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workbookViewId="0">
      <pane ySplit="5" topLeftCell="A199" activePane="bottomLeft" state="frozen"/>
      <selection pane="bottomLeft" activeCell="J213" sqref="J213"/>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09" t="s">
        <v>456</v>
      </c>
      <c r="B3" s="310"/>
      <c r="C3" s="310"/>
      <c r="D3" s="310"/>
      <c r="E3" s="310"/>
      <c r="F3" s="310"/>
      <c r="G3" s="311"/>
      <c r="H3" s="46"/>
    </row>
    <row r="4" spans="1:8" x14ac:dyDescent="0.25">
      <c r="A4" s="285" t="s">
        <v>366</v>
      </c>
      <c r="B4" s="106" t="s">
        <v>312</v>
      </c>
      <c r="C4" s="106" t="s">
        <v>313</v>
      </c>
      <c r="D4" s="285" t="s">
        <v>367</v>
      </c>
      <c r="E4" s="285"/>
      <c r="F4" s="285"/>
      <c r="G4" s="285"/>
      <c r="H4" s="47"/>
    </row>
    <row r="5" spans="1:8" x14ac:dyDescent="0.25">
      <c r="A5" s="304"/>
      <c r="B5" s="3">
        <f>PCR!B6</f>
        <v>46044</v>
      </c>
      <c r="C5" s="3">
        <f>B5</f>
        <v>46044</v>
      </c>
      <c r="D5" s="76" t="s">
        <v>367</v>
      </c>
      <c r="E5" s="76" t="s">
        <v>321</v>
      </c>
      <c r="F5" s="76" t="s">
        <v>368</v>
      </c>
      <c r="G5" s="76" t="s">
        <v>369</v>
      </c>
      <c r="H5" s="48"/>
    </row>
    <row r="6" spans="1:8" x14ac:dyDescent="0.25">
      <c r="A6" s="101" t="str">
        <f>'Data Vlaue (Cr)'!C2</f>
        <v>360ONE</v>
      </c>
      <c r="B6" s="144">
        <f>VLOOKUP($A6,'Data shares'!$C:$FA,7)</f>
        <v>1106.3</v>
      </c>
      <c r="C6" s="144">
        <f>VLOOKUP($A6,'Data shares'!$C:$FA,3)</f>
        <v>1107.9000000000001</v>
      </c>
      <c r="D6" s="144">
        <f>VLOOKUP($A6,'Data shares'!$C:$FA,23)</f>
        <v>1.6</v>
      </c>
      <c r="E6" s="145">
        <f>VLOOKUP($A6,'Data shares'!$C:$FA,26)*100</f>
        <v>0.13999999999999999</v>
      </c>
      <c r="F6" s="144">
        <f>VLOOKUP($A6,'Data shares'!$C:$FA,24)</f>
        <v>3.8</v>
      </c>
      <c r="G6" s="144">
        <f>VLOOKUP($A6,'Data shares'!$C:$FA,25)</f>
        <v>-2.2000000000000002</v>
      </c>
    </row>
    <row r="7" spans="1:8" x14ac:dyDescent="0.25">
      <c r="A7" s="101" t="str">
        <f>'Data Vlaue (Cr)'!C3</f>
        <v>ABB</v>
      </c>
      <c r="B7" s="144">
        <f>VLOOKUP($A7,'Data shares'!$C:$FA,7)</f>
        <v>4755.5</v>
      </c>
      <c r="C7" s="144">
        <f>VLOOKUP($A7,'Data shares'!$C:$FA,3)</f>
        <v>4771.5</v>
      </c>
      <c r="D7" s="144">
        <f>VLOOKUP($A7,'Data shares'!$C:$FA,23)</f>
        <v>16</v>
      </c>
      <c r="E7" s="145">
        <f>VLOOKUP($A7,'Data shares'!$C:$FA,26)*100</f>
        <v>0.33999999999999997</v>
      </c>
      <c r="F7" s="144">
        <f>VLOOKUP($A7,'Data shares'!$C:$FA,24)</f>
        <v>17</v>
      </c>
      <c r="G7" s="144">
        <f>VLOOKUP($A7,'Data shares'!$C:$FA,25)</f>
        <v>-1</v>
      </c>
    </row>
    <row r="8" spans="1:8" x14ac:dyDescent="0.25">
      <c r="A8" s="101" t="str">
        <f>'Data Vlaue (Cr)'!C4</f>
        <v>ABCAPITAL</v>
      </c>
      <c r="B8" s="144">
        <f>VLOOKUP($A8,'Data shares'!$C:$FA,7)</f>
        <v>354.5</v>
      </c>
      <c r="C8" s="144">
        <f>VLOOKUP($A8,'Data shares'!$C:$FA,3)</f>
        <v>354.2</v>
      </c>
      <c r="D8" s="144">
        <f>VLOOKUP($A8,'Data shares'!$C:$FA,23)</f>
        <v>-0.3</v>
      </c>
      <c r="E8" s="145">
        <f>VLOOKUP($A8,'Data shares'!$C:$FA,26)*100</f>
        <v>-0.08</v>
      </c>
      <c r="F8" s="144">
        <f>VLOOKUP($A8,'Data shares'!$C:$FA,24)</f>
        <v>0.55000000000000004</v>
      </c>
      <c r="G8" s="144">
        <f>VLOOKUP($A8,'Data shares'!$C:$FA,25)</f>
        <v>-0.85</v>
      </c>
    </row>
    <row r="9" spans="1:8" x14ac:dyDescent="0.25">
      <c r="A9" s="101" t="str">
        <f>'Data Vlaue (Cr)'!C5</f>
        <v>ADANIENSOL</v>
      </c>
      <c r="B9" s="144">
        <f>VLOOKUP($A9,'Data shares'!$C:$FA,7)</f>
        <v>924.8</v>
      </c>
      <c r="C9" s="144">
        <f>VLOOKUP($A9,'Data shares'!$C:$FA,3)</f>
        <v>927</v>
      </c>
      <c r="D9" s="144">
        <f>VLOOKUP($A9,'Data shares'!$C:$FA,23)</f>
        <v>2.2000000000000002</v>
      </c>
      <c r="E9" s="145">
        <f>VLOOKUP($A9,'Data shares'!$C:$FA,26)*100</f>
        <v>0.24</v>
      </c>
      <c r="F9" s="144">
        <f>VLOOKUP($A9,'Data shares'!$C:$FA,24)</f>
        <v>0.5</v>
      </c>
      <c r="G9" s="144">
        <f>VLOOKUP($A9,'Data shares'!$C:$FA,25)</f>
        <v>1.7</v>
      </c>
    </row>
    <row r="10" spans="1:8" x14ac:dyDescent="0.25">
      <c r="A10" s="101" t="str">
        <f>'Data Vlaue (Cr)'!C6</f>
        <v>ADANIENT</v>
      </c>
      <c r="B10" s="144">
        <f>VLOOKUP($A10,'Data shares'!$C:$FA,7)</f>
        <v>2086.4</v>
      </c>
      <c r="C10" s="144">
        <f>VLOOKUP($A10,'Data shares'!$C:$FA,3)</f>
        <v>2087.1999999999998</v>
      </c>
      <c r="D10" s="144">
        <f>VLOOKUP($A10,'Data shares'!$C:$FA,23)</f>
        <v>0.8</v>
      </c>
      <c r="E10" s="145">
        <f>VLOOKUP($A10,'Data shares'!$C:$FA,26)*100</f>
        <v>0.04</v>
      </c>
      <c r="F10" s="144">
        <f>VLOOKUP($A10,'Data shares'!$C:$FA,24)</f>
        <v>2.9</v>
      </c>
      <c r="G10" s="144">
        <f>VLOOKUP($A10,'Data shares'!$C:$FA,25)</f>
        <v>-2.1</v>
      </c>
    </row>
    <row r="11" spans="1:8" x14ac:dyDescent="0.25">
      <c r="A11" s="101" t="str">
        <f>'Data Vlaue (Cr)'!C7</f>
        <v>ADANIGREEN</v>
      </c>
      <c r="B11" s="144">
        <f>VLOOKUP($A11,'Data shares'!$C:$FA,7)</f>
        <v>904.3</v>
      </c>
      <c r="C11" s="144">
        <f>VLOOKUP($A11,'Data shares'!$C:$FA,3)</f>
        <v>904.2</v>
      </c>
      <c r="D11" s="144">
        <f>VLOOKUP($A11,'Data shares'!$C:$FA,23)</f>
        <v>-0.1</v>
      </c>
      <c r="E11" s="145">
        <f>VLOOKUP($A11,'Data shares'!$C:$FA,26)*100</f>
        <v>-0.01</v>
      </c>
      <c r="F11" s="144">
        <f>VLOOKUP($A11,'Data shares'!$C:$FA,24)</f>
        <v>2.1</v>
      </c>
      <c r="G11" s="144">
        <f>VLOOKUP($A11,'Data shares'!$C:$FA,25)</f>
        <v>-2.2000000000000002</v>
      </c>
    </row>
    <row r="12" spans="1:8" x14ac:dyDescent="0.25">
      <c r="A12" s="101" t="str">
        <f>'Data Vlaue (Cr)'!C8</f>
        <v>ADANIPORTS</v>
      </c>
      <c r="B12" s="144">
        <f>VLOOKUP($A12,'Data shares'!$C:$FA,7)</f>
        <v>1414.2</v>
      </c>
      <c r="C12" s="144">
        <f>VLOOKUP($A12,'Data shares'!$C:$FA,3)</f>
        <v>1416</v>
      </c>
      <c r="D12" s="144">
        <f>VLOOKUP($A12,'Data shares'!$C:$FA,23)</f>
        <v>1.8</v>
      </c>
      <c r="E12" s="145">
        <f>VLOOKUP($A12,'Data shares'!$C:$FA,26)*100</f>
        <v>0.13</v>
      </c>
      <c r="F12" s="144">
        <f>VLOOKUP($A12,'Data shares'!$C:$FA,24)</f>
        <v>-1.2</v>
      </c>
      <c r="G12" s="144">
        <f>VLOOKUP($A12,'Data shares'!$C:$FA,25)</f>
        <v>3</v>
      </c>
    </row>
    <row r="13" spans="1:8" x14ac:dyDescent="0.25">
      <c r="A13" s="101" t="str">
        <f>'Data Vlaue (Cr)'!C9</f>
        <v>ALKEM</v>
      </c>
      <c r="B13" s="144">
        <f>VLOOKUP($A13,'Data shares'!$C:$FA,7)</f>
        <v>5758.5</v>
      </c>
      <c r="C13" s="144">
        <f>VLOOKUP($A13,'Data shares'!$C:$FA,3)</f>
        <v>5754</v>
      </c>
      <c r="D13" s="144">
        <f>VLOOKUP($A13,'Data shares'!$C:$FA,23)</f>
        <v>-4.5</v>
      </c>
      <c r="E13" s="145">
        <f>VLOOKUP($A13,'Data shares'!$C:$FA,26)*100</f>
        <v>-0.08</v>
      </c>
      <c r="F13" s="144">
        <f>VLOOKUP($A13,'Data shares'!$C:$FA,24)</f>
        <v>-6.5</v>
      </c>
      <c r="G13" s="144">
        <f>VLOOKUP($A13,'Data shares'!$C:$FA,25)</f>
        <v>2</v>
      </c>
    </row>
    <row r="14" spans="1:8" x14ac:dyDescent="0.25">
      <c r="A14" s="101" t="str">
        <f>'Data Vlaue (Cr)'!C10</f>
        <v>AMBER</v>
      </c>
      <c r="B14" s="144">
        <f>VLOOKUP($A14,'Data shares'!$C:$FA,7)</f>
        <v>5732</v>
      </c>
      <c r="C14" s="144">
        <f>VLOOKUP($A14,'Data shares'!$C:$FA,3)</f>
        <v>5751.5</v>
      </c>
      <c r="D14" s="144">
        <f>VLOOKUP($A14,'Data shares'!$C:$FA,23)</f>
        <v>19.5</v>
      </c>
      <c r="E14" s="145">
        <f>VLOOKUP($A14,'Data shares'!$C:$FA,26)*100</f>
        <v>0.33999999999999997</v>
      </c>
      <c r="F14" s="144">
        <f>VLOOKUP($A14,'Data shares'!$C:$FA,24)</f>
        <v>25.5</v>
      </c>
      <c r="G14" s="144">
        <f>VLOOKUP($A14,'Data shares'!$C:$FA,25)</f>
        <v>-6</v>
      </c>
    </row>
    <row r="15" spans="1:8" x14ac:dyDescent="0.25">
      <c r="A15" s="101" t="str">
        <f>'Data Vlaue (Cr)'!C11</f>
        <v>AMBUJACEM</v>
      </c>
      <c r="B15" s="144">
        <f>VLOOKUP($A15,'Data shares'!$C:$FA,7)</f>
        <v>546.6</v>
      </c>
      <c r="C15" s="144">
        <f>VLOOKUP($A15,'Data shares'!$C:$FA,3)</f>
        <v>546.45000000000005</v>
      </c>
      <c r="D15" s="144">
        <f>VLOOKUP($A15,'Data shares'!$C:$FA,23)</f>
        <v>-0.15</v>
      </c>
      <c r="E15" s="145">
        <f>VLOOKUP($A15,'Data shares'!$C:$FA,26)*100</f>
        <v>-0.03</v>
      </c>
      <c r="F15" s="144">
        <f>VLOOKUP($A15,'Data shares'!$C:$FA,24)</f>
        <v>-0.6</v>
      </c>
      <c r="G15" s="144">
        <f>VLOOKUP($A15,'Data shares'!$C:$FA,25)</f>
        <v>0.45</v>
      </c>
    </row>
    <row r="16" spans="1:8" x14ac:dyDescent="0.25">
      <c r="A16" s="101" t="str">
        <f>'Data Vlaue (Cr)'!C12</f>
        <v>ANGELONE</v>
      </c>
      <c r="B16" s="144">
        <f>VLOOKUP($A16,'Data shares'!$C:$FA,7)</f>
        <v>2566.6</v>
      </c>
      <c r="C16" s="144">
        <f>VLOOKUP($A16,'Data shares'!$C:$FA,3)</f>
        <v>2570.1</v>
      </c>
      <c r="D16" s="144">
        <f>VLOOKUP($A16,'Data shares'!$C:$FA,23)</f>
        <v>3.5</v>
      </c>
      <c r="E16" s="145">
        <f>VLOOKUP($A16,'Data shares'!$C:$FA,26)*100</f>
        <v>0.13999999999999999</v>
      </c>
      <c r="F16" s="144">
        <f>VLOOKUP($A16,'Data shares'!$C:$FA,24)</f>
        <v>5</v>
      </c>
      <c r="G16" s="144">
        <f>VLOOKUP($A16,'Data shares'!$C:$FA,25)</f>
        <v>-1.5</v>
      </c>
    </row>
    <row r="17" spans="1:7" x14ac:dyDescent="0.25">
      <c r="A17" s="101" t="str">
        <f>'Data Vlaue (Cr)'!C13</f>
        <v>APLAPOLLO</v>
      </c>
      <c r="B17" s="144">
        <f>VLOOKUP($A17,'Data shares'!$C:$FA,7)</f>
        <v>1976</v>
      </c>
      <c r="C17" s="144">
        <f>VLOOKUP($A17,'Data shares'!$C:$FA,3)</f>
        <v>1982</v>
      </c>
      <c r="D17" s="144">
        <f>VLOOKUP($A17,'Data shares'!$C:$FA,23)</f>
        <v>6</v>
      </c>
      <c r="E17" s="145">
        <f>VLOOKUP($A17,'Data shares'!$C:$FA,26)*100</f>
        <v>0.3</v>
      </c>
      <c r="F17" s="144">
        <f>VLOOKUP($A17,'Data shares'!$C:$FA,24)</f>
        <v>5.7</v>
      </c>
      <c r="G17" s="144">
        <f>VLOOKUP($A17,'Data shares'!$C:$FA,25)</f>
        <v>0.3</v>
      </c>
    </row>
    <row r="18" spans="1:7" x14ac:dyDescent="0.25">
      <c r="A18" s="101" t="str">
        <f>'Data Vlaue (Cr)'!C14</f>
        <v>APOLLOHOSP</v>
      </c>
      <c r="B18" s="144">
        <f>VLOOKUP($A18,'Data shares'!$C:$FA,7)</f>
        <v>6797</v>
      </c>
      <c r="C18" s="144">
        <f>VLOOKUP($A18,'Data shares'!$C:$FA,3)</f>
        <v>6812.5</v>
      </c>
      <c r="D18" s="144">
        <f>VLOOKUP($A18,'Data shares'!$C:$FA,23)</f>
        <v>15.5</v>
      </c>
      <c r="E18" s="145">
        <f>VLOOKUP($A18,'Data shares'!$C:$FA,26)*100</f>
        <v>0.22999999999999998</v>
      </c>
      <c r="F18" s="144">
        <f>VLOOKUP($A18,'Data shares'!$C:$FA,24)</f>
        <v>8.5</v>
      </c>
      <c r="G18" s="144">
        <f>VLOOKUP($A18,'Data shares'!$C:$FA,25)</f>
        <v>7</v>
      </c>
    </row>
    <row r="19" spans="1:7" x14ac:dyDescent="0.25">
      <c r="A19" s="101" t="str">
        <f>'Data Vlaue (Cr)'!C15</f>
        <v>ASHOKLEY</v>
      </c>
      <c r="B19" s="144">
        <f>VLOOKUP($A19,'Data shares'!$C:$FA,7)</f>
        <v>190.28</v>
      </c>
      <c r="C19" s="144">
        <f>VLOOKUP($A19,'Data shares'!$C:$FA,3)</f>
        <v>190.94</v>
      </c>
      <c r="D19" s="144">
        <f>VLOOKUP($A19,'Data shares'!$C:$FA,23)</f>
        <v>0.66</v>
      </c>
      <c r="E19" s="145">
        <f>VLOOKUP($A19,'Data shares'!$C:$FA,26)*100</f>
        <v>0.35000000000000003</v>
      </c>
      <c r="F19" s="144">
        <f>VLOOKUP($A19,'Data shares'!$C:$FA,24)</f>
        <v>0.56999999999999995</v>
      </c>
      <c r="G19" s="144">
        <f>VLOOKUP($A19,'Data shares'!$C:$FA,25)</f>
        <v>0.09</v>
      </c>
    </row>
    <row r="20" spans="1:7" x14ac:dyDescent="0.25">
      <c r="A20" s="101" t="str">
        <f>'Data Vlaue (Cr)'!C16</f>
        <v>ASIANPAINT</v>
      </c>
      <c r="B20" s="144">
        <f>VLOOKUP($A20,'Data shares'!$C:$FA,7)</f>
        <v>2703.8</v>
      </c>
      <c r="C20" s="144">
        <f>VLOOKUP($A20,'Data shares'!$C:$FA,3)</f>
        <v>2705.2</v>
      </c>
      <c r="D20" s="144">
        <f>VLOOKUP($A20,'Data shares'!$C:$FA,23)</f>
        <v>1.4</v>
      </c>
      <c r="E20" s="145">
        <f>VLOOKUP($A20,'Data shares'!$C:$FA,26)*100</f>
        <v>0.05</v>
      </c>
      <c r="F20" s="144">
        <f>VLOOKUP($A20,'Data shares'!$C:$FA,24)</f>
        <v>3.4</v>
      </c>
      <c r="G20" s="144">
        <f>VLOOKUP($A20,'Data shares'!$C:$FA,25)</f>
        <v>-2</v>
      </c>
    </row>
    <row r="21" spans="1:7" x14ac:dyDescent="0.25">
      <c r="A21" s="101" t="str">
        <f>'Data Vlaue (Cr)'!C17</f>
        <v>ASTRAL</v>
      </c>
      <c r="B21" s="144">
        <f>VLOOKUP($A21,'Data shares'!$C:$FA,7)</f>
        <v>1413.2</v>
      </c>
      <c r="C21" s="144">
        <f>VLOOKUP($A21,'Data shares'!$C:$FA,3)</f>
        <v>1408.3</v>
      </c>
      <c r="D21" s="144">
        <f>VLOOKUP($A21,'Data shares'!$C:$FA,23)</f>
        <v>-4.9000000000000004</v>
      </c>
      <c r="E21" s="145">
        <f>VLOOKUP($A21,'Data shares'!$C:$FA,26)*100</f>
        <v>-0.35000000000000003</v>
      </c>
      <c r="F21" s="144">
        <f>VLOOKUP($A21,'Data shares'!$C:$FA,24)</f>
        <v>-3.6</v>
      </c>
      <c r="G21" s="144">
        <f>VLOOKUP($A21,'Data shares'!$C:$FA,25)</f>
        <v>-1.3</v>
      </c>
    </row>
    <row r="22" spans="1:7" x14ac:dyDescent="0.25">
      <c r="A22" s="101" t="str">
        <f>'Data Vlaue (Cr)'!C18</f>
        <v>AUBANK</v>
      </c>
      <c r="B22" s="144">
        <f>VLOOKUP($A22,'Data shares'!$C:$FA,7)</f>
        <v>1000.55</v>
      </c>
      <c r="C22" s="144">
        <f>VLOOKUP($A22,'Data shares'!$C:$FA,3)</f>
        <v>1002.7</v>
      </c>
      <c r="D22" s="144">
        <f>VLOOKUP($A22,'Data shares'!$C:$FA,23)</f>
        <v>2.15</v>
      </c>
      <c r="E22" s="145">
        <f>VLOOKUP($A22,'Data shares'!$C:$FA,26)*100</f>
        <v>0.21</v>
      </c>
      <c r="F22" s="144">
        <f>VLOOKUP($A22,'Data shares'!$C:$FA,24)</f>
        <v>0.55000000000000004</v>
      </c>
      <c r="G22" s="144">
        <f>VLOOKUP($A22,'Data shares'!$C:$FA,25)</f>
        <v>1.6</v>
      </c>
    </row>
    <row r="23" spans="1:7" x14ac:dyDescent="0.25">
      <c r="A23" s="101" t="str">
        <f>'Data Vlaue (Cr)'!C19</f>
        <v>AUROPHARMA</v>
      </c>
      <c r="B23" s="144">
        <f>VLOOKUP($A23,'Data shares'!$C:$FA,7)</f>
        <v>1145.3</v>
      </c>
      <c r="C23" s="144">
        <f>VLOOKUP($A23,'Data shares'!$C:$FA,3)</f>
        <v>1144.0999999999999</v>
      </c>
      <c r="D23" s="144">
        <f>VLOOKUP($A23,'Data shares'!$C:$FA,23)</f>
        <v>-1.2</v>
      </c>
      <c r="E23" s="145">
        <f>VLOOKUP($A23,'Data shares'!$C:$FA,26)*100</f>
        <v>-0.1</v>
      </c>
      <c r="F23" s="144">
        <f>VLOOKUP($A23,'Data shares'!$C:$FA,24)</f>
        <v>-1.2</v>
      </c>
      <c r="G23" s="144">
        <f>VLOOKUP($A23,'Data shares'!$C:$FA,25)</f>
        <v>0</v>
      </c>
    </row>
    <row r="24" spans="1:7" x14ac:dyDescent="0.25">
      <c r="A24" s="101" t="str">
        <f>'Data Vlaue (Cr)'!C20</f>
        <v>AXISBANK</v>
      </c>
      <c r="B24" s="144">
        <f>VLOOKUP($A24,'Data shares'!$C:$FA,7)</f>
        <v>1294.8</v>
      </c>
      <c r="C24" s="144">
        <f>VLOOKUP($A24,'Data shares'!$C:$FA,3)</f>
        <v>1297</v>
      </c>
      <c r="D24" s="144">
        <f>VLOOKUP($A24,'Data shares'!$C:$FA,23)</f>
        <v>2.2000000000000002</v>
      </c>
      <c r="E24" s="145">
        <f>VLOOKUP($A24,'Data shares'!$C:$FA,26)*100</f>
        <v>0.16999999999999998</v>
      </c>
      <c r="F24" s="144">
        <f>VLOOKUP($A24,'Data shares'!$C:$FA,24)</f>
        <v>-1.4</v>
      </c>
      <c r="G24" s="144">
        <f>VLOOKUP($A24,'Data shares'!$C:$FA,25)</f>
        <v>3.6</v>
      </c>
    </row>
    <row r="25" spans="1:7" x14ac:dyDescent="0.25">
      <c r="A25" s="101" t="str">
        <f>'Data Vlaue (Cr)'!C21</f>
        <v>BAJAJ-AUTO</v>
      </c>
      <c r="B25" s="144">
        <f>VLOOKUP($A25,'Data shares'!$C:$FA,7)</f>
        <v>9370</v>
      </c>
      <c r="C25" s="144">
        <f>VLOOKUP($A25,'Data shares'!$C:$FA,3)</f>
        <v>9383</v>
      </c>
      <c r="D25" s="144">
        <f>VLOOKUP($A25,'Data shares'!$C:$FA,23)</f>
        <v>13</v>
      </c>
      <c r="E25" s="145">
        <f>VLOOKUP($A25,'Data shares'!$C:$FA,26)*100</f>
        <v>0.13999999999999999</v>
      </c>
      <c r="F25" s="144">
        <f>VLOOKUP($A25,'Data shares'!$C:$FA,24)</f>
        <v>14</v>
      </c>
      <c r="G25" s="144">
        <f>VLOOKUP($A25,'Data shares'!$C:$FA,25)</f>
        <v>-1</v>
      </c>
    </row>
    <row r="26" spans="1:7" x14ac:dyDescent="0.25">
      <c r="A26" s="101" t="str">
        <f>'Data Vlaue (Cr)'!C22</f>
        <v>BAJAJFINSV</v>
      </c>
      <c r="B26" s="144">
        <f>VLOOKUP($A26,'Data shares'!$C:$FA,7)</f>
        <v>1993.1</v>
      </c>
      <c r="C26" s="144">
        <f>VLOOKUP($A26,'Data shares'!$C:$FA,3)</f>
        <v>1991.3</v>
      </c>
      <c r="D26" s="144">
        <f>VLOOKUP($A26,'Data shares'!$C:$FA,23)</f>
        <v>-1.8</v>
      </c>
      <c r="E26" s="145">
        <f>VLOOKUP($A26,'Data shares'!$C:$FA,26)*100</f>
        <v>-0.09</v>
      </c>
      <c r="F26" s="144">
        <f>VLOOKUP($A26,'Data shares'!$C:$FA,24)</f>
        <v>-1.5</v>
      </c>
      <c r="G26" s="144">
        <f>VLOOKUP($A26,'Data shares'!$C:$FA,25)</f>
        <v>-0.3</v>
      </c>
    </row>
    <row r="27" spans="1:7" x14ac:dyDescent="0.25">
      <c r="A27" s="101" t="str">
        <f>'Data Vlaue (Cr)'!C23</f>
        <v>BAJAJHLDNG</v>
      </c>
      <c r="B27" s="144">
        <f>VLOOKUP($A27,'Data shares'!$C:$FA,7)</f>
        <v>10735</v>
      </c>
      <c r="C27" s="144">
        <f>VLOOKUP($A27,'Data shares'!$C:$FA,3)</f>
        <v>10739</v>
      </c>
      <c r="D27" s="144">
        <f>VLOOKUP($A27,'Data shares'!$C:$FA,23)</f>
        <v>4</v>
      </c>
      <c r="E27" s="145">
        <f>VLOOKUP($A27,'Data shares'!$C:$FA,26)*100</f>
        <v>0.04</v>
      </c>
      <c r="F27" s="144">
        <f>VLOOKUP($A27,'Data shares'!$C:$FA,24)</f>
        <v>-3</v>
      </c>
      <c r="G27" s="144">
        <f>VLOOKUP($A27,'Data shares'!$C:$FA,25)</f>
        <v>7</v>
      </c>
    </row>
    <row r="28" spans="1:7" x14ac:dyDescent="0.25">
      <c r="A28" s="101" t="str">
        <f>'Data Vlaue (Cr)'!C24</f>
        <v>BAJFINANCE</v>
      </c>
      <c r="B28" s="144">
        <f>VLOOKUP($A28,'Data shares'!$C:$FA,7)</f>
        <v>942.85</v>
      </c>
      <c r="C28" s="144">
        <f>VLOOKUP($A28,'Data shares'!$C:$FA,3)</f>
        <v>943.15</v>
      </c>
      <c r="D28" s="144">
        <f>VLOOKUP($A28,'Data shares'!$C:$FA,23)</f>
        <v>0.3</v>
      </c>
      <c r="E28" s="145">
        <f>VLOOKUP($A28,'Data shares'!$C:$FA,26)*100</f>
        <v>0.03</v>
      </c>
      <c r="F28" s="144">
        <f>VLOOKUP($A28,'Data shares'!$C:$FA,24)</f>
        <v>0.4</v>
      </c>
      <c r="G28" s="144">
        <f>VLOOKUP($A28,'Data shares'!$C:$FA,25)</f>
        <v>-0.1</v>
      </c>
    </row>
    <row r="29" spans="1:7" x14ac:dyDescent="0.25">
      <c r="A29" s="101" t="str">
        <f>'Data Vlaue (Cr)'!C25</f>
        <v>BANDHANBNK</v>
      </c>
      <c r="B29" s="144">
        <f>VLOOKUP($A29,'Data shares'!$C:$FA,7)</f>
        <v>142.46</v>
      </c>
      <c r="C29" s="144">
        <f>VLOOKUP($A29,'Data shares'!$C:$FA,3)</f>
        <v>142.34</v>
      </c>
      <c r="D29" s="144">
        <f>VLOOKUP($A29,'Data shares'!$C:$FA,23)</f>
        <v>-0.12</v>
      </c>
      <c r="E29" s="145">
        <f>VLOOKUP($A29,'Data shares'!$C:$FA,26)*100</f>
        <v>-0.08</v>
      </c>
      <c r="F29" s="144">
        <f>VLOOKUP($A29,'Data shares'!$C:$FA,24)</f>
        <v>0.25</v>
      </c>
      <c r="G29" s="144">
        <f>VLOOKUP($A29,'Data shares'!$C:$FA,25)</f>
        <v>-0.37</v>
      </c>
    </row>
    <row r="30" spans="1:7" x14ac:dyDescent="0.25">
      <c r="A30" s="101" t="str">
        <f>'Data Vlaue (Cr)'!C26</f>
        <v>BANKBARODA</v>
      </c>
      <c r="B30" s="144">
        <f>VLOOKUP($A30,'Data shares'!$C:$FA,7)</f>
        <v>305.3</v>
      </c>
      <c r="C30" s="144">
        <f>VLOOKUP($A30,'Data shares'!$C:$FA,3)</f>
        <v>305.64999999999998</v>
      </c>
      <c r="D30" s="144">
        <f>VLOOKUP($A30,'Data shares'!$C:$FA,23)</f>
        <v>0.35</v>
      </c>
      <c r="E30" s="145">
        <f>VLOOKUP($A30,'Data shares'!$C:$FA,26)*100</f>
        <v>0.11</v>
      </c>
      <c r="F30" s="144">
        <f>VLOOKUP($A30,'Data shares'!$C:$FA,24)</f>
        <v>0.55000000000000004</v>
      </c>
      <c r="G30" s="144">
        <f>VLOOKUP($A30,'Data shares'!$C:$FA,25)</f>
        <v>-0.2</v>
      </c>
    </row>
    <row r="31" spans="1:7" x14ac:dyDescent="0.25">
      <c r="A31" s="101" t="str">
        <f>'Data Vlaue (Cr)'!C27</f>
        <v>BANKINDIA</v>
      </c>
      <c r="B31" s="144">
        <f>VLOOKUP($A31,'Data shares'!$C:$FA,7)</f>
        <v>166.42</v>
      </c>
      <c r="C31" s="144">
        <f>VLOOKUP($A31,'Data shares'!$C:$FA,3)</f>
        <v>166.26</v>
      </c>
      <c r="D31" s="144">
        <f>VLOOKUP($A31,'Data shares'!$C:$FA,23)</f>
        <v>-0.16</v>
      </c>
      <c r="E31" s="145">
        <f>VLOOKUP($A31,'Data shares'!$C:$FA,26)*100</f>
        <v>-0.1</v>
      </c>
      <c r="F31" s="144">
        <f>VLOOKUP($A31,'Data shares'!$C:$FA,24)</f>
        <v>-0.03</v>
      </c>
      <c r="G31" s="144">
        <f>VLOOKUP($A31,'Data shares'!$C:$FA,25)</f>
        <v>-0.13</v>
      </c>
    </row>
    <row r="32" spans="1:7" x14ac:dyDescent="0.25">
      <c r="A32" s="101" t="str">
        <f>'Data Vlaue (Cr)'!C28</f>
        <v>BANKNIFTY</v>
      </c>
      <c r="B32" s="144">
        <f>VLOOKUP($A32,'Data shares'!$C:$FA,7)</f>
        <v>59200.1</v>
      </c>
      <c r="C32" s="144">
        <f>VLOOKUP($A32,'Data shares'!$C:$FA,3)</f>
        <v>59343.199999999997</v>
      </c>
      <c r="D32" s="144">
        <f>VLOOKUP($A32,'Data shares'!$C:$FA,23)</f>
        <v>143.1</v>
      </c>
      <c r="E32" s="145">
        <f>VLOOKUP($A32,'Data shares'!$C:$FA,26)*100</f>
        <v>0.24</v>
      </c>
      <c r="F32" s="144">
        <f>VLOOKUP($A32,'Data shares'!$C:$FA,24)</f>
        <v>55.5</v>
      </c>
      <c r="G32" s="144">
        <f>VLOOKUP($A32,'Data shares'!$C:$FA,25)</f>
        <v>87.6</v>
      </c>
    </row>
    <row r="33" spans="1:7" x14ac:dyDescent="0.25">
      <c r="A33" s="101" t="str">
        <f>'Data Vlaue (Cr)'!C29</f>
        <v>BDL</v>
      </c>
      <c r="B33" s="144">
        <f>VLOOKUP($A33,'Data shares'!$C:$FA,7)</f>
        <v>1451.2</v>
      </c>
      <c r="C33" s="144">
        <f>VLOOKUP($A33,'Data shares'!$C:$FA,3)</f>
        <v>1452.9</v>
      </c>
      <c r="D33" s="144">
        <f>VLOOKUP($A33,'Data shares'!$C:$FA,23)</f>
        <v>1.7</v>
      </c>
      <c r="E33" s="145">
        <f>VLOOKUP($A33,'Data shares'!$C:$FA,26)*100</f>
        <v>0.12</v>
      </c>
      <c r="F33" s="144">
        <f>VLOOKUP($A33,'Data shares'!$C:$FA,24)</f>
        <v>4.5999999999999996</v>
      </c>
      <c r="G33" s="144">
        <f>VLOOKUP($A33,'Data shares'!$C:$FA,25)</f>
        <v>-2.9</v>
      </c>
    </row>
    <row r="34" spans="1:7" x14ac:dyDescent="0.25">
      <c r="A34" s="101" t="str">
        <f>'Data Vlaue (Cr)'!C30</f>
        <v>BEL</v>
      </c>
      <c r="B34" s="144">
        <f>VLOOKUP($A34,'Data shares'!$C:$FA,7)</f>
        <v>417.3</v>
      </c>
      <c r="C34" s="144">
        <f>VLOOKUP($A34,'Data shares'!$C:$FA,3)</f>
        <v>417.15</v>
      </c>
      <c r="D34" s="144">
        <f>VLOOKUP($A34,'Data shares'!$C:$FA,23)</f>
        <v>-0.15</v>
      </c>
      <c r="E34" s="145">
        <f>VLOOKUP($A34,'Data shares'!$C:$FA,26)*100</f>
        <v>-0.04</v>
      </c>
      <c r="F34" s="144">
        <f>VLOOKUP($A34,'Data shares'!$C:$FA,24)</f>
        <v>-0.15</v>
      </c>
      <c r="G34" s="144">
        <f>VLOOKUP($A34,'Data shares'!$C:$FA,25)</f>
        <v>0</v>
      </c>
    </row>
    <row r="35" spans="1:7" x14ac:dyDescent="0.25">
      <c r="A35" s="101" t="str">
        <f>'Data Vlaue (Cr)'!C31</f>
        <v>BHARATFORG</v>
      </c>
      <c r="B35" s="144">
        <f>VLOOKUP($A35,'Data shares'!$C:$FA,7)</f>
        <v>1431.5</v>
      </c>
      <c r="C35" s="144">
        <f>VLOOKUP($A35,'Data shares'!$C:$FA,3)</f>
        <v>1433.5</v>
      </c>
      <c r="D35" s="144">
        <f>VLOOKUP($A35,'Data shares'!$C:$FA,23)</f>
        <v>2</v>
      </c>
      <c r="E35" s="145">
        <f>VLOOKUP($A35,'Data shares'!$C:$FA,26)*100</f>
        <v>0.13999999999999999</v>
      </c>
      <c r="F35" s="144">
        <f>VLOOKUP($A35,'Data shares'!$C:$FA,24)</f>
        <v>2.6</v>
      </c>
      <c r="G35" s="144">
        <f>VLOOKUP($A35,'Data shares'!$C:$FA,25)</f>
        <v>-0.6</v>
      </c>
    </row>
    <row r="36" spans="1:7" x14ac:dyDescent="0.25">
      <c r="A36" s="101" t="str">
        <f>'Data Vlaue (Cr)'!C32</f>
        <v>BHARTIARTL</v>
      </c>
      <c r="B36" s="144">
        <f>VLOOKUP($A36,'Data shares'!$C:$FA,7)</f>
        <v>2002.2</v>
      </c>
      <c r="C36" s="144">
        <f>VLOOKUP($A36,'Data shares'!$C:$FA,3)</f>
        <v>2006</v>
      </c>
      <c r="D36" s="144">
        <f>VLOOKUP($A36,'Data shares'!$C:$FA,23)</f>
        <v>3.8</v>
      </c>
      <c r="E36" s="145">
        <f>VLOOKUP($A36,'Data shares'!$C:$FA,26)*100</f>
        <v>0.19</v>
      </c>
      <c r="F36" s="144">
        <f>VLOOKUP($A36,'Data shares'!$C:$FA,24)</f>
        <v>-0.6</v>
      </c>
      <c r="G36" s="144">
        <f>VLOOKUP($A36,'Data shares'!$C:$FA,25)</f>
        <v>4.4000000000000004</v>
      </c>
    </row>
    <row r="37" spans="1:7" x14ac:dyDescent="0.25">
      <c r="A37" s="101" t="str">
        <f>'Data Vlaue (Cr)'!C33</f>
        <v>BHEL</v>
      </c>
      <c r="B37" s="144">
        <f>VLOOKUP($A37,'Data shares'!$C:$FA,7)</f>
        <v>251.55</v>
      </c>
      <c r="C37" s="144">
        <f>VLOOKUP($A37,'Data shares'!$C:$FA,3)</f>
        <v>251.75</v>
      </c>
      <c r="D37" s="144">
        <f>VLOOKUP($A37,'Data shares'!$C:$FA,23)</f>
        <v>0.2</v>
      </c>
      <c r="E37" s="145">
        <f>VLOOKUP($A37,'Data shares'!$C:$FA,26)*100</f>
        <v>0.08</v>
      </c>
      <c r="F37" s="144">
        <f>VLOOKUP($A37,'Data shares'!$C:$FA,24)</f>
        <v>0.1</v>
      </c>
      <c r="G37" s="144">
        <f>VLOOKUP($A37,'Data shares'!$C:$FA,25)</f>
        <v>0.1</v>
      </c>
    </row>
    <row r="38" spans="1:7" x14ac:dyDescent="0.25">
      <c r="A38" s="101" t="str">
        <f>'Data Vlaue (Cr)'!C34</f>
        <v>BIOCON</v>
      </c>
      <c r="B38" s="144">
        <f>VLOOKUP($A38,'Data shares'!$C:$FA,7)</f>
        <v>373</v>
      </c>
      <c r="C38" s="144">
        <f>VLOOKUP($A38,'Data shares'!$C:$FA,3)</f>
        <v>372.95</v>
      </c>
      <c r="D38" s="144">
        <f>VLOOKUP($A38,'Data shares'!$C:$FA,23)</f>
        <v>-0.05</v>
      </c>
      <c r="E38" s="145">
        <f>VLOOKUP($A38,'Data shares'!$C:$FA,26)*100</f>
        <v>-0.01</v>
      </c>
      <c r="F38" s="144">
        <f>VLOOKUP($A38,'Data shares'!$C:$FA,24)</f>
        <v>0.1</v>
      </c>
      <c r="G38" s="144">
        <f>VLOOKUP($A38,'Data shares'!$C:$FA,25)</f>
        <v>-0.15</v>
      </c>
    </row>
    <row r="39" spans="1:7" x14ac:dyDescent="0.25">
      <c r="A39" s="101" t="str">
        <f>'Data Vlaue (Cr)'!C35</f>
        <v>BLUESTARCO</v>
      </c>
      <c r="B39" s="144">
        <f>VLOOKUP($A39,'Data shares'!$C:$FA,7)</f>
        <v>1709.3</v>
      </c>
      <c r="C39" s="144">
        <f>VLOOKUP($A39,'Data shares'!$C:$FA,3)</f>
        <v>1714.4</v>
      </c>
      <c r="D39" s="144">
        <f>VLOOKUP($A39,'Data shares'!$C:$FA,23)</f>
        <v>5.0999999999999996</v>
      </c>
      <c r="E39" s="145">
        <f>VLOOKUP($A39,'Data shares'!$C:$FA,26)*100</f>
        <v>0.3</v>
      </c>
      <c r="F39" s="144">
        <f>VLOOKUP($A39,'Data shares'!$C:$FA,24)</f>
        <v>-3</v>
      </c>
      <c r="G39" s="144">
        <f>VLOOKUP($A39,'Data shares'!$C:$FA,25)</f>
        <v>8.1</v>
      </c>
    </row>
    <row r="40" spans="1:7" x14ac:dyDescent="0.25">
      <c r="A40" s="101" t="str">
        <f>'Data Vlaue (Cr)'!C36</f>
        <v>BOSCHLTD</v>
      </c>
      <c r="B40" s="144">
        <f>VLOOKUP($A40,'Data shares'!$C:$FA,7)</f>
        <v>35710</v>
      </c>
      <c r="C40" s="144">
        <f>VLOOKUP($A40,'Data shares'!$C:$FA,3)</f>
        <v>35825</v>
      </c>
      <c r="D40" s="144">
        <f>VLOOKUP($A40,'Data shares'!$C:$FA,23)</f>
        <v>115</v>
      </c>
      <c r="E40" s="145">
        <f>VLOOKUP($A40,'Data shares'!$C:$FA,26)*100</f>
        <v>0.32</v>
      </c>
      <c r="F40" s="144">
        <f>VLOOKUP($A40,'Data shares'!$C:$FA,24)</f>
        <v>45</v>
      </c>
      <c r="G40" s="144">
        <f>VLOOKUP($A40,'Data shares'!$C:$FA,25)</f>
        <v>70</v>
      </c>
    </row>
    <row r="41" spans="1:7" x14ac:dyDescent="0.25">
      <c r="A41" s="101" t="str">
        <f>'Data Vlaue (Cr)'!C37</f>
        <v>BPCL</v>
      </c>
      <c r="B41" s="144">
        <f>VLOOKUP($A41,'Data shares'!$C:$FA,7)</f>
        <v>354.15</v>
      </c>
      <c r="C41" s="144">
        <f>VLOOKUP($A41,'Data shares'!$C:$FA,3)</f>
        <v>354.1</v>
      </c>
      <c r="D41" s="144">
        <f>VLOOKUP($A41,'Data shares'!$C:$FA,23)</f>
        <v>-0.05</v>
      </c>
      <c r="E41" s="145">
        <f>VLOOKUP($A41,'Data shares'!$C:$FA,26)*100</f>
        <v>-0.01</v>
      </c>
      <c r="F41" s="144">
        <f>VLOOKUP($A41,'Data shares'!$C:$FA,24)</f>
        <v>-0.65</v>
      </c>
      <c r="G41" s="144">
        <f>VLOOKUP($A41,'Data shares'!$C:$FA,25)</f>
        <v>0.6</v>
      </c>
    </row>
    <row r="42" spans="1:7" x14ac:dyDescent="0.25">
      <c r="A42" s="101" t="str">
        <f>'Data Vlaue (Cr)'!C38</f>
        <v>BRITANNIA</v>
      </c>
      <c r="B42" s="144">
        <f>VLOOKUP($A42,'Data shares'!$C:$FA,7)</f>
        <v>5932</v>
      </c>
      <c r="C42" s="144">
        <f>VLOOKUP($A42,'Data shares'!$C:$FA,3)</f>
        <v>5937.5</v>
      </c>
      <c r="D42" s="144">
        <f>VLOOKUP($A42,'Data shares'!$C:$FA,23)</f>
        <v>5.5</v>
      </c>
      <c r="E42" s="145">
        <f>VLOOKUP($A42,'Data shares'!$C:$FA,26)*100</f>
        <v>0.09</v>
      </c>
      <c r="F42" s="144">
        <f>VLOOKUP($A42,'Data shares'!$C:$FA,24)</f>
        <v>15.5</v>
      </c>
      <c r="G42" s="144">
        <f>VLOOKUP($A42,'Data shares'!$C:$FA,25)</f>
        <v>-10</v>
      </c>
    </row>
    <row r="43" spans="1:7" x14ac:dyDescent="0.25">
      <c r="A43" s="101" t="str">
        <f>'Data Vlaue (Cr)'!C39</f>
        <v>BSE</v>
      </c>
      <c r="B43" s="144">
        <f>VLOOKUP($A43,'Data shares'!$C:$FA,7)</f>
        <v>2708.6</v>
      </c>
      <c r="C43" s="144">
        <f>VLOOKUP($A43,'Data shares'!$C:$FA,3)</f>
        <v>2707.5</v>
      </c>
      <c r="D43" s="144">
        <f>VLOOKUP($A43,'Data shares'!$C:$FA,23)</f>
        <v>-1.1000000000000001</v>
      </c>
      <c r="E43" s="145">
        <f>VLOOKUP($A43,'Data shares'!$C:$FA,26)*100</f>
        <v>-0.04</v>
      </c>
      <c r="F43" s="144">
        <f>VLOOKUP($A43,'Data shares'!$C:$FA,24)</f>
        <v>-1.2</v>
      </c>
      <c r="G43" s="144">
        <f>VLOOKUP($A43,'Data shares'!$C:$FA,25)</f>
        <v>0.1</v>
      </c>
    </row>
    <row r="44" spans="1:7" x14ac:dyDescent="0.25">
      <c r="A44" s="101" t="str">
        <f>'Data Vlaue (Cr)'!C40</f>
        <v>CAMS</v>
      </c>
      <c r="B44" s="144">
        <f>VLOOKUP($A44,'Data shares'!$C:$FA,7)</f>
        <v>707.75</v>
      </c>
      <c r="C44" s="144">
        <f>VLOOKUP($A44,'Data shares'!$C:$FA,3)</f>
        <v>710.4</v>
      </c>
      <c r="D44" s="144">
        <f>VLOOKUP($A44,'Data shares'!$C:$FA,23)</f>
        <v>2.65</v>
      </c>
      <c r="E44" s="145">
        <f>VLOOKUP($A44,'Data shares'!$C:$FA,26)*100</f>
        <v>0.37</v>
      </c>
      <c r="F44" s="144">
        <f>VLOOKUP($A44,'Data shares'!$C:$FA,24)</f>
        <v>0.65</v>
      </c>
      <c r="G44" s="144">
        <f>VLOOKUP($A44,'Data shares'!$C:$FA,25)</f>
        <v>2</v>
      </c>
    </row>
    <row r="45" spans="1:7" x14ac:dyDescent="0.25">
      <c r="A45" s="101" t="str">
        <f>'Data Vlaue (Cr)'!C41</f>
        <v>CANBK</v>
      </c>
      <c r="B45" s="144">
        <f>VLOOKUP($A45,'Data shares'!$C:$FA,7)</f>
        <v>154.68</v>
      </c>
      <c r="C45" s="144">
        <f>VLOOKUP($A45,'Data shares'!$C:$FA,3)</f>
        <v>154.6</v>
      </c>
      <c r="D45" s="144">
        <f>VLOOKUP($A45,'Data shares'!$C:$FA,23)</f>
        <v>-0.08</v>
      </c>
      <c r="E45" s="145">
        <f>VLOOKUP($A45,'Data shares'!$C:$FA,26)*100</f>
        <v>-0.05</v>
      </c>
      <c r="F45" s="144">
        <f>VLOOKUP($A45,'Data shares'!$C:$FA,24)</f>
        <v>0.45</v>
      </c>
      <c r="G45" s="144">
        <f>VLOOKUP($A45,'Data shares'!$C:$FA,25)</f>
        <v>-0.53</v>
      </c>
    </row>
    <row r="46" spans="1:7" x14ac:dyDescent="0.25">
      <c r="A46" s="101" t="str">
        <f>'Data Vlaue (Cr)'!C42</f>
        <v>CDSL</v>
      </c>
      <c r="B46" s="144">
        <f>VLOOKUP($A46,'Data shares'!$C:$FA,7)</f>
        <v>1356.6</v>
      </c>
      <c r="C46" s="144">
        <f>VLOOKUP($A46,'Data shares'!$C:$FA,3)</f>
        <v>1359.6</v>
      </c>
      <c r="D46" s="144">
        <f>VLOOKUP($A46,'Data shares'!$C:$FA,23)</f>
        <v>3</v>
      </c>
      <c r="E46" s="145">
        <f>VLOOKUP($A46,'Data shares'!$C:$FA,26)*100</f>
        <v>0.22</v>
      </c>
      <c r="F46" s="144">
        <f>VLOOKUP($A46,'Data shares'!$C:$FA,24)</f>
        <v>3.8</v>
      </c>
      <c r="G46" s="144">
        <f>VLOOKUP($A46,'Data shares'!$C:$FA,25)</f>
        <v>-0.8</v>
      </c>
    </row>
    <row r="47" spans="1:7" x14ac:dyDescent="0.25">
      <c r="A47" s="101" t="str">
        <f>'Data Vlaue (Cr)'!C43</f>
        <v>CGPOWER</v>
      </c>
      <c r="B47" s="144">
        <f>VLOOKUP($A47,'Data shares'!$C:$FA,7)</f>
        <v>574.25</v>
      </c>
      <c r="C47" s="144">
        <f>VLOOKUP($A47,'Data shares'!$C:$FA,3)</f>
        <v>575.1</v>
      </c>
      <c r="D47" s="144">
        <f>VLOOKUP($A47,'Data shares'!$C:$FA,23)</f>
        <v>0.85</v>
      </c>
      <c r="E47" s="145">
        <f>VLOOKUP($A47,'Data shares'!$C:$FA,26)*100</f>
        <v>0.15</v>
      </c>
      <c r="F47" s="144">
        <f>VLOOKUP($A47,'Data shares'!$C:$FA,24)</f>
        <v>-0.15</v>
      </c>
      <c r="G47" s="144">
        <f>VLOOKUP($A47,'Data shares'!$C:$FA,25)</f>
        <v>1</v>
      </c>
    </row>
    <row r="48" spans="1:7" x14ac:dyDescent="0.25">
      <c r="A48" s="101" t="str">
        <f>'Data Vlaue (Cr)'!C44</f>
        <v>CHOLAFIN</v>
      </c>
      <c r="B48" s="144">
        <f>VLOOKUP($A48,'Data shares'!$C:$FA,7)</f>
        <v>1664</v>
      </c>
      <c r="C48" s="144">
        <f>VLOOKUP($A48,'Data shares'!$C:$FA,3)</f>
        <v>1665.2</v>
      </c>
      <c r="D48" s="144">
        <f>VLOOKUP($A48,'Data shares'!$C:$FA,23)</f>
        <v>1.2</v>
      </c>
      <c r="E48" s="145">
        <f>VLOOKUP($A48,'Data shares'!$C:$FA,26)*100</f>
        <v>6.9999999999999993E-2</v>
      </c>
      <c r="F48" s="144">
        <f>VLOOKUP($A48,'Data shares'!$C:$FA,24)</f>
        <v>2</v>
      </c>
      <c r="G48" s="144">
        <f>VLOOKUP($A48,'Data shares'!$C:$FA,25)</f>
        <v>-0.8</v>
      </c>
    </row>
    <row r="49" spans="1:7" x14ac:dyDescent="0.25">
      <c r="A49" s="101" t="str">
        <f>'Data Vlaue (Cr)'!C45</f>
        <v>CIPLA</v>
      </c>
      <c r="B49" s="144">
        <f>VLOOKUP($A49,'Data shares'!$C:$FA,7)</f>
        <v>1370.4</v>
      </c>
      <c r="C49" s="144">
        <f>VLOOKUP($A49,'Data shares'!$C:$FA,3)</f>
        <v>1373.3</v>
      </c>
      <c r="D49" s="144">
        <f>VLOOKUP($A49,'Data shares'!$C:$FA,23)</f>
        <v>2.9</v>
      </c>
      <c r="E49" s="145">
        <f>VLOOKUP($A49,'Data shares'!$C:$FA,26)*100</f>
        <v>0.21</v>
      </c>
      <c r="F49" s="144">
        <f>VLOOKUP($A49,'Data shares'!$C:$FA,24)</f>
        <v>-1.4</v>
      </c>
      <c r="G49" s="144">
        <f>VLOOKUP($A49,'Data shares'!$C:$FA,25)</f>
        <v>4.3</v>
      </c>
    </row>
    <row r="50" spans="1:7" x14ac:dyDescent="0.25">
      <c r="A50" s="101" t="str">
        <f>'Data Vlaue (Cr)'!C46</f>
        <v>COALINDIA</v>
      </c>
      <c r="B50" s="144">
        <f>VLOOKUP($A50,'Data shares'!$C:$FA,7)</f>
        <v>423.2</v>
      </c>
      <c r="C50" s="144">
        <f>VLOOKUP($A50,'Data shares'!$C:$FA,3)</f>
        <v>422.95</v>
      </c>
      <c r="D50" s="144">
        <f>VLOOKUP($A50,'Data shares'!$C:$FA,23)</f>
        <v>-0.25</v>
      </c>
      <c r="E50" s="145">
        <f>VLOOKUP($A50,'Data shares'!$C:$FA,26)*100</f>
        <v>-0.06</v>
      </c>
      <c r="F50" s="144">
        <f>VLOOKUP($A50,'Data shares'!$C:$FA,24)</f>
        <v>0.05</v>
      </c>
      <c r="G50" s="144">
        <f>VLOOKUP($A50,'Data shares'!$C:$FA,25)</f>
        <v>-0.3</v>
      </c>
    </row>
    <row r="51" spans="1:7" x14ac:dyDescent="0.25">
      <c r="A51" s="101" t="str">
        <f>'Data Vlaue (Cr)'!C47</f>
        <v>COFORGE</v>
      </c>
      <c r="B51" s="144">
        <f>VLOOKUP($A51,'Data shares'!$C:$FA,7)</f>
        <v>1687.7</v>
      </c>
      <c r="C51" s="144">
        <f>VLOOKUP($A51,'Data shares'!$C:$FA,3)</f>
        <v>1692.3</v>
      </c>
      <c r="D51" s="144">
        <f>VLOOKUP($A51,'Data shares'!$C:$FA,23)</f>
        <v>4.5999999999999996</v>
      </c>
      <c r="E51" s="145">
        <f>VLOOKUP($A51,'Data shares'!$C:$FA,26)*100</f>
        <v>0.27</v>
      </c>
      <c r="F51" s="144">
        <f>VLOOKUP($A51,'Data shares'!$C:$FA,24)</f>
        <v>-5.0999999999999996</v>
      </c>
      <c r="G51" s="144">
        <f>VLOOKUP($A51,'Data shares'!$C:$FA,25)</f>
        <v>9.6999999999999993</v>
      </c>
    </row>
    <row r="52" spans="1:7" x14ac:dyDescent="0.25">
      <c r="A52" s="101" t="str">
        <f>'Data Vlaue (Cr)'!C48</f>
        <v>COLPAL</v>
      </c>
      <c r="B52" s="144">
        <f>VLOOKUP($A52,'Data shares'!$C:$FA,7)</f>
        <v>2179.6</v>
      </c>
      <c r="C52" s="144">
        <f>VLOOKUP($A52,'Data shares'!$C:$FA,3)</f>
        <v>2182.1999999999998</v>
      </c>
      <c r="D52" s="144">
        <f>VLOOKUP($A52,'Data shares'!$C:$FA,23)</f>
        <v>2.6</v>
      </c>
      <c r="E52" s="145">
        <f>VLOOKUP($A52,'Data shares'!$C:$FA,26)*100</f>
        <v>0.12</v>
      </c>
      <c r="F52" s="144">
        <f>VLOOKUP($A52,'Data shares'!$C:$FA,24)</f>
        <v>7.7</v>
      </c>
      <c r="G52" s="144">
        <f>VLOOKUP($A52,'Data shares'!$C:$FA,25)</f>
        <v>-5.0999999999999996</v>
      </c>
    </row>
    <row r="53" spans="1:7" x14ac:dyDescent="0.25">
      <c r="A53" s="101" t="str">
        <f>'Data Vlaue (Cr)'!C49</f>
        <v>CONCOR</v>
      </c>
      <c r="B53" s="144">
        <f>VLOOKUP($A53,'Data shares'!$C:$FA,7)</f>
        <v>494.35</v>
      </c>
      <c r="C53" s="144">
        <f>VLOOKUP($A53,'Data shares'!$C:$FA,3)</f>
        <v>495</v>
      </c>
      <c r="D53" s="144">
        <f>VLOOKUP($A53,'Data shares'!$C:$FA,23)</f>
        <v>0.65</v>
      </c>
      <c r="E53" s="145">
        <f>VLOOKUP($A53,'Data shares'!$C:$FA,26)*100</f>
        <v>0.13</v>
      </c>
      <c r="F53" s="144">
        <f>VLOOKUP($A53,'Data shares'!$C:$FA,24)</f>
        <v>-0.5</v>
      </c>
      <c r="G53" s="144">
        <f>VLOOKUP($A53,'Data shares'!$C:$FA,25)</f>
        <v>1.1499999999999999</v>
      </c>
    </row>
    <row r="54" spans="1:7" x14ac:dyDescent="0.25">
      <c r="A54" s="101" t="str">
        <f>'Data Vlaue (Cr)'!C50</f>
        <v>CROMPTON</v>
      </c>
      <c r="B54" s="144">
        <f>VLOOKUP($A54,'Data shares'!$C:$FA,7)</f>
        <v>229.65</v>
      </c>
      <c r="C54" s="144">
        <f>VLOOKUP($A54,'Data shares'!$C:$FA,3)</f>
        <v>230</v>
      </c>
      <c r="D54" s="144">
        <f>VLOOKUP($A54,'Data shares'!$C:$FA,23)</f>
        <v>0.35</v>
      </c>
      <c r="E54" s="145">
        <f>VLOOKUP($A54,'Data shares'!$C:$FA,26)*100</f>
        <v>0.15</v>
      </c>
      <c r="F54" s="144">
        <f>VLOOKUP($A54,'Data shares'!$C:$FA,24)</f>
        <v>0</v>
      </c>
      <c r="G54" s="144">
        <f>VLOOKUP($A54,'Data shares'!$C:$FA,25)</f>
        <v>0.35</v>
      </c>
    </row>
    <row r="55" spans="1:7" x14ac:dyDescent="0.25">
      <c r="A55" s="101" t="str">
        <f>'Data Vlaue (Cr)'!C51</f>
        <v>CUMMINSIND</v>
      </c>
      <c r="B55" s="144">
        <f>VLOOKUP($A55,'Data shares'!$C:$FA,7)</f>
        <v>4067.8</v>
      </c>
      <c r="C55" s="144">
        <f>VLOOKUP($A55,'Data shares'!$C:$FA,3)</f>
        <v>4066.1</v>
      </c>
      <c r="D55" s="144">
        <f>VLOOKUP($A55,'Data shares'!$C:$FA,23)</f>
        <v>-1.7</v>
      </c>
      <c r="E55" s="145">
        <f>VLOOKUP($A55,'Data shares'!$C:$FA,26)*100</f>
        <v>-0.04</v>
      </c>
      <c r="F55" s="144">
        <f>VLOOKUP($A55,'Data shares'!$C:$FA,24)</f>
        <v>-2.8</v>
      </c>
      <c r="G55" s="144">
        <f>VLOOKUP($A55,'Data shares'!$C:$FA,25)</f>
        <v>1.1000000000000001</v>
      </c>
    </row>
    <row r="56" spans="1:7" x14ac:dyDescent="0.25">
      <c r="A56" s="101" t="str">
        <f>'Data Vlaue (Cr)'!C52</f>
        <v>DABUR</v>
      </c>
      <c r="B56" s="144">
        <f>VLOOKUP($A56,'Data shares'!$C:$FA,7)</f>
        <v>525.35</v>
      </c>
      <c r="C56" s="144">
        <f>VLOOKUP($A56,'Data shares'!$C:$FA,3)</f>
        <v>526</v>
      </c>
      <c r="D56" s="144">
        <f>VLOOKUP($A56,'Data shares'!$C:$FA,23)</f>
        <v>0.65</v>
      </c>
      <c r="E56" s="145">
        <f>VLOOKUP($A56,'Data shares'!$C:$FA,26)*100</f>
        <v>0.12</v>
      </c>
      <c r="F56" s="144">
        <f>VLOOKUP($A56,'Data shares'!$C:$FA,24)</f>
        <v>1.85</v>
      </c>
      <c r="G56" s="144">
        <f>VLOOKUP($A56,'Data shares'!$C:$FA,25)</f>
        <v>-1.2</v>
      </c>
    </row>
    <row r="57" spans="1:7" x14ac:dyDescent="0.25">
      <c r="A57" s="101" t="str">
        <f>'Data Vlaue (Cr)'!C53</f>
        <v>DALBHARAT</v>
      </c>
      <c r="B57" s="144">
        <f>VLOOKUP($A57,'Data shares'!$C:$FA,7)</f>
        <v>2143.6999999999998</v>
      </c>
      <c r="C57" s="144">
        <f>VLOOKUP($A57,'Data shares'!$C:$FA,3)</f>
        <v>2150.1</v>
      </c>
      <c r="D57" s="144">
        <f>VLOOKUP($A57,'Data shares'!$C:$FA,23)</f>
        <v>6.4</v>
      </c>
      <c r="E57" s="145">
        <f>VLOOKUP($A57,'Data shares'!$C:$FA,26)*100</f>
        <v>0.3</v>
      </c>
      <c r="F57" s="144">
        <f>VLOOKUP($A57,'Data shares'!$C:$FA,24)</f>
        <v>-0.4</v>
      </c>
      <c r="G57" s="144">
        <f>VLOOKUP($A57,'Data shares'!$C:$FA,25)</f>
        <v>6.8</v>
      </c>
    </row>
    <row r="58" spans="1:7" x14ac:dyDescent="0.25">
      <c r="A58" s="101" t="str">
        <f>'Data Vlaue (Cr)'!C54</f>
        <v>DELHIVERY</v>
      </c>
      <c r="B58" s="144">
        <f>VLOOKUP($A58,'Data shares'!$C:$FA,7)</f>
        <v>389.85</v>
      </c>
      <c r="C58" s="144">
        <f>VLOOKUP($A58,'Data shares'!$C:$FA,3)</f>
        <v>390</v>
      </c>
      <c r="D58" s="144">
        <f>VLOOKUP($A58,'Data shares'!$C:$FA,23)</f>
        <v>0.15</v>
      </c>
      <c r="E58" s="145">
        <f>VLOOKUP($A58,'Data shares'!$C:$FA,26)*100</f>
        <v>0.04</v>
      </c>
      <c r="F58" s="144">
        <f>VLOOKUP($A58,'Data shares'!$C:$FA,24)</f>
        <v>0.5</v>
      </c>
      <c r="G58" s="144">
        <f>VLOOKUP($A58,'Data shares'!$C:$FA,25)</f>
        <v>-0.35</v>
      </c>
    </row>
    <row r="59" spans="1:7" x14ac:dyDescent="0.25">
      <c r="A59" s="101" t="str">
        <f>'Data Vlaue (Cr)'!C55</f>
        <v>DIVISLAB</v>
      </c>
      <c r="B59" s="144">
        <f>VLOOKUP($A59,'Data shares'!$C:$FA,7)</f>
        <v>6071</v>
      </c>
      <c r="C59" s="144">
        <f>VLOOKUP($A59,'Data shares'!$C:$FA,3)</f>
        <v>6083.5</v>
      </c>
      <c r="D59" s="144">
        <f>VLOOKUP($A59,'Data shares'!$C:$FA,23)</f>
        <v>12.5</v>
      </c>
      <c r="E59" s="145">
        <f>VLOOKUP($A59,'Data shares'!$C:$FA,26)*100</f>
        <v>0.21</v>
      </c>
      <c r="F59" s="144">
        <f>VLOOKUP($A59,'Data shares'!$C:$FA,24)</f>
        <v>-13.5</v>
      </c>
      <c r="G59" s="144">
        <f>VLOOKUP($A59,'Data shares'!$C:$FA,25)</f>
        <v>26</v>
      </c>
    </row>
    <row r="60" spans="1:7" x14ac:dyDescent="0.25">
      <c r="A60" s="101" t="str">
        <f>'Data Vlaue (Cr)'!C56</f>
        <v>DIXON</v>
      </c>
      <c r="B60" s="144">
        <f>VLOOKUP($A60,'Data shares'!$C:$FA,7)</f>
        <v>10512</v>
      </c>
      <c r="C60" s="144">
        <f>VLOOKUP($A60,'Data shares'!$C:$FA,3)</f>
        <v>10534</v>
      </c>
      <c r="D60" s="144">
        <f>VLOOKUP($A60,'Data shares'!$C:$FA,23)</f>
        <v>22</v>
      </c>
      <c r="E60" s="145">
        <f>VLOOKUP($A60,'Data shares'!$C:$FA,26)*100</f>
        <v>0.21</v>
      </c>
      <c r="F60" s="144">
        <f>VLOOKUP($A60,'Data shares'!$C:$FA,24)</f>
        <v>33</v>
      </c>
      <c r="G60" s="144">
        <f>VLOOKUP($A60,'Data shares'!$C:$FA,25)</f>
        <v>-11</v>
      </c>
    </row>
    <row r="61" spans="1:7" x14ac:dyDescent="0.25">
      <c r="A61" s="101" t="str">
        <f>'Data Vlaue (Cr)'!C57</f>
        <v>DLF</v>
      </c>
      <c r="B61" s="144">
        <f>VLOOKUP($A61,'Data shares'!$C:$FA,7)</f>
        <v>613.29999999999995</v>
      </c>
      <c r="C61" s="144">
        <f>VLOOKUP($A61,'Data shares'!$C:$FA,3)</f>
        <v>613.5</v>
      </c>
      <c r="D61" s="144">
        <f>VLOOKUP($A61,'Data shares'!$C:$FA,23)</f>
        <v>0.2</v>
      </c>
      <c r="E61" s="145">
        <f>VLOOKUP($A61,'Data shares'!$C:$FA,26)*100</f>
        <v>0.03</v>
      </c>
      <c r="F61" s="144">
        <f>VLOOKUP($A61,'Data shares'!$C:$FA,24)</f>
        <v>1.25</v>
      </c>
      <c r="G61" s="144">
        <f>VLOOKUP($A61,'Data shares'!$C:$FA,25)</f>
        <v>-1.05</v>
      </c>
    </row>
    <row r="62" spans="1:7" x14ac:dyDescent="0.25">
      <c r="A62" s="101" t="str">
        <f>'Data Vlaue (Cr)'!C58</f>
        <v>DMART</v>
      </c>
      <c r="B62" s="144">
        <f>VLOOKUP($A62,'Data shares'!$C:$FA,7)</f>
        <v>3724.1</v>
      </c>
      <c r="C62" s="144">
        <f>VLOOKUP($A62,'Data shares'!$C:$FA,3)</f>
        <v>3722</v>
      </c>
      <c r="D62" s="144">
        <f>VLOOKUP($A62,'Data shares'!$C:$FA,23)</f>
        <v>-2.1</v>
      </c>
      <c r="E62" s="145">
        <f>VLOOKUP($A62,'Data shares'!$C:$FA,26)*100</f>
        <v>-0.06</v>
      </c>
      <c r="F62" s="144">
        <f>VLOOKUP($A62,'Data shares'!$C:$FA,24)</f>
        <v>11.1</v>
      </c>
      <c r="G62" s="144">
        <f>VLOOKUP($A62,'Data shares'!$C:$FA,25)</f>
        <v>-13.2</v>
      </c>
    </row>
    <row r="63" spans="1:7" x14ac:dyDescent="0.25">
      <c r="A63" s="101" t="str">
        <f>'Data Vlaue (Cr)'!C59</f>
        <v>DRREDDY</v>
      </c>
      <c r="B63" s="144">
        <f>VLOOKUP($A63,'Data shares'!$C:$FA,7)</f>
        <v>1217.5</v>
      </c>
      <c r="C63" s="144">
        <f>VLOOKUP($A63,'Data shares'!$C:$FA,3)</f>
        <v>1221.3</v>
      </c>
      <c r="D63" s="144">
        <f>VLOOKUP($A63,'Data shares'!$C:$FA,23)</f>
        <v>3.8</v>
      </c>
      <c r="E63" s="145">
        <f>VLOOKUP($A63,'Data shares'!$C:$FA,26)*100</f>
        <v>0.31</v>
      </c>
      <c r="F63" s="144">
        <f>VLOOKUP($A63,'Data shares'!$C:$FA,24)</f>
        <v>3</v>
      </c>
      <c r="G63" s="144">
        <f>VLOOKUP($A63,'Data shares'!$C:$FA,25)</f>
        <v>0.8</v>
      </c>
    </row>
    <row r="64" spans="1:7" x14ac:dyDescent="0.25">
      <c r="A64" s="101" t="str">
        <f>'Data Vlaue (Cr)'!C60</f>
        <v>EICHERMOT</v>
      </c>
      <c r="B64" s="144">
        <f>VLOOKUP($A64,'Data shares'!$C:$FA,7)</f>
        <v>7049</v>
      </c>
      <c r="C64" s="144">
        <f>VLOOKUP($A64,'Data shares'!$C:$FA,3)</f>
        <v>7040</v>
      </c>
      <c r="D64" s="144">
        <f>VLOOKUP($A64,'Data shares'!$C:$FA,23)</f>
        <v>-9</v>
      </c>
      <c r="E64" s="145">
        <f>VLOOKUP($A64,'Data shares'!$C:$FA,26)*100</f>
        <v>-0.13</v>
      </c>
      <c r="F64" s="144">
        <f>VLOOKUP($A64,'Data shares'!$C:$FA,24)</f>
        <v>-3</v>
      </c>
      <c r="G64" s="144">
        <f>VLOOKUP($A64,'Data shares'!$C:$FA,25)</f>
        <v>-6</v>
      </c>
    </row>
    <row r="65" spans="1:7" x14ac:dyDescent="0.25">
      <c r="A65" s="101" t="str">
        <f>'Data Vlaue (Cr)'!C61</f>
        <v>ETERNAL</v>
      </c>
      <c r="B65" s="144">
        <f>VLOOKUP($A65,'Data shares'!$C:$FA,7)</f>
        <v>275.89999999999998</v>
      </c>
      <c r="C65" s="144">
        <f>VLOOKUP($A65,'Data shares'!$C:$FA,3)</f>
        <v>276.39999999999998</v>
      </c>
      <c r="D65" s="144">
        <f>VLOOKUP($A65,'Data shares'!$C:$FA,23)</f>
        <v>0.5</v>
      </c>
      <c r="E65" s="145">
        <f>VLOOKUP($A65,'Data shares'!$C:$FA,26)*100</f>
        <v>0.18</v>
      </c>
      <c r="F65" s="144">
        <f>VLOOKUP($A65,'Data shares'!$C:$FA,24)</f>
        <v>0.35</v>
      </c>
      <c r="G65" s="144">
        <f>VLOOKUP($A65,'Data shares'!$C:$FA,25)</f>
        <v>0.15</v>
      </c>
    </row>
    <row r="66" spans="1:7" x14ac:dyDescent="0.25">
      <c r="A66" s="101" t="str">
        <f>'Data Vlaue (Cr)'!C62</f>
        <v>EXIDEIND</v>
      </c>
      <c r="B66" s="144">
        <f>VLOOKUP($A66,'Data shares'!$C:$FA,7)</f>
        <v>334.25</v>
      </c>
      <c r="C66" s="144">
        <f>VLOOKUP($A66,'Data shares'!$C:$FA,3)</f>
        <v>334.45</v>
      </c>
      <c r="D66" s="144">
        <f>VLOOKUP($A66,'Data shares'!$C:$FA,23)</f>
        <v>0.2</v>
      </c>
      <c r="E66" s="145">
        <f>VLOOKUP($A66,'Data shares'!$C:$FA,26)*100</f>
        <v>0.06</v>
      </c>
      <c r="F66" s="144">
        <f>VLOOKUP($A66,'Data shares'!$C:$FA,24)</f>
        <v>0.3</v>
      </c>
      <c r="G66" s="144">
        <f>VLOOKUP($A66,'Data shares'!$C:$FA,25)</f>
        <v>-0.1</v>
      </c>
    </row>
    <row r="67" spans="1:7" x14ac:dyDescent="0.25">
      <c r="A67" s="101" t="str">
        <f>'Data Vlaue (Cr)'!C63</f>
        <v>FEDERALBNK</v>
      </c>
      <c r="B67" s="144">
        <f>VLOOKUP($A67,'Data shares'!$C:$FA,7)</f>
        <v>282.2</v>
      </c>
      <c r="C67" s="144">
        <f>VLOOKUP($A67,'Data shares'!$C:$FA,3)</f>
        <v>281.95</v>
      </c>
      <c r="D67" s="144">
        <f>VLOOKUP($A67,'Data shares'!$C:$FA,23)</f>
        <v>-0.25</v>
      </c>
      <c r="E67" s="145">
        <f>VLOOKUP($A67,'Data shares'!$C:$FA,26)*100</f>
        <v>-0.09</v>
      </c>
      <c r="F67" s="144">
        <f>VLOOKUP($A67,'Data shares'!$C:$FA,24)</f>
        <v>-0.15</v>
      </c>
      <c r="G67" s="144">
        <f>VLOOKUP($A67,'Data shares'!$C:$FA,25)</f>
        <v>-0.1</v>
      </c>
    </row>
    <row r="68" spans="1:7" x14ac:dyDescent="0.25">
      <c r="A68" s="101" t="str">
        <f>'Data Vlaue (Cr)'!C64</f>
        <v>FINNIFTY</v>
      </c>
      <c r="B68" s="144">
        <f>VLOOKUP($A68,'Data shares'!$C:$FA,7)</f>
        <v>27149.95</v>
      </c>
      <c r="C68" s="144">
        <f>VLOOKUP($A68,'Data shares'!$C:$FA,3)</f>
        <v>27244.9</v>
      </c>
      <c r="D68" s="144">
        <f>VLOOKUP($A68,'Data shares'!$C:$FA,23)</f>
        <v>94.95</v>
      </c>
      <c r="E68" s="145">
        <f>VLOOKUP($A68,'Data shares'!$C:$FA,26)*100</f>
        <v>0.35000000000000003</v>
      </c>
      <c r="F68" s="144">
        <f>VLOOKUP($A68,'Data shares'!$C:$FA,24)</f>
        <v>41.5</v>
      </c>
      <c r="G68" s="144">
        <f>VLOOKUP($A68,'Data shares'!$C:$FA,25)</f>
        <v>53.45</v>
      </c>
    </row>
    <row r="69" spans="1:7" x14ac:dyDescent="0.25">
      <c r="A69" s="101" t="str">
        <f>'Data Vlaue (Cr)'!C65</f>
        <v>FORTIS</v>
      </c>
      <c r="B69" s="144">
        <f>VLOOKUP($A69,'Data shares'!$C:$FA,7)</f>
        <v>841.45</v>
      </c>
      <c r="C69" s="144">
        <f>VLOOKUP($A69,'Data shares'!$C:$FA,3)</f>
        <v>842.6</v>
      </c>
      <c r="D69" s="144">
        <f>VLOOKUP($A69,'Data shares'!$C:$FA,23)</f>
        <v>1.1499999999999999</v>
      </c>
      <c r="E69" s="145">
        <f>VLOOKUP($A69,'Data shares'!$C:$FA,26)*100</f>
        <v>0.13999999999999999</v>
      </c>
      <c r="F69" s="144">
        <f>VLOOKUP($A69,'Data shares'!$C:$FA,24)</f>
        <v>2.25</v>
      </c>
      <c r="G69" s="144">
        <f>VLOOKUP($A69,'Data shares'!$C:$FA,25)</f>
        <v>-1.1000000000000001</v>
      </c>
    </row>
    <row r="70" spans="1:7" x14ac:dyDescent="0.25">
      <c r="A70" s="101" t="str">
        <f>'Data Vlaue (Cr)'!C66</f>
        <v>GAIL</v>
      </c>
      <c r="B70" s="144">
        <f>VLOOKUP($A70,'Data shares'!$C:$FA,7)</f>
        <v>163.57</v>
      </c>
      <c r="C70" s="144">
        <f>VLOOKUP($A70,'Data shares'!$C:$FA,3)</f>
        <v>163.80000000000001</v>
      </c>
      <c r="D70" s="144">
        <f>VLOOKUP($A70,'Data shares'!$C:$FA,23)</f>
        <v>0.23</v>
      </c>
      <c r="E70" s="145">
        <f>VLOOKUP($A70,'Data shares'!$C:$FA,26)*100</f>
        <v>0.13999999999999999</v>
      </c>
      <c r="F70" s="144">
        <f>VLOOKUP($A70,'Data shares'!$C:$FA,24)</f>
        <v>0.04</v>
      </c>
      <c r="G70" s="144">
        <f>VLOOKUP($A70,'Data shares'!$C:$FA,25)</f>
        <v>0.19</v>
      </c>
    </row>
    <row r="71" spans="1:7" x14ac:dyDescent="0.25">
      <c r="A71" s="101" t="str">
        <f>'Data Vlaue (Cr)'!C67</f>
        <v>GLENMARK</v>
      </c>
      <c r="B71" s="144">
        <f>VLOOKUP($A71,'Data shares'!$C:$FA,7)</f>
        <v>1997.2</v>
      </c>
      <c r="C71" s="144">
        <f>VLOOKUP($A71,'Data shares'!$C:$FA,3)</f>
        <v>1994.9</v>
      </c>
      <c r="D71" s="144">
        <f>VLOOKUP($A71,'Data shares'!$C:$FA,23)</f>
        <v>-2.2999999999999998</v>
      </c>
      <c r="E71" s="145">
        <f>VLOOKUP($A71,'Data shares'!$C:$FA,26)*100</f>
        <v>-0.12</v>
      </c>
      <c r="F71" s="144">
        <f>VLOOKUP($A71,'Data shares'!$C:$FA,24)</f>
        <v>1.6</v>
      </c>
      <c r="G71" s="144">
        <f>VLOOKUP($A71,'Data shares'!$C:$FA,25)</f>
        <v>-3.9</v>
      </c>
    </row>
    <row r="72" spans="1:7" x14ac:dyDescent="0.25">
      <c r="A72" s="101" t="str">
        <f>'Data Vlaue (Cr)'!C68</f>
        <v>GMRAIRPORT</v>
      </c>
      <c r="B72" s="144">
        <f>VLOOKUP($A72,'Data shares'!$C:$FA,7)</f>
        <v>95.1</v>
      </c>
      <c r="C72" s="144">
        <f>VLOOKUP($A72,'Data shares'!$C:$FA,3)</f>
        <v>95.17</v>
      </c>
      <c r="D72" s="144">
        <f>VLOOKUP($A72,'Data shares'!$C:$FA,23)</f>
        <v>7.0000000000000007E-2</v>
      </c>
      <c r="E72" s="145">
        <f>VLOOKUP($A72,'Data shares'!$C:$FA,26)*100</f>
        <v>6.9999999999999993E-2</v>
      </c>
      <c r="F72" s="144">
        <f>VLOOKUP($A72,'Data shares'!$C:$FA,24)</f>
        <v>-7.0000000000000007E-2</v>
      </c>
      <c r="G72" s="144">
        <f>VLOOKUP($A72,'Data shares'!$C:$FA,25)</f>
        <v>0.14000000000000001</v>
      </c>
    </row>
    <row r="73" spans="1:7" x14ac:dyDescent="0.25">
      <c r="A73" s="101" t="str">
        <f>'Data Vlaue (Cr)'!C69</f>
        <v>GODREJCP</v>
      </c>
      <c r="B73" s="144">
        <f>VLOOKUP($A73,'Data shares'!$C:$FA,7)</f>
        <v>1246</v>
      </c>
      <c r="C73" s="144">
        <f>VLOOKUP($A73,'Data shares'!$C:$FA,3)</f>
        <v>1249</v>
      </c>
      <c r="D73" s="144">
        <f>VLOOKUP($A73,'Data shares'!$C:$FA,23)</f>
        <v>3</v>
      </c>
      <c r="E73" s="145">
        <f>VLOOKUP($A73,'Data shares'!$C:$FA,26)*100</f>
        <v>0.24</v>
      </c>
      <c r="F73" s="144">
        <f>VLOOKUP($A73,'Data shares'!$C:$FA,24)</f>
        <v>1</v>
      </c>
      <c r="G73" s="144">
        <f>VLOOKUP($A73,'Data shares'!$C:$FA,25)</f>
        <v>2</v>
      </c>
    </row>
    <row r="74" spans="1:7" x14ac:dyDescent="0.25">
      <c r="A74" s="101" t="str">
        <f>'Data Vlaue (Cr)'!C70</f>
        <v>GODREJPROP</v>
      </c>
      <c r="B74" s="144">
        <f>VLOOKUP($A74,'Data shares'!$C:$FA,7)</f>
        <v>1620.4</v>
      </c>
      <c r="C74" s="144">
        <f>VLOOKUP($A74,'Data shares'!$C:$FA,3)</f>
        <v>1623.5</v>
      </c>
      <c r="D74" s="144">
        <f>VLOOKUP($A74,'Data shares'!$C:$FA,23)</f>
        <v>3.1</v>
      </c>
      <c r="E74" s="145">
        <f>VLOOKUP($A74,'Data shares'!$C:$FA,26)*100</f>
        <v>0.19</v>
      </c>
      <c r="F74" s="144">
        <f>VLOOKUP($A74,'Data shares'!$C:$FA,24)</f>
        <v>4.0999999999999996</v>
      </c>
      <c r="G74" s="144">
        <f>VLOOKUP($A74,'Data shares'!$C:$FA,25)</f>
        <v>-1</v>
      </c>
    </row>
    <row r="75" spans="1:7" x14ac:dyDescent="0.25">
      <c r="A75" s="101" t="str">
        <f>'Data Vlaue (Cr)'!C71</f>
        <v>GRASIM</v>
      </c>
      <c r="B75" s="144">
        <f>VLOOKUP($A75,'Data shares'!$C:$FA,7)</f>
        <v>2787.6</v>
      </c>
      <c r="C75" s="144">
        <f>VLOOKUP($A75,'Data shares'!$C:$FA,3)</f>
        <v>2793</v>
      </c>
      <c r="D75" s="144">
        <f>VLOOKUP($A75,'Data shares'!$C:$FA,23)</f>
        <v>5.4</v>
      </c>
      <c r="E75" s="145">
        <f>VLOOKUP($A75,'Data shares'!$C:$FA,26)*100</f>
        <v>0.19</v>
      </c>
      <c r="F75" s="144">
        <f>VLOOKUP($A75,'Data shares'!$C:$FA,24)</f>
        <v>2.1</v>
      </c>
      <c r="G75" s="144">
        <f>VLOOKUP($A75,'Data shares'!$C:$FA,25)</f>
        <v>3.3</v>
      </c>
    </row>
    <row r="76" spans="1:7" x14ac:dyDescent="0.25">
      <c r="A76" s="101" t="str">
        <f>'Data Vlaue (Cr)'!C72</f>
        <v>HAL</v>
      </c>
      <c r="B76" s="144">
        <f>VLOOKUP($A76,'Data shares'!$C:$FA,7)</f>
        <v>4353.2</v>
      </c>
      <c r="C76" s="144">
        <f>VLOOKUP($A76,'Data shares'!$C:$FA,3)</f>
        <v>4350.1000000000004</v>
      </c>
      <c r="D76" s="144">
        <f>VLOOKUP($A76,'Data shares'!$C:$FA,23)</f>
        <v>-3.1</v>
      </c>
      <c r="E76" s="145">
        <f>VLOOKUP($A76,'Data shares'!$C:$FA,26)*100</f>
        <v>-6.9999999999999993E-2</v>
      </c>
      <c r="F76" s="144">
        <f>VLOOKUP($A76,'Data shares'!$C:$FA,24)</f>
        <v>-3</v>
      </c>
      <c r="G76" s="144">
        <f>VLOOKUP($A76,'Data shares'!$C:$FA,25)</f>
        <v>-0.1</v>
      </c>
    </row>
    <row r="77" spans="1:7" x14ac:dyDescent="0.25">
      <c r="A77" s="101" t="str">
        <f>'Data Vlaue (Cr)'!C73</f>
        <v>HAVELLS</v>
      </c>
      <c r="B77" s="144">
        <f>VLOOKUP($A77,'Data shares'!$C:$FA,7)</f>
        <v>1311.8</v>
      </c>
      <c r="C77" s="144">
        <f>VLOOKUP($A77,'Data shares'!$C:$FA,3)</f>
        <v>1308.5</v>
      </c>
      <c r="D77" s="144">
        <f>VLOOKUP($A77,'Data shares'!$C:$FA,23)</f>
        <v>-3.3</v>
      </c>
      <c r="E77" s="145">
        <f>VLOOKUP($A77,'Data shares'!$C:$FA,26)*100</f>
        <v>-0.25</v>
      </c>
      <c r="F77" s="144">
        <f>VLOOKUP($A77,'Data shares'!$C:$FA,24)</f>
        <v>-0.4</v>
      </c>
      <c r="G77" s="144">
        <f>VLOOKUP($A77,'Data shares'!$C:$FA,25)</f>
        <v>-2.9</v>
      </c>
    </row>
    <row r="78" spans="1:7" x14ac:dyDescent="0.25">
      <c r="A78" s="101" t="str">
        <f>'Data Vlaue (Cr)'!C74</f>
        <v>HCLTECH</v>
      </c>
      <c r="B78" s="144">
        <f>VLOOKUP($A78,'Data shares'!$C:$FA,7)</f>
        <v>1703.1</v>
      </c>
      <c r="C78" s="144">
        <f>VLOOKUP($A78,'Data shares'!$C:$FA,3)</f>
        <v>1702.6</v>
      </c>
      <c r="D78" s="144">
        <f>VLOOKUP($A78,'Data shares'!$C:$FA,23)</f>
        <v>-0.5</v>
      </c>
      <c r="E78" s="145">
        <f>VLOOKUP($A78,'Data shares'!$C:$FA,26)*100</f>
        <v>-0.03</v>
      </c>
      <c r="F78" s="144">
        <f>VLOOKUP($A78,'Data shares'!$C:$FA,24)</f>
        <v>1</v>
      </c>
      <c r="G78" s="144">
        <f>VLOOKUP($A78,'Data shares'!$C:$FA,25)</f>
        <v>-1.5</v>
      </c>
    </row>
    <row r="79" spans="1:7" x14ac:dyDescent="0.25">
      <c r="A79" s="101" t="str">
        <f>'Data Vlaue (Cr)'!C75</f>
        <v>HDFCAMC</v>
      </c>
      <c r="B79" s="144">
        <f>VLOOKUP($A79,'Data shares'!$C:$FA,7)</f>
        <v>2498.9</v>
      </c>
      <c r="C79" s="144">
        <f>VLOOKUP($A79,'Data shares'!$C:$FA,3)</f>
        <v>2497.4</v>
      </c>
      <c r="D79" s="144">
        <f>VLOOKUP($A79,'Data shares'!$C:$FA,23)</f>
        <v>-1.5</v>
      </c>
      <c r="E79" s="145">
        <f>VLOOKUP($A79,'Data shares'!$C:$FA,26)*100</f>
        <v>-0.06</v>
      </c>
      <c r="F79" s="144">
        <f>VLOOKUP($A79,'Data shares'!$C:$FA,24)</f>
        <v>-2.2999999999999998</v>
      </c>
      <c r="G79" s="144">
        <f>VLOOKUP($A79,'Data shares'!$C:$FA,25)</f>
        <v>0.8</v>
      </c>
    </row>
    <row r="80" spans="1:7" x14ac:dyDescent="0.25">
      <c r="A80" s="101" t="str">
        <f>'Data Vlaue (Cr)'!C76</f>
        <v>HDFCBANK</v>
      </c>
      <c r="B80" s="144">
        <f>VLOOKUP($A80,'Data shares'!$C:$FA,7)</f>
        <v>918.7</v>
      </c>
      <c r="C80" s="144">
        <f>VLOOKUP($A80,'Data shares'!$C:$FA,3)</f>
        <v>921.55</v>
      </c>
      <c r="D80" s="144">
        <f>VLOOKUP($A80,'Data shares'!$C:$FA,23)</f>
        <v>2.85</v>
      </c>
      <c r="E80" s="145">
        <f>VLOOKUP($A80,'Data shares'!$C:$FA,26)*100</f>
        <v>0.31</v>
      </c>
      <c r="F80" s="144">
        <f>VLOOKUP($A80,'Data shares'!$C:$FA,24)</f>
        <v>2.1</v>
      </c>
      <c r="G80" s="144">
        <f>VLOOKUP($A80,'Data shares'!$C:$FA,25)</f>
        <v>0.75</v>
      </c>
    </row>
    <row r="81" spans="1:7" x14ac:dyDescent="0.25">
      <c r="A81" s="101" t="str">
        <f>'Data Vlaue (Cr)'!C77</f>
        <v>HDFCLIFE</v>
      </c>
      <c r="B81" s="144">
        <f>VLOOKUP($A81,'Data shares'!$C:$FA,7)</f>
        <v>725.1</v>
      </c>
      <c r="C81" s="144">
        <f>VLOOKUP($A81,'Data shares'!$C:$FA,3)</f>
        <v>725.4</v>
      </c>
      <c r="D81" s="144">
        <f>VLOOKUP($A81,'Data shares'!$C:$FA,23)</f>
        <v>0.3</v>
      </c>
      <c r="E81" s="145">
        <f>VLOOKUP($A81,'Data shares'!$C:$FA,26)*100</f>
        <v>0.04</v>
      </c>
      <c r="F81" s="144">
        <f>VLOOKUP($A81,'Data shares'!$C:$FA,24)</f>
        <v>1.25</v>
      </c>
      <c r="G81" s="144">
        <f>VLOOKUP($A81,'Data shares'!$C:$FA,25)</f>
        <v>-0.95</v>
      </c>
    </row>
    <row r="82" spans="1:7" x14ac:dyDescent="0.25">
      <c r="A82" s="101" t="str">
        <f>'Data Vlaue (Cr)'!C78</f>
        <v>HEROMOTOCO</v>
      </c>
      <c r="B82" s="144">
        <f>VLOOKUP($A82,'Data shares'!$C:$FA,7)</f>
        <v>5488.5</v>
      </c>
      <c r="C82" s="144">
        <f>VLOOKUP($A82,'Data shares'!$C:$FA,3)</f>
        <v>5485</v>
      </c>
      <c r="D82" s="144">
        <f>VLOOKUP($A82,'Data shares'!$C:$FA,23)</f>
        <v>-3.5</v>
      </c>
      <c r="E82" s="145">
        <f>VLOOKUP($A82,'Data shares'!$C:$FA,26)*100</f>
        <v>-0.06</v>
      </c>
      <c r="F82" s="144">
        <f>VLOOKUP($A82,'Data shares'!$C:$FA,24)</f>
        <v>-1.5</v>
      </c>
      <c r="G82" s="144">
        <f>VLOOKUP($A82,'Data shares'!$C:$FA,25)</f>
        <v>-2</v>
      </c>
    </row>
    <row r="83" spans="1:7" x14ac:dyDescent="0.25">
      <c r="A83" s="101" t="str">
        <f>'Data Vlaue (Cr)'!C79</f>
        <v>HINDALCO</v>
      </c>
      <c r="B83" s="144">
        <f>VLOOKUP($A83,'Data shares'!$C:$FA,7)</f>
        <v>944.45</v>
      </c>
      <c r="C83" s="144">
        <f>VLOOKUP($A83,'Data shares'!$C:$FA,3)</f>
        <v>941.15</v>
      </c>
      <c r="D83" s="144">
        <f>VLOOKUP($A83,'Data shares'!$C:$FA,23)</f>
        <v>-3.3</v>
      </c>
      <c r="E83" s="145">
        <f>VLOOKUP($A83,'Data shares'!$C:$FA,26)*100</f>
        <v>-0.35000000000000003</v>
      </c>
      <c r="F83" s="144">
        <f>VLOOKUP($A83,'Data shares'!$C:$FA,24)</f>
        <v>-1.6</v>
      </c>
      <c r="G83" s="144">
        <f>VLOOKUP($A83,'Data shares'!$C:$FA,25)</f>
        <v>-1.7</v>
      </c>
    </row>
    <row r="84" spans="1:7" x14ac:dyDescent="0.25">
      <c r="A84" s="101" t="str">
        <f>'Data Vlaue (Cr)'!C80</f>
        <v>HINDPETRO</v>
      </c>
      <c r="B84" s="144">
        <f>VLOOKUP($A84,'Data shares'!$C:$FA,7)</f>
        <v>427.7</v>
      </c>
      <c r="C84" s="144">
        <f>VLOOKUP($A84,'Data shares'!$C:$FA,3)</f>
        <v>427.5</v>
      </c>
      <c r="D84" s="144">
        <f>VLOOKUP($A84,'Data shares'!$C:$FA,23)</f>
        <v>-0.2</v>
      </c>
      <c r="E84" s="145">
        <f>VLOOKUP($A84,'Data shares'!$C:$FA,26)*100</f>
        <v>-0.05</v>
      </c>
      <c r="F84" s="144">
        <f>VLOOKUP($A84,'Data shares'!$C:$FA,24)</f>
        <v>1.2</v>
      </c>
      <c r="G84" s="144">
        <f>VLOOKUP($A84,'Data shares'!$C:$FA,25)</f>
        <v>-1.4</v>
      </c>
    </row>
    <row r="85" spans="1:7" x14ac:dyDescent="0.25">
      <c r="A85" s="101" t="str">
        <f>'Data Vlaue (Cr)'!C81</f>
        <v>HINDUNILVR</v>
      </c>
      <c r="B85" s="144">
        <f>VLOOKUP($A85,'Data shares'!$C:$FA,7)</f>
        <v>2390.6</v>
      </c>
      <c r="C85" s="144">
        <f>VLOOKUP($A85,'Data shares'!$C:$FA,3)</f>
        <v>2395.6</v>
      </c>
      <c r="D85" s="144">
        <f>VLOOKUP($A85,'Data shares'!$C:$FA,23)</f>
        <v>5</v>
      </c>
      <c r="E85" s="145">
        <f>VLOOKUP($A85,'Data shares'!$C:$FA,26)*100</f>
        <v>0.21</v>
      </c>
      <c r="F85" s="144">
        <f>VLOOKUP($A85,'Data shares'!$C:$FA,24)</f>
        <v>0.4</v>
      </c>
      <c r="G85" s="144">
        <f>VLOOKUP($A85,'Data shares'!$C:$FA,25)</f>
        <v>4.5999999999999996</v>
      </c>
    </row>
    <row r="86" spans="1:7" x14ac:dyDescent="0.25">
      <c r="A86" s="101" t="str">
        <f>'Data Vlaue (Cr)'!C82</f>
        <v>HINDZINC</v>
      </c>
      <c r="B86" s="144">
        <f>VLOOKUP($A86,'Data shares'!$C:$FA,7)</f>
        <v>668.25</v>
      </c>
      <c r="C86" s="144">
        <f>VLOOKUP($A86,'Data shares'!$C:$FA,3)</f>
        <v>665.9</v>
      </c>
      <c r="D86" s="144">
        <f>VLOOKUP($A86,'Data shares'!$C:$FA,23)</f>
        <v>-2.35</v>
      </c>
      <c r="E86" s="145">
        <f>VLOOKUP($A86,'Data shares'!$C:$FA,26)*100</f>
        <v>-0.35000000000000003</v>
      </c>
      <c r="F86" s="144">
        <f>VLOOKUP($A86,'Data shares'!$C:$FA,24)</f>
        <v>-2.1</v>
      </c>
      <c r="G86" s="144">
        <f>VLOOKUP($A86,'Data shares'!$C:$FA,25)</f>
        <v>-0.25</v>
      </c>
    </row>
    <row r="87" spans="1:7" x14ac:dyDescent="0.25">
      <c r="A87" s="101" t="str">
        <f>'Data Vlaue (Cr)'!C83</f>
        <v>HUDCO</v>
      </c>
      <c r="B87" s="144">
        <f>VLOOKUP($A87,'Data shares'!$C:$FA,7)</f>
        <v>207.11</v>
      </c>
      <c r="C87" s="144">
        <f>VLOOKUP($A87,'Data shares'!$C:$FA,3)</f>
        <v>206.98</v>
      </c>
      <c r="D87" s="144">
        <f>VLOOKUP($A87,'Data shares'!$C:$FA,23)</f>
        <v>-0.13</v>
      </c>
      <c r="E87" s="145">
        <f>VLOOKUP($A87,'Data shares'!$C:$FA,26)*100</f>
        <v>-0.06</v>
      </c>
      <c r="F87" s="144">
        <f>VLOOKUP($A87,'Data shares'!$C:$FA,24)</f>
        <v>0.22</v>
      </c>
      <c r="G87" s="144">
        <f>VLOOKUP($A87,'Data shares'!$C:$FA,25)</f>
        <v>-0.35</v>
      </c>
    </row>
    <row r="88" spans="1:7" x14ac:dyDescent="0.25">
      <c r="A88" s="101" t="str">
        <f>'Data Vlaue (Cr)'!C84</f>
        <v>ICICIBANK</v>
      </c>
      <c r="B88" s="144">
        <f>VLOOKUP($A88,'Data shares'!$C:$FA,7)</f>
        <v>1345.5</v>
      </c>
      <c r="C88" s="144">
        <f>VLOOKUP($A88,'Data shares'!$C:$FA,3)</f>
        <v>1348.6</v>
      </c>
      <c r="D88" s="144">
        <f>VLOOKUP($A88,'Data shares'!$C:$FA,23)</f>
        <v>3.1</v>
      </c>
      <c r="E88" s="145">
        <f>VLOOKUP($A88,'Data shares'!$C:$FA,26)*100</f>
        <v>0.22999999999999998</v>
      </c>
      <c r="F88" s="144">
        <f>VLOOKUP($A88,'Data shares'!$C:$FA,24)</f>
        <v>-1.8</v>
      </c>
      <c r="G88" s="144">
        <f>VLOOKUP($A88,'Data shares'!$C:$FA,25)</f>
        <v>4.9000000000000004</v>
      </c>
    </row>
    <row r="89" spans="1:7" x14ac:dyDescent="0.25">
      <c r="A89" s="101" t="str">
        <f>'Data Vlaue (Cr)'!C85</f>
        <v>ICICIGI</v>
      </c>
      <c r="B89" s="144">
        <f>VLOOKUP($A89,'Data shares'!$C:$FA,7)</f>
        <v>1824.7</v>
      </c>
      <c r="C89" s="144">
        <f>VLOOKUP($A89,'Data shares'!$C:$FA,3)</f>
        <v>1831.2</v>
      </c>
      <c r="D89" s="144">
        <f>VLOOKUP($A89,'Data shares'!$C:$FA,23)</f>
        <v>6.5</v>
      </c>
      <c r="E89" s="145">
        <f>VLOOKUP($A89,'Data shares'!$C:$FA,26)*100</f>
        <v>0.36</v>
      </c>
      <c r="F89" s="144">
        <f>VLOOKUP($A89,'Data shares'!$C:$FA,24)</f>
        <v>6.1</v>
      </c>
      <c r="G89" s="144">
        <f>VLOOKUP($A89,'Data shares'!$C:$FA,25)</f>
        <v>0.4</v>
      </c>
    </row>
    <row r="90" spans="1:7" x14ac:dyDescent="0.25">
      <c r="A90" s="101" t="str">
        <f>'Data Vlaue (Cr)'!C86</f>
        <v>ICICIPRULI</v>
      </c>
      <c r="B90" s="144">
        <f>VLOOKUP($A90,'Data shares'!$C:$FA,7)</f>
        <v>653.15</v>
      </c>
      <c r="C90" s="144">
        <f>VLOOKUP($A90,'Data shares'!$C:$FA,3)</f>
        <v>653.95000000000005</v>
      </c>
      <c r="D90" s="144">
        <f>VLOOKUP($A90,'Data shares'!$C:$FA,23)</f>
        <v>0.8</v>
      </c>
      <c r="E90" s="145">
        <f>VLOOKUP($A90,'Data shares'!$C:$FA,26)*100</f>
        <v>0.12</v>
      </c>
      <c r="F90" s="144">
        <f>VLOOKUP($A90,'Data shares'!$C:$FA,24)</f>
        <v>0.9</v>
      </c>
      <c r="G90" s="144">
        <f>VLOOKUP($A90,'Data shares'!$C:$FA,25)</f>
        <v>-0.1</v>
      </c>
    </row>
    <row r="91" spans="1:7" x14ac:dyDescent="0.25">
      <c r="A91" s="101" t="str">
        <f>'Data Vlaue (Cr)'!C87</f>
        <v>IDEA</v>
      </c>
      <c r="B91" s="144">
        <f>VLOOKUP($A91,'Data shares'!$C:$FA,7)</f>
        <v>10.18</v>
      </c>
      <c r="C91" s="144">
        <f>VLOOKUP($A91,'Data shares'!$C:$FA,3)</f>
        <v>10.220000000000001</v>
      </c>
      <c r="D91" s="144">
        <f>VLOOKUP($A91,'Data shares'!$C:$FA,23)</f>
        <v>0.04</v>
      </c>
      <c r="E91" s="145">
        <f>VLOOKUP($A91,'Data shares'!$C:$FA,26)*100</f>
        <v>0.38999999999999996</v>
      </c>
      <c r="F91" s="144">
        <f>VLOOKUP($A91,'Data shares'!$C:$FA,24)</f>
        <v>0.03</v>
      </c>
      <c r="G91" s="144">
        <f>VLOOKUP($A91,'Data shares'!$C:$FA,25)</f>
        <v>0.01</v>
      </c>
    </row>
    <row r="92" spans="1:7" x14ac:dyDescent="0.25">
      <c r="A92" s="101" t="str">
        <f>'Data Vlaue (Cr)'!C88</f>
        <v>IDFCFIRSTB</v>
      </c>
      <c r="B92" s="144">
        <f>VLOOKUP($A92,'Data shares'!$C:$FA,7)</f>
        <v>84.2</v>
      </c>
      <c r="C92" s="144">
        <f>VLOOKUP($A92,'Data shares'!$C:$FA,3)</f>
        <v>84.14</v>
      </c>
      <c r="D92" s="144">
        <f>VLOOKUP($A92,'Data shares'!$C:$FA,23)</f>
        <v>-0.06</v>
      </c>
      <c r="E92" s="145">
        <f>VLOOKUP($A92,'Data shares'!$C:$FA,26)*100</f>
        <v>-6.9999999999999993E-2</v>
      </c>
      <c r="F92" s="144">
        <f>VLOOKUP($A92,'Data shares'!$C:$FA,24)</f>
        <v>-7.0000000000000007E-2</v>
      </c>
      <c r="G92" s="144">
        <f>VLOOKUP($A92,'Data shares'!$C:$FA,25)</f>
        <v>0.01</v>
      </c>
    </row>
    <row r="93" spans="1:7" x14ac:dyDescent="0.25">
      <c r="A93" s="101" t="str">
        <f>'Data Vlaue (Cr)'!C89</f>
        <v>IEX</v>
      </c>
      <c r="B93" s="144">
        <f>VLOOKUP($A93,'Data shares'!$C:$FA,7)</f>
        <v>131.06</v>
      </c>
      <c r="C93" s="144">
        <f>VLOOKUP($A93,'Data shares'!$C:$FA,3)</f>
        <v>131.43</v>
      </c>
      <c r="D93" s="144">
        <f>VLOOKUP($A93,'Data shares'!$C:$FA,23)</f>
        <v>0.37</v>
      </c>
      <c r="E93" s="145">
        <f>VLOOKUP($A93,'Data shares'!$C:$FA,26)*100</f>
        <v>0.27999999999999997</v>
      </c>
      <c r="F93" s="144">
        <f>VLOOKUP($A93,'Data shares'!$C:$FA,24)</f>
        <v>0.03</v>
      </c>
      <c r="G93" s="144">
        <f>VLOOKUP($A93,'Data shares'!$C:$FA,25)</f>
        <v>0.34</v>
      </c>
    </row>
    <row r="94" spans="1:7" x14ac:dyDescent="0.25">
      <c r="A94" s="101" t="str">
        <f>'Data Vlaue (Cr)'!C90</f>
        <v>IIFL</v>
      </c>
      <c r="B94" s="144">
        <f>VLOOKUP($A94,'Data shares'!$C:$FA,7)</f>
        <v>538.75</v>
      </c>
      <c r="C94" s="144">
        <f>VLOOKUP($A94,'Data shares'!$C:$FA,3)</f>
        <v>542.70000000000005</v>
      </c>
      <c r="D94" s="144">
        <f>VLOOKUP($A94,'Data shares'!$C:$FA,23)</f>
        <v>3.95</v>
      </c>
      <c r="E94" s="145">
        <f>VLOOKUP($A94,'Data shares'!$C:$FA,26)*100</f>
        <v>0.73</v>
      </c>
      <c r="F94" s="144">
        <f>VLOOKUP($A94,'Data shares'!$C:$FA,24)</f>
        <v>1.65</v>
      </c>
      <c r="G94" s="144">
        <f>VLOOKUP($A94,'Data shares'!$C:$FA,25)</f>
        <v>2.2999999999999998</v>
      </c>
    </row>
    <row r="95" spans="1:7" x14ac:dyDescent="0.25">
      <c r="A95" s="101" t="str">
        <f>'Data Vlaue (Cr)'!C91</f>
        <v>INDHOTEL</v>
      </c>
      <c r="B95" s="144">
        <f>VLOOKUP($A95,'Data shares'!$C:$FA,7)</f>
        <v>656.55</v>
      </c>
      <c r="C95" s="144">
        <f>VLOOKUP($A95,'Data shares'!$C:$FA,3)</f>
        <v>657.6</v>
      </c>
      <c r="D95" s="144">
        <f>VLOOKUP($A95,'Data shares'!$C:$FA,23)</f>
        <v>1.05</v>
      </c>
      <c r="E95" s="145">
        <f>VLOOKUP($A95,'Data shares'!$C:$FA,26)*100</f>
        <v>0.16</v>
      </c>
      <c r="F95" s="144">
        <f>VLOOKUP($A95,'Data shares'!$C:$FA,24)</f>
        <v>1.7</v>
      </c>
      <c r="G95" s="144">
        <f>VLOOKUP($A95,'Data shares'!$C:$FA,25)</f>
        <v>-0.65</v>
      </c>
    </row>
    <row r="96" spans="1:7" x14ac:dyDescent="0.25">
      <c r="A96" s="101" t="str">
        <f>'Data Vlaue (Cr)'!C92</f>
        <v>INDIANB</v>
      </c>
      <c r="B96" s="144">
        <f>VLOOKUP($A96,'Data shares'!$C:$FA,7)</f>
        <v>896.75</v>
      </c>
      <c r="C96" s="144">
        <f>VLOOKUP($A96,'Data shares'!$C:$FA,3)</f>
        <v>897.1</v>
      </c>
      <c r="D96" s="144">
        <f>VLOOKUP($A96,'Data shares'!$C:$FA,23)</f>
        <v>0.35</v>
      </c>
      <c r="E96" s="145">
        <f>VLOOKUP($A96,'Data shares'!$C:$FA,26)*100</f>
        <v>0.04</v>
      </c>
      <c r="F96" s="144">
        <f>VLOOKUP($A96,'Data shares'!$C:$FA,24)</f>
        <v>-0.45</v>
      </c>
      <c r="G96" s="144">
        <f>VLOOKUP($A96,'Data shares'!$C:$FA,25)</f>
        <v>0.8</v>
      </c>
    </row>
    <row r="97" spans="1:7" x14ac:dyDescent="0.25">
      <c r="A97" s="101" t="str">
        <f>'Data Vlaue (Cr)'!C93</f>
        <v>INDIAVIX</v>
      </c>
      <c r="B97" s="144">
        <f>VLOOKUP($A97,'Data shares'!$C:$FA,7)</f>
        <v>13.35</v>
      </c>
      <c r="C97" s="144">
        <f>VLOOKUP($A97,'Data shares'!$C:$FA,3)</f>
        <v>13.35</v>
      </c>
      <c r="D97" s="144">
        <f>VLOOKUP($A97,'Data shares'!$C:$FA,23)</f>
        <v>0</v>
      </c>
      <c r="E97" s="145">
        <f>VLOOKUP($A97,'Data shares'!$C:$FA,26)*100</f>
        <v>0</v>
      </c>
      <c r="F97" s="144">
        <f>VLOOKUP($A97,'Data shares'!$C:$FA,24)</f>
        <v>0</v>
      </c>
      <c r="G97" s="144">
        <f>VLOOKUP($A97,'Data shares'!$C:$FA,25)</f>
        <v>0</v>
      </c>
    </row>
    <row r="98" spans="1:7" x14ac:dyDescent="0.25">
      <c r="A98" s="101" t="str">
        <f>'Data Vlaue (Cr)'!C94</f>
        <v>INDIGO</v>
      </c>
      <c r="B98" s="144">
        <f>VLOOKUP($A98,'Data shares'!$C:$FA,7)</f>
        <v>4909</v>
      </c>
      <c r="C98" s="144">
        <f>VLOOKUP($A98,'Data shares'!$C:$FA,3)</f>
        <v>4916.5</v>
      </c>
      <c r="D98" s="144">
        <f>VLOOKUP($A98,'Data shares'!$C:$FA,23)</f>
        <v>7.5</v>
      </c>
      <c r="E98" s="145">
        <f>VLOOKUP($A98,'Data shares'!$C:$FA,26)*100</f>
        <v>0.15</v>
      </c>
      <c r="F98" s="144">
        <f>VLOOKUP($A98,'Data shares'!$C:$FA,24)</f>
        <v>16</v>
      </c>
      <c r="G98" s="144">
        <f>VLOOKUP($A98,'Data shares'!$C:$FA,25)</f>
        <v>-8.5</v>
      </c>
    </row>
    <row r="99" spans="1:7" x14ac:dyDescent="0.25">
      <c r="A99" s="101" t="str">
        <f>'Data Vlaue (Cr)'!C95</f>
        <v>INDUSINDBK</v>
      </c>
      <c r="B99" s="144">
        <f>VLOOKUP($A99,'Data shares'!$C:$FA,7)</f>
        <v>902.45</v>
      </c>
      <c r="C99" s="144">
        <f>VLOOKUP($A99,'Data shares'!$C:$FA,3)</f>
        <v>903.95</v>
      </c>
      <c r="D99" s="144">
        <f>VLOOKUP($A99,'Data shares'!$C:$FA,23)</f>
        <v>1.5</v>
      </c>
      <c r="E99" s="145">
        <f>VLOOKUP($A99,'Data shares'!$C:$FA,26)*100</f>
        <v>0.16999999999999998</v>
      </c>
      <c r="F99" s="144">
        <f>VLOOKUP($A99,'Data shares'!$C:$FA,24)</f>
        <v>-0.45</v>
      </c>
      <c r="G99" s="144">
        <f>VLOOKUP($A99,'Data shares'!$C:$FA,25)</f>
        <v>1.95</v>
      </c>
    </row>
    <row r="100" spans="1:7" x14ac:dyDescent="0.25">
      <c r="A100" s="101" t="str">
        <f>'Data Vlaue (Cr)'!C96</f>
        <v>INDUSTOWER</v>
      </c>
      <c r="B100" s="144">
        <f>VLOOKUP($A100,'Data shares'!$C:$FA,7)</f>
        <v>419.2</v>
      </c>
      <c r="C100" s="144">
        <f>VLOOKUP($A100,'Data shares'!$C:$FA,3)</f>
        <v>419.65</v>
      </c>
      <c r="D100" s="144">
        <f>VLOOKUP($A100,'Data shares'!$C:$FA,23)</f>
        <v>0.45</v>
      </c>
      <c r="E100" s="145">
        <f>VLOOKUP($A100,'Data shares'!$C:$FA,26)*100</f>
        <v>0.11</v>
      </c>
      <c r="F100" s="144">
        <f>VLOOKUP($A100,'Data shares'!$C:$FA,24)</f>
        <v>0.4</v>
      </c>
      <c r="G100" s="144">
        <f>VLOOKUP($A100,'Data shares'!$C:$FA,25)</f>
        <v>0.05</v>
      </c>
    </row>
    <row r="101" spans="1:7" x14ac:dyDescent="0.25">
      <c r="A101" s="101" t="str">
        <f>'Data Vlaue (Cr)'!C97</f>
        <v>INFY</v>
      </c>
      <c r="B101" s="144">
        <f>VLOOKUP($A101,'Data shares'!$C:$FA,7)</f>
        <v>1663.5</v>
      </c>
      <c r="C101" s="144">
        <f>VLOOKUP($A101,'Data shares'!$C:$FA,3)</f>
        <v>1667.4</v>
      </c>
      <c r="D101" s="144">
        <f>VLOOKUP($A101,'Data shares'!$C:$FA,23)</f>
        <v>3.9</v>
      </c>
      <c r="E101" s="145">
        <f>VLOOKUP($A101,'Data shares'!$C:$FA,26)*100</f>
        <v>0.22999999999999998</v>
      </c>
      <c r="F101" s="144">
        <f>VLOOKUP($A101,'Data shares'!$C:$FA,24)</f>
        <v>2.1</v>
      </c>
      <c r="G101" s="144">
        <f>VLOOKUP($A101,'Data shares'!$C:$FA,25)</f>
        <v>1.8</v>
      </c>
    </row>
    <row r="102" spans="1:7" x14ac:dyDescent="0.25">
      <c r="A102" s="101" t="str">
        <f>'Data Vlaue (Cr)'!C98</f>
        <v>INOXWIND</v>
      </c>
      <c r="B102" s="144">
        <f>VLOOKUP($A102,'Data shares'!$C:$FA,7)</f>
        <v>106.89</v>
      </c>
      <c r="C102" s="144">
        <f>VLOOKUP($A102,'Data shares'!$C:$FA,3)</f>
        <v>107.21</v>
      </c>
      <c r="D102" s="144">
        <f>VLOOKUP($A102,'Data shares'!$C:$FA,23)</f>
        <v>0.32</v>
      </c>
      <c r="E102" s="145">
        <f>VLOOKUP($A102,'Data shares'!$C:$FA,26)*100</f>
        <v>0.3</v>
      </c>
      <c r="F102" s="144">
        <f>VLOOKUP($A102,'Data shares'!$C:$FA,24)</f>
        <v>0.43</v>
      </c>
      <c r="G102" s="144">
        <f>VLOOKUP($A102,'Data shares'!$C:$FA,25)</f>
        <v>-0.11</v>
      </c>
    </row>
    <row r="103" spans="1:7" x14ac:dyDescent="0.25">
      <c r="A103" s="101" t="str">
        <f>'Data Vlaue (Cr)'!C99</f>
        <v>IOC</v>
      </c>
      <c r="B103" s="144">
        <f>VLOOKUP($A103,'Data shares'!$C:$FA,7)</f>
        <v>159.05000000000001</v>
      </c>
      <c r="C103" s="144">
        <f>VLOOKUP($A103,'Data shares'!$C:$FA,3)</f>
        <v>158.91999999999999</v>
      </c>
      <c r="D103" s="144">
        <f>VLOOKUP($A103,'Data shares'!$C:$FA,23)</f>
        <v>-0.13</v>
      </c>
      <c r="E103" s="145">
        <f>VLOOKUP($A103,'Data shares'!$C:$FA,26)*100</f>
        <v>-0.08</v>
      </c>
      <c r="F103" s="144">
        <f>VLOOKUP($A103,'Data shares'!$C:$FA,24)</f>
        <v>7.0000000000000007E-2</v>
      </c>
      <c r="G103" s="144">
        <f>VLOOKUP($A103,'Data shares'!$C:$FA,25)</f>
        <v>-0.2</v>
      </c>
    </row>
    <row r="104" spans="1:7" x14ac:dyDescent="0.25">
      <c r="A104" s="101" t="str">
        <f>'Data Vlaue (Cr)'!C100</f>
        <v>IRCTC</v>
      </c>
      <c r="B104" s="144">
        <f>VLOOKUP($A104,'Data shares'!$C:$FA,7)</f>
        <v>628.85</v>
      </c>
      <c r="C104" s="144">
        <f>VLOOKUP($A104,'Data shares'!$C:$FA,3)</f>
        <v>630.29999999999995</v>
      </c>
      <c r="D104" s="144">
        <f>VLOOKUP($A104,'Data shares'!$C:$FA,23)</f>
        <v>1.45</v>
      </c>
      <c r="E104" s="145">
        <f>VLOOKUP($A104,'Data shares'!$C:$FA,26)*100</f>
        <v>0.22999999999999998</v>
      </c>
      <c r="F104" s="144">
        <f>VLOOKUP($A104,'Data shares'!$C:$FA,24)</f>
        <v>0.4</v>
      </c>
      <c r="G104" s="144">
        <f>VLOOKUP($A104,'Data shares'!$C:$FA,25)</f>
        <v>1.05</v>
      </c>
    </row>
    <row r="105" spans="1:7" x14ac:dyDescent="0.25">
      <c r="A105" s="101" t="str">
        <f>'Data Vlaue (Cr)'!C101</f>
        <v>IREDA</v>
      </c>
      <c r="B105" s="144">
        <f>VLOOKUP($A105,'Data shares'!$C:$FA,7)</f>
        <v>129.93</v>
      </c>
      <c r="C105" s="144">
        <f>VLOOKUP($A105,'Data shares'!$C:$FA,3)</f>
        <v>130.29</v>
      </c>
      <c r="D105" s="144">
        <f>VLOOKUP($A105,'Data shares'!$C:$FA,23)</f>
        <v>0.36</v>
      </c>
      <c r="E105" s="145">
        <f>VLOOKUP($A105,'Data shares'!$C:$FA,26)*100</f>
        <v>0.27999999999999997</v>
      </c>
      <c r="F105" s="144">
        <f>VLOOKUP($A105,'Data shares'!$C:$FA,24)</f>
        <v>-0.27</v>
      </c>
      <c r="G105" s="144">
        <f>VLOOKUP($A105,'Data shares'!$C:$FA,25)</f>
        <v>0.63</v>
      </c>
    </row>
    <row r="106" spans="1:7" x14ac:dyDescent="0.25">
      <c r="A106" s="101" t="str">
        <f>'Data Vlaue (Cr)'!C102</f>
        <v>IRFC</v>
      </c>
      <c r="B106" s="144">
        <f>VLOOKUP($A106,'Data shares'!$C:$FA,7)</f>
        <v>117.02</v>
      </c>
      <c r="C106" s="144">
        <f>VLOOKUP($A106,'Data shares'!$C:$FA,3)</f>
        <v>117.37</v>
      </c>
      <c r="D106" s="144">
        <f>VLOOKUP($A106,'Data shares'!$C:$FA,23)</f>
        <v>0.35</v>
      </c>
      <c r="E106" s="145">
        <f>VLOOKUP($A106,'Data shares'!$C:$FA,26)*100</f>
        <v>0.3</v>
      </c>
      <c r="F106" s="144">
        <f>VLOOKUP($A106,'Data shares'!$C:$FA,24)</f>
        <v>0.13</v>
      </c>
      <c r="G106" s="144">
        <f>VLOOKUP($A106,'Data shares'!$C:$FA,25)</f>
        <v>0.22</v>
      </c>
    </row>
    <row r="107" spans="1:7" x14ac:dyDescent="0.25">
      <c r="A107" s="101" t="str">
        <f>'Data Vlaue (Cr)'!C103</f>
        <v>ITC</v>
      </c>
      <c r="B107" s="144">
        <f>VLOOKUP($A107,'Data shares'!$C:$FA,7)</f>
        <v>324.85000000000002</v>
      </c>
      <c r="C107" s="144">
        <f>VLOOKUP($A107,'Data shares'!$C:$FA,3)</f>
        <v>325.25</v>
      </c>
      <c r="D107" s="144">
        <f>VLOOKUP($A107,'Data shares'!$C:$FA,23)</f>
        <v>0.4</v>
      </c>
      <c r="E107" s="145">
        <f>VLOOKUP($A107,'Data shares'!$C:$FA,26)*100</f>
        <v>0.12</v>
      </c>
      <c r="F107" s="144">
        <f>VLOOKUP($A107,'Data shares'!$C:$FA,24)</f>
        <v>0.1</v>
      </c>
      <c r="G107" s="144">
        <f>VLOOKUP($A107,'Data shares'!$C:$FA,25)</f>
        <v>0.3</v>
      </c>
    </row>
    <row r="108" spans="1:7" x14ac:dyDescent="0.25">
      <c r="A108" s="101" t="str">
        <f>'Data Vlaue (Cr)'!C104</f>
        <v>JINDALSTEL</v>
      </c>
      <c r="B108" s="144">
        <f>VLOOKUP($A108,'Data shares'!$C:$FA,7)</f>
        <v>1076</v>
      </c>
      <c r="C108" s="144">
        <f>VLOOKUP($A108,'Data shares'!$C:$FA,3)</f>
        <v>1075.5999999999999</v>
      </c>
      <c r="D108" s="144">
        <f>VLOOKUP($A108,'Data shares'!$C:$FA,23)</f>
        <v>-0.4</v>
      </c>
      <c r="E108" s="145">
        <f>VLOOKUP($A108,'Data shares'!$C:$FA,26)*100</f>
        <v>-0.04</v>
      </c>
      <c r="F108" s="144">
        <f>VLOOKUP($A108,'Data shares'!$C:$FA,24)</f>
        <v>0</v>
      </c>
      <c r="G108" s="144">
        <f>VLOOKUP($A108,'Data shares'!$C:$FA,25)</f>
        <v>-0.4</v>
      </c>
    </row>
    <row r="109" spans="1:7" x14ac:dyDescent="0.25">
      <c r="A109" s="101" t="str">
        <f>'Data Vlaue (Cr)'!C105</f>
        <v>JIOFIN</v>
      </c>
      <c r="B109" s="144">
        <f>VLOOKUP($A109,'Data shares'!$C:$FA,7)</f>
        <v>262.60000000000002</v>
      </c>
      <c r="C109" s="144">
        <f>VLOOKUP($A109,'Data shares'!$C:$FA,3)</f>
        <v>263.35000000000002</v>
      </c>
      <c r="D109" s="144">
        <f>VLOOKUP($A109,'Data shares'!$C:$FA,23)</f>
        <v>0.75</v>
      </c>
      <c r="E109" s="145">
        <f>VLOOKUP($A109,'Data shares'!$C:$FA,26)*100</f>
        <v>0.28999999999999998</v>
      </c>
      <c r="F109" s="144">
        <f>VLOOKUP($A109,'Data shares'!$C:$FA,24)</f>
        <v>0.45</v>
      </c>
      <c r="G109" s="144">
        <f>VLOOKUP($A109,'Data shares'!$C:$FA,25)</f>
        <v>0.3</v>
      </c>
    </row>
    <row r="110" spans="1:7" x14ac:dyDescent="0.25">
      <c r="A110" s="101" t="str">
        <f>'Data Vlaue (Cr)'!C106</f>
        <v>JSWENERGY</v>
      </c>
      <c r="B110" s="144">
        <f>VLOOKUP($A110,'Data shares'!$C:$FA,7)</f>
        <v>492.35</v>
      </c>
      <c r="C110" s="144">
        <f>VLOOKUP($A110,'Data shares'!$C:$FA,3)</f>
        <v>492.15</v>
      </c>
      <c r="D110" s="144">
        <f>VLOOKUP($A110,'Data shares'!$C:$FA,23)</f>
        <v>-0.2</v>
      </c>
      <c r="E110" s="145">
        <f>VLOOKUP($A110,'Data shares'!$C:$FA,26)*100</f>
        <v>-0.04</v>
      </c>
      <c r="F110" s="144">
        <f>VLOOKUP($A110,'Data shares'!$C:$FA,24)</f>
        <v>0.1</v>
      </c>
      <c r="G110" s="144">
        <f>VLOOKUP($A110,'Data shares'!$C:$FA,25)</f>
        <v>-0.3</v>
      </c>
    </row>
    <row r="111" spans="1:7" x14ac:dyDescent="0.25">
      <c r="A111" s="101" t="str">
        <f>'Data Vlaue (Cr)'!C107</f>
        <v>JSWSTEEL</v>
      </c>
      <c r="B111" s="144">
        <f>VLOOKUP($A111,'Data shares'!$C:$FA,7)</f>
        <v>1184.4000000000001</v>
      </c>
      <c r="C111" s="144">
        <f>VLOOKUP($A111,'Data shares'!$C:$FA,3)</f>
        <v>1187</v>
      </c>
      <c r="D111" s="144">
        <f>VLOOKUP($A111,'Data shares'!$C:$FA,23)</f>
        <v>2.6</v>
      </c>
      <c r="E111" s="145">
        <f>VLOOKUP($A111,'Data shares'!$C:$FA,26)*100</f>
        <v>0.22</v>
      </c>
      <c r="F111" s="144">
        <f>VLOOKUP($A111,'Data shares'!$C:$FA,24)</f>
        <v>-0.8</v>
      </c>
      <c r="G111" s="144">
        <f>VLOOKUP($A111,'Data shares'!$C:$FA,25)</f>
        <v>3.4</v>
      </c>
    </row>
    <row r="112" spans="1:7" x14ac:dyDescent="0.25">
      <c r="A112" s="101" t="str">
        <f>'Data Vlaue (Cr)'!C108</f>
        <v>JUBLFOOD</v>
      </c>
      <c r="B112" s="144">
        <f>VLOOKUP($A112,'Data shares'!$C:$FA,7)</f>
        <v>501</v>
      </c>
      <c r="C112" s="144">
        <f>VLOOKUP($A112,'Data shares'!$C:$FA,3)</f>
        <v>503.1</v>
      </c>
      <c r="D112" s="144">
        <f>VLOOKUP($A112,'Data shares'!$C:$FA,23)</f>
        <v>2.1</v>
      </c>
      <c r="E112" s="145">
        <f>VLOOKUP($A112,'Data shares'!$C:$FA,26)*100</f>
        <v>0.42</v>
      </c>
      <c r="F112" s="144">
        <f>VLOOKUP($A112,'Data shares'!$C:$FA,24)</f>
        <v>1.2</v>
      </c>
      <c r="G112" s="144">
        <f>VLOOKUP($A112,'Data shares'!$C:$FA,25)</f>
        <v>0.9</v>
      </c>
    </row>
    <row r="113" spans="1:7" x14ac:dyDescent="0.25">
      <c r="A113" s="101" t="str">
        <f>'Data Vlaue (Cr)'!C109</f>
        <v>KALYANKJIL</v>
      </c>
      <c r="B113" s="144">
        <f>VLOOKUP($A113,'Data shares'!$C:$FA,7)</f>
        <v>373.55</v>
      </c>
      <c r="C113" s="144">
        <f>VLOOKUP($A113,'Data shares'!$C:$FA,3)</f>
        <v>375.1</v>
      </c>
      <c r="D113" s="144">
        <f>VLOOKUP($A113,'Data shares'!$C:$FA,23)</f>
        <v>1.55</v>
      </c>
      <c r="E113" s="145">
        <f>VLOOKUP($A113,'Data shares'!$C:$FA,26)*100</f>
        <v>0.41000000000000003</v>
      </c>
      <c r="F113" s="144">
        <f>VLOOKUP($A113,'Data shares'!$C:$FA,24)</f>
        <v>0.3</v>
      </c>
      <c r="G113" s="144">
        <f>VLOOKUP($A113,'Data shares'!$C:$FA,25)</f>
        <v>1.25</v>
      </c>
    </row>
    <row r="114" spans="1:7" x14ac:dyDescent="0.25">
      <c r="A114" s="101" t="str">
        <f>'Data Vlaue (Cr)'!C110</f>
        <v>KAYNES</v>
      </c>
      <c r="B114" s="144">
        <f>VLOOKUP($A114,'Data shares'!$C:$FA,7)</f>
        <v>3527.2</v>
      </c>
      <c r="C114" s="144">
        <f>VLOOKUP($A114,'Data shares'!$C:$FA,3)</f>
        <v>3536.8</v>
      </c>
      <c r="D114" s="144">
        <f>VLOOKUP($A114,'Data shares'!$C:$FA,23)</f>
        <v>9.6</v>
      </c>
      <c r="E114" s="145">
        <f>VLOOKUP($A114,'Data shares'!$C:$FA,26)*100</f>
        <v>0.27</v>
      </c>
      <c r="F114" s="144">
        <f>VLOOKUP($A114,'Data shares'!$C:$FA,24)</f>
        <v>5.2</v>
      </c>
      <c r="G114" s="144">
        <f>VLOOKUP($A114,'Data shares'!$C:$FA,25)</f>
        <v>4.4000000000000004</v>
      </c>
    </row>
    <row r="115" spans="1:7" x14ac:dyDescent="0.25">
      <c r="A115" s="101" t="str">
        <f>'Data Vlaue (Cr)'!C111</f>
        <v>KEI</v>
      </c>
      <c r="B115" s="144">
        <f>VLOOKUP($A115,'Data shares'!$C:$FA,7)</f>
        <v>3848.4</v>
      </c>
      <c r="C115" s="144">
        <f>VLOOKUP($A115,'Data shares'!$C:$FA,3)</f>
        <v>3855.7</v>
      </c>
      <c r="D115" s="144">
        <f>VLOOKUP($A115,'Data shares'!$C:$FA,23)</f>
        <v>7.3</v>
      </c>
      <c r="E115" s="145">
        <f>VLOOKUP($A115,'Data shares'!$C:$FA,26)*100</f>
        <v>0.19</v>
      </c>
      <c r="F115" s="144">
        <f>VLOOKUP($A115,'Data shares'!$C:$FA,24)</f>
        <v>-2.7</v>
      </c>
      <c r="G115" s="144">
        <f>VLOOKUP($A115,'Data shares'!$C:$FA,25)</f>
        <v>10</v>
      </c>
    </row>
    <row r="116" spans="1:7" x14ac:dyDescent="0.25">
      <c r="A116" s="101" t="str">
        <f>'Data Vlaue (Cr)'!C112</f>
        <v>KFINTECH</v>
      </c>
      <c r="B116" s="144">
        <f>VLOOKUP($A116,'Data shares'!$C:$FA,7)</f>
        <v>1033.5</v>
      </c>
      <c r="C116" s="144">
        <f>VLOOKUP($A116,'Data shares'!$C:$FA,3)</f>
        <v>1035.3</v>
      </c>
      <c r="D116" s="144">
        <f>VLOOKUP($A116,'Data shares'!$C:$FA,23)</f>
        <v>1.8</v>
      </c>
      <c r="E116" s="145">
        <f>VLOOKUP($A116,'Data shares'!$C:$FA,26)*100</f>
        <v>0.16999999999999998</v>
      </c>
      <c r="F116" s="144">
        <f>VLOOKUP($A116,'Data shares'!$C:$FA,24)</f>
        <v>-3.6</v>
      </c>
      <c r="G116" s="144">
        <f>VLOOKUP($A116,'Data shares'!$C:$FA,25)</f>
        <v>5.4</v>
      </c>
    </row>
    <row r="117" spans="1:7" x14ac:dyDescent="0.25">
      <c r="A117" s="101" t="str">
        <f>'Data Vlaue (Cr)'!C113</f>
        <v>KOTAKBANK</v>
      </c>
      <c r="B117" s="144">
        <f>VLOOKUP($A117,'Data shares'!$C:$FA,7)</f>
        <v>426</v>
      </c>
      <c r="C117" s="144">
        <f>VLOOKUP($A117,'Data shares'!$C:$FA,3)</f>
        <v>426.2</v>
      </c>
      <c r="D117" s="144">
        <f>VLOOKUP($A117,'Data shares'!$C:$FA,23)</f>
        <v>0.2</v>
      </c>
      <c r="E117" s="145">
        <f>VLOOKUP($A117,'Data shares'!$C:$FA,26)*100</f>
        <v>0.05</v>
      </c>
      <c r="F117" s="144">
        <f>VLOOKUP($A117,'Data shares'!$C:$FA,24)</f>
        <v>0.5</v>
      </c>
      <c r="G117" s="144">
        <f>VLOOKUP($A117,'Data shares'!$C:$FA,25)</f>
        <v>-0.3</v>
      </c>
    </row>
    <row r="118" spans="1:7" x14ac:dyDescent="0.25">
      <c r="A118" s="101" t="str">
        <f>'Data Vlaue (Cr)'!C114</f>
        <v>KPITTECH</v>
      </c>
      <c r="B118" s="144">
        <f>VLOOKUP($A118,'Data shares'!$C:$FA,7)</f>
        <v>1109.2</v>
      </c>
      <c r="C118" s="144">
        <f>VLOOKUP($A118,'Data shares'!$C:$FA,3)</f>
        <v>1113.3</v>
      </c>
      <c r="D118" s="144">
        <f>VLOOKUP($A118,'Data shares'!$C:$FA,23)</f>
        <v>4.0999999999999996</v>
      </c>
      <c r="E118" s="145">
        <f>VLOOKUP($A118,'Data shares'!$C:$FA,26)*100</f>
        <v>0.37</v>
      </c>
      <c r="F118" s="144">
        <f>VLOOKUP($A118,'Data shares'!$C:$FA,24)</f>
        <v>4.0999999999999996</v>
      </c>
      <c r="G118" s="144">
        <f>VLOOKUP($A118,'Data shares'!$C:$FA,25)</f>
        <v>0</v>
      </c>
    </row>
    <row r="119" spans="1:7" x14ac:dyDescent="0.25">
      <c r="A119" s="101" t="str">
        <f>'Data Vlaue (Cr)'!C115</f>
        <v>LAURUSLABS</v>
      </c>
      <c r="B119" s="144">
        <f>VLOOKUP($A119,'Data shares'!$C:$FA,7)</f>
        <v>1005.8</v>
      </c>
      <c r="C119" s="144">
        <f>VLOOKUP($A119,'Data shares'!$C:$FA,3)</f>
        <v>1009.8</v>
      </c>
      <c r="D119" s="144">
        <f>VLOOKUP($A119,'Data shares'!$C:$FA,23)</f>
        <v>4</v>
      </c>
      <c r="E119" s="145">
        <f>VLOOKUP($A119,'Data shares'!$C:$FA,26)*100</f>
        <v>0.4</v>
      </c>
      <c r="F119" s="144">
        <f>VLOOKUP($A119,'Data shares'!$C:$FA,24)</f>
        <v>2.5</v>
      </c>
      <c r="G119" s="144">
        <f>VLOOKUP($A119,'Data shares'!$C:$FA,25)</f>
        <v>1.5</v>
      </c>
    </row>
    <row r="120" spans="1:7" x14ac:dyDescent="0.25">
      <c r="A120" s="101" t="str">
        <f>'Data Vlaue (Cr)'!C116</f>
        <v>LICHSGFIN</v>
      </c>
      <c r="B120" s="144">
        <f>VLOOKUP($A120,'Data shares'!$C:$FA,7)</f>
        <v>517.1</v>
      </c>
      <c r="C120" s="144">
        <f>VLOOKUP($A120,'Data shares'!$C:$FA,3)</f>
        <v>517.54999999999995</v>
      </c>
      <c r="D120" s="144">
        <f>VLOOKUP($A120,'Data shares'!$C:$FA,23)</f>
        <v>0.45</v>
      </c>
      <c r="E120" s="145">
        <f>VLOOKUP($A120,'Data shares'!$C:$FA,26)*100</f>
        <v>0.09</v>
      </c>
      <c r="F120" s="144">
        <f>VLOOKUP($A120,'Data shares'!$C:$FA,24)</f>
        <v>0.45</v>
      </c>
      <c r="G120" s="144">
        <f>VLOOKUP($A120,'Data shares'!$C:$FA,25)</f>
        <v>0</v>
      </c>
    </row>
    <row r="121" spans="1:7" x14ac:dyDescent="0.25">
      <c r="A121" s="101" t="str">
        <f>'Data Vlaue (Cr)'!C117</f>
        <v>LICI</v>
      </c>
      <c r="B121" s="144">
        <f>VLOOKUP($A121,'Data shares'!$C:$FA,7)</f>
        <v>819.3</v>
      </c>
      <c r="C121" s="144">
        <f>VLOOKUP($A121,'Data shares'!$C:$FA,3)</f>
        <v>821.15</v>
      </c>
      <c r="D121" s="144">
        <f>VLOOKUP($A121,'Data shares'!$C:$FA,23)</f>
        <v>1.85</v>
      </c>
      <c r="E121" s="145">
        <f>VLOOKUP($A121,'Data shares'!$C:$FA,26)*100</f>
        <v>0.22999999999999998</v>
      </c>
      <c r="F121" s="144">
        <f>VLOOKUP($A121,'Data shares'!$C:$FA,24)</f>
        <v>-0.05</v>
      </c>
      <c r="G121" s="144">
        <f>VLOOKUP($A121,'Data shares'!$C:$FA,25)</f>
        <v>1.9</v>
      </c>
    </row>
    <row r="122" spans="1:7" x14ac:dyDescent="0.25">
      <c r="A122" s="101" t="str">
        <f>'Data Vlaue (Cr)'!C118</f>
        <v>LODHA</v>
      </c>
      <c r="B122" s="144">
        <f>VLOOKUP($A122,'Data shares'!$C:$FA,7)</f>
        <v>945.5</v>
      </c>
      <c r="C122" s="144">
        <f>VLOOKUP($A122,'Data shares'!$C:$FA,3)</f>
        <v>950</v>
      </c>
      <c r="D122" s="144">
        <f>VLOOKUP($A122,'Data shares'!$C:$FA,23)</f>
        <v>4.5</v>
      </c>
      <c r="E122" s="145">
        <f>VLOOKUP($A122,'Data shares'!$C:$FA,26)*100</f>
        <v>0.48</v>
      </c>
      <c r="F122" s="144">
        <f>VLOOKUP($A122,'Data shares'!$C:$FA,24)</f>
        <v>0.4</v>
      </c>
      <c r="G122" s="144">
        <f>VLOOKUP($A122,'Data shares'!$C:$FA,25)</f>
        <v>4.0999999999999996</v>
      </c>
    </row>
    <row r="123" spans="1:7" x14ac:dyDescent="0.25">
      <c r="A123" s="101" t="str">
        <f>'Data Vlaue (Cr)'!C119</f>
        <v>LT</v>
      </c>
      <c r="B123" s="144">
        <f>VLOOKUP($A123,'Data shares'!$C:$FA,7)</f>
        <v>3793.8</v>
      </c>
      <c r="C123" s="144">
        <f>VLOOKUP($A123,'Data shares'!$C:$FA,3)</f>
        <v>3800.6</v>
      </c>
      <c r="D123" s="144">
        <f>VLOOKUP($A123,'Data shares'!$C:$FA,23)</f>
        <v>6.8</v>
      </c>
      <c r="E123" s="145">
        <f>VLOOKUP($A123,'Data shares'!$C:$FA,26)*100</f>
        <v>0.18</v>
      </c>
      <c r="F123" s="144">
        <f>VLOOKUP($A123,'Data shares'!$C:$FA,24)</f>
        <v>-0.9</v>
      </c>
      <c r="G123" s="144">
        <f>VLOOKUP($A123,'Data shares'!$C:$FA,25)</f>
        <v>7.7</v>
      </c>
    </row>
    <row r="124" spans="1:7" x14ac:dyDescent="0.25">
      <c r="A124" s="101" t="str">
        <f>'Data Vlaue (Cr)'!C120</f>
        <v>LTF</v>
      </c>
      <c r="B124" s="144">
        <f>VLOOKUP($A124,'Data shares'!$C:$FA,7)</f>
        <v>287.3</v>
      </c>
      <c r="C124" s="144">
        <f>VLOOKUP($A124,'Data shares'!$C:$FA,3)</f>
        <v>287.35000000000002</v>
      </c>
      <c r="D124" s="144">
        <f>VLOOKUP($A124,'Data shares'!$C:$FA,23)</f>
        <v>0.05</v>
      </c>
      <c r="E124" s="145">
        <f>VLOOKUP($A124,'Data shares'!$C:$FA,26)*100</f>
        <v>0.02</v>
      </c>
      <c r="F124" s="144">
        <f>VLOOKUP($A124,'Data shares'!$C:$FA,24)</f>
        <v>1.2</v>
      </c>
      <c r="G124" s="144">
        <f>VLOOKUP($A124,'Data shares'!$C:$FA,25)</f>
        <v>-1.1499999999999999</v>
      </c>
    </row>
    <row r="125" spans="1:7" x14ac:dyDescent="0.25">
      <c r="A125" s="101" t="str">
        <f>'Data Vlaue (Cr)'!C121</f>
        <v>LTIM</v>
      </c>
      <c r="B125" s="144">
        <f>VLOOKUP($A125,'Data shares'!$C:$FA,7)</f>
        <v>5947</v>
      </c>
      <c r="C125" s="144">
        <f>VLOOKUP($A125,'Data shares'!$C:$FA,3)</f>
        <v>5949</v>
      </c>
      <c r="D125" s="144">
        <f>VLOOKUP($A125,'Data shares'!$C:$FA,23)</f>
        <v>2</v>
      </c>
      <c r="E125" s="145">
        <f>VLOOKUP($A125,'Data shares'!$C:$FA,26)*100</f>
        <v>0.03</v>
      </c>
      <c r="F125" s="144">
        <f>VLOOKUP($A125,'Data shares'!$C:$FA,24)</f>
        <v>16</v>
      </c>
      <c r="G125" s="144">
        <f>VLOOKUP($A125,'Data shares'!$C:$FA,25)</f>
        <v>-14</v>
      </c>
    </row>
    <row r="126" spans="1:7" x14ac:dyDescent="0.25">
      <c r="A126" s="101" t="str">
        <f>'Data Vlaue (Cr)'!C122</f>
        <v>LUPIN</v>
      </c>
      <c r="B126" s="144">
        <f>VLOOKUP($A126,'Data shares'!$C:$FA,7)</f>
        <v>2163.1999999999998</v>
      </c>
      <c r="C126" s="144">
        <f>VLOOKUP($A126,'Data shares'!$C:$FA,3)</f>
        <v>2161.6</v>
      </c>
      <c r="D126" s="144">
        <f>VLOOKUP($A126,'Data shares'!$C:$FA,23)</f>
        <v>-1.6</v>
      </c>
      <c r="E126" s="145">
        <f>VLOOKUP($A126,'Data shares'!$C:$FA,26)*100</f>
        <v>-6.9999999999999993E-2</v>
      </c>
      <c r="F126" s="144">
        <f>VLOOKUP($A126,'Data shares'!$C:$FA,24)</f>
        <v>4.8</v>
      </c>
      <c r="G126" s="144">
        <f>VLOOKUP($A126,'Data shares'!$C:$FA,25)</f>
        <v>-6.4</v>
      </c>
    </row>
    <row r="127" spans="1:7" x14ac:dyDescent="0.25">
      <c r="A127" s="101" t="str">
        <f>'Data Vlaue (Cr)'!C123</f>
        <v>M&amp;M</v>
      </c>
      <c r="B127" s="144">
        <f>VLOOKUP($A127,'Data shares'!$C:$FA,7)</f>
        <v>3573.7</v>
      </c>
      <c r="C127" s="144">
        <f>VLOOKUP($A127,'Data shares'!$C:$FA,3)</f>
        <v>3579.7</v>
      </c>
      <c r="D127" s="144">
        <f>VLOOKUP($A127,'Data shares'!$C:$FA,23)</f>
        <v>6</v>
      </c>
      <c r="E127" s="145">
        <f>VLOOKUP($A127,'Data shares'!$C:$FA,26)*100</f>
        <v>0.16999999999999998</v>
      </c>
      <c r="F127" s="144">
        <f>VLOOKUP($A127,'Data shares'!$C:$FA,24)</f>
        <v>-1.6</v>
      </c>
      <c r="G127" s="144">
        <f>VLOOKUP($A127,'Data shares'!$C:$FA,25)</f>
        <v>7.6</v>
      </c>
    </row>
    <row r="128" spans="1:7" x14ac:dyDescent="0.25">
      <c r="A128" s="101" t="str">
        <f>'Data Vlaue (Cr)'!C124</f>
        <v>MANAPPURAM</v>
      </c>
      <c r="B128" s="144">
        <f>VLOOKUP($A128,'Data shares'!$C:$FA,7)</f>
        <v>300.2</v>
      </c>
      <c r="C128" s="144">
        <f>VLOOKUP($A128,'Data shares'!$C:$FA,3)</f>
        <v>300.75</v>
      </c>
      <c r="D128" s="144">
        <f>VLOOKUP($A128,'Data shares'!$C:$FA,23)</f>
        <v>0.55000000000000004</v>
      </c>
      <c r="E128" s="145">
        <f>VLOOKUP($A128,'Data shares'!$C:$FA,26)*100</f>
        <v>0.18</v>
      </c>
      <c r="F128" s="144">
        <f>VLOOKUP($A128,'Data shares'!$C:$FA,24)</f>
        <v>-0.05</v>
      </c>
      <c r="G128" s="144">
        <f>VLOOKUP($A128,'Data shares'!$C:$FA,25)</f>
        <v>0.6</v>
      </c>
    </row>
    <row r="129" spans="1:7" x14ac:dyDescent="0.25">
      <c r="A129" s="101" t="str">
        <f>'Data Vlaue (Cr)'!C125</f>
        <v>MANKIND</v>
      </c>
      <c r="B129" s="144">
        <f>VLOOKUP($A129,'Data shares'!$C:$FA,7)</f>
        <v>2147</v>
      </c>
      <c r="C129" s="144">
        <f>VLOOKUP($A129,'Data shares'!$C:$FA,3)</f>
        <v>2152.1999999999998</v>
      </c>
      <c r="D129" s="144">
        <f>VLOOKUP($A129,'Data shares'!$C:$FA,23)</f>
        <v>5.2</v>
      </c>
      <c r="E129" s="145">
        <f>VLOOKUP($A129,'Data shares'!$C:$FA,26)*100</f>
        <v>0.24</v>
      </c>
      <c r="F129" s="144">
        <f>VLOOKUP($A129,'Data shares'!$C:$FA,24)</f>
        <v>0.8</v>
      </c>
      <c r="G129" s="144">
        <f>VLOOKUP($A129,'Data shares'!$C:$FA,25)</f>
        <v>4.4000000000000004</v>
      </c>
    </row>
    <row r="130" spans="1:7" x14ac:dyDescent="0.25">
      <c r="A130" s="101" t="str">
        <f>'Data Vlaue (Cr)'!C126</f>
        <v>MARICO</v>
      </c>
      <c r="B130" s="144">
        <f>VLOOKUP($A130,'Data shares'!$C:$FA,7)</f>
        <v>751.75</v>
      </c>
      <c r="C130" s="144">
        <f>VLOOKUP($A130,'Data shares'!$C:$FA,3)</f>
        <v>752.25</v>
      </c>
      <c r="D130" s="144">
        <f>VLOOKUP($A130,'Data shares'!$C:$FA,23)</f>
        <v>0.5</v>
      </c>
      <c r="E130" s="145">
        <f>VLOOKUP($A130,'Data shares'!$C:$FA,26)*100</f>
        <v>6.9999999999999993E-2</v>
      </c>
      <c r="F130" s="144">
        <f>VLOOKUP($A130,'Data shares'!$C:$FA,24)</f>
        <v>0</v>
      </c>
      <c r="G130" s="144">
        <f>VLOOKUP($A130,'Data shares'!$C:$FA,25)</f>
        <v>0.5</v>
      </c>
    </row>
    <row r="131" spans="1:7" x14ac:dyDescent="0.25">
      <c r="A131" s="101" t="str">
        <f>'Data Vlaue (Cr)'!C127</f>
        <v>MARUTI</v>
      </c>
      <c r="B131" s="144">
        <f>VLOOKUP($A131,'Data shares'!$C:$FA,7)</f>
        <v>15765</v>
      </c>
      <c r="C131" s="144">
        <f>VLOOKUP($A131,'Data shares'!$C:$FA,3)</f>
        <v>15752</v>
      </c>
      <c r="D131" s="144">
        <f>VLOOKUP($A131,'Data shares'!$C:$FA,23)</f>
        <v>-13</v>
      </c>
      <c r="E131" s="145">
        <f>VLOOKUP($A131,'Data shares'!$C:$FA,26)*100</f>
        <v>-0.08</v>
      </c>
      <c r="F131" s="144">
        <f>VLOOKUP($A131,'Data shares'!$C:$FA,24)</f>
        <v>23</v>
      </c>
      <c r="G131" s="144">
        <f>VLOOKUP($A131,'Data shares'!$C:$FA,25)</f>
        <v>-36</v>
      </c>
    </row>
    <row r="132" spans="1:7" x14ac:dyDescent="0.25">
      <c r="A132" s="101" t="str">
        <f>'Data Vlaue (Cr)'!C128</f>
        <v>MAXHEALTH</v>
      </c>
      <c r="B132" s="144">
        <f>VLOOKUP($A132,'Data shares'!$C:$FA,7)</f>
        <v>998.8</v>
      </c>
      <c r="C132" s="144">
        <f>VLOOKUP($A132,'Data shares'!$C:$FA,3)</f>
        <v>998.4</v>
      </c>
      <c r="D132" s="144">
        <f>VLOOKUP($A132,'Data shares'!$C:$FA,23)</f>
        <v>-0.4</v>
      </c>
      <c r="E132" s="145">
        <f>VLOOKUP($A132,'Data shares'!$C:$FA,26)*100</f>
        <v>-0.04</v>
      </c>
      <c r="F132" s="144">
        <f>VLOOKUP($A132,'Data shares'!$C:$FA,24)</f>
        <v>-0.7</v>
      </c>
      <c r="G132" s="144">
        <f>VLOOKUP($A132,'Data shares'!$C:$FA,25)</f>
        <v>0.3</v>
      </c>
    </row>
    <row r="133" spans="1:7" x14ac:dyDescent="0.25">
      <c r="A133" s="101" t="str">
        <f>'Data Vlaue (Cr)'!C129</f>
        <v>MAZDOCK</v>
      </c>
      <c r="B133" s="144">
        <f>VLOOKUP($A133,'Data shares'!$C:$FA,7)</f>
        <v>2369</v>
      </c>
      <c r="C133" s="144">
        <f>VLOOKUP($A133,'Data shares'!$C:$FA,3)</f>
        <v>2366.6999999999998</v>
      </c>
      <c r="D133" s="144">
        <f>VLOOKUP($A133,'Data shares'!$C:$FA,23)</f>
        <v>-2.2999999999999998</v>
      </c>
      <c r="E133" s="145">
        <f>VLOOKUP($A133,'Data shares'!$C:$FA,26)*100</f>
        <v>-0.1</v>
      </c>
      <c r="F133" s="144">
        <f>VLOOKUP($A133,'Data shares'!$C:$FA,24)</f>
        <v>-1.9</v>
      </c>
      <c r="G133" s="144">
        <f>VLOOKUP($A133,'Data shares'!$C:$FA,25)</f>
        <v>-0.4</v>
      </c>
    </row>
    <row r="134" spans="1:7" x14ac:dyDescent="0.25">
      <c r="A134" s="101" t="str">
        <f>'Data Vlaue (Cr)'!C130</f>
        <v>MCX</v>
      </c>
      <c r="B134" s="144">
        <f>VLOOKUP($A134,'Data shares'!$C:$FA,7)</f>
        <v>2314</v>
      </c>
      <c r="C134" s="144">
        <f>VLOOKUP($A134,'Data shares'!$C:$FA,3)</f>
        <v>2319</v>
      </c>
      <c r="D134" s="144">
        <f>VLOOKUP($A134,'Data shares'!$C:$FA,23)</f>
        <v>5</v>
      </c>
      <c r="E134" s="145">
        <f>VLOOKUP($A134,'Data shares'!$C:$FA,26)*100</f>
        <v>0.22</v>
      </c>
      <c r="F134" s="144">
        <f>VLOOKUP($A134,'Data shares'!$C:$FA,24)</f>
        <v>9</v>
      </c>
      <c r="G134" s="144">
        <f>VLOOKUP($A134,'Data shares'!$C:$FA,25)</f>
        <v>-4</v>
      </c>
    </row>
    <row r="135" spans="1:7" x14ac:dyDescent="0.25">
      <c r="A135" s="101" t="str">
        <f>'Data Vlaue (Cr)'!C131</f>
        <v>MFSL</v>
      </c>
      <c r="B135" s="144">
        <f>VLOOKUP($A135,'Data shares'!$C:$FA,7)</f>
        <v>1627.7</v>
      </c>
      <c r="C135" s="144">
        <f>VLOOKUP($A135,'Data shares'!$C:$FA,3)</f>
        <v>1626.7</v>
      </c>
      <c r="D135" s="144">
        <f>VLOOKUP($A135,'Data shares'!$C:$FA,23)</f>
        <v>-1</v>
      </c>
      <c r="E135" s="145">
        <f>VLOOKUP($A135,'Data shares'!$C:$FA,26)*100</f>
        <v>-0.06</v>
      </c>
      <c r="F135" s="144">
        <f>VLOOKUP($A135,'Data shares'!$C:$FA,24)</f>
        <v>-1.4</v>
      </c>
      <c r="G135" s="144">
        <f>VLOOKUP($A135,'Data shares'!$C:$FA,25)</f>
        <v>0.4</v>
      </c>
    </row>
    <row r="136" spans="1:7" x14ac:dyDescent="0.25">
      <c r="A136" s="101" t="str">
        <f>'Data Vlaue (Cr)'!C132</f>
        <v>MIDCPNIFTY</v>
      </c>
      <c r="B136" s="144">
        <f>VLOOKUP($A136,'Data shares'!$C:$FA,7)</f>
        <v>13325.45</v>
      </c>
      <c r="C136" s="144">
        <f>VLOOKUP($A136,'Data shares'!$C:$FA,3)</f>
        <v>13337.15</v>
      </c>
      <c r="D136" s="144">
        <f>VLOOKUP($A136,'Data shares'!$C:$FA,23)</f>
        <v>11.7</v>
      </c>
      <c r="E136" s="145">
        <f>VLOOKUP($A136,'Data shares'!$C:$FA,26)*100</f>
        <v>0.09</v>
      </c>
      <c r="F136" s="144">
        <f>VLOOKUP($A136,'Data shares'!$C:$FA,24)</f>
        <v>-13.85</v>
      </c>
      <c r="G136" s="144">
        <f>VLOOKUP($A136,'Data shares'!$C:$FA,25)</f>
        <v>25.55</v>
      </c>
    </row>
    <row r="137" spans="1:7" x14ac:dyDescent="0.25">
      <c r="A137" s="101" t="str">
        <f>'Data Vlaue (Cr)'!C133</f>
        <v>MOTHERSON</v>
      </c>
      <c r="B137" s="144">
        <f>VLOOKUP($A137,'Data shares'!$C:$FA,7)</f>
        <v>111.33</v>
      </c>
      <c r="C137" s="144">
        <f>VLOOKUP($A137,'Data shares'!$C:$FA,3)</f>
        <v>111.52</v>
      </c>
      <c r="D137" s="144">
        <f>VLOOKUP($A137,'Data shares'!$C:$FA,23)</f>
        <v>0.19</v>
      </c>
      <c r="E137" s="145">
        <f>VLOOKUP($A137,'Data shares'!$C:$FA,26)*100</f>
        <v>0.16999999999999998</v>
      </c>
      <c r="F137" s="144">
        <f>VLOOKUP($A137,'Data shares'!$C:$FA,24)</f>
        <v>-0.01</v>
      </c>
      <c r="G137" s="144">
        <f>VLOOKUP($A137,'Data shares'!$C:$FA,25)</f>
        <v>0.2</v>
      </c>
    </row>
    <row r="138" spans="1:7" x14ac:dyDescent="0.25">
      <c r="A138" s="101" t="str">
        <f>'Data Vlaue (Cr)'!C134</f>
        <v>MPHASIS</v>
      </c>
      <c r="B138" s="144">
        <f>VLOOKUP($A138,'Data shares'!$C:$FA,7)</f>
        <v>2810.1</v>
      </c>
      <c r="C138" s="144">
        <f>VLOOKUP($A138,'Data shares'!$C:$FA,3)</f>
        <v>2808.2</v>
      </c>
      <c r="D138" s="144">
        <f>VLOOKUP($A138,'Data shares'!$C:$FA,23)</f>
        <v>-1.9</v>
      </c>
      <c r="E138" s="145">
        <f>VLOOKUP($A138,'Data shares'!$C:$FA,26)*100</f>
        <v>-6.9999999999999993E-2</v>
      </c>
      <c r="F138" s="144">
        <f>VLOOKUP($A138,'Data shares'!$C:$FA,24)</f>
        <v>-6.3</v>
      </c>
      <c r="G138" s="144">
        <f>VLOOKUP($A138,'Data shares'!$C:$FA,25)</f>
        <v>4.4000000000000004</v>
      </c>
    </row>
    <row r="139" spans="1:7" x14ac:dyDescent="0.25">
      <c r="A139" s="101" t="str">
        <f>'Data Vlaue (Cr)'!C135</f>
        <v>MUTHOOTFIN</v>
      </c>
      <c r="B139" s="144">
        <f>VLOOKUP($A139,'Data shares'!$C:$FA,7)</f>
        <v>3861.9</v>
      </c>
      <c r="C139" s="144">
        <f>VLOOKUP($A139,'Data shares'!$C:$FA,3)</f>
        <v>3865.6</v>
      </c>
      <c r="D139" s="144">
        <f>VLOOKUP($A139,'Data shares'!$C:$FA,23)</f>
        <v>3.7</v>
      </c>
      <c r="E139" s="145">
        <f>VLOOKUP($A139,'Data shares'!$C:$FA,26)*100</f>
        <v>0.1</v>
      </c>
      <c r="F139" s="144">
        <f>VLOOKUP($A139,'Data shares'!$C:$FA,24)</f>
        <v>12.2</v>
      </c>
      <c r="G139" s="144">
        <f>VLOOKUP($A139,'Data shares'!$C:$FA,25)</f>
        <v>-8.5</v>
      </c>
    </row>
    <row r="140" spans="1:7" x14ac:dyDescent="0.25">
      <c r="A140" s="101" t="str">
        <f>'Data Vlaue (Cr)'!C136</f>
        <v>NATIONALUM</v>
      </c>
      <c r="B140" s="144">
        <f>VLOOKUP($A140,'Data shares'!$C:$FA,7)</f>
        <v>364.6</v>
      </c>
      <c r="C140" s="144">
        <f>VLOOKUP($A140,'Data shares'!$C:$FA,3)</f>
        <v>364.2</v>
      </c>
      <c r="D140" s="144">
        <f>VLOOKUP($A140,'Data shares'!$C:$FA,23)</f>
        <v>-0.4</v>
      </c>
      <c r="E140" s="145">
        <f>VLOOKUP($A140,'Data shares'!$C:$FA,26)*100</f>
        <v>-0.11</v>
      </c>
      <c r="F140" s="144">
        <f>VLOOKUP($A140,'Data shares'!$C:$FA,24)</f>
        <v>0.25</v>
      </c>
      <c r="G140" s="144">
        <f>VLOOKUP($A140,'Data shares'!$C:$FA,25)</f>
        <v>-0.65</v>
      </c>
    </row>
    <row r="141" spans="1:7" x14ac:dyDescent="0.25">
      <c r="A141" s="101" t="str">
        <f>'Data Vlaue (Cr)'!C137</f>
        <v>NAUKRI</v>
      </c>
      <c r="B141" s="144">
        <f>VLOOKUP($A141,'Data shares'!$C:$FA,7)</f>
        <v>1319.5</v>
      </c>
      <c r="C141" s="144">
        <f>VLOOKUP($A141,'Data shares'!$C:$FA,3)</f>
        <v>1317.2</v>
      </c>
      <c r="D141" s="144">
        <f>VLOOKUP($A141,'Data shares'!$C:$FA,23)</f>
        <v>-2.2999999999999998</v>
      </c>
      <c r="E141" s="145">
        <f>VLOOKUP($A141,'Data shares'!$C:$FA,26)*100</f>
        <v>-0.16999999999999998</v>
      </c>
      <c r="F141" s="144">
        <f>VLOOKUP($A141,'Data shares'!$C:$FA,24)</f>
        <v>4.8</v>
      </c>
      <c r="G141" s="144">
        <f>VLOOKUP($A141,'Data shares'!$C:$FA,25)</f>
        <v>-7.1</v>
      </c>
    </row>
    <row r="142" spans="1:7" x14ac:dyDescent="0.25">
      <c r="A142" s="101" t="str">
        <f>'Data Vlaue (Cr)'!C138</f>
        <v>NBCC</v>
      </c>
      <c r="B142" s="144">
        <f>VLOOKUP($A142,'Data shares'!$C:$FA,7)</f>
        <v>98.68</v>
      </c>
      <c r="C142" s="144">
        <f>VLOOKUP($A142,'Data shares'!$C:$FA,3)</f>
        <v>98.76</v>
      </c>
      <c r="D142" s="144">
        <f>VLOOKUP($A142,'Data shares'!$C:$FA,23)</f>
        <v>0.08</v>
      </c>
      <c r="E142" s="145">
        <f>VLOOKUP($A142,'Data shares'!$C:$FA,26)*100</f>
        <v>0.08</v>
      </c>
      <c r="F142" s="144">
        <f>VLOOKUP($A142,'Data shares'!$C:$FA,24)</f>
        <v>-0.08</v>
      </c>
      <c r="G142" s="144">
        <f>VLOOKUP($A142,'Data shares'!$C:$FA,25)</f>
        <v>0.16</v>
      </c>
    </row>
    <row r="143" spans="1:7" x14ac:dyDescent="0.25">
      <c r="A143" s="101" t="str">
        <f>'Data Vlaue (Cr)'!C139</f>
        <v>NESTLEIND</v>
      </c>
      <c r="B143" s="144">
        <f>VLOOKUP($A143,'Data shares'!$C:$FA,7)</f>
        <v>1306</v>
      </c>
      <c r="C143" s="144">
        <f>VLOOKUP($A143,'Data shares'!$C:$FA,3)</f>
        <v>1306.5</v>
      </c>
      <c r="D143" s="144">
        <f>VLOOKUP($A143,'Data shares'!$C:$FA,23)</f>
        <v>0.5</v>
      </c>
      <c r="E143" s="145">
        <f>VLOOKUP($A143,'Data shares'!$C:$FA,26)*100</f>
        <v>0.04</v>
      </c>
      <c r="F143" s="144">
        <f>VLOOKUP($A143,'Data shares'!$C:$FA,24)</f>
        <v>0.4</v>
      </c>
      <c r="G143" s="144">
        <f>VLOOKUP($A143,'Data shares'!$C:$FA,25)</f>
        <v>0.1</v>
      </c>
    </row>
    <row r="144" spans="1:7" x14ac:dyDescent="0.25">
      <c r="A144" s="101" t="str">
        <f>'Data Vlaue (Cr)'!C140</f>
        <v>NHPC</v>
      </c>
      <c r="B144" s="144">
        <f>VLOOKUP($A144,'Data shares'!$C:$FA,7)</f>
        <v>77.45</v>
      </c>
      <c r="C144" s="144">
        <f>VLOOKUP($A144,'Data shares'!$C:$FA,3)</f>
        <v>77.709999999999994</v>
      </c>
      <c r="D144" s="144">
        <f>VLOOKUP($A144,'Data shares'!$C:$FA,23)</f>
        <v>0.26</v>
      </c>
      <c r="E144" s="145">
        <f>VLOOKUP($A144,'Data shares'!$C:$FA,26)*100</f>
        <v>0.33999999999999997</v>
      </c>
      <c r="F144" s="144">
        <f>VLOOKUP($A144,'Data shares'!$C:$FA,24)</f>
        <v>0.21</v>
      </c>
      <c r="G144" s="144">
        <f>VLOOKUP($A144,'Data shares'!$C:$FA,25)</f>
        <v>0.05</v>
      </c>
    </row>
    <row r="145" spans="1:7" x14ac:dyDescent="0.25">
      <c r="A145" s="101" t="str">
        <f>'Data Vlaue (Cr)'!C141</f>
        <v>NIFTY</v>
      </c>
      <c r="B145" s="144">
        <f>VLOOKUP($A145,'Data shares'!$C:$FA,7)</f>
        <v>25289.9</v>
      </c>
      <c r="C145" s="144">
        <f>VLOOKUP($A145,'Data shares'!$C:$FA,3)</f>
        <v>25349.8</v>
      </c>
      <c r="D145" s="144">
        <f>VLOOKUP($A145,'Data shares'!$C:$FA,23)</f>
        <v>59.9</v>
      </c>
      <c r="E145" s="145">
        <f>VLOOKUP($A145,'Data shares'!$C:$FA,26)*100</f>
        <v>0.24</v>
      </c>
      <c r="F145" s="144">
        <f>VLOOKUP($A145,'Data shares'!$C:$FA,24)</f>
        <v>20.7</v>
      </c>
      <c r="G145" s="144">
        <f>VLOOKUP($A145,'Data shares'!$C:$FA,25)</f>
        <v>39.200000000000003</v>
      </c>
    </row>
    <row r="146" spans="1:7" x14ac:dyDescent="0.25">
      <c r="A146" s="101" t="str">
        <f>'Data Vlaue (Cr)'!C142</f>
        <v>NIFTYNXT50</v>
      </c>
      <c r="B146" s="144">
        <f>VLOOKUP($A146,'Data shares'!$C:$FA,7)</f>
        <v>67592.800000000003</v>
      </c>
      <c r="C146" s="144">
        <f>VLOOKUP($A146,'Data shares'!$C:$FA,3)</f>
        <v>67754</v>
      </c>
      <c r="D146" s="144">
        <f>VLOOKUP($A146,'Data shares'!$C:$FA,23)</f>
        <v>161.19999999999999</v>
      </c>
      <c r="E146" s="145">
        <f>VLOOKUP($A146,'Data shares'!$C:$FA,26)*100</f>
        <v>0.24</v>
      </c>
      <c r="F146" s="144">
        <f>VLOOKUP($A146,'Data shares'!$C:$FA,24)</f>
        <v>126.75</v>
      </c>
      <c r="G146" s="144">
        <f>VLOOKUP($A146,'Data shares'!$C:$FA,25)</f>
        <v>34.450000000000003</v>
      </c>
    </row>
    <row r="147" spans="1:7" x14ac:dyDescent="0.25">
      <c r="A147" s="101" t="str">
        <f>'Data Vlaue (Cr)'!C143</f>
        <v>NMDC</v>
      </c>
      <c r="B147" s="144">
        <f>VLOOKUP($A147,'Data shares'!$C:$FA,7)</f>
        <v>78.23</v>
      </c>
      <c r="C147" s="144">
        <f>VLOOKUP($A147,'Data shares'!$C:$FA,3)</f>
        <v>78.39</v>
      </c>
      <c r="D147" s="144">
        <f>VLOOKUP($A147,'Data shares'!$C:$FA,23)</f>
        <v>0.16</v>
      </c>
      <c r="E147" s="145">
        <f>VLOOKUP($A147,'Data shares'!$C:$FA,26)*100</f>
        <v>0.2</v>
      </c>
      <c r="F147" s="144">
        <f>VLOOKUP($A147,'Data shares'!$C:$FA,24)</f>
        <v>-0.06</v>
      </c>
      <c r="G147" s="144">
        <f>VLOOKUP($A147,'Data shares'!$C:$FA,25)</f>
        <v>0.22</v>
      </c>
    </row>
    <row r="148" spans="1:7" x14ac:dyDescent="0.25">
      <c r="A148" s="101" t="str">
        <f>'Data Vlaue (Cr)'!C144</f>
        <v>NTPC</v>
      </c>
      <c r="B148" s="144">
        <f>VLOOKUP($A148,'Data shares'!$C:$FA,7)</f>
        <v>342.45</v>
      </c>
      <c r="C148" s="144">
        <f>VLOOKUP($A148,'Data shares'!$C:$FA,3)</f>
        <v>342.8</v>
      </c>
      <c r="D148" s="144">
        <f>VLOOKUP($A148,'Data shares'!$C:$FA,23)</f>
        <v>0.35</v>
      </c>
      <c r="E148" s="145">
        <f>VLOOKUP($A148,'Data shares'!$C:$FA,26)*100</f>
        <v>0.1</v>
      </c>
      <c r="F148" s="144">
        <f>VLOOKUP($A148,'Data shares'!$C:$FA,24)</f>
        <v>-0.15</v>
      </c>
      <c r="G148" s="144">
        <f>VLOOKUP($A148,'Data shares'!$C:$FA,25)</f>
        <v>0.5</v>
      </c>
    </row>
    <row r="149" spans="1:7" x14ac:dyDescent="0.25">
      <c r="A149" s="101" t="str">
        <f>'Data Vlaue (Cr)'!C145</f>
        <v>NUVAMA</v>
      </c>
      <c r="B149" s="144">
        <f>VLOOKUP($A149,'Data shares'!$C:$FA,7)</f>
        <v>1383.3</v>
      </c>
      <c r="C149" s="144">
        <f>VLOOKUP($A149,'Data shares'!$C:$FA,3)</f>
        <v>1383.4</v>
      </c>
      <c r="D149" s="144">
        <f>VLOOKUP($A149,'Data shares'!$C:$FA,23)</f>
        <v>0.1</v>
      </c>
      <c r="E149" s="145">
        <f>VLOOKUP($A149,'Data shares'!$C:$FA,26)*100</f>
        <v>0.01</v>
      </c>
      <c r="F149" s="144">
        <f>VLOOKUP($A149,'Data shares'!$C:$FA,24)</f>
        <v>1</v>
      </c>
      <c r="G149" s="144">
        <f>VLOOKUP($A149,'Data shares'!$C:$FA,25)</f>
        <v>-0.9</v>
      </c>
    </row>
    <row r="150" spans="1:7" x14ac:dyDescent="0.25">
      <c r="A150" s="101" t="str">
        <f>'Data Vlaue (Cr)'!C146</f>
        <v>NYKAA</v>
      </c>
      <c r="B150" s="144">
        <f>VLOOKUP($A150,'Data shares'!$C:$FA,7)</f>
        <v>239.45</v>
      </c>
      <c r="C150" s="144">
        <f>VLOOKUP($A150,'Data shares'!$C:$FA,3)</f>
        <v>239.8</v>
      </c>
      <c r="D150" s="144">
        <f>VLOOKUP($A150,'Data shares'!$C:$FA,23)</f>
        <v>0.35</v>
      </c>
      <c r="E150" s="145">
        <f>VLOOKUP($A150,'Data shares'!$C:$FA,26)*100</f>
        <v>0.15</v>
      </c>
      <c r="F150" s="144">
        <f>VLOOKUP($A150,'Data shares'!$C:$FA,24)</f>
        <v>0.55000000000000004</v>
      </c>
      <c r="G150" s="144">
        <f>VLOOKUP($A150,'Data shares'!$C:$FA,25)</f>
        <v>-0.2</v>
      </c>
    </row>
    <row r="151" spans="1:7" x14ac:dyDescent="0.25">
      <c r="A151" s="101" t="str">
        <f>'Data Vlaue (Cr)'!C147</f>
        <v>OBEROIRLTY</v>
      </c>
      <c r="B151" s="144">
        <f>VLOOKUP($A151,'Data shares'!$C:$FA,7)</f>
        <v>1480.2</v>
      </c>
      <c r="C151" s="144">
        <f>VLOOKUP($A151,'Data shares'!$C:$FA,3)</f>
        <v>1477.9</v>
      </c>
      <c r="D151" s="144">
        <f>VLOOKUP($A151,'Data shares'!$C:$FA,23)</f>
        <v>-2.2999999999999998</v>
      </c>
      <c r="E151" s="145">
        <f>VLOOKUP($A151,'Data shares'!$C:$FA,26)*100</f>
        <v>-0.16</v>
      </c>
      <c r="F151" s="144">
        <f>VLOOKUP($A151,'Data shares'!$C:$FA,24)</f>
        <v>-0.3</v>
      </c>
      <c r="G151" s="144">
        <f>VLOOKUP($A151,'Data shares'!$C:$FA,25)</f>
        <v>-2</v>
      </c>
    </row>
    <row r="152" spans="1:7" x14ac:dyDescent="0.25">
      <c r="A152" s="101" t="str">
        <f>'Data Vlaue (Cr)'!C148</f>
        <v>OFSS</v>
      </c>
      <c r="B152" s="144">
        <f>VLOOKUP($A152,'Data shares'!$C:$FA,7)</f>
        <v>7897</v>
      </c>
      <c r="C152" s="144">
        <f>VLOOKUP($A152,'Data shares'!$C:$FA,3)</f>
        <v>7895</v>
      </c>
      <c r="D152" s="144">
        <f>VLOOKUP($A152,'Data shares'!$C:$FA,23)</f>
        <v>-2</v>
      </c>
      <c r="E152" s="145">
        <f>VLOOKUP($A152,'Data shares'!$C:$FA,26)*100</f>
        <v>-0.03</v>
      </c>
      <c r="F152" s="144">
        <f>VLOOKUP($A152,'Data shares'!$C:$FA,24)</f>
        <v>22.5</v>
      </c>
      <c r="G152" s="144">
        <f>VLOOKUP($A152,'Data shares'!$C:$FA,25)</f>
        <v>-24.5</v>
      </c>
    </row>
    <row r="153" spans="1:7" x14ac:dyDescent="0.25">
      <c r="A153" s="101" t="str">
        <f>'Data Vlaue (Cr)'!C149</f>
        <v>OIL</v>
      </c>
      <c r="B153" s="144">
        <f>VLOOKUP($A153,'Data shares'!$C:$FA,7)</f>
        <v>436.45</v>
      </c>
      <c r="C153" s="144">
        <f>VLOOKUP($A153,'Data shares'!$C:$FA,3)</f>
        <v>438.05</v>
      </c>
      <c r="D153" s="144">
        <f>VLOOKUP($A153,'Data shares'!$C:$FA,23)</f>
        <v>1.6</v>
      </c>
      <c r="E153" s="145">
        <f>VLOOKUP($A153,'Data shares'!$C:$FA,26)*100</f>
        <v>0.37</v>
      </c>
      <c r="F153" s="144">
        <f>VLOOKUP($A153,'Data shares'!$C:$FA,24)</f>
        <v>0</v>
      </c>
      <c r="G153" s="144">
        <f>VLOOKUP($A153,'Data shares'!$C:$FA,25)</f>
        <v>1.6</v>
      </c>
    </row>
    <row r="154" spans="1:7" x14ac:dyDescent="0.25">
      <c r="A154" s="101" t="str">
        <f>'Data Vlaue (Cr)'!C150</f>
        <v>ONGC</v>
      </c>
      <c r="B154" s="144">
        <f>VLOOKUP($A154,'Data shares'!$C:$FA,7)</f>
        <v>244.01</v>
      </c>
      <c r="C154" s="144">
        <f>VLOOKUP($A154,'Data shares'!$C:$FA,3)</f>
        <v>243.78</v>
      </c>
      <c r="D154" s="144">
        <f>VLOOKUP($A154,'Data shares'!$C:$FA,23)</f>
        <v>-0.23</v>
      </c>
      <c r="E154" s="145">
        <f>VLOOKUP($A154,'Data shares'!$C:$FA,26)*100</f>
        <v>-0.09</v>
      </c>
      <c r="F154" s="144">
        <f>VLOOKUP($A154,'Data shares'!$C:$FA,24)</f>
        <v>-0.23</v>
      </c>
      <c r="G154" s="144">
        <f>VLOOKUP($A154,'Data shares'!$C:$FA,25)</f>
        <v>0</v>
      </c>
    </row>
    <row r="155" spans="1:7" x14ac:dyDescent="0.25">
      <c r="A155" s="101" t="str">
        <f>'Data Vlaue (Cr)'!C151</f>
        <v>PAGEIND</v>
      </c>
      <c r="B155" s="144">
        <f>VLOOKUP($A155,'Data shares'!$C:$FA,7)</f>
        <v>32875</v>
      </c>
      <c r="C155" s="144">
        <f>VLOOKUP($A155,'Data shares'!$C:$FA,3)</f>
        <v>33005</v>
      </c>
      <c r="D155" s="144">
        <f>VLOOKUP($A155,'Data shares'!$C:$FA,23)</f>
        <v>130</v>
      </c>
      <c r="E155" s="145">
        <f>VLOOKUP($A155,'Data shares'!$C:$FA,26)*100</f>
        <v>0.4</v>
      </c>
      <c r="F155" s="144">
        <f>VLOOKUP($A155,'Data shares'!$C:$FA,24)</f>
        <v>-60</v>
      </c>
      <c r="G155" s="144">
        <f>VLOOKUP($A155,'Data shares'!$C:$FA,25)</f>
        <v>190</v>
      </c>
    </row>
    <row r="156" spans="1:7" x14ac:dyDescent="0.25">
      <c r="A156" s="101" t="str">
        <f>'Data Vlaue (Cr)'!C152</f>
        <v>PATANJALI</v>
      </c>
      <c r="B156" s="144">
        <f>VLOOKUP($A156,'Data shares'!$C:$FA,7)</f>
        <v>511</v>
      </c>
      <c r="C156" s="144">
        <f>VLOOKUP($A156,'Data shares'!$C:$FA,3)</f>
        <v>510.55</v>
      </c>
      <c r="D156" s="144">
        <f>VLOOKUP($A156,'Data shares'!$C:$FA,23)</f>
        <v>-0.45</v>
      </c>
      <c r="E156" s="145">
        <f>VLOOKUP($A156,'Data shares'!$C:$FA,26)*100</f>
        <v>-0.09</v>
      </c>
      <c r="F156" s="144">
        <f>VLOOKUP($A156,'Data shares'!$C:$FA,24)</f>
        <v>-1.45</v>
      </c>
      <c r="G156" s="144">
        <f>VLOOKUP($A156,'Data shares'!$C:$FA,25)</f>
        <v>1</v>
      </c>
    </row>
    <row r="157" spans="1:7" x14ac:dyDescent="0.25">
      <c r="A157" s="101" t="str">
        <f>'Data Vlaue (Cr)'!C153</f>
        <v>PAYTM</v>
      </c>
      <c r="B157" s="144">
        <f>VLOOKUP($A157,'Data shares'!$C:$FA,7)</f>
        <v>1260.5</v>
      </c>
      <c r="C157" s="144">
        <f>VLOOKUP($A157,'Data shares'!$C:$FA,3)</f>
        <v>1262.5999999999999</v>
      </c>
      <c r="D157" s="144">
        <f>VLOOKUP($A157,'Data shares'!$C:$FA,23)</f>
        <v>2.1</v>
      </c>
      <c r="E157" s="145">
        <f>VLOOKUP($A157,'Data shares'!$C:$FA,26)*100</f>
        <v>0.16999999999999998</v>
      </c>
      <c r="F157" s="144">
        <f>VLOOKUP($A157,'Data shares'!$C:$FA,24)</f>
        <v>-1.2</v>
      </c>
      <c r="G157" s="144">
        <f>VLOOKUP($A157,'Data shares'!$C:$FA,25)</f>
        <v>3.3</v>
      </c>
    </row>
    <row r="158" spans="1:7" x14ac:dyDescent="0.25">
      <c r="A158" s="101" t="str">
        <f>'Data Vlaue (Cr)'!C154</f>
        <v>PERSISTENT</v>
      </c>
      <c r="B158" s="144">
        <f>VLOOKUP($A158,'Data shares'!$C:$FA,7)</f>
        <v>6320.5</v>
      </c>
      <c r="C158" s="144">
        <f>VLOOKUP($A158,'Data shares'!$C:$FA,3)</f>
        <v>6297.5</v>
      </c>
      <c r="D158" s="144">
        <f>VLOOKUP($A158,'Data shares'!$C:$FA,23)</f>
        <v>-23</v>
      </c>
      <c r="E158" s="145">
        <f>VLOOKUP($A158,'Data shares'!$C:$FA,26)*100</f>
        <v>-0.36</v>
      </c>
      <c r="F158" s="144">
        <f>VLOOKUP($A158,'Data shares'!$C:$FA,24)</f>
        <v>-22.5</v>
      </c>
      <c r="G158" s="144">
        <f>VLOOKUP($A158,'Data shares'!$C:$FA,25)</f>
        <v>-0.5</v>
      </c>
    </row>
    <row r="159" spans="1:7" x14ac:dyDescent="0.25">
      <c r="A159" s="101" t="str">
        <f>'Data Vlaue (Cr)'!C155</f>
        <v>PETRONET</v>
      </c>
      <c r="B159" s="144">
        <f>VLOOKUP($A159,'Data shares'!$C:$FA,7)</f>
        <v>275.05</v>
      </c>
      <c r="C159" s="144">
        <f>VLOOKUP($A159,'Data shares'!$C:$FA,3)</f>
        <v>275.14999999999998</v>
      </c>
      <c r="D159" s="144">
        <f>VLOOKUP($A159,'Data shares'!$C:$FA,23)</f>
        <v>0.1</v>
      </c>
      <c r="E159" s="145">
        <f>VLOOKUP($A159,'Data shares'!$C:$FA,26)*100</f>
        <v>0.04</v>
      </c>
      <c r="F159" s="144">
        <f>VLOOKUP($A159,'Data shares'!$C:$FA,24)</f>
        <v>-0.2</v>
      </c>
      <c r="G159" s="144">
        <f>VLOOKUP($A159,'Data shares'!$C:$FA,25)</f>
        <v>0.3</v>
      </c>
    </row>
    <row r="160" spans="1:7" x14ac:dyDescent="0.25">
      <c r="A160" s="101" t="str">
        <f>'Data Vlaue (Cr)'!C156</f>
        <v>PFC</v>
      </c>
      <c r="B160" s="144">
        <f>VLOOKUP($A160,'Data shares'!$C:$FA,7)</f>
        <v>364.7</v>
      </c>
      <c r="C160" s="144">
        <f>VLOOKUP($A160,'Data shares'!$C:$FA,3)</f>
        <v>364.6</v>
      </c>
      <c r="D160" s="144">
        <f>VLOOKUP($A160,'Data shares'!$C:$FA,23)</f>
        <v>-0.1</v>
      </c>
      <c r="E160" s="145">
        <f>VLOOKUP($A160,'Data shares'!$C:$FA,26)*100</f>
        <v>-0.03</v>
      </c>
      <c r="F160" s="144">
        <f>VLOOKUP($A160,'Data shares'!$C:$FA,24)</f>
        <v>-0.25</v>
      </c>
      <c r="G160" s="144">
        <f>VLOOKUP($A160,'Data shares'!$C:$FA,25)</f>
        <v>0.15</v>
      </c>
    </row>
    <row r="161" spans="1:7" x14ac:dyDescent="0.25">
      <c r="A161" s="101" t="str">
        <f>'Data Vlaue (Cr)'!C157</f>
        <v>PGEL</v>
      </c>
      <c r="B161" s="144">
        <f>VLOOKUP($A161,'Data shares'!$C:$FA,7)</f>
        <v>530.4</v>
      </c>
      <c r="C161" s="144">
        <f>VLOOKUP($A161,'Data shares'!$C:$FA,3)</f>
        <v>532.04999999999995</v>
      </c>
      <c r="D161" s="144">
        <f>VLOOKUP($A161,'Data shares'!$C:$FA,23)</f>
        <v>1.65</v>
      </c>
      <c r="E161" s="145">
        <f>VLOOKUP($A161,'Data shares'!$C:$FA,26)*100</f>
        <v>0.31</v>
      </c>
      <c r="F161" s="144">
        <f>VLOOKUP($A161,'Data shares'!$C:$FA,24)</f>
        <v>2.7</v>
      </c>
      <c r="G161" s="144">
        <f>VLOOKUP($A161,'Data shares'!$C:$FA,25)</f>
        <v>-1.05</v>
      </c>
    </row>
    <row r="162" spans="1:7" x14ac:dyDescent="0.25">
      <c r="A162" s="101" t="str">
        <f>'Data Vlaue (Cr)'!C158</f>
        <v>PHOENIXLTD</v>
      </c>
      <c r="B162" s="144">
        <f>VLOOKUP($A162,'Data shares'!$C:$FA,7)</f>
        <v>1768.2</v>
      </c>
      <c r="C162" s="144">
        <f>VLOOKUP($A162,'Data shares'!$C:$FA,3)</f>
        <v>1770.7</v>
      </c>
      <c r="D162" s="144">
        <f>VLOOKUP($A162,'Data shares'!$C:$FA,23)</f>
        <v>2.5</v>
      </c>
      <c r="E162" s="145">
        <f>VLOOKUP($A162,'Data shares'!$C:$FA,26)*100</f>
        <v>0.13999999999999999</v>
      </c>
      <c r="F162" s="144">
        <f>VLOOKUP($A162,'Data shares'!$C:$FA,24)</f>
        <v>2.7</v>
      </c>
      <c r="G162" s="144">
        <f>VLOOKUP($A162,'Data shares'!$C:$FA,25)</f>
        <v>-0.2</v>
      </c>
    </row>
    <row r="163" spans="1:7" x14ac:dyDescent="0.25">
      <c r="A163" s="101" t="str">
        <f>'Data Vlaue (Cr)'!C159</f>
        <v>PIDILITIND</v>
      </c>
      <c r="B163" s="144">
        <f>VLOOKUP($A163,'Data shares'!$C:$FA,7)</f>
        <v>1452.8</v>
      </c>
      <c r="C163" s="144">
        <f>VLOOKUP($A163,'Data shares'!$C:$FA,3)</f>
        <v>1455.2</v>
      </c>
      <c r="D163" s="144">
        <f>VLOOKUP($A163,'Data shares'!$C:$FA,23)</f>
        <v>2.4</v>
      </c>
      <c r="E163" s="145">
        <f>VLOOKUP($A163,'Data shares'!$C:$FA,26)*100</f>
        <v>0.16999999999999998</v>
      </c>
      <c r="F163" s="144">
        <f>VLOOKUP($A163,'Data shares'!$C:$FA,24)</f>
        <v>1.4</v>
      </c>
      <c r="G163" s="144">
        <f>VLOOKUP($A163,'Data shares'!$C:$FA,25)</f>
        <v>1</v>
      </c>
    </row>
    <row r="164" spans="1:7" x14ac:dyDescent="0.25">
      <c r="A164" s="101" t="str">
        <f>'Data Vlaue (Cr)'!C160</f>
        <v>PIIND</v>
      </c>
      <c r="B164" s="144">
        <f>VLOOKUP($A164,'Data shares'!$C:$FA,7)</f>
        <v>3170.4</v>
      </c>
      <c r="C164" s="144">
        <f>VLOOKUP($A164,'Data shares'!$C:$FA,3)</f>
        <v>3173.6</v>
      </c>
      <c r="D164" s="144">
        <f>VLOOKUP($A164,'Data shares'!$C:$FA,23)</f>
        <v>3.2</v>
      </c>
      <c r="E164" s="145">
        <f>VLOOKUP($A164,'Data shares'!$C:$FA,26)*100</f>
        <v>0.1</v>
      </c>
      <c r="F164" s="144">
        <f>VLOOKUP($A164,'Data shares'!$C:$FA,24)</f>
        <v>3.9</v>
      </c>
      <c r="G164" s="144">
        <f>VLOOKUP($A164,'Data shares'!$C:$FA,25)</f>
        <v>-0.7</v>
      </c>
    </row>
    <row r="165" spans="1:7" x14ac:dyDescent="0.25">
      <c r="A165" s="101" t="str">
        <f>'Data Vlaue (Cr)'!C161</f>
        <v>PNB</v>
      </c>
      <c r="B165" s="144">
        <f>VLOOKUP($A165,'Data shares'!$C:$FA,7)</f>
        <v>125.16</v>
      </c>
      <c r="C165" s="144">
        <f>VLOOKUP($A165,'Data shares'!$C:$FA,3)</f>
        <v>125.29</v>
      </c>
      <c r="D165" s="144">
        <f>VLOOKUP($A165,'Data shares'!$C:$FA,23)</f>
        <v>0.13</v>
      </c>
      <c r="E165" s="145">
        <f>VLOOKUP($A165,'Data shares'!$C:$FA,26)*100</f>
        <v>0.1</v>
      </c>
      <c r="F165" s="144">
        <f>VLOOKUP($A165,'Data shares'!$C:$FA,24)</f>
        <v>0.09</v>
      </c>
      <c r="G165" s="144">
        <f>VLOOKUP($A165,'Data shares'!$C:$FA,25)</f>
        <v>0.04</v>
      </c>
    </row>
    <row r="166" spans="1:7" x14ac:dyDescent="0.25">
      <c r="A166" s="101" t="str">
        <f>'Data Vlaue (Cr)'!C162</f>
        <v>PNBHOUSING</v>
      </c>
      <c r="B166" s="144">
        <f>VLOOKUP($A166,'Data shares'!$C:$FA,7)</f>
        <v>860.25</v>
      </c>
      <c r="C166" s="144">
        <f>VLOOKUP($A166,'Data shares'!$C:$FA,3)</f>
        <v>859.7</v>
      </c>
      <c r="D166" s="144">
        <f>VLOOKUP($A166,'Data shares'!$C:$FA,23)</f>
        <v>-0.55000000000000004</v>
      </c>
      <c r="E166" s="145">
        <f>VLOOKUP($A166,'Data shares'!$C:$FA,26)*100</f>
        <v>-0.06</v>
      </c>
      <c r="F166" s="144">
        <f>VLOOKUP($A166,'Data shares'!$C:$FA,24)</f>
        <v>1.8</v>
      </c>
      <c r="G166" s="144">
        <f>VLOOKUP($A166,'Data shares'!$C:$FA,25)</f>
        <v>-2.35</v>
      </c>
    </row>
    <row r="167" spans="1:7" x14ac:dyDescent="0.25">
      <c r="A167" s="101" t="str">
        <f>'Data Vlaue (Cr)'!C163</f>
        <v>POLICYBZR</v>
      </c>
      <c r="B167" s="144">
        <f>VLOOKUP($A167,'Data shares'!$C:$FA,7)</f>
        <v>1714.6</v>
      </c>
      <c r="C167" s="144">
        <f>VLOOKUP($A167,'Data shares'!$C:$FA,3)</f>
        <v>1713.9</v>
      </c>
      <c r="D167" s="144">
        <f>VLOOKUP($A167,'Data shares'!$C:$FA,23)</f>
        <v>-0.7</v>
      </c>
      <c r="E167" s="145">
        <f>VLOOKUP($A167,'Data shares'!$C:$FA,26)*100</f>
        <v>-0.04</v>
      </c>
      <c r="F167" s="144">
        <f>VLOOKUP($A167,'Data shares'!$C:$FA,24)</f>
        <v>-1.5</v>
      </c>
      <c r="G167" s="144">
        <f>VLOOKUP($A167,'Data shares'!$C:$FA,25)</f>
        <v>0.8</v>
      </c>
    </row>
    <row r="168" spans="1:7" s="175" customFormat="1" x14ac:dyDescent="0.25">
      <c r="A168" s="101" t="str">
        <f>'Data Vlaue (Cr)'!C164</f>
        <v>POLYCAB</v>
      </c>
      <c r="B168" s="144">
        <f>VLOOKUP($A168,'Data shares'!$C:$FA,7)</f>
        <v>6999</v>
      </c>
      <c r="C168" s="144">
        <f>VLOOKUP($A168,'Data shares'!$C:$FA,3)</f>
        <v>7014.5</v>
      </c>
      <c r="D168" s="144">
        <f>VLOOKUP($A168,'Data shares'!$C:$FA,23)</f>
        <v>15.5</v>
      </c>
      <c r="E168" s="145">
        <f>VLOOKUP($A168,'Data shares'!$C:$FA,26)*100</f>
        <v>0.22</v>
      </c>
      <c r="F168" s="144">
        <f>VLOOKUP($A168,'Data shares'!$C:$FA,24)</f>
        <v>-1.5</v>
      </c>
      <c r="G168" s="144">
        <f>VLOOKUP($A168,'Data shares'!$C:$FA,25)</f>
        <v>17</v>
      </c>
    </row>
    <row r="169" spans="1:7" x14ac:dyDescent="0.25">
      <c r="A169" s="101" t="str">
        <f>'Data Vlaue (Cr)'!C165</f>
        <v>POWERGRID</v>
      </c>
      <c r="B169" s="144">
        <f>VLOOKUP($A169,'Data shares'!$C:$FA,7)</f>
        <v>259.25</v>
      </c>
      <c r="C169" s="144">
        <f>VLOOKUP($A169,'Data shares'!$C:$FA,3)</f>
        <v>259.14999999999998</v>
      </c>
      <c r="D169" s="144">
        <f>VLOOKUP($A169,'Data shares'!$C:$FA,23)</f>
        <v>-0.1</v>
      </c>
      <c r="E169" s="145">
        <f>VLOOKUP($A169,'Data shares'!$C:$FA,26)*100</f>
        <v>-0.04</v>
      </c>
      <c r="F169" s="144">
        <f>VLOOKUP($A169,'Data shares'!$C:$FA,24)</f>
        <v>-0.15</v>
      </c>
      <c r="G169" s="144">
        <f>VLOOKUP($A169,'Data shares'!$C:$FA,25)</f>
        <v>0.05</v>
      </c>
    </row>
    <row r="170" spans="1:7" x14ac:dyDescent="0.25">
      <c r="A170" s="101" t="str">
        <f>'Data Vlaue (Cr)'!C166</f>
        <v>POWERINDIA</v>
      </c>
      <c r="B170" s="144">
        <f>VLOOKUP($A170,'Data shares'!$C:$FA,7)</f>
        <v>16847</v>
      </c>
      <c r="C170" s="144">
        <f>VLOOKUP($A170,'Data shares'!$C:$FA,3)</f>
        <v>16841</v>
      </c>
      <c r="D170" s="144">
        <f>VLOOKUP($A170,'Data shares'!$C:$FA,23)</f>
        <v>-6</v>
      </c>
      <c r="E170" s="145">
        <f>VLOOKUP($A170,'Data shares'!$C:$FA,26)*100</f>
        <v>-0.04</v>
      </c>
      <c r="F170" s="144">
        <f>VLOOKUP($A170,'Data shares'!$C:$FA,24)</f>
        <v>-4</v>
      </c>
      <c r="G170" s="144">
        <f>VLOOKUP($A170,'Data shares'!$C:$FA,25)</f>
        <v>-2</v>
      </c>
    </row>
    <row r="171" spans="1:7" x14ac:dyDescent="0.25">
      <c r="A171" s="101" t="str">
        <f>'Data Vlaue (Cr)'!C167</f>
        <v>PPLPHARMA</v>
      </c>
      <c r="B171" s="144">
        <f>VLOOKUP($A171,'Data shares'!$C:$FA,7)</f>
        <v>156.5</v>
      </c>
      <c r="C171" s="144">
        <f>VLOOKUP($A171,'Data shares'!$C:$FA,3)</f>
        <v>156.82</v>
      </c>
      <c r="D171" s="144">
        <f>VLOOKUP($A171,'Data shares'!$C:$FA,23)</f>
        <v>0.32</v>
      </c>
      <c r="E171" s="145">
        <f>VLOOKUP($A171,'Data shares'!$C:$FA,26)*100</f>
        <v>0.2</v>
      </c>
      <c r="F171" s="144">
        <f>VLOOKUP($A171,'Data shares'!$C:$FA,24)</f>
        <v>0.06</v>
      </c>
      <c r="G171" s="144">
        <f>VLOOKUP($A171,'Data shares'!$C:$FA,25)</f>
        <v>0.26</v>
      </c>
    </row>
    <row r="172" spans="1:7" x14ac:dyDescent="0.25">
      <c r="A172" s="101" t="str">
        <f>'Data Vlaue (Cr)'!C168</f>
        <v>PREMIERENE</v>
      </c>
      <c r="B172" s="144">
        <f>VLOOKUP($A172,'Data shares'!$C:$FA,7)</f>
        <v>739.75</v>
      </c>
      <c r="C172" s="144">
        <f>VLOOKUP($A172,'Data shares'!$C:$FA,3)</f>
        <v>742.5</v>
      </c>
      <c r="D172" s="144">
        <f>VLOOKUP($A172,'Data shares'!$C:$FA,23)</f>
        <v>2.75</v>
      </c>
      <c r="E172" s="145">
        <f>VLOOKUP($A172,'Data shares'!$C:$FA,26)*100</f>
        <v>0.37</v>
      </c>
      <c r="F172" s="144">
        <f>VLOOKUP($A172,'Data shares'!$C:$FA,24)</f>
        <v>2.9</v>
      </c>
      <c r="G172" s="144">
        <f>VLOOKUP($A172,'Data shares'!$C:$FA,25)</f>
        <v>-0.15</v>
      </c>
    </row>
    <row r="173" spans="1:7" x14ac:dyDescent="0.25">
      <c r="A173" s="101" t="str">
        <f>'Data Vlaue (Cr)'!C169</f>
        <v>PRESTIGE</v>
      </c>
      <c r="B173" s="144">
        <f>VLOOKUP($A173,'Data shares'!$C:$FA,7)</f>
        <v>1422.6</v>
      </c>
      <c r="C173" s="144">
        <f>VLOOKUP($A173,'Data shares'!$C:$FA,3)</f>
        <v>1422.6</v>
      </c>
      <c r="D173" s="144">
        <f>VLOOKUP($A173,'Data shares'!$C:$FA,23)</f>
        <v>0</v>
      </c>
      <c r="E173" s="145">
        <f>VLOOKUP($A173,'Data shares'!$C:$FA,26)*100</f>
        <v>0</v>
      </c>
      <c r="F173" s="144">
        <f>VLOOKUP($A173,'Data shares'!$C:$FA,24)</f>
        <v>-1</v>
      </c>
      <c r="G173" s="144">
        <f>VLOOKUP($A173,'Data shares'!$C:$FA,25)</f>
        <v>1</v>
      </c>
    </row>
    <row r="174" spans="1:7" x14ac:dyDescent="0.25">
      <c r="A174" s="101" t="str">
        <f>'Data Vlaue (Cr)'!C170</f>
        <v>RBLBANK</v>
      </c>
      <c r="B174" s="144">
        <f>VLOOKUP($A174,'Data shares'!$C:$FA,7)</f>
        <v>296.2</v>
      </c>
      <c r="C174" s="144">
        <f>VLOOKUP($A174,'Data shares'!$C:$FA,3)</f>
        <v>297</v>
      </c>
      <c r="D174" s="144">
        <f>VLOOKUP($A174,'Data shares'!$C:$FA,23)</f>
        <v>0.8</v>
      </c>
      <c r="E174" s="145">
        <f>VLOOKUP($A174,'Data shares'!$C:$FA,26)*100</f>
        <v>0.27</v>
      </c>
      <c r="F174" s="144">
        <f>VLOOKUP($A174,'Data shares'!$C:$FA,24)</f>
        <v>0.25</v>
      </c>
      <c r="G174" s="144">
        <f>VLOOKUP($A174,'Data shares'!$C:$FA,25)</f>
        <v>0.55000000000000004</v>
      </c>
    </row>
    <row r="175" spans="1:7" x14ac:dyDescent="0.25">
      <c r="A175" s="101" t="str">
        <f>'Data Vlaue (Cr)'!C171</f>
        <v>RECLTD</v>
      </c>
      <c r="B175" s="144">
        <f>VLOOKUP($A175,'Data shares'!$C:$FA,7)</f>
        <v>366.2</v>
      </c>
      <c r="C175" s="144">
        <f>VLOOKUP($A175,'Data shares'!$C:$FA,3)</f>
        <v>366</v>
      </c>
      <c r="D175" s="144">
        <f>VLOOKUP($A175,'Data shares'!$C:$FA,23)</f>
        <v>-0.2</v>
      </c>
      <c r="E175" s="145">
        <f>VLOOKUP($A175,'Data shares'!$C:$FA,26)*100</f>
        <v>-0.05</v>
      </c>
      <c r="F175" s="144">
        <f>VLOOKUP($A175,'Data shares'!$C:$FA,24)</f>
        <v>-0.3</v>
      </c>
      <c r="G175" s="144">
        <f>VLOOKUP($A175,'Data shares'!$C:$FA,25)</f>
        <v>0.1</v>
      </c>
    </row>
    <row r="176" spans="1:7" x14ac:dyDescent="0.25">
      <c r="A176" s="101" t="str">
        <f>'Data Vlaue (Cr)'!C172</f>
        <v>RELIANCE</v>
      </c>
      <c r="B176" s="144">
        <f>VLOOKUP($A176,'Data shares'!$C:$FA,7)</f>
        <v>1402.5</v>
      </c>
      <c r="C176" s="144">
        <f>VLOOKUP($A176,'Data shares'!$C:$FA,3)</f>
        <v>1405.4</v>
      </c>
      <c r="D176" s="144">
        <f>VLOOKUP($A176,'Data shares'!$C:$FA,23)</f>
        <v>2.9</v>
      </c>
      <c r="E176" s="145">
        <f>VLOOKUP($A176,'Data shares'!$C:$FA,26)*100</f>
        <v>0.21</v>
      </c>
      <c r="F176" s="144">
        <f>VLOOKUP($A176,'Data shares'!$C:$FA,24)</f>
        <v>0.7</v>
      </c>
      <c r="G176" s="144">
        <f>VLOOKUP($A176,'Data shares'!$C:$FA,25)</f>
        <v>2.2000000000000002</v>
      </c>
    </row>
    <row r="177" spans="1:7" x14ac:dyDescent="0.25">
      <c r="A177" s="101" t="str">
        <f>'Data Vlaue (Cr)'!C173</f>
        <v>RVNL</v>
      </c>
      <c r="B177" s="144">
        <f>VLOOKUP($A177,'Data shares'!$C:$FA,7)</f>
        <v>329</v>
      </c>
      <c r="C177" s="144">
        <f>VLOOKUP($A177,'Data shares'!$C:$FA,3)</f>
        <v>329.75</v>
      </c>
      <c r="D177" s="144">
        <f>VLOOKUP($A177,'Data shares'!$C:$FA,23)</f>
        <v>0.75</v>
      </c>
      <c r="E177" s="145">
        <f>VLOOKUP($A177,'Data shares'!$C:$FA,26)*100</f>
        <v>0.22999999999999998</v>
      </c>
      <c r="F177" s="144">
        <f>VLOOKUP($A177,'Data shares'!$C:$FA,24)</f>
        <v>0</v>
      </c>
      <c r="G177" s="144">
        <f>VLOOKUP($A177,'Data shares'!$C:$FA,25)</f>
        <v>0.75</v>
      </c>
    </row>
    <row r="178" spans="1:7" x14ac:dyDescent="0.25">
      <c r="A178" s="101" t="str">
        <f>'Data Vlaue (Cr)'!C174</f>
        <v>SAIL</v>
      </c>
      <c r="B178" s="144">
        <f>VLOOKUP($A178,'Data shares'!$C:$FA,7)</f>
        <v>151.65</v>
      </c>
      <c r="C178" s="144">
        <f>VLOOKUP($A178,'Data shares'!$C:$FA,3)</f>
        <v>152.09</v>
      </c>
      <c r="D178" s="144">
        <f>VLOOKUP($A178,'Data shares'!$C:$FA,23)</f>
        <v>0.44</v>
      </c>
      <c r="E178" s="145">
        <f>VLOOKUP($A178,'Data shares'!$C:$FA,26)*100</f>
        <v>0.28999999999999998</v>
      </c>
      <c r="F178" s="144">
        <f>VLOOKUP($A178,'Data shares'!$C:$FA,24)</f>
        <v>-0.06</v>
      </c>
      <c r="G178" s="144">
        <f>VLOOKUP($A178,'Data shares'!$C:$FA,25)</f>
        <v>0.5</v>
      </c>
    </row>
    <row r="179" spans="1:7" x14ac:dyDescent="0.25">
      <c r="A179" s="101" t="str">
        <f>'Data Vlaue (Cr)'!C175</f>
        <v>SAMMAANCAP</v>
      </c>
      <c r="B179" s="144">
        <f>VLOOKUP($A179,'Data shares'!$C:$FA,7)</f>
        <v>139.97</v>
      </c>
      <c r="C179" s="144">
        <f>VLOOKUP($A179,'Data shares'!$C:$FA,3)</f>
        <v>140.81</v>
      </c>
      <c r="D179" s="144">
        <f>VLOOKUP($A179,'Data shares'!$C:$FA,23)</f>
        <v>0.84</v>
      </c>
      <c r="E179" s="145">
        <f>VLOOKUP($A179,'Data shares'!$C:$FA,26)*100</f>
        <v>0.6</v>
      </c>
      <c r="F179" s="144">
        <f>VLOOKUP($A179,'Data shares'!$C:$FA,24)</f>
        <v>-0.13</v>
      </c>
      <c r="G179" s="144">
        <f>VLOOKUP($A179,'Data shares'!$C:$FA,25)</f>
        <v>0.97</v>
      </c>
    </row>
    <row r="180" spans="1:7" x14ac:dyDescent="0.25">
      <c r="A180" s="101" t="str">
        <f>'Data Vlaue (Cr)'!C176</f>
        <v>SBICARD</v>
      </c>
      <c r="B180" s="144">
        <f>VLOOKUP($A180,'Data shares'!$C:$FA,7)</f>
        <v>789.1</v>
      </c>
      <c r="C180" s="144">
        <f>VLOOKUP($A180,'Data shares'!$C:$FA,3)</f>
        <v>792.05</v>
      </c>
      <c r="D180" s="144">
        <f>VLOOKUP($A180,'Data shares'!$C:$FA,23)</f>
        <v>2.95</v>
      </c>
      <c r="E180" s="145">
        <f>VLOOKUP($A180,'Data shares'!$C:$FA,26)*100</f>
        <v>0.37</v>
      </c>
      <c r="F180" s="144">
        <f>VLOOKUP($A180,'Data shares'!$C:$FA,24)</f>
        <v>2.9</v>
      </c>
      <c r="G180" s="144">
        <f>VLOOKUP($A180,'Data shares'!$C:$FA,25)</f>
        <v>0.05</v>
      </c>
    </row>
    <row r="181" spans="1:7" x14ac:dyDescent="0.25">
      <c r="A181" s="101" t="str">
        <f>'Data Vlaue (Cr)'!C177</f>
        <v>SBILIFE</v>
      </c>
      <c r="B181" s="144">
        <f>VLOOKUP($A181,'Data shares'!$C:$FA,7)</f>
        <v>2022</v>
      </c>
      <c r="C181" s="144">
        <f>VLOOKUP($A181,'Data shares'!$C:$FA,3)</f>
        <v>2027.2</v>
      </c>
      <c r="D181" s="144">
        <f>VLOOKUP($A181,'Data shares'!$C:$FA,23)</f>
        <v>5.2</v>
      </c>
      <c r="E181" s="145">
        <f>VLOOKUP($A181,'Data shares'!$C:$FA,26)*100</f>
        <v>0.26</v>
      </c>
      <c r="F181" s="144">
        <f>VLOOKUP($A181,'Data shares'!$C:$FA,24)</f>
        <v>-2.2999999999999998</v>
      </c>
      <c r="G181" s="144">
        <f>VLOOKUP($A181,'Data shares'!$C:$FA,25)</f>
        <v>7.5</v>
      </c>
    </row>
    <row r="182" spans="1:7" x14ac:dyDescent="0.25">
      <c r="A182" s="101" t="str">
        <f>'Data Vlaue (Cr)'!C178</f>
        <v>SBIN</v>
      </c>
      <c r="B182" s="144">
        <f>VLOOKUP($A182,'Data shares'!$C:$FA,7)</f>
        <v>1048.3499999999999</v>
      </c>
      <c r="C182" s="144">
        <f>VLOOKUP($A182,'Data shares'!$C:$FA,3)</f>
        <v>1047.25</v>
      </c>
      <c r="D182" s="144">
        <f>VLOOKUP($A182,'Data shares'!$C:$FA,23)</f>
        <v>-1.1000000000000001</v>
      </c>
      <c r="E182" s="145">
        <f>VLOOKUP($A182,'Data shares'!$C:$FA,26)*100</f>
        <v>-0.1</v>
      </c>
      <c r="F182" s="144">
        <f>VLOOKUP($A182,'Data shares'!$C:$FA,24)</f>
        <v>1.6</v>
      </c>
      <c r="G182" s="144">
        <f>VLOOKUP($A182,'Data shares'!$C:$FA,25)</f>
        <v>-2.7</v>
      </c>
    </row>
    <row r="183" spans="1:7" x14ac:dyDescent="0.25">
      <c r="A183" s="101" t="str">
        <f>'Data Vlaue (Cr)'!C179</f>
        <v>SHREECEM</v>
      </c>
      <c r="B183" s="144">
        <f>VLOOKUP($A183,'Data shares'!$C:$FA,7)</f>
        <v>27430</v>
      </c>
      <c r="C183" s="144">
        <f>VLOOKUP($A183,'Data shares'!$C:$FA,3)</f>
        <v>27525</v>
      </c>
      <c r="D183" s="144">
        <f>VLOOKUP($A183,'Data shares'!$C:$FA,23)</f>
        <v>95</v>
      </c>
      <c r="E183" s="145">
        <f>VLOOKUP($A183,'Data shares'!$C:$FA,26)*100</f>
        <v>0.35000000000000003</v>
      </c>
      <c r="F183" s="144">
        <f>VLOOKUP($A183,'Data shares'!$C:$FA,24)</f>
        <v>70</v>
      </c>
      <c r="G183" s="144">
        <f>VLOOKUP($A183,'Data shares'!$C:$FA,25)</f>
        <v>25</v>
      </c>
    </row>
    <row r="184" spans="1:7" x14ac:dyDescent="0.25">
      <c r="A184" s="101" t="str">
        <f>'Data Vlaue (Cr)'!C180</f>
        <v>SHRIRAMFIN</v>
      </c>
      <c r="B184" s="144">
        <f>VLOOKUP($A184,'Data shares'!$C:$FA,7)</f>
        <v>1005.5</v>
      </c>
      <c r="C184" s="144">
        <f>VLOOKUP($A184,'Data shares'!$C:$FA,3)</f>
        <v>1005.15</v>
      </c>
      <c r="D184" s="144">
        <f>VLOOKUP($A184,'Data shares'!$C:$FA,23)</f>
        <v>-0.35</v>
      </c>
      <c r="E184" s="145">
        <f>VLOOKUP($A184,'Data shares'!$C:$FA,26)*100</f>
        <v>-0.03</v>
      </c>
      <c r="F184" s="144">
        <f>VLOOKUP($A184,'Data shares'!$C:$FA,24)</f>
        <v>-0.3</v>
      </c>
      <c r="G184" s="144">
        <f>VLOOKUP($A184,'Data shares'!$C:$FA,25)</f>
        <v>-0.05</v>
      </c>
    </row>
    <row r="185" spans="1:7" x14ac:dyDescent="0.25">
      <c r="A185" s="101" t="str">
        <f>'Data Vlaue (Cr)'!C181</f>
        <v>SIEMENS</v>
      </c>
      <c r="B185" s="144">
        <f>VLOOKUP($A185,'Data shares'!$C:$FA,7)</f>
        <v>2928.2</v>
      </c>
      <c r="C185" s="144">
        <f>VLOOKUP($A185,'Data shares'!$C:$FA,3)</f>
        <v>2931.2</v>
      </c>
      <c r="D185" s="144">
        <f>VLOOKUP($A185,'Data shares'!$C:$FA,23)</f>
        <v>3</v>
      </c>
      <c r="E185" s="145">
        <f>VLOOKUP($A185,'Data shares'!$C:$FA,26)*100</f>
        <v>0.1</v>
      </c>
      <c r="F185" s="144">
        <f>VLOOKUP($A185,'Data shares'!$C:$FA,24)</f>
        <v>0.5</v>
      </c>
      <c r="G185" s="144">
        <f>VLOOKUP($A185,'Data shares'!$C:$FA,25)</f>
        <v>2.5</v>
      </c>
    </row>
    <row r="186" spans="1:7" x14ac:dyDescent="0.25">
      <c r="A186" s="101" t="str">
        <f>'Data Vlaue (Cr)'!C182</f>
        <v>SOLARINDS</v>
      </c>
      <c r="B186" s="144">
        <f>VLOOKUP($A186,'Data shares'!$C:$FA,7)</f>
        <v>12901</v>
      </c>
      <c r="C186" s="144">
        <f>VLOOKUP($A186,'Data shares'!$C:$FA,3)</f>
        <v>12886</v>
      </c>
      <c r="D186" s="144">
        <f>VLOOKUP($A186,'Data shares'!$C:$FA,23)</f>
        <v>-15</v>
      </c>
      <c r="E186" s="145">
        <f>VLOOKUP($A186,'Data shares'!$C:$FA,26)*100</f>
        <v>-0.12</v>
      </c>
      <c r="F186" s="144">
        <f>VLOOKUP($A186,'Data shares'!$C:$FA,24)</f>
        <v>-7</v>
      </c>
      <c r="G186" s="144">
        <f>VLOOKUP($A186,'Data shares'!$C:$FA,25)</f>
        <v>-8</v>
      </c>
    </row>
    <row r="187" spans="1:7" x14ac:dyDescent="0.25">
      <c r="A187" s="101" t="str">
        <f>'Data Vlaue (Cr)'!C183</f>
        <v>SONACOMS</v>
      </c>
      <c r="B187" s="144">
        <f>VLOOKUP($A187,'Data shares'!$C:$FA,7)</f>
        <v>469.1</v>
      </c>
      <c r="C187" s="144">
        <f>VLOOKUP($A187,'Data shares'!$C:$FA,3)</f>
        <v>469.75</v>
      </c>
      <c r="D187" s="144">
        <f>VLOOKUP($A187,'Data shares'!$C:$FA,23)</f>
        <v>0.65</v>
      </c>
      <c r="E187" s="145">
        <f>VLOOKUP($A187,'Data shares'!$C:$FA,26)*100</f>
        <v>0.13999999999999999</v>
      </c>
      <c r="F187" s="144">
        <f>VLOOKUP($A187,'Data shares'!$C:$FA,24)</f>
        <v>-0.5</v>
      </c>
      <c r="G187" s="144">
        <f>VLOOKUP($A187,'Data shares'!$C:$FA,25)</f>
        <v>1.1499999999999999</v>
      </c>
    </row>
    <row r="188" spans="1:7" x14ac:dyDescent="0.25">
      <c r="A188" s="101" t="str">
        <f>'Data Vlaue (Cr)'!C184</f>
        <v>SRF</v>
      </c>
      <c r="B188" s="144">
        <f>VLOOKUP($A188,'Data shares'!$C:$FA,7)</f>
        <v>2735.9</v>
      </c>
      <c r="C188" s="144">
        <f>VLOOKUP($A188,'Data shares'!$C:$FA,3)</f>
        <v>2729.6</v>
      </c>
      <c r="D188" s="144">
        <f>VLOOKUP($A188,'Data shares'!$C:$FA,23)</f>
        <v>-6.3</v>
      </c>
      <c r="E188" s="145">
        <f>VLOOKUP($A188,'Data shares'!$C:$FA,26)*100</f>
        <v>-0.22999999999999998</v>
      </c>
      <c r="F188" s="144">
        <f>VLOOKUP($A188,'Data shares'!$C:$FA,24)</f>
        <v>3.4</v>
      </c>
      <c r="G188" s="144">
        <f>VLOOKUP($A188,'Data shares'!$C:$FA,25)</f>
        <v>-9.6999999999999993</v>
      </c>
    </row>
    <row r="189" spans="1:7" x14ac:dyDescent="0.25">
      <c r="A189" s="101" t="str">
        <f>'Data Vlaue (Cr)'!C185</f>
        <v>SUNPHARMA</v>
      </c>
      <c r="B189" s="144">
        <f>VLOOKUP($A189,'Data shares'!$C:$FA,7)</f>
        <v>1634.2</v>
      </c>
      <c r="C189" s="144">
        <f>VLOOKUP($A189,'Data shares'!$C:$FA,3)</f>
        <v>1635.4</v>
      </c>
      <c r="D189" s="144">
        <f>VLOOKUP($A189,'Data shares'!$C:$FA,23)</f>
        <v>1.2</v>
      </c>
      <c r="E189" s="145">
        <f>VLOOKUP($A189,'Data shares'!$C:$FA,26)*100</f>
        <v>6.9999999999999993E-2</v>
      </c>
      <c r="F189" s="144">
        <f>VLOOKUP($A189,'Data shares'!$C:$FA,24)</f>
        <v>3.5</v>
      </c>
      <c r="G189" s="144">
        <f>VLOOKUP($A189,'Data shares'!$C:$FA,25)</f>
        <v>-2.2999999999999998</v>
      </c>
    </row>
    <row r="190" spans="1:7" x14ac:dyDescent="0.25">
      <c r="A190" s="101" t="str">
        <f>'Data Vlaue (Cr)'!C186</f>
        <v>SUPREMEIND</v>
      </c>
      <c r="B190" s="144">
        <f>VLOOKUP($A190,'Data shares'!$C:$FA,7)</f>
        <v>3487.8</v>
      </c>
      <c r="C190" s="144">
        <f>VLOOKUP($A190,'Data shares'!$C:$FA,3)</f>
        <v>3487.1</v>
      </c>
      <c r="D190" s="144">
        <f>VLOOKUP($A190,'Data shares'!$C:$FA,23)</f>
        <v>-0.7</v>
      </c>
      <c r="E190" s="145">
        <f>VLOOKUP($A190,'Data shares'!$C:$FA,26)*100</f>
        <v>-0.02</v>
      </c>
      <c r="F190" s="144">
        <f>VLOOKUP($A190,'Data shares'!$C:$FA,24)</f>
        <v>1.1000000000000001</v>
      </c>
      <c r="G190" s="144">
        <f>VLOOKUP($A190,'Data shares'!$C:$FA,25)</f>
        <v>-1.8</v>
      </c>
    </row>
    <row r="191" spans="1:7" x14ac:dyDescent="0.25">
      <c r="A191" s="101" t="str">
        <f>'Data Vlaue (Cr)'!C187</f>
        <v>SUZLON</v>
      </c>
      <c r="B191" s="144">
        <f>VLOOKUP($A191,'Data shares'!$C:$FA,7)</f>
        <v>46.99</v>
      </c>
      <c r="C191" s="144">
        <f>VLOOKUP($A191,'Data shares'!$C:$FA,3)</f>
        <v>47.01</v>
      </c>
      <c r="D191" s="144">
        <f>VLOOKUP($A191,'Data shares'!$C:$FA,23)</f>
        <v>0.02</v>
      </c>
      <c r="E191" s="145">
        <f>VLOOKUP($A191,'Data shares'!$C:$FA,26)*100</f>
        <v>0.04</v>
      </c>
      <c r="F191" s="144">
        <f>VLOOKUP($A191,'Data shares'!$C:$FA,24)</f>
        <v>0.12</v>
      </c>
      <c r="G191" s="144">
        <f>VLOOKUP($A191,'Data shares'!$C:$FA,25)</f>
        <v>-0.1</v>
      </c>
    </row>
    <row r="192" spans="1:7" x14ac:dyDescent="0.25">
      <c r="A192" s="101" t="str">
        <f>'Data Vlaue (Cr)'!C188</f>
        <v>SWIGGY</v>
      </c>
      <c r="B192" s="144">
        <f>VLOOKUP($A192,'Data shares'!$C:$FA,7)</f>
        <v>320.3</v>
      </c>
      <c r="C192" s="144">
        <f>VLOOKUP($A192,'Data shares'!$C:$FA,3)</f>
        <v>319.8</v>
      </c>
      <c r="D192" s="144">
        <f>VLOOKUP($A192,'Data shares'!$C:$FA,23)</f>
        <v>-0.5</v>
      </c>
      <c r="E192" s="145">
        <f>VLOOKUP($A192,'Data shares'!$C:$FA,26)*100</f>
        <v>-0.16</v>
      </c>
      <c r="F192" s="144">
        <f>VLOOKUP($A192,'Data shares'!$C:$FA,24)</f>
        <v>1.7</v>
      </c>
      <c r="G192" s="144">
        <f>VLOOKUP($A192,'Data shares'!$C:$FA,25)</f>
        <v>-2.2000000000000002</v>
      </c>
    </row>
    <row r="193" spans="1:7" x14ac:dyDescent="0.25">
      <c r="A193" s="101" t="str">
        <f>'Data Vlaue (Cr)'!C189</f>
        <v>SYNGENE</v>
      </c>
      <c r="B193" s="144">
        <f>VLOOKUP($A193,'Data shares'!$C:$FA,7)</f>
        <v>592.6</v>
      </c>
      <c r="C193" s="144">
        <f>VLOOKUP($A193,'Data shares'!$C:$FA,3)</f>
        <v>591.35</v>
      </c>
      <c r="D193" s="144">
        <f>VLOOKUP($A193,'Data shares'!$C:$FA,23)</f>
        <v>-1.25</v>
      </c>
      <c r="E193" s="145">
        <f>VLOOKUP($A193,'Data shares'!$C:$FA,26)*100</f>
        <v>-0.21</v>
      </c>
      <c r="F193" s="144">
        <f>VLOOKUP($A193,'Data shares'!$C:$FA,24)</f>
        <v>0.7</v>
      </c>
      <c r="G193" s="144">
        <f>VLOOKUP($A193,'Data shares'!$C:$FA,25)</f>
        <v>-1.95</v>
      </c>
    </row>
    <row r="194" spans="1:7" x14ac:dyDescent="0.25">
      <c r="A194" s="101" t="str">
        <f>'Data Vlaue (Cr)'!C190</f>
        <v>TATACONSUM</v>
      </c>
      <c r="B194" s="144">
        <f>VLOOKUP($A194,'Data shares'!$C:$FA,7)</f>
        <v>1175.2</v>
      </c>
      <c r="C194" s="144">
        <f>VLOOKUP($A194,'Data shares'!$C:$FA,3)</f>
        <v>1177.8</v>
      </c>
      <c r="D194" s="144">
        <f>VLOOKUP($A194,'Data shares'!$C:$FA,23)</f>
        <v>2.6</v>
      </c>
      <c r="E194" s="145">
        <f>VLOOKUP($A194,'Data shares'!$C:$FA,26)*100</f>
        <v>0.22</v>
      </c>
      <c r="F194" s="144">
        <f>VLOOKUP($A194,'Data shares'!$C:$FA,24)</f>
        <v>1</v>
      </c>
      <c r="G194" s="144">
        <f>VLOOKUP($A194,'Data shares'!$C:$FA,25)</f>
        <v>1.6</v>
      </c>
    </row>
    <row r="195" spans="1:7" x14ac:dyDescent="0.25">
      <c r="A195" s="101" t="str">
        <f>'Data Vlaue (Cr)'!C191</f>
        <v>TATAELXSI</v>
      </c>
      <c r="B195" s="144">
        <f>VLOOKUP($A195,'Data shares'!$C:$FA,7)</f>
        <v>5464</v>
      </c>
      <c r="C195" s="144">
        <f>VLOOKUP($A195,'Data shares'!$C:$FA,3)</f>
        <v>5462</v>
      </c>
      <c r="D195" s="144">
        <f>VLOOKUP($A195,'Data shares'!$C:$FA,23)</f>
        <v>-2</v>
      </c>
      <c r="E195" s="145">
        <f>VLOOKUP($A195,'Data shares'!$C:$FA,26)*100</f>
        <v>-0.04</v>
      </c>
      <c r="F195" s="144">
        <f>VLOOKUP($A195,'Data shares'!$C:$FA,24)</f>
        <v>-5.5</v>
      </c>
      <c r="G195" s="144">
        <f>VLOOKUP($A195,'Data shares'!$C:$FA,25)</f>
        <v>3.5</v>
      </c>
    </row>
    <row r="196" spans="1:7" x14ac:dyDescent="0.25">
      <c r="A196" s="101" t="str">
        <f>'Data Vlaue (Cr)'!C192</f>
        <v>TATAPOWER</v>
      </c>
      <c r="B196" s="144">
        <f>VLOOKUP($A196,'Data shares'!$C:$FA,7)</f>
        <v>353.3</v>
      </c>
      <c r="C196" s="144">
        <f>VLOOKUP($A196,'Data shares'!$C:$FA,3)</f>
        <v>353.5</v>
      </c>
      <c r="D196" s="144">
        <f>VLOOKUP($A196,'Data shares'!$C:$FA,23)</f>
        <v>0.2</v>
      </c>
      <c r="E196" s="145">
        <f>VLOOKUP($A196,'Data shares'!$C:$FA,26)*100</f>
        <v>0.06</v>
      </c>
      <c r="F196" s="144">
        <f>VLOOKUP($A196,'Data shares'!$C:$FA,24)</f>
        <v>0.8</v>
      </c>
      <c r="G196" s="144">
        <f>VLOOKUP($A196,'Data shares'!$C:$FA,25)</f>
        <v>-0.6</v>
      </c>
    </row>
    <row r="197" spans="1:7" x14ac:dyDescent="0.25">
      <c r="A197" s="101" t="str">
        <f>'Data Vlaue (Cr)'!C193</f>
        <v>TATASTEEL</v>
      </c>
      <c r="B197" s="144">
        <f>VLOOKUP($A197,'Data shares'!$C:$FA,7)</f>
        <v>189.1</v>
      </c>
      <c r="C197" s="144">
        <f>VLOOKUP($A197,'Data shares'!$C:$FA,3)</f>
        <v>189.15</v>
      </c>
      <c r="D197" s="144">
        <f>VLOOKUP($A197,'Data shares'!$C:$FA,23)</f>
        <v>0.05</v>
      </c>
      <c r="E197" s="145">
        <f>VLOOKUP($A197,'Data shares'!$C:$FA,26)*100</f>
        <v>0.03</v>
      </c>
      <c r="F197" s="144">
        <f>VLOOKUP($A197,'Data shares'!$C:$FA,24)</f>
        <v>0.15</v>
      </c>
      <c r="G197" s="144">
        <f>VLOOKUP($A197,'Data shares'!$C:$FA,25)</f>
        <v>-0.1</v>
      </c>
    </row>
    <row r="198" spans="1:7" x14ac:dyDescent="0.25">
      <c r="A198" s="101" t="str">
        <f>'Data Vlaue (Cr)'!C194</f>
        <v>TATATECH</v>
      </c>
      <c r="B198" s="144">
        <f>VLOOKUP($A198,'Data shares'!$C:$FA,7)</f>
        <v>652.15</v>
      </c>
      <c r="C198" s="144">
        <f>VLOOKUP($A198,'Data shares'!$C:$FA,3)</f>
        <v>654.20000000000005</v>
      </c>
      <c r="D198" s="144">
        <f>VLOOKUP($A198,'Data shares'!$C:$FA,23)</f>
        <v>2.0499999999999998</v>
      </c>
      <c r="E198" s="145">
        <f>VLOOKUP($A198,'Data shares'!$C:$FA,26)*100</f>
        <v>0.31</v>
      </c>
      <c r="F198" s="144">
        <f>VLOOKUP($A198,'Data shares'!$C:$FA,24)</f>
        <v>2.25</v>
      </c>
      <c r="G198" s="144">
        <f>VLOOKUP($A198,'Data shares'!$C:$FA,25)</f>
        <v>-0.2</v>
      </c>
    </row>
    <row r="199" spans="1:7" x14ac:dyDescent="0.25">
      <c r="A199" s="101" t="str">
        <f>'Data Vlaue (Cr)'!C195</f>
        <v>TCS</v>
      </c>
      <c r="B199" s="144">
        <f>VLOOKUP($A199,'Data shares'!$C:$FA,7)</f>
        <v>3150.4</v>
      </c>
      <c r="C199" s="144">
        <f>VLOOKUP($A199,'Data shares'!$C:$FA,3)</f>
        <v>3152.7</v>
      </c>
      <c r="D199" s="144">
        <f>VLOOKUP($A199,'Data shares'!$C:$FA,23)</f>
        <v>2.2999999999999998</v>
      </c>
      <c r="E199" s="145">
        <f>VLOOKUP($A199,'Data shares'!$C:$FA,26)*100</f>
        <v>6.9999999999999993E-2</v>
      </c>
      <c r="F199" s="144">
        <f>VLOOKUP($A199,'Data shares'!$C:$FA,24)</f>
        <v>2.6</v>
      </c>
      <c r="G199" s="144">
        <f>VLOOKUP($A199,'Data shares'!$C:$FA,25)</f>
        <v>-0.3</v>
      </c>
    </row>
    <row r="200" spans="1:7" x14ac:dyDescent="0.25">
      <c r="A200" s="101" t="str">
        <f>'Data Vlaue (Cr)'!C196</f>
        <v>TECHM</v>
      </c>
      <c r="B200" s="144">
        <f>VLOOKUP($A200,'Data shares'!$C:$FA,7)</f>
        <v>1687.4</v>
      </c>
      <c r="C200" s="144">
        <f>VLOOKUP($A200,'Data shares'!$C:$FA,3)</f>
        <v>1690.4</v>
      </c>
      <c r="D200" s="144">
        <f>VLOOKUP($A200,'Data shares'!$C:$FA,23)</f>
        <v>3</v>
      </c>
      <c r="E200" s="145">
        <f>VLOOKUP($A200,'Data shares'!$C:$FA,26)*100</f>
        <v>0.18</v>
      </c>
      <c r="F200" s="144">
        <f>VLOOKUP($A200,'Data shares'!$C:$FA,24)</f>
        <v>1</v>
      </c>
      <c r="G200" s="144">
        <f>VLOOKUP($A200,'Data shares'!$C:$FA,25)</f>
        <v>2</v>
      </c>
    </row>
    <row r="201" spans="1:7" x14ac:dyDescent="0.25">
      <c r="A201" s="101" t="str">
        <f>'Data Vlaue (Cr)'!C197</f>
        <v>TIINDIA</v>
      </c>
      <c r="B201" s="144">
        <f>VLOOKUP($A201,'Data shares'!$C:$FA,7)</f>
        <v>2296.8000000000002</v>
      </c>
      <c r="C201" s="144">
        <f>VLOOKUP($A201,'Data shares'!$C:$FA,3)</f>
        <v>2302.1999999999998</v>
      </c>
      <c r="D201" s="144">
        <f>VLOOKUP($A201,'Data shares'!$C:$FA,23)</f>
        <v>5.4</v>
      </c>
      <c r="E201" s="145">
        <f>VLOOKUP($A201,'Data shares'!$C:$FA,26)*100</f>
        <v>0.24</v>
      </c>
      <c r="F201" s="144">
        <f>VLOOKUP($A201,'Data shares'!$C:$FA,24)</f>
        <v>1.1000000000000001</v>
      </c>
      <c r="G201" s="144">
        <f>VLOOKUP($A201,'Data shares'!$C:$FA,25)</f>
        <v>4.3</v>
      </c>
    </row>
    <row r="202" spans="1:7" x14ac:dyDescent="0.25">
      <c r="A202" s="101" t="str">
        <f>'Data Vlaue (Cr)'!C198</f>
        <v>TITAN</v>
      </c>
      <c r="B202" s="144">
        <f>VLOOKUP($A202,'Data shares'!$C:$FA,7)</f>
        <v>4018.6</v>
      </c>
      <c r="C202" s="144">
        <f>VLOOKUP($A202,'Data shares'!$C:$FA,3)</f>
        <v>4015.9</v>
      </c>
      <c r="D202" s="144">
        <f>VLOOKUP($A202,'Data shares'!$C:$FA,23)</f>
        <v>-2.7</v>
      </c>
      <c r="E202" s="145">
        <f>VLOOKUP($A202,'Data shares'!$C:$FA,26)*100</f>
        <v>-6.9999999999999993E-2</v>
      </c>
      <c r="F202" s="144">
        <f>VLOOKUP($A202,'Data shares'!$C:$FA,24)</f>
        <v>-3.2</v>
      </c>
      <c r="G202" s="144">
        <f>VLOOKUP($A202,'Data shares'!$C:$FA,25)</f>
        <v>0.5</v>
      </c>
    </row>
    <row r="203" spans="1:7" x14ac:dyDescent="0.25">
      <c r="A203" s="101" t="str">
        <f>'Data Vlaue (Cr)'!C199</f>
        <v>TMPV</v>
      </c>
      <c r="B203" s="144">
        <f>VLOOKUP($A203,'Data shares'!$C:$FA,7)</f>
        <v>347.3</v>
      </c>
      <c r="C203" s="144">
        <f>VLOOKUP($A203,'Data shares'!$C:$FA,3)</f>
        <v>348.3</v>
      </c>
      <c r="D203" s="144">
        <f>VLOOKUP($A203,'Data shares'!$C:$FA,23)</f>
        <v>1</v>
      </c>
      <c r="E203" s="145">
        <f>VLOOKUP($A203,'Data shares'!$C:$FA,26)*100</f>
        <v>0.28999999999999998</v>
      </c>
      <c r="F203" s="144">
        <f>VLOOKUP($A203,'Data shares'!$C:$FA,24)</f>
        <v>-0.15</v>
      </c>
      <c r="G203" s="144">
        <f>VLOOKUP($A203,'Data shares'!$C:$FA,25)</f>
        <v>1.1499999999999999</v>
      </c>
    </row>
    <row r="204" spans="1:7" x14ac:dyDescent="0.25">
      <c r="A204" s="101" t="str">
        <f>'Data Vlaue (Cr)'!C200</f>
        <v>TORNTPHARM</v>
      </c>
      <c r="B204" s="144">
        <f>VLOOKUP($A204,'Data shares'!$C:$FA,7)</f>
        <v>4020.5</v>
      </c>
      <c r="C204" s="144">
        <f>VLOOKUP($A204,'Data shares'!$C:$FA,3)</f>
        <v>4019.7</v>
      </c>
      <c r="D204" s="144">
        <f>VLOOKUP($A204,'Data shares'!$C:$FA,23)</f>
        <v>-0.8</v>
      </c>
      <c r="E204" s="145">
        <f>VLOOKUP($A204,'Data shares'!$C:$FA,26)*100</f>
        <v>-0.02</v>
      </c>
      <c r="F204" s="144">
        <f>VLOOKUP($A204,'Data shares'!$C:$FA,24)</f>
        <v>-4.5</v>
      </c>
      <c r="G204" s="144">
        <f>VLOOKUP($A204,'Data shares'!$C:$FA,25)</f>
        <v>3.7</v>
      </c>
    </row>
    <row r="205" spans="1:7" x14ac:dyDescent="0.25">
      <c r="A205" s="101" t="str">
        <f>'Data Vlaue (Cr)'!C201</f>
        <v>TORNTPOWER</v>
      </c>
      <c r="B205" s="144">
        <f>VLOOKUP($A205,'Data shares'!$C:$FA,7)</f>
        <v>1321.4</v>
      </c>
      <c r="C205" s="144">
        <f>VLOOKUP($A205,'Data shares'!$C:$FA,3)</f>
        <v>1322.1</v>
      </c>
      <c r="D205" s="144">
        <f>VLOOKUP($A205,'Data shares'!$C:$FA,23)</f>
        <v>0.7</v>
      </c>
      <c r="E205" s="145">
        <f>VLOOKUP($A205,'Data shares'!$C:$FA,26)*100</f>
        <v>0.05</v>
      </c>
      <c r="F205" s="144">
        <f>VLOOKUP($A205,'Data shares'!$C:$FA,24)</f>
        <v>3.1</v>
      </c>
      <c r="G205" s="144">
        <f>VLOOKUP($A205,'Data shares'!$C:$FA,25)</f>
        <v>-2.4</v>
      </c>
    </row>
    <row r="206" spans="1:7" x14ac:dyDescent="0.25">
      <c r="A206" s="101" t="str">
        <f>'Data Vlaue (Cr)'!C202</f>
        <v>TRENT</v>
      </c>
      <c r="B206" s="144">
        <f>VLOOKUP($A206,'Data shares'!$C:$FA,7)</f>
        <v>3803.8</v>
      </c>
      <c r="C206" s="144">
        <f>VLOOKUP($A206,'Data shares'!$C:$FA,3)</f>
        <v>3810.1</v>
      </c>
      <c r="D206" s="144">
        <f>VLOOKUP($A206,'Data shares'!$C:$FA,23)</f>
        <v>6.3</v>
      </c>
      <c r="E206" s="145">
        <f>VLOOKUP($A206,'Data shares'!$C:$FA,26)*100</f>
        <v>0.16999999999999998</v>
      </c>
      <c r="F206" s="144">
        <f>VLOOKUP($A206,'Data shares'!$C:$FA,24)</f>
        <v>4.4000000000000004</v>
      </c>
      <c r="G206" s="144">
        <f>VLOOKUP($A206,'Data shares'!$C:$FA,25)</f>
        <v>1.9</v>
      </c>
    </row>
    <row r="207" spans="1:7" x14ac:dyDescent="0.25">
      <c r="A207" s="101" t="str">
        <f>'Data Vlaue (Cr)'!C203</f>
        <v>TVSMOTOR</v>
      </c>
      <c r="B207" s="144">
        <f>VLOOKUP($A207,'Data shares'!$C:$FA,7)</f>
        <v>3570.1</v>
      </c>
      <c r="C207" s="144">
        <f>VLOOKUP($A207,'Data shares'!$C:$FA,3)</f>
        <v>3567.8</v>
      </c>
      <c r="D207" s="144">
        <f>VLOOKUP($A207,'Data shares'!$C:$FA,23)</f>
        <v>-2.2999999999999998</v>
      </c>
      <c r="E207" s="145">
        <f>VLOOKUP($A207,'Data shares'!$C:$FA,26)*100</f>
        <v>-0.06</v>
      </c>
      <c r="F207" s="144">
        <f>VLOOKUP($A207,'Data shares'!$C:$FA,24)</f>
        <v>0.4</v>
      </c>
      <c r="G207" s="144">
        <f>VLOOKUP($A207,'Data shares'!$C:$FA,25)</f>
        <v>-2.7</v>
      </c>
    </row>
    <row r="208" spans="1:7" x14ac:dyDescent="0.25">
      <c r="A208" s="101" t="str">
        <f>'Data Vlaue (Cr)'!C204</f>
        <v>ULTRACEMCO</v>
      </c>
      <c r="B208" s="144">
        <f>VLOOKUP($A208,'Data shares'!$C:$FA,7)</f>
        <v>12364</v>
      </c>
      <c r="C208" s="144">
        <f>VLOOKUP($A208,'Data shares'!$C:$FA,3)</f>
        <v>12379</v>
      </c>
      <c r="D208" s="144">
        <f>VLOOKUP($A208,'Data shares'!$C:$FA,23)</f>
        <v>15</v>
      </c>
      <c r="E208" s="145">
        <f>VLOOKUP($A208,'Data shares'!$C:$FA,26)*100</f>
        <v>0.12</v>
      </c>
      <c r="F208" s="144">
        <f>VLOOKUP($A208,'Data shares'!$C:$FA,24)</f>
        <v>-7</v>
      </c>
      <c r="G208" s="144">
        <f>VLOOKUP($A208,'Data shares'!$C:$FA,25)</f>
        <v>22</v>
      </c>
    </row>
    <row r="209" spans="1:7" x14ac:dyDescent="0.25">
      <c r="A209" s="101" t="str">
        <f>'Data Vlaue (Cr)'!C205</f>
        <v>UNIONBANK</v>
      </c>
      <c r="B209" s="144">
        <f>VLOOKUP($A209,'Data shares'!$C:$FA,7)</f>
        <v>174.78</v>
      </c>
      <c r="C209" s="144">
        <f>VLOOKUP($A209,'Data shares'!$C:$FA,3)</f>
        <v>175.06</v>
      </c>
      <c r="D209" s="144">
        <f>VLOOKUP($A209,'Data shares'!$C:$FA,23)</f>
        <v>0.28000000000000003</v>
      </c>
      <c r="E209" s="145">
        <f>VLOOKUP($A209,'Data shares'!$C:$FA,26)*100</f>
        <v>0.16</v>
      </c>
      <c r="F209" s="144">
        <f>VLOOKUP($A209,'Data shares'!$C:$FA,24)</f>
        <v>-0.06</v>
      </c>
      <c r="G209" s="144">
        <f>VLOOKUP($A209,'Data shares'!$C:$FA,25)</f>
        <v>0.34</v>
      </c>
    </row>
    <row r="210" spans="1:7" x14ac:dyDescent="0.25">
      <c r="A210" s="101" t="str">
        <f>'Data Vlaue (Cr)'!C206</f>
        <v>UNITDSPR</v>
      </c>
      <c r="B210" s="144">
        <f>VLOOKUP($A210,'Data shares'!$C:$FA,7)</f>
        <v>1338.4</v>
      </c>
      <c r="C210" s="144">
        <f>VLOOKUP($A210,'Data shares'!$C:$FA,3)</f>
        <v>1333.6</v>
      </c>
      <c r="D210" s="144">
        <f>VLOOKUP($A210,'Data shares'!$C:$FA,23)</f>
        <v>-4.8</v>
      </c>
      <c r="E210" s="145">
        <f>VLOOKUP($A210,'Data shares'!$C:$FA,26)*100</f>
        <v>-0.36</v>
      </c>
      <c r="F210" s="144">
        <f>VLOOKUP($A210,'Data shares'!$C:$FA,24)</f>
        <v>-6.5</v>
      </c>
      <c r="G210" s="144">
        <f>VLOOKUP($A210,'Data shares'!$C:$FA,25)</f>
        <v>1.7</v>
      </c>
    </row>
    <row r="211" spans="1:7" x14ac:dyDescent="0.25">
      <c r="A211" s="101" t="str">
        <f>'Data Vlaue (Cr)'!C207</f>
        <v>UNOMINDA</v>
      </c>
      <c r="B211" s="144">
        <f>VLOOKUP($A211,'Data shares'!$C:$FA,7)</f>
        <v>1173.5</v>
      </c>
      <c r="C211" s="144">
        <f>VLOOKUP($A211,'Data shares'!$C:$FA,3)</f>
        <v>1172.7</v>
      </c>
      <c r="D211" s="144">
        <f>VLOOKUP($A211,'Data shares'!$C:$FA,23)</f>
        <v>-0.8</v>
      </c>
      <c r="E211" s="145">
        <f>VLOOKUP($A211,'Data shares'!$C:$FA,26)*100</f>
        <v>-6.9999999999999993E-2</v>
      </c>
      <c r="F211" s="144">
        <f>VLOOKUP($A211,'Data shares'!$C:$FA,24)</f>
        <v>0.5</v>
      </c>
      <c r="G211" s="144">
        <f>VLOOKUP($A211,'Data shares'!$C:$FA,25)</f>
        <v>-1.3</v>
      </c>
    </row>
    <row r="212" spans="1:7" x14ac:dyDescent="0.25">
      <c r="A212" s="101" t="str">
        <f>'Data Vlaue (Cr)'!C208</f>
        <v>UPL</v>
      </c>
      <c r="B212" s="144">
        <f>VLOOKUP($A212,'Data shares'!$C:$FA,7)</f>
        <v>700.5</v>
      </c>
      <c r="C212" s="144">
        <f>VLOOKUP($A212,'Data shares'!$C:$FA,3)</f>
        <v>701.15</v>
      </c>
      <c r="D212" s="144">
        <f>VLOOKUP($A212,'Data shares'!$C:$FA,23)</f>
        <v>0.65</v>
      </c>
      <c r="E212" s="145">
        <f>VLOOKUP($A212,'Data shares'!$C:$FA,26)*100</f>
        <v>0.09</v>
      </c>
      <c r="F212" s="144">
        <f>VLOOKUP($A212,'Data shares'!$C:$FA,24)</f>
        <v>0.05</v>
      </c>
      <c r="G212" s="144">
        <f>VLOOKUP($A212,'Data shares'!$C:$FA,25)</f>
        <v>0.6</v>
      </c>
    </row>
    <row r="213" spans="1:7" x14ac:dyDescent="0.25">
      <c r="A213" s="101" t="str">
        <f>'Data Vlaue (Cr)'!C209</f>
        <v>VBL</v>
      </c>
      <c r="B213" s="144">
        <f>VLOOKUP($A213,'Data shares'!$C:$FA,7)</f>
        <v>487.1</v>
      </c>
      <c r="C213" s="144">
        <f>VLOOKUP($A213,'Data shares'!$C:$FA,3)</f>
        <v>486.85</v>
      </c>
      <c r="D213" s="144">
        <f>VLOOKUP($A213,'Data shares'!$C:$FA,23)</f>
        <v>-0.25</v>
      </c>
      <c r="E213" s="145">
        <f>VLOOKUP($A213,'Data shares'!$C:$FA,26)*100</f>
        <v>-0.05</v>
      </c>
      <c r="F213" s="144">
        <f>VLOOKUP($A213,'Data shares'!$C:$FA,24)</f>
        <v>0.2</v>
      </c>
      <c r="G213" s="144">
        <f>VLOOKUP($A213,'Data shares'!$C:$FA,25)</f>
        <v>-0.45</v>
      </c>
    </row>
    <row r="214" spans="1:7" x14ac:dyDescent="0.25">
      <c r="A214" s="101" t="str">
        <f>'Data Vlaue (Cr)'!C210</f>
        <v>VEDL</v>
      </c>
      <c r="B214" s="144">
        <f>VLOOKUP($A214,'Data shares'!$C:$FA,7)</f>
        <v>678.65</v>
      </c>
      <c r="C214" s="144">
        <f>VLOOKUP($A214,'Data shares'!$C:$FA,3)</f>
        <v>677.7</v>
      </c>
      <c r="D214" s="144">
        <f>VLOOKUP($A214,'Data shares'!$C:$FA,23)</f>
        <v>-0.95</v>
      </c>
      <c r="E214" s="145">
        <f>VLOOKUP($A214,'Data shares'!$C:$FA,26)*100</f>
        <v>-0.13999999999999999</v>
      </c>
      <c r="F214" s="144">
        <f>VLOOKUP($A214,'Data shares'!$C:$FA,24)</f>
        <v>0.75</v>
      </c>
      <c r="G214" s="144">
        <f>VLOOKUP($A214,'Data shares'!$C:$FA,25)</f>
        <v>-1.7</v>
      </c>
    </row>
    <row r="215" spans="1:7" x14ac:dyDescent="0.25">
      <c r="A215" s="101" t="str">
        <f>'Data Vlaue (Cr)'!C211</f>
        <v>VOLTAS</v>
      </c>
      <c r="B215" s="144">
        <f>VLOOKUP($A215,'Data shares'!$C:$FA,7)</f>
        <v>1293.5</v>
      </c>
      <c r="C215" s="144">
        <f>VLOOKUP($A215,'Data shares'!$C:$FA,3)</f>
        <v>1295.2</v>
      </c>
      <c r="D215" s="144">
        <f>VLOOKUP($A215,'Data shares'!$C:$FA,23)</f>
        <v>1.7</v>
      </c>
      <c r="E215" s="145">
        <f>VLOOKUP($A215,'Data shares'!$C:$FA,26)*100</f>
        <v>0.13</v>
      </c>
      <c r="F215" s="144">
        <f>VLOOKUP($A215,'Data shares'!$C:$FA,24)</f>
        <v>0</v>
      </c>
      <c r="G215" s="144">
        <f>VLOOKUP($A215,'Data shares'!$C:$FA,25)</f>
        <v>1.7</v>
      </c>
    </row>
    <row r="216" spans="1:7" x14ac:dyDescent="0.25">
      <c r="A216" s="101" t="str">
        <f>'Data Vlaue (Cr)'!C212</f>
        <v>WAAREEENER</v>
      </c>
      <c r="B216" s="144">
        <f>VLOOKUP($A216,'Data shares'!$C:$FA,7)</f>
        <v>2641.7</v>
      </c>
      <c r="C216" s="144">
        <f>VLOOKUP($A216,'Data shares'!$C:$FA,3)</f>
        <v>2649.5</v>
      </c>
      <c r="D216" s="144">
        <f>VLOOKUP($A216,'Data shares'!$C:$FA,23)</f>
        <v>7.8</v>
      </c>
      <c r="E216" s="145">
        <f>VLOOKUP($A216,'Data shares'!$C:$FA,26)*100</f>
        <v>0.3</v>
      </c>
      <c r="F216" s="144">
        <f>VLOOKUP($A216,'Data shares'!$C:$FA,24)</f>
        <v>8.4</v>
      </c>
      <c r="G216" s="144">
        <f>VLOOKUP($A216,'Data shares'!$C:$FA,25)</f>
        <v>-0.6</v>
      </c>
    </row>
    <row r="217" spans="1:7" x14ac:dyDescent="0.25">
      <c r="A217" s="101" t="str">
        <f>'Data Vlaue (Cr)'!C213</f>
        <v>WIPRO</v>
      </c>
      <c r="B217" s="144">
        <f>VLOOKUP($A217,'Data shares'!$C:$FA,7)</f>
        <v>240.65</v>
      </c>
      <c r="C217" s="144">
        <f>VLOOKUP($A217,'Data shares'!$C:$FA,3)</f>
        <v>240.95</v>
      </c>
      <c r="D217" s="144">
        <f>VLOOKUP($A217,'Data shares'!$C:$FA,23)</f>
        <v>0.3</v>
      </c>
      <c r="E217" s="145">
        <f>VLOOKUP($A217,'Data shares'!$C:$FA,26)*100</f>
        <v>0.12</v>
      </c>
      <c r="F217" s="144">
        <f>VLOOKUP($A217,'Data shares'!$C:$FA,24)</f>
        <v>0.6</v>
      </c>
      <c r="G217" s="144">
        <f>VLOOKUP($A217,'Data shares'!$C:$FA,25)</f>
        <v>-0.3</v>
      </c>
    </row>
    <row r="218" spans="1:7" x14ac:dyDescent="0.25">
      <c r="A218" s="101" t="str">
        <f>'Data Vlaue (Cr)'!C214</f>
        <v>YESBANK</v>
      </c>
      <c r="B218" s="144">
        <f>VLOOKUP($A218,'Data shares'!$C:$FA,7)</f>
        <v>21.63</v>
      </c>
      <c r="C218" s="144">
        <f>VLOOKUP($A218,'Data shares'!$C:$FA,3)</f>
        <v>21.64</v>
      </c>
      <c r="D218" s="144">
        <f>VLOOKUP($A218,'Data shares'!$C:$FA,23)</f>
        <v>0.01</v>
      </c>
      <c r="E218" s="145">
        <f>VLOOKUP($A218,'Data shares'!$C:$FA,26)*100</f>
        <v>0.05</v>
      </c>
      <c r="F218" s="144">
        <f>VLOOKUP($A218,'Data shares'!$C:$FA,24)</f>
        <v>-0.02</v>
      </c>
      <c r="G218" s="144">
        <f>VLOOKUP($A218,'Data shares'!$C:$FA,25)</f>
        <v>0.03</v>
      </c>
    </row>
    <row r="219" spans="1:7" x14ac:dyDescent="0.25">
      <c r="A219" s="101" t="str">
        <f>'Data Vlaue (Cr)'!C215</f>
        <v>ZYDUSLIFE</v>
      </c>
      <c r="B219" s="144">
        <f>VLOOKUP($A219,'Data shares'!$C:$FA,7)</f>
        <v>885.3</v>
      </c>
      <c r="C219" s="144">
        <f>VLOOKUP($A219,'Data shares'!$C:$FA,3)</f>
        <v>886.75</v>
      </c>
      <c r="D219" s="144">
        <f>VLOOKUP($A219,'Data shares'!$C:$FA,23)</f>
        <v>1.45</v>
      </c>
      <c r="E219" s="145">
        <f>VLOOKUP($A219,'Data shares'!$C:$FA,26)*100</f>
        <v>0.16</v>
      </c>
      <c r="F219" s="144">
        <f>VLOOKUP($A219,'Data shares'!$C:$FA,24)</f>
        <v>-1</v>
      </c>
      <c r="G219" s="144">
        <f>VLOOKUP($A219,'Data shares'!$C:$FA,25)</f>
        <v>2.4500000000000002</v>
      </c>
    </row>
    <row r="220" spans="1:7" x14ac:dyDescent="0.25">
      <c r="A220">
        <f>'Data Vlaue (Cr)'!C216</f>
        <v>0</v>
      </c>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20"/>
  <sheetViews>
    <sheetView workbookViewId="0">
      <pane ySplit="6" topLeftCell="A206" activePane="bottomLeft" state="frozen"/>
      <selection pane="bottomLeft" activeCell="E218" sqref="E218"/>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2" t="s">
        <v>370</v>
      </c>
      <c r="B3" s="313"/>
      <c r="C3" s="313"/>
      <c r="D3" s="313"/>
      <c r="E3" s="313"/>
      <c r="F3" s="313"/>
      <c r="G3" s="314"/>
    </row>
    <row r="4" spans="1:7" x14ac:dyDescent="0.25">
      <c r="A4" s="316" t="s">
        <v>318</v>
      </c>
      <c r="B4" s="240" t="s">
        <v>371</v>
      </c>
      <c r="C4" s="240"/>
      <c r="D4" s="240"/>
      <c r="E4" s="240"/>
      <c r="F4" s="240"/>
      <c r="G4" s="240"/>
    </row>
    <row r="5" spans="1:7" x14ac:dyDescent="0.25">
      <c r="A5" s="317"/>
      <c r="B5" s="315" t="s">
        <v>372</v>
      </c>
      <c r="C5" s="315"/>
      <c r="D5" s="315"/>
      <c r="E5" s="315" t="s">
        <v>373</v>
      </c>
      <c r="F5" s="315"/>
      <c r="G5" s="315"/>
    </row>
    <row r="6" spans="1:7" x14ac:dyDescent="0.25">
      <c r="A6" s="240"/>
      <c r="B6" s="2" t="s">
        <v>374</v>
      </c>
      <c r="C6" s="2" t="s">
        <v>375</v>
      </c>
      <c r="D6" s="2" t="s">
        <v>376</v>
      </c>
      <c r="E6" s="2" t="s">
        <v>377</v>
      </c>
      <c r="F6" s="2" t="s">
        <v>378</v>
      </c>
      <c r="G6" s="2" t="s">
        <v>379</v>
      </c>
    </row>
    <row r="7" spans="1:7" x14ac:dyDescent="0.25">
      <c r="A7" s="49" t="str">
        <f>'Data Vlaue (Cr)'!C2</f>
        <v>360ONE</v>
      </c>
      <c r="B7" s="50">
        <f>VLOOKUP($A7,'Data shares'!$C:$FM,102)</f>
        <v>33.299999999999997</v>
      </c>
      <c r="C7" s="50">
        <f>VLOOKUP($A7,'Data shares'!$C:$FM,110)</f>
        <v>33.53</v>
      </c>
      <c r="D7" s="50">
        <f>VLOOKUP($A7,'Data shares'!$C:$FM,114)</f>
        <v>32.81</v>
      </c>
      <c r="E7" s="50">
        <f>VLOOKUP($A7,'Data shares'!$C:$FM,106)</f>
        <v>42.63</v>
      </c>
      <c r="F7" s="50">
        <f>VLOOKUP($A7,'Data shares'!$C:$FM,108)</f>
        <v>-9.33</v>
      </c>
      <c r="G7" s="50">
        <f t="shared" ref="G7:G38" si="0">B7/E7</f>
        <v>0.78114004222378597</v>
      </c>
    </row>
    <row r="8" spans="1:7" x14ac:dyDescent="0.25">
      <c r="A8" s="49" t="str">
        <f>'Data Vlaue (Cr)'!C3</f>
        <v>ABB</v>
      </c>
      <c r="B8" s="50">
        <f>VLOOKUP($A8,'Data shares'!$C:$FM,102)</f>
        <v>29.06</v>
      </c>
      <c r="C8" s="50">
        <f>VLOOKUP($A8,'Data shares'!$C:$FM,110)</f>
        <v>29.06</v>
      </c>
      <c r="D8" s="50">
        <f>VLOOKUP($A8,'Data shares'!$C:$FM,114)</f>
        <v>29.06</v>
      </c>
      <c r="E8" s="50">
        <f>VLOOKUP($A8,'Data shares'!$C:$FM,106)</f>
        <v>34.03</v>
      </c>
      <c r="F8" s="50">
        <f>VLOOKUP($A8,'Data shares'!$C:$FM,108)</f>
        <v>-4.97</v>
      </c>
      <c r="G8" s="50">
        <f t="shared" si="0"/>
        <v>0.85395239494563613</v>
      </c>
    </row>
    <row r="9" spans="1:7" x14ac:dyDescent="0.25">
      <c r="A9" s="49" t="str">
        <f>'Data Vlaue (Cr)'!C4</f>
        <v>ABCAPITAL</v>
      </c>
      <c r="B9" s="50">
        <f>VLOOKUP($A9,'Data shares'!$C:$FM,102)</f>
        <v>34.159999999999997</v>
      </c>
      <c r="C9" s="50">
        <f>VLOOKUP($A9,'Data shares'!$C:$FM,110)</f>
        <v>33.44</v>
      </c>
      <c r="D9" s="50">
        <f>VLOOKUP($A9,'Data shares'!$C:$FM,114)</f>
        <v>34.979999999999997</v>
      </c>
      <c r="E9" s="50">
        <f>VLOOKUP($A9,'Data shares'!$C:$FM,106)</f>
        <v>37.51</v>
      </c>
      <c r="F9" s="50">
        <f>VLOOKUP($A9,'Data shares'!$C:$FM,108)</f>
        <v>-3.35</v>
      </c>
      <c r="G9" s="50">
        <f t="shared" si="0"/>
        <v>0.91069048253798979</v>
      </c>
    </row>
    <row r="10" spans="1:7" x14ac:dyDescent="0.25">
      <c r="A10" s="49" t="str">
        <f>'Data Vlaue (Cr)'!C5</f>
        <v>ADANIENSOL</v>
      </c>
      <c r="B10" s="50">
        <f>VLOOKUP($A10,'Data shares'!$C:$FM,102)</f>
        <v>36.61</v>
      </c>
      <c r="C10" s="50">
        <f>VLOOKUP($A10,'Data shares'!$C:$FM,110)</f>
        <v>36.61</v>
      </c>
      <c r="D10" s="50">
        <f>VLOOKUP($A10,'Data shares'!$C:$FM,114)</f>
        <v>36.630000000000003</v>
      </c>
      <c r="E10" s="50">
        <f>VLOOKUP($A10,'Data shares'!$C:$FM,106)</f>
        <v>50.3</v>
      </c>
      <c r="F10" s="50">
        <f>VLOOKUP($A10,'Data shares'!$C:$FM,108)</f>
        <v>-13.69</v>
      </c>
      <c r="G10" s="50">
        <f t="shared" si="0"/>
        <v>0.72783300198807155</v>
      </c>
    </row>
    <row r="11" spans="1:7" x14ac:dyDescent="0.25">
      <c r="A11" s="49" t="str">
        <f>'Data Vlaue (Cr)'!C6</f>
        <v>ADANIENT</v>
      </c>
      <c r="B11" s="50">
        <f>VLOOKUP($A11,'Data shares'!$C:$FM,102)</f>
        <v>32.909999999999997</v>
      </c>
      <c r="C11" s="50">
        <f>VLOOKUP($A11,'Data shares'!$C:$FM,110)</f>
        <v>33.049999999999997</v>
      </c>
      <c r="D11" s="50">
        <f>VLOOKUP($A11,'Data shares'!$C:$FM,114)</f>
        <v>32.659999999999997</v>
      </c>
      <c r="E11" s="50">
        <f>VLOOKUP($A11,'Data shares'!$C:$FM,106)</f>
        <v>44.98</v>
      </c>
      <c r="F11" s="50">
        <f>VLOOKUP($A11,'Data shares'!$C:$FM,108)</f>
        <v>-12.07</v>
      </c>
      <c r="G11" s="50">
        <f t="shared" si="0"/>
        <v>0.73165851489550904</v>
      </c>
    </row>
    <row r="12" spans="1:7" x14ac:dyDescent="0.25">
      <c r="A12" s="49" t="str">
        <f>'Data Vlaue (Cr)'!C7</f>
        <v>ADANIGREEN</v>
      </c>
      <c r="B12" s="50">
        <f>VLOOKUP($A12,'Data shares'!$C:$FM,102)</f>
        <v>40.479999999999997</v>
      </c>
      <c r="C12" s="50">
        <f>VLOOKUP($A12,'Data shares'!$C:$FM,110)</f>
        <v>40.42</v>
      </c>
      <c r="D12" s="50">
        <f>VLOOKUP($A12,'Data shares'!$C:$FM,114)</f>
        <v>40.6</v>
      </c>
      <c r="E12" s="50">
        <f>VLOOKUP($A12,'Data shares'!$C:$FM,106)</f>
        <v>53.54</v>
      </c>
      <c r="F12" s="50">
        <f>VLOOKUP($A12,'Data shares'!$C:$FM,108)</f>
        <v>-13.06</v>
      </c>
      <c r="G12" s="50">
        <f t="shared" si="0"/>
        <v>0.75607022786701528</v>
      </c>
    </row>
    <row r="13" spans="1:7" x14ac:dyDescent="0.25">
      <c r="A13" s="49" t="str">
        <f>'Data Vlaue (Cr)'!C8</f>
        <v>ADANIPORTS</v>
      </c>
      <c r="B13" s="50">
        <f>VLOOKUP($A13,'Data shares'!$C:$FM,102)</f>
        <v>26.75</v>
      </c>
      <c r="C13" s="50">
        <f>VLOOKUP($A13,'Data shares'!$C:$FM,110)</f>
        <v>26.57</v>
      </c>
      <c r="D13" s="50">
        <f>VLOOKUP($A13,'Data shares'!$C:$FM,114)</f>
        <v>27.07</v>
      </c>
      <c r="E13" s="50">
        <f>VLOOKUP($A13,'Data shares'!$C:$FM,106)</f>
        <v>34.85</v>
      </c>
      <c r="F13" s="50">
        <f>VLOOKUP($A13,'Data shares'!$C:$FM,108)</f>
        <v>-8.1</v>
      </c>
      <c r="G13" s="50">
        <f t="shared" si="0"/>
        <v>0.76757532281205165</v>
      </c>
    </row>
    <row r="14" spans="1:7" x14ac:dyDescent="0.25">
      <c r="A14" s="49" t="str">
        <f>'Data Vlaue (Cr)'!C9</f>
        <v>ALKEM</v>
      </c>
      <c r="B14" s="50">
        <f>VLOOKUP($A14,'Data shares'!$C:$FM,102)</f>
        <v>28.25</v>
      </c>
      <c r="C14" s="50">
        <f>VLOOKUP($A14,'Data shares'!$C:$FM,110)</f>
        <v>27.6</v>
      </c>
      <c r="D14" s="50">
        <f>VLOOKUP($A14,'Data shares'!$C:$FM,114)</f>
        <v>29.31</v>
      </c>
      <c r="E14" s="50">
        <f>VLOOKUP($A14,'Data shares'!$C:$FM,106)</f>
        <v>25.64</v>
      </c>
      <c r="F14" s="50">
        <f>VLOOKUP($A14,'Data shares'!$C:$FM,108)</f>
        <v>2.61</v>
      </c>
      <c r="G14" s="50">
        <f t="shared" si="0"/>
        <v>1.1017940717628705</v>
      </c>
    </row>
    <row r="15" spans="1:7" x14ac:dyDescent="0.25">
      <c r="A15" s="49" t="str">
        <f>'Data Vlaue (Cr)'!C10</f>
        <v>AMBER</v>
      </c>
      <c r="B15" s="50">
        <f>VLOOKUP($A15,'Data shares'!$C:$FM,102)</f>
        <v>39.06</v>
      </c>
      <c r="C15" s="50">
        <f>VLOOKUP($A15,'Data shares'!$C:$FM,110)</f>
        <v>37.89</v>
      </c>
      <c r="D15" s="50">
        <f>VLOOKUP($A15,'Data shares'!$C:$FM,114)</f>
        <v>41.73</v>
      </c>
      <c r="E15" s="50">
        <f>VLOOKUP($A15,'Data shares'!$C:$FM,106)</f>
        <v>50.85</v>
      </c>
      <c r="F15" s="50">
        <f>VLOOKUP($A15,'Data shares'!$C:$FM,108)</f>
        <v>-11.79</v>
      </c>
      <c r="G15" s="50">
        <f t="shared" si="0"/>
        <v>0.768141592920354</v>
      </c>
    </row>
    <row r="16" spans="1:7" x14ac:dyDescent="0.25">
      <c r="A16" s="49" t="str">
        <f>'Data Vlaue (Cr)'!C11</f>
        <v>AMBUJACEM</v>
      </c>
      <c r="B16" s="50">
        <f>VLOOKUP($A16,'Data shares'!$C:$FM,102)</f>
        <v>26.55</v>
      </c>
      <c r="C16" s="50">
        <f>VLOOKUP($A16,'Data shares'!$C:$FM,110)</f>
        <v>26.54</v>
      </c>
      <c r="D16" s="50">
        <f>VLOOKUP($A16,'Data shares'!$C:$FM,114)</f>
        <v>26.55</v>
      </c>
      <c r="E16" s="50">
        <f>VLOOKUP($A16,'Data shares'!$C:$FM,106)</f>
        <v>30.98</v>
      </c>
      <c r="F16" s="50">
        <f>VLOOKUP($A16,'Data shares'!$C:$FM,108)</f>
        <v>-4.43</v>
      </c>
      <c r="G16" s="50">
        <f t="shared" si="0"/>
        <v>0.85700451904454489</v>
      </c>
    </row>
    <row r="17" spans="1:7" x14ac:dyDescent="0.25">
      <c r="A17" s="49" t="str">
        <f>'Data Vlaue (Cr)'!C12</f>
        <v>ANGELONE</v>
      </c>
      <c r="B17" s="50">
        <f>VLOOKUP($A17,'Data shares'!$C:$FM,102)</f>
        <v>36.299999999999997</v>
      </c>
      <c r="C17" s="50">
        <f>VLOOKUP($A17,'Data shares'!$C:$FM,110)</f>
        <v>36.18</v>
      </c>
      <c r="D17" s="50">
        <f>VLOOKUP($A17,'Data shares'!$C:$FM,114)</f>
        <v>36.57</v>
      </c>
      <c r="E17" s="50">
        <f>VLOOKUP($A17,'Data shares'!$C:$FM,106)</f>
        <v>52.66</v>
      </c>
      <c r="F17" s="50">
        <f>VLOOKUP($A17,'Data shares'!$C:$FM,108)</f>
        <v>-16.36</v>
      </c>
      <c r="G17" s="50">
        <f t="shared" si="0"/>
        <v>0.68932776300797571</v>
      </c>
    </row>
    <row r="18" spans="1:7" x14ac:dyDescent="0.25">
      <c r="A18" s="49" t="str">
        <f>'Data Vlaue (Cr)'!C13</f>
        <v>APLAPOLLO</v>
      </c>
      <c r="B18" s="50">
        <f>VLOOKUP($A18,'Data shares'!$C:$FM,102)</f>
        <v>29.24</v>
      </c>
      <c r="C18" s="50">
        <f>VLOOKUP($A18,'Data shares'!$C:$FM,110)</f>
        <v>29.35</v>
      </c>
      <c r="D18" s="50">
        <f>VLOOKUP($A18,'Data shares'!$C:$FM,114)</f>
        <v>29.07</v>
      </c>
      <c r="E18" s="50">
        <f>VLOOKUP($A18,'Data shares'!$C:$FM,106)</f>
        <v>32.299999999999997</v>
      </c>
      <c r="F18" s="50">
        <f>VLOOKUP($A18,'Data shares'!$C:$FM,108)</f>
        <v>-3.06</v>
      </c>
      <c r="G18" s="50">
        <f t="shared" si="0"/>
        <v>0.90526315789473688</v>
      </c>
    </row>
    <row r="19" spans="1:7" x14ac:dyDescent="0.25">
      <c r="A19" s="49" t="str">
        <f>'Data Vlaue (Cr)'!C14</f>
        <v>APOLLOHOSP</v>
      </c>
      <c r="B19" s="50">
        <f>VLOOKUP($A19,'Data shares'!$C:$FM,102)</f>
        <v>24.25</v>
      </c>
      <c r="C19" s="50">
        <f>VLOOKUP($A19,'Data shares'!$C:$FM,110)</f>
        <v>24.29</v>
      </c>
      <c r="D19" s="50">
        <f>VLOOKUP($A19,'Data shares'!$C:$FM,114)</f>
        <v>24.16</v>
      </c>
      <c r="E19" s="50">
        <f>VLOOKUP($A19,'Data shares'!$C:$FM,106)</f>
        <v>25.03</v>
      </c>
      <c r="F19" s="50">
        <f>VLOOKUP($A19,'Data shares'!$C:$FM,108)</f>
        <v>-0.78</v>
      </c>
      <c r="G19" s="50">
        <f t="shared" si="0"/>
        <v>0.96883739512584899</v>
      </c>
    </row>
    <row r="20" spans="1:7" x14ac:dyDescent="0.25">
      <c r="A20" s="49" t="str">
        <f>'Data Vlaue (Cr)'!C15</f>
        <v>ASHOKLEY</v>
      </c>
      <c r="B20" s="50">
        <f>VLOOKUP($A20,'Data shares'!$C:$FM,102)</f>
        <v>34.46</v>
      </c>
      <c r="C20" s="50">
        <f>VLOOKUP($A20,'Data shares'!$C:$FM,110)</f>
        <v>34.49</v>
      </c>
      <c r="D20" s="50">
        <f>VLOOKUP($A20,'Data shares'!$C:$FM,114)</f>
        <v>34.39</v>
      </c>
      <c r="E20" s="50">
        <f>VLOOKUP($A20,'Data shares'!$C:$FM,106)</f>
        <v>35.299999999999997</v>
      </c>
      <c r="F20" s="50">
        <f>VLOOKUP($A20,'Data shares'!$C:$FM,108)</f>
        <v>-0.84</v>
      </c>
      <c r="G20" s="50">
        <f t="shared" si="0"/>
        <v>0.97620396600566584</v>
      </c>
    </row>
    <row r="21" spans="1:7" x14ac:dyDescent="0.25">
      <c r="A21" s="49" t="str">
        <f>'Data Vlaue (Cr)'!C16</f>
        <v>ASIANPAINT</v>
      </c>
      <c r="B21" s="50">
        <f>VLOOKUP($A21,'Data shares'!$C:$FM,102)</f>
        <v>25.95</v>
      </c>
      <c r="C21" s="50">
        <f>VLOOKUP($A21,'Data shares'!$C:$FM,110)</f>
        <v>25.96</v>
      </c>
      <c r="D21" s="50">
        <f>VLOOKUP($A21,'Data shares'!$C:$FM,114)</f>
        <v>25.92</v>
      </c>
      <c r="E21" s="50">
        <f>VLOOKUP($A21,'Data shares'!$C:$FM,106)</f>
        <v>25.3</v>
      </c>
      <c r="F21" s="50">
        <f>VLOOKUP($A21,'Data shares'!$C:$FM,108)</f>
        <v>0.65</v>
      </c>
      <c r="G21" s="50">
        <f t="shared" si="0"/>
        <v>1.0256916996047429</v>
      </c>
    </row>
    <row r="22" spans="1:7" x14ac:dyDescent="0.25">
      <c r="A22" s="49" t="str">
        <f>'Data Vlaue (Cr)'!C17</f>
        <v>ASTRAL</v>
      </c>
      <c r="B22" s="50">
        <f>VLOOKUP($A22,'Data shares'!$C:$FM,102)</f>
        <v>31.29</v>
      </c>
      <c r="C22" s="50">
        <f>VLOOKUP($A22,'Data shares'!$C:$FM,110)</f>
        <v>30.65</v>
      </c>
      <c r="D22" s="50">
        <f>VLOOKUP($A22,'Data shares'!$C:$FM,114)</f>
        <v>32.19</v>
      </c>
      <c r="E22" s="50">
        <f>VLOOKUP($A22,'Data shares'!$C:$FM,106)</f>
        <v>34.229999999999997</v>
      </c>
      <c r="F22" s="50">
        <f>VLOOKUP($A22,'Data shares'!$C:$FM,108)</f>
        <v>-2.94</v>
      </c>
      <c r="G22" s="50">
        <f t="shared" si="0"/>
        <v>0.91411042944785281</v>
      </c>
    </row>
    <row r="23" spans="1:7" x14ac:dyDescent="0.25">
      <c r="A23" s="49" t="str">
        <f>'Data Vlaue (Cr)'!C18</f>
        <v>AUBANK</v>
      </c>
      <c r="B23" s="50">
        <f>VLOOKUP($A23,'Data shares'!$C:$FM,102)</f>
        <v>27.45</v>
      </c>
      <c r="C23" s="50">
        <f>VLOOKUP($A23,'Data shares'!$C:$FM,110)</f>
        <v>27.14</v>
      </c>
      <c r="D23" s="50">
        <f>VLOOKUP($A23,'Data shares'!$C:$FM,114)</f>
        <v>27.87</v>
      </c>
      <c r="E23" s="50">
        <f>VLOOKUP($A23,'Data shares'!$C:$FM,106)</f>
        <v>34.94</v>
      </c>
      <c r="F23" s="50">
        <f>VLOOKUP($A23,'Data shares'!$C:$FM,108)</f>
        <v>-7.49</v>
      </c>
      <c r="G23" s="50">
        <f t="shared" si="0"/>
        <v>0.78563251287922153</v>
      </c>
    </row>
    <row r="24" spans="1:7" x14ac:dyDescent="0.25">
      <c r="A24" s="49" t="str">
        <f>'Data Vlaue (Cr)'!C19</f>
        <v>AUROPHARMA</v>
      </c>
      <c r="B24" s="50">
        <f>VLOOKUP($A24,'Data shares'!$C:$FM,102)</f>
        <v>29.82</v>
      </c>
      <c r="C24" s="50">
        <f>VLOOKUP($A24,'Data shares'!$C:$FM,110)</f>
        <v>29.95</v>
      </c>
      <c r="D24" s="50">
        <f>VLOOKUP($A24,'Data shares'!$C:$FM,114)</f>
        <v>29.45</v>
      </c>
      <c r="E24" s="50">
        <f>VLOOKUP($A24,'Data shares'!$C:$FM,106)</f>
        <v>32.33</v>
      </c>
      <c r="F24" s="50">
        <f>VLOOKUP($A24,'Data shares'!$C:$FM,108)</f>
        <v>-2.5099999999999998</v>
      </c>
      <c r="G24" s="50">
        <f t="shared" si="0"/>
        <v>0.92236313021961036</v>
      </c>
    </row>
    <row r="25" spans="1:7" x14ac:dyDescent="0.25">
      <c r="A25" s="49" t="str">
        <f>'Data Vlaue (Cr)'!C20</f>
        <v>AXISBANK</v>
      </c>
      <c r="B25" s="50">
        <f>VLOOKUP($A25,'Data shares'!$C:$FM,102)</f>
        <v>22.96</v>
      </c>
      <c r="C25" s="50">
        <f>VLOOKUP($A25,'Data shares'!$C:$FM,110)</f>
        <v>22.18</v>
      </c>
      <c r="D25" s="50">
        <f>VLOOKUP($A25,'Data shares'!$C:$FM,114)</f>
        <v>23.84</v>
      </c>
      <c r="E25" s="50">
        <f>VLOOKUP($A25,'Data shares'!$C:$FM,106)</f>
        <v>25.48</v>
      </c>
      <c r="F25" s="50">
        <f>VLOOKUP($A25,'Data shares'!$C:$FM,108)</f>
        <v>-2.52</v>
      </c>
      <c r="G25" s="50">
        <f t="shared" si="0"/>
        <v>0.90109890109890112</v>
      </c>
    </row>
    <row r="26" spans="1:7" x14ac:dyDescent="0.25">
      <c r="A26" s="49" t="str">
        <f>'Data Vlaue (Cr)'!C21</f>
        <v>BAJAJ-AUTO</v>
      </c>
      <c r="B26" s="50">
        <f>VLOOKUP($A26,'Data shares'!$C:$FM,102)</f>
        <v>25.25</v>
      </c>
      <c r="C26" s="50">
        <f>VLOOKUP($A26,'Data shares'!$C:$FM,110)</f>
        <v>25.19</v>
      </c>
      <c r="D26" s="50">
        <f>VLOOKUP($A26,'Data shares'!$C:$FM,114)</f>
        <v>25.39</v>
      </c>
      <c r="E26" s="50">
        <f>VLOOKUP($A26,'Data shares'!$C:$FM,106)</f>
        <v>27.97</v>
      </c>
      <c r="F26" s="50">
        <f>VLOOKUP($A26,'Data shares'!$C:$FM,108)</f>
        <v>-2.72</v>
      </c>
      <c r="G26" s="50">
        <f t="shared" si="0"/>
        <v>0.90275294958884522</v>
      </c>
    </row>
    <row r="27" spans="1:7" x14ac:dyDescent="0.25">
      <c r="A27" s="49" t="str">
        <f>'Data Vlaue (Cr)'!C22</f>
        <v>BAJAJFINSV</v>
      </c>
      <c r="B27" s="50">
        <f>VLOOKUP($A27,'Data shares'!$C:$FM,102)</f>
        <v>26.5</v>
      </c>
      <c r="C27" s="50">
        <f>VLOOKUP($A27,'Data shares'!$C:$FM,110)</f>
        <v>25.88</v>
      </c>
      <c r="D27" s="50">
        <f>VLOOKUP($A27,'Data shares'!$C:$FM,114)</f>
        <v>27.18</v>
      </c>
      <c r="E27" s="50">
        <f>VLOOKUP($A27,'Data shares'!$C:$FM,106)</f>
        <v>27.71</v>
      </c>
      <c r="F27" s="50">
        <f>VLOOKUP($A27,'Data shares'!$C:$FM,108)</f>
        <v>-1.21</v>
      </c>
      <c r="G27" s="50">
        <f t="shared" si="0"/>
        <v>0.95633345362684952</v>
      </c>
    </row>
    <row r="28" spans="1:7" x14ac:dyDescent="0.25">
      <c r="A28" s="49" t="str">
        <f>'Data Vlaue (Cr)'!C23</f>
        <v>BAJAJHLDNG</v>
      </c>
      <c r="B28" s="50">
        <f>VLOOKUP($A28,'Data shares'!$C:$FM,102)</f>
        <v>32.93</v>
      </c>
      <c r="C28" s="50">
        <f>VLOOKUP($A28,'Data shares'!$C:$FM,110)</f>
        <v>33.04</v>
      </c>
      <c r="D28" s="50">
        <f>VLOOKUP($A28,'Data shares'!$C:$FM,114)</f>
        <v>32.76</v>
      </c>
      <c r="E28" s="50">
        <f>VLOOKUP($A28,'Data shares'!$C:$FM,106)</f>
        <v>38.450000000000003</v>
      </c>
      <c r="F28" s="50">
        <f>VLOOKUP($A28,'Data shares'!$C:$FM,108)</f>
        <v>-5.52</v>
      </c>
      <c r="G28" s="50">
        <f t="shared" si="0"/>
        <v>0.85643693107932373</v>
      </c>
    </row>
    <row r="29" spans="1:7" x14ac:dyDescent="0.25">
      <c r="A29" s="49" t="str">
        <f>'Data Vlaue (Cr)'!C24</f>
        <v>BAJFINANCE</v>
      </c>
      <c r="B29" s="50">
        <f>VLOOKUP($A29,'Data shares'!$C:$FM,102)</f>
        <v>28.85</v>
      </c>
      <c r="C29" s="50">
        <f>VLOOKUP($A29,'Data shares'!$C:$FM,110)</f>
        <v>29.32</v>
      </c>
      <c r="D29" s="50">
        <f>VLOOKUP($A29,'Data shares'!$C:$FM,114)</f>
        <v>28.19</v>
      </c>
      <c r="E29" s="50">
        <f>VLOOKUP($A29,'Data shares'!$C:$FM,106)</f>
        <v>30.7</v>
      </c>
      <c r="F29" s="50">
        <f>VLOOKUP($A29,'Data shares'!$C:$FM,108)</f>
        <v>-1.85</v>
      </c>
      <c r="G29" s="50">
        <f t="shared" si="0"/>
        <v>0.93973941368078184</v>
      </c>
    </row>
    <row r="30" spans="1:7" x14ac:dyDescent="0.25">
      <c r="A30" s="49" t="str">
        <f>'Data Vlaue (Cr)'!C25</f>
        <v>BANDHANBNK</v>
      </c>
      <c r="B30" s="50">
        <f>VLOOKUP($A30,'Data shares'!$C:$FM,102)</f>
        <v>32.93</v>
      </c>
      <c r="C30" s="50">
        <f>VLOOKUP($A30,'Data shares'!$C:$FM,110)</f>
        <v>31.89</v>
      </c>
      <c r="D30" s="50">
        <f>VLOOKUP($A30,'Data shares'!$C:$FM,114)</f>
        <v>34.409999999999997</v>
      </c>
      <c r="E30" s="50">
        <f>VLOOKUP($A30,'Data shares'!$C:$FM,106)</f>
        <v>40.71</v>
      </c>
      <c r="F30" s="50">
        <f>VLOOKUP($A30,'Data shares'!$C:$FM,108)</f>
        <v>-7.78</v>
      </c>
      <c r="G30" s="50">
        <f t="shared" si="0"/>
        <v>0.8088921640874478</v>
      </c>
    </row>
    <row r="31" spans="1:7" x14ac:dyDescent="0.25">
      <c r="A31" s="49" t="str">
        <f>'Data Vlaue (Cr)'!C26</f>
        <v>BANKBARODA</v>
      </c>
      <c r="B31" s="50">
        <f>VLOOKUP($A31,'Data shares'!$C:$FM,102)</f>
        <v>30.31</v>
      </c>
      <c r="C31" s="50">
        <f>VLOOKUP($A31,'Data shares'!$C:$FM,110)</f>
        <v>30.18</v>
      </c>
      <c r="D31" s="50">
        <f>VLOOKUP($A31,'Data shares'!$C:$FM,114)</f>
        <v>30.47</v>
      </c>
      <c r="E31" s="50">
        <f>VLOOKUP($A31,'Data shares'!$C:$FM,106)</f>
        <v>32.950000000000003</v>
      </c>
      <c r="F31" s="50">
        <f>VLOOKUP($A31,'Data shares'!$C:$FM,108)</f>
        <v>-2.64</v>
      </c>
      <c r="G31" s="50">
        <f t="shared" si="0"/>
        <v>0.91987860394537169</v>
      </c>
    </row>
    <row r="32" spans="1:7" x14ac:dyDescent="0.25">
      <c r="A32" s="49" t="str">
        <f>'Data Vlaue (Cr)'!C27</f>
        <v>BANKINDIA</v>
      </c>
      <c r="B32" s="50">
        <f>VLOOKUP($A32,'Data shares'!$C:$FM,102)</f>
        <v>36.49</v>
      </c>
      <c r="C32" s="50">
        <f>VLOOKUP($A32,'Data shares'!$C:$FM,110)</f>
        <v>36.409999999999997</v>
      </c>
      <c r="D32" s="50">
        <f>VLOOKUP($A32,'Data shares'!$C:$FM,114)</f>
        <v>36.630000000000003</v>
      </c>
      <c r="E32" s="50">
        <f>VLOOKUP($A32,'Data shares'!$C:$FM,106)</f>
        <v>38.69</v>
      </c>
      <c r="F32" s="50">
        <f>VLOOKUP($A32,'Data shares'!$C:$FM,108)</f>
        <v>-2.2000000000000002</v>
      </c>
      <c r="G32" s="50">
        <f t="shared" si="0"/>
        <v>0.94313776169552865</v>
      </c>
    </row>
    <row r="33" spans="1:7" x14ac:dyDescent="0.25">
      <c r="A33" s="49" t="str">
        <f>'Data Vlaue (Cr)'!C28</f>
        <v>BANKNIFTY</v>
      </c>
      <c r="B33" s="50">
        <f>VLOOKUP($A33,'Data shares'!$C:$FM,102)</f>
        <v>13.84</v>
      </c>
      <c r="C33" s="50">
        <f>VLOOKUP($A33,'Data shares'!$C:$FM,110)</f>
        <v>13.22</v>
      </c>
      <c r="D33" s="50">
        <f>VLOOKUP($A33,'Data shares'!$C:$FM,114)</f>
        <v>14.42</v>
      </c>
      <c r="E33" s="50">
        <f>VLOOKUP($A33,'Data shares'!$C:$FM,106)</f>
        <v>15.41</v>
      </c>
      <c r="F33" s="50">
        <f>VLOOKUP($A33,'Data shares'!$C:$FM,108)</f>
        <v>-1.57</v>
      </c>
      <c r="G33" s="50">
        <f t="shared" si="0"/>
        <v>0.89811810512654122</v>
      </c>
    </row>
    <row r="34" spans="1:7" x14ac:dyDescent="0.25">
      <c r="A34" s="49" t="str">
        <f>'Data Vlaue (Cr)'!C29</f>
        <v>BDL</v>
      </c>
      <c r="B34" s="50">
        <f>VLOOKUP($A34,'Data shares'!$C:$FM,102)</f>
        <v>41.8</v>
      </c>
      <c r="C34" s="50">
        <f>VLOOKUP($A34,'Data shares'!$C:$FM,110)</f>
        <v>41.85</v>
      </c>
      <c r="D34" s="50">
        <f>VLOOKUP($A34,'Data shares'!$C:$FM,114)</f>
        <v>41.69</v>
      </c>
      <c r="E34" s="50">
        <f>VLOOKUP($A34,'Data shares'!$C:$FM,106)</f>
        <v>49.63</v>
      </c>
      <c r="F34" s="50">
        <f>VLOOKUP($A34,'Data shares'!$C:$FM,108)</f>
        <v>-7.83</v>
      </c>
      <c r="G34" s="50">
        <f t="shared" si="0"/>
        <v>0.84223252065283083</v>
      </c>
    </row>
    <row r="35" spans="1:7" x14ac:dyDescent="0.25">
      <c r="A35" s="49" t="str">
        <f>'Data Vlaue (Cr)'!C30</f>
        <v>BEL</v>
      </c>
      <c r="B35" s="50">
        <f>VLOOKUP($A35,'Data shares'!$C:$FM,102)</f>
        <v>33.880000000000003</v>
      </c>
      <c r="C35" s="50">
        <f>VLOOKUP($A35,'Data shares'!$C:$FM,110)</f>
        <v>33.82</v>
      </c>
      <c r="D35" s="50">
        <f>VLOOKUP($A35,'Data shares'!$C:$FM,114)</f>
        <v>34.04</v>
      </c>
      <c r="E35" s="50">
        <f>VLOOKUP($A35,'Data shares'!$C:$FM,106)</f>
        <v>35.18</v>
      </c>
      <c r="F35" s="50">
        <f>VLOOKUP($A35,'Data shares'!$C:$FM,108)</f>
        <v>-1.3</v>
      </c>
      <c r="G35" s="50">
        <f t="shared" si="0"/>
        <v>0.96304718590108029</v>
      </c>
    </row>
    <row r="36" spans="1:7" x14ac:dyDescent="0.25">
      <c r="A36" s="49" t="str">
        <f>'Data Vlaue (Cr)'!C31</f>
        <v>BHARATFORG</v>
      </c>
      <c r="B36" s="50">
        <f>VLOOKUP($A36,'Data shares'!$C:$FM,102)</f>
        <v>31.75</v>
      </c>
      <c r="C36" s="50">
        <f>VLOOKUP($A36,'Data shares'!$C:$FM,110)</f>
        <v>31.59</v>
      </c>
      <c r="D36" s="50">
        <f>VLOOKUP($A36,'Data shares'!$C:$FM,114)</f>
        <v>31.99</v>
      </c>
      <c r="E36" s="50">
        <f>VLOOKUP($A36,'Data shares'!$C:$FM,106)</f>
        <v>36.01</v>
      </c>
      <c r="F36" s="50">
        <f>VLOOKUP($A36,'Data shares'!$C:$FM,108)</f>
        <v>-4.26</v>
      </c>
      <c r="G36" s="50">
        <f t="shared" si="0"/>
        <v>0.88169952790891426</v>
      </c>
    </row>
    <row r="37" spans="1:7" x14ac:dyDescent="0.25">
      <c r="A37" s="49" t="str">
        <f>'Data Vlaue (Cr)'!C32</f>
        <v>BHARTIARTL</v>
      </c>
      <c r="B37" s="50">
        <f>VLOOKUP($A37,'Data shares'!$C:$FM,102)</f>
        <v>21.58</v>
      </c>
      <c r="C37" s="50">
        <f>VLOOKUP($A37,'Data shares'!$C:$FM,110)</f>
        <v>21.26</v>
      </c>
      <c r="D37" s="50">
        <f>VLOOKUP($A37,'Data shares'!$C:$FM,114)</f>
        <v>22.04</v>
      </c>
      <c r="E37" s="50">
        <f>VLOOKUP($A37,'Data shares'!$C:$FM,106)</f>
        <v>23.81</v>
      </c>
      <c r="F37" s="50">
        <f>VLOOKUP($A37,'Data shares'!$C:$FM,108)</f>
        <v>-2.23</v>
      </c>
      <c r="G37" s="50">
        <f t="shared" si="0"/>
        <v>0.90634187316253667</v>
      </c>
    </row>
    <row r="38" spans="1:7" x14ac:dyDescent="0.25">
      <c r="A38" s="49" t="str">
        <f>'Data Vlaue (Cr)'!C33</f>
        <v>BHEL</v>
      </c>
      <c r="B38" s="50">
        <f>VLOOKUP($A38,'Data shares'!$C:$FM,102)</f>
        <v>38.770000000000003</v>
      </c>
      <c r="C38" s="50">
        <f>VLOOKUP($A38,'Data shares'!$C:$FM,110)</f>
        <v>38.950000000000003</v>
      </c>
      <c r="D38" s="50">
        <f>VLOOKUP($A38,'Data shares'!$C:$FM,114)</f>
        <v>38.25</v>
      </c>
      <c r="E38" s="50">
        <f>VLOOKUP($A38,'Data shares'!$C:$FM,106)</f>
        <v>45.46</v>
      </c>
      <c r="F38" s="50">
        <f>VLOOKUP($A38,'Data shares'!$C:$FM,108)</f>
        <v>-6.69</v>
      </c>
      <c r="G38" s="50">
        <f t="shared" si="0"/>
        <v>0.85283765948086232</v>
      </c>
    </row>
    <row r="39" spans="1:7" x14ac:dyDescent="0.25">
      <c r="A39" s="49" t="str">
        <f>'Data Vlaue (Cr)'!C34</f>
        <v>BIOCON</v>
      </c>
      <c r="B39" s="50">
        <f>VLOOKUP($A39,'Data shares'!$C:$FM,102)</f>
        <v>31.37</v>
      </c>
      <c r="C39" s="50">
        <f>VLOOKUP($A39,'Data shares'!$C:$FM,110)</f>
        <v>31.28</v>
      </c>
      <c r="D39" s="50">
        <f>VLOOKUP($A39,'Data shares'!$C:$FM,114)</f>
        <v>31.5</v>
      </c>
      <c r="E39" s="50">
        <f>VLOOKUP($A39,'Data shares'!$C:$FM,106)</f>
        <v>37.25</v>
      </c>
      <c r="F39" s="50">
        <f>VLOOKUP($A39,'Data shares'!$C:$FM,108)</f>
        <v>-5.88</v>
      </c>
      <c r="G39" s="50">
        <f t="shared" ref="G39:G70" si="1">B39/E39</f>
        <v>0.84214765100671141</v>
      </c>
    </row>
    <row r="40" spans="1:7" x14ac:dyDescent="0.25">
      <c r="A40" s="49" t="str">
        <f>'Data Vlaue (Cr)'!C35</f>
        <v>BLUESTARCO</v>
      </c>
      <c r="B40" s="50">
        <f>VLOOKUP($A40,'Data shares'!$C:$FM,102)</f>
        <v>33.56</v>
      </c>
      <c r="C40" s="50">
        <f>VLOOKUP($A40,'Data shares'!$C:$FM,110)</f>
        <v>34.58</v>
      </c>
      <c r="D40" s="50">
        <f>VLOOKUP($A40,'Data shares'!$C:$FM,114)</f>
        <v>32.79</v>
      </c>
      <c r="E40" s="50">
        <f>VLOOKUP($A40,'Data shares'!$C:$FM,106)</f>
        <v>38.85</v>
      </c>
      <c r="F40" s="50">
        <f>VLOOKUP($A40,'Data shares'!$C:$FM,108)</f>
        <v>-5.29</v>
      </c>
      <c r="G40" s="50">
        <f t="shared" si="1"/>
        <v>0.86383526383526388</v>
      </c>
    </row>
    <row r="41" spans="1:7" x14ac:dyDescent="0.25">
      <c r="A41" s="49" t="str">
        <f>'Data Vlaue (Cr)'!C36</f>
        <v>BOSCHLTD</v>
      </c>
      <c r="B41" s="50">
        <f>VLOOKUP($A41,'Data shares'!$C:$FM,102)</f>
        <v>28.92</v>
      </c>
      <c r="C41" s="50">
        <f>VLOOKUP($A41,'Data shares'!$C:$FM,110)</f>
        <v>28.37</v>
      </c>
      <c r="D41" s="50">
        <f>VLOOKUP($A41,'Data shares'!$C:$FM,114)</f>
        <v>30.03</v>
      </c>
      <c r="E41" s="50">
        <f>VLOOKUP($A41,'Data shares'!$C:$FM,106)</f>
        <v>29.18</v>
      </c>
      <c r="F41" s="50">
        <f>VLOOKUP($A41,'Data shares'!$C:$FM,108)</f>
        <v>-0.26</v>
      </c>
      <c r="G41" s="50">
        <f t="shared" si="1"/>
        <v>0.99108978752570265</v>
      </c>
    </row>
    <row r="42" spans="1:7" x14ac:dyDescent="0.25">
      <c r="A42" s="49" t="str">
        <f>'Data Vlaue (Cr)'!C37</f>
        <v>BPCL</v>
      </c>
      <c r="B42" s="50">
        <f>VLOOKUP($A42,'Data shares'!$C:$FM,102)</f>
        <v>29.81</v>
      </c>
      <c r="C42" s="50">
        <f>VLOOKUP($A42,'Data shares'!$C:$FM,110)</f>
        <v>29.44</v>
      </c>
      <c r="D42" s="50">
        <f>VLOOKUP($A42,'Data shares'!$C:$FM,114)</f>
        <v>30.22</v>
      </c>
      <c r="E42" s="50">
        <f>VLOOKUP($A42,'Data shares'!$C:$FM,106)</f>
        <v>32.07</v>
      </c>
      <c r="F42" s="50">
        <f>VLOOKUP($A42,'Data shares'!$C:$FM,108)</f>
        <v>-2.2599999999999998</v>
      </c>
      <c r="G42" s="50">
        <f t="shared" si="1"/>
        <v>0.92952915497349542</v>
      </c>
    </row>
    <row r="43" spans="1:7" x14ac:dyDescent="0.25">
      <c r="A43" s="49" t="str">
        <f>'Data Vlaue (Cr)'!C38</f>
        <v>BRITANNIA</v>
      </c>
      <c r="B43" s="50">
        <f>VLOOKUP($A43,'Data shares'!$C:$FM,102)</f>
        <v>24.76</v>
      </c>
      <c r="C43" s="50">
        <f>VLOOKUP($A43,'Data shares'!$C:$FM,110)</f>
        <v>24.87</v>
      </c>
      <c r="D43" s="50">
        <f>VLOOKUP($A43,'Data shares'!$C:$FM,114)</f>
        <v>24.49</v>
      </c>
      <c r="E43" s="50">
        <f>VLOOKUP($A43,'Data shares'!$C:$FM,106)</f>
        <v>23.63</v>
      </c>
      <c r="F43" s="50">
        <f>VLOOKUP($A43,'Data shares'!$C:$FM,108)</f>
        <v>1.1299999999999999</v>
      </c>
      <c r="G43" s="50">
        <f t="shared" si="1"/>
        <v>1.0478205670757512</v>
      </c>
    </row>
    <row r="44" spans="1:7" x14ac:dyDescent="0.25">
      <c r="A44" s="49" t="str">
        <f>'Data Vlaue (Cr)'!C39</f>
        <v>BSE</v>
      </c>
      <c r="B44" s="50">
        <f>VLOOKUP($A44,'Data shares'!$C:$FM,102)</f>
        <v>41.82</v>
      </c>
      <c r="C44" s="50">
        <f>VLOOKUP($A44,'Data shares'!$C:$FM,110)</f>
        <v>41.63</v>
      </c>
      <c r="D44" s="50">
        <f>VLOOKUP($A44,'Data shares'!$C:$FM,114)</f>
        <v>42.17</v>
      </c>
      <c r="E44" s="50">
        <f>VLOOKUP($A44,'Data shares'!$C:$FM,106)</f>
        <v>58.44</v>
      </c>
      <c r="F44" s="50">
        <f>VLOOKUP($A44,'Data shares'!$C:$FM,108)</f>
        <v>-16.62</v>
      </c>
      <c r="G44" s="50">
        <f t="shared" si="1"/>
        <v>0.71560574948665301</v>
      </c>
    </row>
    <row r="45" spans="1:7" x14ac:dyDescent="0.25">
      <c r="A45" s="49" t="str">
        <f>'Data Vlaue (Cr)'!C40</f>
        <v>CAMS</v>
      </c>
      <c r="B45" s="50">
        <f>VLOOKUP($A45,'Data shares'!$C:$FM,102)</f>
        <v>31.16</v>
      </c>
      <c r="C45" s="50">
        <f>VLOOKUP($A45,'Data shares'!$C:$FM,110)</f>
        <v>31.63</v>
      </c>
      <c r="D45" s="50">
        <f>VLOOKUP($A45,'Data shares'!$C:$FM,114)</f>
        <v>30.42</v>
      </c>
      <c r="E45" s="50">
        <f>VLOOKUP($A45,'Data shares'!$C:$FM,106)</f>
        <v>39.28</v>
      </c>
      <c r="F45" s="50">
        <f>VLOOKUP($A45,'Data shares'!$C:$FM,108)</f>
        <v>-8.1199999999999992</v>
      </c>
      <c r="G45" s="50">
        <f t="shared" si="1"/>
        <v>0.79327902240325865</v>
      </c>
    </row>
    <row r="46" spans="1:7" x14ac:dyDescent="0.25">
      <c r="A46" s="49" t="str">
        <f>'Data Vlaue (Cr)'!C41</f>
        <v>CANBK</v>
      </c>
      <c r="B46" s="50">
        <f>VLOOKUP($A46,'Data shares'!$C:$FM,102)</f>
        <v>34.78</v>
      </c>
      <c r="C46" s="50">
        <f>VLOOKUP($A46,'Data shares'!$C:$FM,110)</f>
        <v>34.56</v>
      </c>
      <c r="D46" s="50">
        <f>VLOOKUP($A46,'Data shares'!$C:$FM,114)</f>
        <v>35.11</v>
      </c>
      <c r="E46" s="50">
        <f>VLOOKUP($A46,'Data shares'!$C:$FM,106)</f>
        <v>34.840000000000003</v>
      </c>
      <c r="F46" s="50">
        <f>VLOOKUP($A46,'Data shares'!$C:$FM,108)</f>
        <v>-0.06</v>
      </c>
      <c r="G46" s="50">
        <f t="shared" si="1"/>
        <v>0.99827784156142363</v>
      </c>
    </row>
    <row r="47" spans="1:7" x14ac:dyDescent="0.25">
      <c r="A47" s="49" t="str">
        <f>'Data Vlaue (Cr)'!C42</f>
        <v>CDSL</v>
      </c>
      <c r="B47" s="50">
        <f>VLOOKUP($A47,'Data shares'!$C:$FM,102)</f>
        <v>36.11</v>
      </c>
      <c r="C47" s="50">
        <f>VLOOKUP($A47,'Data shares'!$C:$FM,110)</f>
        <v>36.36</v>
      </c>
      <c r="D47" s="50">
        <f>VLOOKUP($A47,'Data shares'!$C:$FM,114)</f>
        <v>35.700000000000003</v>
      </c>
      <c r="E47" s="50">
        <f>VLOOKUP($A47,'Data shares'!$C:$FM,106)</f>
        <v>43.75</v>
      </c>
      <c r="F47" s="50">
        <f>VLOOKUP($A47,'Data shares'!$C:$FM,108)</f>
        <v>-7.64</v>
      </c>
      <c r="G47" s="50">
        <f t="shared" si="1"/>
        <v>0.82537142857142853</v>
      </c>
    </row>
    <row r="48" spans="1:7" x14ac:dyDescent="0.25">
      <c r="A48" s="49" t="str">
        <f>'Data Vlaue (Cr)'!C43</f>
        <v>CGPOWER</v>
      </c>
      <c r="B48" s="50">
        <f>VLOOKUP($A48,'Data shares'!$C:$FM,102)</f>
        <v>40.65</v>
      </c>
      <c r="C48" s="50">
        <f>VLOOKUP($A48,'Data shares'!$C:$FM,110)</f>
        <v>39.950000000000003</v>
      </c>
      <c r="D48" s="50">
        <f>VLOOKUP($A48,'Data shares'!$C:$FM,114)</f>
        <v>41.77</v>
      </c>
      <c r="E48" s="50">
        <f>VLOOKUP($A48,'Data shares'!$C:$FM,106)</f>
        <v>38.9</v>
      </c>
      <c r="F48" s="50">
        <f>VLOOKUP($A48,'Data shares'!$C:$FM,108)</f>
        <v>1.75</v>
      </c>
      <c r="G48" s="50">
        <f t="shared" si="1"/>
        <v>1.044987146529563</v>
      </c>
    </row>
    <row r="49" spans="1:7" x14ac:dyDescent="0.25">
      <c r="A49" s="49" t="str">
        <f>'Data Vlaue (Cr)'!C44</f>
        <v>CHOLAFIN</v>
      </c>
      <c r="B49" s="50">
        <f>VLOOKUP($A49,'Data shares'!$C:$FM,102)</f>
        <v>32.979999999999997</v>
      </c>
      <c r="C49" s="50">
        <f>VLOOKUP($A49,'Data shares'!$C:$FM,110)</f>
        <v>32.22</v>
      </c>
      <c r="D49" s="50">
        <f>VLOOKUP($A49,'Data shares'!$C:$FM,114)</f>
        <v>33.93</v>
      </c>
      <c r="E49" s="50">
        <f>VLOOKUP($A49,'Data shares'!$C:$FM,106)</f>
        <v>37.07</v>
      </c>
      <c r="F49" s="50">
        <f>VLOOKUP($A49,'Data shares'!$C:$FM,108)</f>
        <v>-4.09</v>
      </c>
      <c r="G49" s="50">
        <f t="shared" si="1"/>
        <v>0.88966819530617736</v>
      </c>
    </row>
    <row r="50" spans="1:7" x14ac:dyDescent="0.25">
      <c r="A50" s="49" t="str">
        <f>'Data Vlaue (Cr)'!C45</f>
        <v>CIPLA</v>
      </c>
      <c r="B50" s="50">
        <f>VLOOKUP($A50,'Data shares'!$C:$FM,102)</f>
        <v>25.02</v>
      </c>
      <c r="C50" s="50">
        <f>VLOOKUP($A50,'Data shares'!$C:$FM,110)</f>
        <v>25.31</v>
      </c>
      <c r="D50" s="50">
        <f>VLOOKUP($A50,'Data shares'!$C:$FM,114)</f>
        <v>24.46</v>
      </c>
      <c r="E50" s="50">
        <f>VLOOKUP($A50,'Data shares'!$C:$FM,106)</f>
        <v>25.49</v>
      </c>
      <c r="F50" s="50">
        <f>VLOOKUP($A50,'Data shares'!$C:$FM,108)</f>
        <v>-0.47</v>
      </c>
      <c r="G50" s="50">
        <f t="shared" si="1"/>
        <v>0.98156139662612796</v>
      </c>
    </row>
    <row r="51" spans="1:7" x14ac:dyDescent="0.25">
      <c r="A51" s="49" t="str">
        <f>'Data Vlaue (Cr)'!C46</f>
        <v>COALINDIA</v>
      </c>
      <c r="B51" s="50">
        <f>VLOOKUP($A51,'Data shares'!$C:$FM,102)</f>
        <v>24.28</v>
      </c>
      <c r="C51" s="50">
        <f>VLOOKUP($A51,'Data shares'!$C:$FM,110)</f>
        <v>24.31</v>
      </c>
      <c r="D51" s="50">
        <f>VLOOKUP($A51,'Data shares'!$C:$FM,114)</f>
        <v>24.23</v>
      </c>
      <c r="E51" s="50">
        <f>VLOOKUP($A51,'Data shares'!$C:$FM,106)</f>
        <v>28.32</v>
      </c>
      <c r="F51" s="50">
        <f>VLOOKUP($A51,'Data shares'!$C:$FM,108)</f>
        <v>-4.04</v>
      </c>
      <c r="G51" s="50">
        <f t="shared" si="1"/>
        <v>0.85734463276836159</v>
      </c>
    </row>
    <row r="52" spans="1:7" x14ac:dyDescent="0.25">
      <c r="A52" s="49" t="str">
        <f>'Data Vlaue (Cr)'!C47</f>
        <v>COFORGE</v>
      </c>
      <c r="B52" s="50">
        <f>VLOOKUP($A52,'Data shares'!$C:$FM,102)</f>
        <v>38.64</v>
      </c>
      <c r="C52" s="50">
        <f>VLOOKUP($A52,'Data shares'!$C:$FM,110)</f>
        <v>38.51</v>
      </c>
      <c r="D52" s="50">
        <f>VLOOKUP($A52,'Data shares'!$C:$FM,114)</f>
        <v>38.799999999999997</v>
      </c>
      <c r="E52" s="50">
        <f>VLOOKUP($A52,'Data shares'!$C:$FM,106)</f>
        <v>40.71</v>
      </c>
      <c r="F52" s="50">
        <f>VLOOKUP($A52,'Data shares'!$C:$FM,108)</f>
        <v>-2.0699999999999998</v>
      </c>
      <c r="G52" s="50">
        <f t="shared" si="1"/>
        <v>0.94915254237288138</v>
      </c>
    </row>
    <row r="53" spans="1:7" x14ac:dyDescent="0.25">
      <c r="A53" s="49" t="str">
        <f>'Data Vlaue (Cr)'!C48</f>
        <v>COLPAL</v>
      </c>
      <c r="B53" s="50">
        <f>VLOOKUP($A53,'Data shares'!$C:$FM,102)</f>
        <v>27.27</v>
      </c>
      <c r="C53" s="50">
        <f>VLOOKUP($A53,'Data shares'!$C:$FM,110)</f>
        <v>27.34</v>
      </c>
      <c r="D53" s="50">
        <f>VLOOKUP($A53,'Data shares'!$C:$FM,114)</f>
        <v>27.02</v>
      </c>
      <c r="E53" s="50">
        <f>VLOOKUP($A53,'Data shares'!$C:$FM,106)</f>
        <v>27.01</v>
      </c>
      <c r="F53" s="50">
        <f>VLOOKUP($A53,'Data shares'!$C:$FM,108)</f>
        <v>0.26</v>
      </c>
      <c r="G53" s="50">
        <f t="shared" si="1"/>
        <v>1.009626064420585</v>
      </c>
    </row>
    <row r="54" spans="1:7" x14ac:dyDescent="0.25">
      <c r="A54" s="49" t="str">
        <f>'Data Vlaue (Cr)'!C49</f>
        <v>CONCOR</v>
      </c>
      <c r="B54" s="50">
        <f>VLOOKUP($A54,'Data shares'!$C:$FM,102)</f>
        <v>29.63</v>
      </c>
      <c r="C54" s="50">
        <f>VLOOKUP($A54,'Data shares'!$C:$FM,110)</f>
        <v>30.03</v>
      </c>
      <c r="D54" s="50">
        <f>VLOOKUP($A54,'Data shares'!$C:$FM,114)</f>
        <v>29.13</v>
      </c>
      <c r="E54" s="50">
        <f>VLOOKUP($A54,'Data shares'!$C:$FM,106)</f>
        <v>33.06</v>
      </c>
      <c r="F54" s="50">
        <f>VLOOKUP($A54,'Data shares'!$C:$FM,108)</f>
        <v>-3.43</v>
      </c>
      <c r="G54" s="50">
        <f t="shared" si="1"/>
        <v>0.89624924379915294</v>
      </c>
    </row>
    <row r="55" spans="1:7" x14ac:dyDescent="0.25">
      <c r="A55" s="49" t="str">
        <f>'Data Vlaue (Cr)'!C50</f>
        <v>CROMPTON</v>
      </c>
      <c r="B55" s="50">
        <f>VLOOKUP($A55,'Data shares'!$C:$FM,102)</f>
        <v>34.96</v>
      </c>
      <c r="C55" s="50">
        <f>VLOOKUP($A55,'Data shares'!$C:$FM,110)</f>
        <v>35.1</v>
      </c>
      <c r="D55" s="50">
        <f>VLOOKUP($A55,'Data shares'!$C:$FM,114)</f>
        <v>34.51</v>
      </c>
      <c r="E55" s="50">
        <f>VLOOKUP($A55,'Data shares'!$C:$FM,106)</f>
        <v>30.87</v>
      </c>
      <c r="F55" s="50">
        <f>VLOOKUP($A55,'Data shares'!$C:$FM,108)</f>
        <v>4.09</v>
      </c>
      <c r="G55" s="50">
        <f t="shared" si="1"/>
        <v>1.132491091674765</v>
      </c>
    </row>
    <row r="56" spans="1:7" x14ac:dyDescent="0.25">
      <c r="A56" s="49" t="str">
        <f>'Data Vlaue (Cr)'!C51</f>
        <v>CUMMINSIND</v>
      </c>
      <c r="B56" s="50">
        <f>VLOOKUP($A56,'Data shares'!$C:$FM,102)</f>
        <v>31.33</v>
      </c>
      <c r="C56" s="50">
        <f>VLOOKUP($A56,'Data shares'!$C:$FM,110)</f>
        <v>30.94</v>
      </c>
      <c r="D56" s="50">
        <f>VLOOKUP($A56,'Data shares'!$C:$FM,114)</f>
        <v>31.68</v>
      </c>
      <c r="E56" s="50">
        <f>VLOOKUP($A56,'Data shares'!$C:$FM,106)</f>
        <v>33.54</v>
      </c>
      <c r="F56" s="50">
        <f>VLOOKUP($A56,'Data shares'!$C:$FM,108)</f>
        <v>-2.21</v>
      </c>
      <c r="G56" s="50">
        <f t="shared" si="1"/>
        <v>0.93410852713178294</v>
      </c>
    </row>
    <row r="57" spans="1:7" x14ac:dyDescent="0.25">
      <c r="A57" s="49" t="str">
        <f>'Data Vlaue (Cr)'!C52</f>
        <v>DABUR</v>
      </c>
      <c r="B57" s="50">
        <f>VLOOKUP($A57,'Data shares'!$C:$FM,102)</f>
        <v>27.77</v>
      </c>
      <c r="C57" s="50">
        <f>VLOOKUP($A57,'Data shares'!$C:$FM,110)</f>
        <v>27.75</v>
      </c>
      <c r="D57" s="50">
        <f>VLOOKUP($A57,'Data shares'!$C:$FM,114)</f>
        <v>27.8</v>
      </c>
      <c r="E57" s="50">
        <f>VLOOKUP($A57,'Data shares'!$C:$FM,106)</f>
        <v>24.6</v>
      </c>
      <c r="F57" s="50">
        <f>VLOOKUP($A57,'Data shares'!$C:$FM,108)</f>
        <v>3.17</v>
      </c>
      <c r="G57" s="50">
        <f t="shared" si="1"/>
        <v>1.128861788617886</v>
      </c>
    </row>
    <row r="58" spans="1:7" x14ac:dyDescent="0.25">
      <c r="A58" s="49" t="str">
        <f>'Data Vlaue (Cr)'!C53</f>
        <v>DALBHARAT</v>
      </c>
      <c r="B58" s="50">
        <f>VLOOKUP($A58,'Data shares'!$C:$FM,102)</f>
        <v>29.5</v>
      </c>
      <c r="C58" s="50">
        <f>VLOOKUP($A58,'Data shares'!$C:$FM,110)</f>
        <v>30.03</v>
      </c>
      <c r="D58" s="50">
        <f>VLOOKUP($A58,'Data shares'!$C:$FM,114)</f>
        <v>28.19</v>
      </c>
      <c r="E58" s="50">
        <f>VLOOKUP($A58,'Data shares'!$C:$FM,106)</f>
        <v>29.58</v>
      </c>
      <c r="F58" s="50">
        <f>VLOOKUP($A58,'Data shares'!$C:$FM,108)</f>
        <v>-0.08</v>
      </c>
      <c r="G58" s="50">
        <f t="shared" si="1"/>
        <v>0.99729546991210283</v>
      </c>
    </row>
    <row r="59" spans="1:7" x14ac:dyDescent="0.25">
      <c r="A59" s="49" t="str">
        <f>'Data Vlaue (Cr)'!C54</f>
        <v>DELHIVERY</v>
      </c>
      <c r="B59" s="50">
        <f>VLOOKUP($A59,'Data shares'!$C:$FM,102)</f>
        <v>32.75</v>
      </c>
      <c r="C59" s="50">
        <f>VLOOKUP($A59,'Data shares'!$C:$FM,110)</f>
        <v>33.130000000000003</v>
      </c>
      <c r="D59" s="50">
        <f>VLOOKUP($A59,'Data shares'!$C:$FM,114)</f>
        <v>31.98</v>
      </c>
      <c r="E59" s="50">
        <f>VLOOKUP($A59,'Data shares'!$C:$FM,106)</f>
        <v>40.03</v>
      </c>
      <c r="F59" s="50">
        <f>VLOOKUP($A59,'Data shares'!$C:$FM,108)</f>
        <v>-7.28</v>
      </c>
      <c r="G59" s="50">
        <f t="shared" si="1"/>
        <v>0.81813639770172364</v>
      </c>
    </row>
    <row r="60" spans="1:7" x14ac:dyDescent="0.25">
      <c r="A60" s="49" t="str">
        <f>'Data Vlaue (Cr)'!C55</f>
        <v>DIVISLAB</v>
      </c>
      <c r="B60" s="50">
        <f>VLOOKUP($A60,'Data shares'!$C:$FM,102)</f>
        <v>27.99</v>
      </c>
      <c r="C60" s="50">
        <f>VLOOKUP($A60,'Data shares'!$C:$FM,110)</f>
        <v>28.64</v>
      </c>
      <c r="D60" s="50">
        <f>VLOOKUP($A60,'Data shares'!$C:$FM,114)</f>
        <v>27.13</v>
      </c>
      <c r="E60" s="50">
        <f>VLOOKUP($A60,'Data shares'!$C:$FM,106)</f>
        <v>29.94</v>
      </c>
      <c r="F60" s="50">
        <f>VLOOKUP($A60,'Data shares'!$C:$FM,108)</f>
        <v>-1.95</v>
      </c>
      <c r="G60" s="50">
        <f t="shared" si="1"/>
        <v>0.9348697394789578</v>
      </c>
    </row>
    <row r="61" spans="1:7" x14ac:dyDescent="0.25">
      <c r="A61" s="49" t="str">
        <f>'Data Vlaue (Cr)'!C56</f>
        <v>DIXON</v>
      </c>
      <c r="B61" s="50">
        <f>VLOOKUP($A61,'Data shares'!$C:$FM,102)</f>
        <v>45.97</v>
      </c>
      <c r="C61" s="50">
        <f>VLOOKUP($A61,'Data shares'!$C:$FM,110)</f>
        <v>46.01</v>
      </c>
      <c r="D61" s="50">
        <f>VLOOKUP($A61,'Data shares'!$C:$FM,114)</f>
        <v>45.91</v>
      </c>
      <c r="E61" s="50">
        <f>VLOOKUP($A61,'Data shares'!$C:$FM,106)</f>
        <v>44.64</v>
      </c>
      <c r="F61" s="50">
        <f>VLOOKUP($A61,'Data shares'!$C:$FM,108)</f>
        <v>1.33</v>
      </c>
      <c r="G61" s="50">
        <f t="shared" si="1"/>
        <v>1.0297939068100359</v>
      </c>
    </row>
    <row r="62" spans="1:7" x14ac:dyDescent="0.25">
      <c r="A62" s="49" t="str">
        <f>'Data Vlaue (Cr)'!C57</f>
        <v>DLF</v>
      </c>
      <c r="B62" s="50">
        <f>VLOOKUP($A62,'Data shares'!$C:$FM,102)</f>
        <v>38.11</v>
      </c>
      <c r="C62" s="50">
        <f>VLOOKUP($A62,'Data shares'!$C:$FM,110)</f>
        <v>37.81</v>
      </c>
      <c r="D62" s="50">
        <f>VLOOKUP($A62,'Data shares'!$C:$FM,114)</f>
        <v>38.549999999999997</v>
      </c>
      <c r="E62" s="50">
        <f>VLOOKUP($A62,'Data shares'!$C:$FM,106)</f>
        <v>34.43</v>
      </c>
      <c r="F62" s="50">
        <f>VLOOKUP($A62,'Data shares'!$C:$FM,108)</f>
        <v>3.68</v>
      </c>
      <c r="G62" s="50">
        <f t="shared" si="1"/>
        <v>1.1068835318036596</v>
      </c>
    </row>
    <row r="63" spans="1:7" x14ac:dyDescent="0.25">
      <c r="A63" s="49" t="str">
        <f>'Data Vlaue (Cr)'!C58</f>
        <v>DMART</v>
      </c>
      <c r="B63" s="50">
        <f>VLOOKUP($A63,'Data shares'!$C:$FM,102)</f>
        <v>27.05</v>
      </c>
      <c r="C63" s="50">
        <f>VLOOKUP($A63,'Data shares'!$C:$FM,110)</f>
        <v>27</v>
      </c>
      <c r="D63" s="50">
        <f>VLOOKUP($A63,'Data shares'!$C:$FM,114)</f>
        <v>27.14</v>
      </c>
      <c r="E63" s="50">
        <f>VLOOKUP($A63,'Data shares'!$C:$FM,106)</f>
        <v>30.52</v>
      </c>
      <c r="F63" s="50">
        <f>VLOOKUP($A63,'Data shares'!$C:$FM,108)</f>
        <v>-3.47</v>
      </c>
      <c r="G63" s="50">
        <f t="shared" si="1"/>
        <v>0.88630406290956754</v>
      </c>
    </row>
    <row r="64" spans="1:7" x14ac:dyDescent="0.25">
      <c r="A64" s="49" t="str">
        <f>'Data Vlaue (Cr)'!C59</f>
        <v>DRREDDY</v>
      </c>
      <c r="B64" s="50">
        <f>VLOOKUP($A64,'Data shares'!$C:$FM,102)</f>
        <v>24.39</v>
      </c>
      <c r="C64" s="50">
        <f>VLOOKUP($A64,'Data shares'!$C:$FM,110)</f>
        <v>23.82</v>
      </c>
      <c r="D64" s="50">
        <f>VLOOKUP($A64,'Data shares'!$C:$FM,114)</f>
        <v>25.28</v>
      </c>
      <c r="E64" s="50">
        <f>VLOOKUP($A64,'Data shares'!$C:$FM,106)</f>
        <v>24.54</v>
      </c>
      <c r="F64" s="50">
        <f>VLOOKUP($A64,'Data shares'!$C:$FM,108)</f>
        <v>-0.15</v>
      </c>
      <c r="G64" s="50">
        <f t="shared" si="1"/>
        <v>0.99388753056234724</v>
      </c>
    </row>
    <row r="65" spans="1:7" x14ac:dyDescent="0.25">
      <c r="A65" s="49" t="str">
        <f>'Data Vlaue (Cr)'!C60</f>
        <v>EICHERMOT</v>
      </c>
      <c r="B65" s="50">
        <f>VLOOKUP($A65,'Data shares'!$C:$FM,102)</f>
        <v>26.75</v>
      </c>
      <c r="C65" s="50">
        <f>VLOOKUP($A65,'Data shares'!$C:$FM,110)</f>
        <v>27.09</v>
      </c>
      <c r="D65" s="50">
        <f>VLOOKUP($A65,'Data shares'!$C:$FM,114)</f>
        <v>26.24</v>
      </c>
      <c r="E65" s="50">
        <f>VLOOKUP($A65,'Data shares'!$C:$FM,106)</f>
        <v>26.29</v>
      </c>
      <c r="F65" s="50">
        <f>VLOOKUP($A65,'Data shares'!$C:$FM,108)</f>
        <v>0.46</v>
      </c>
      <c r="G65" s="50">
        <f t="shared" si="1"/>
        <v>1.0174971472042602</v>
      </c>
    </row>
    <row r="66" spans="1:7" x14ac:dyDescent="0.25">
      <c r="A66" s="49" t="str">
        <f>'Data Vlaue (Cr)'!C61</f>
        <v>ETERNAL</v>
      </c>
      <c r="B66" s="50">
        <f>VLOOKUP($A66,'Data shares'!$C:$FM,102)</f>
        <v>41.59</v>
      </c>
      <c r="C66" s="50">
        <f>VLOOKUP($A66,'Data shares'!$C:$FM,110)</f>
        <v>41.61</v>
      </c>
      <c r="D66" s="50">
        <f>VLOOKUP($A66,'Data shares'!$C:$FM,114)</f>
        <v>41.55</v>
      </c>
      <c r="E66" s="50">
        <f>VLOOKUP($A66,'Data shares'!$C:$FM,106)</f>
        <v>43.44</v>
      </c>
      <c r="F66" s="50">
        <f>VLOOKUP($A66,'Data shares'!$C:$FM,108)</f>
        <v>-1.85</v>
      </c>
      <c r="G66" s="50">
        <f t="shared" si="1"/>
        <v>0.95741252302025792</v>
      </c>
    </row>
    <row r="67" spans="1:7" x14ac:dyDescent="0.25">
      <c r="A67" s="49" t="str">
        <f>'Data Vlaue (Cr)'!C62</f>
        <v>EXIDEIND</v>
      </c>
      <c r="B67" s="50">
        <f>VLOOKUP($A67,'Data shares'!$C:$FM,102)</f>
        <v>28.58</v>
      </c>
      <c r="C67" s="50">
        <f>VLOOKUP($A67,'Data shares'!$C:$FM,110)</f>
        <v>28.11</v>
      </c>
      <c r="D67" s="50">
        <f>VLOOKUP($A67,'Data shares'!$C:$FM,114)</f>
        <v>29.27</v>
      </c>
      <c r="E67" s="50">
        <f>VLOOKUP($A67,'Data shares'!$C:$FM,106)</f>
        <v>32.75</v>
      </c>
      <c r="F67" s="50">
        <f>VLOOKUP($A67,'Data shares'!$C:$FM,108)</f>
        <v>-4.17</v>
      </c>
      <c r="G67" s="50">
        <f t="shared" si="1"/>
        <v>0.87267175572519073</v>
      </c>
    </row>
    <row r="68" spans="1:7" x14ac:dyDescent="0.25">
      <c r="A68" s="49" t="str">
        <f>'Data Vlaue (Cr)'!C63</f>
        <v>FEDERALBNK</v>
      </c>
      <c r="B68" s="50">
        <f>VLOOKUP($A68,'Data shares'!$C:$FM,102)</f>
        <v>27.91</v>
      </c>
      <c r="C68" s="50">
        <f>VLOOKUP($A68,'Data shares'!$C:$FM,110)</f>
        <v>27.06</v>
      </c>
      <c r="D68" s="50">
        <f>VLOOKUP($A68,'Data shares'!$C:$FM,114)</f>
        <v>28.89</v>
      </c>
      <c r="E68" s="50">
        <f>VLOOKUP($A68,'Data shares'!$C:$FM,106)</f>
        <v>30.69</v>
      </c>
      <c r="F68" s="50">
        <f>VLOOKUP($A68,'Data shares'!$C:$FM,108)</f>
        <v>-2.78</v>
      </c>
      <c r="G68" s="50">
        <f t="shared" si="1"/>
        <v>0.90941674812642548</v>
      </c>
    </row>
    <row r="69" spans="1:7" x14ac:dyDescent="0.25">
      <c r="A69" s="49" t="str">
        <f>'Data Vlaue (Cr)'!C64</f>
        <v>FINNIFTY</v>
      </c>
      <c r="B69" s="50">
        <f>VLOOKUP($A69,'Data shares'!$C:$FM,102)</f>
        <v>14.35</v>
      </c>
      <c r="C69" s="50">
        <f>VLOOKUP($A69,'Data shares'!$C:$FM,110)</f>
        <v>13.76</v>
      </c>
      <c r="D69" s="50">
        <f>VLOOKUP($A69,'Data shares'!$C:$FM,114)</f>
        <v>15.28</v>
      </c>
      <c r="E69" s="50">
        <f>VLOOKUP($A69,'Data shares'!$C:$FM,106)</f>
        <v>16.04</v>
      </c>
      <c r="F69" s="50">
        <f>VLOOKUP($A69,'Data shares'!$C:$FM,108)</f>
        <v>-1.69</v>
      </c>
      <c r="G69" s="50">
        <f t="shared" si="1"/>
        <v>0.89463840399002492</v>
      </c>
    </row>
    <row r="70" spans="1:7" x14ac:dyDescent="0.25">
      <c r="A70" s="49" t="str">
        <f>'Data Vlaue (Cr)'!C65</f>
        <v>FORTIS</v>
      </c>
      <c r="B70" s="50">
        <f>VLOOKUP($A70,'Data shares'!$C:$FM,102)</f>
        <v>31.64</v>
      </c>
      <c r="C70" s="50">
        <f>VLOOKUP($A70,'Data shares'!$C:$FM,110)</f>
        <v>31.7</v>
      </c>
      <c r="D70" s="50">
        <f>VLOOKUP($A70,'Data shares'!$C:$FM,114)</f>
        <v>31.45</v>
      </c>
      <c r="E70" s="50">
        <f>VLOOKUP($A70,'Data shares'!$C:$FM,106)</f>
        <v>35.03</v>
      </c>
      <c r="F70" s="50">
        <f>VLOOKUP($A70,'Data shares'!$C:$FM,108)</f>
        <v>-3.39</v>
      </c>
      <c r="G70" s="50">
        <f t="shared" si="1"/>
        <v>0.90322580645161288</v>
      </c>
    </row>
    <row r="71" spans="1:7" x14ac:dyDescent="0.25">
      <c r="A71" s="49" t="str">
        <f>'Data Vlaue (Cr)'!C66</f>
        <v>GAIL</v>
      </c>
      <c r="B71" s="50">
        <f>VLOOKUP($A71,'Data shares'!$C:$FM,102)</f>
        <v>27.97</v>
      </c>
      <c r="C71" s="50">
        <f>VLOOKUP($A71,'Data shares'!$C:$FM,110)</f>
        <v>27.93</v>
      </c>
      <c r="D71" s="50">
        <f>VLOOKUP($A71,'Data shares'!$C:$FM,114)</f>
        <v>28.03</v>
      </c>
      <c r="E71" s="50">
        <f>VLOOKUP($A71,'Data shares'!$C:$FM,106)</f>
        <v>33.39</v>
      </c>
      <c r="F71" s="50">
        <f>VLOOKUP($A71,'Data shares'!$C:$FM,108)</f>
        <v>-5.42</v>
      </c>
      <c r="G71" s="50">
        <f t="shared" ref="G71:G102" si="2">B71/E71</f>
        <v>0.837675950883498</v>
      </c>
    </row>
    <row r="72" spans="1:7" x14ac:dyDescent="0.25">
      <c r="A72" s="49" t="str">
        <f>'Data Vlaue (Cr)'!C67</f>
        <v>GLENMARK</v>
      </c>
      <c r="B72" s="50">
        <f>VLOOKUP($A72,'Data shares'!$C:$FM,102)</f>
        <v>31.74</v>
      </c>
      <c r="C72" s="50">
        <f>VLOOKUP($A72,'Data shares'!$C:$FM,110)</f>
        <v>31.9</v>
      </c>
      <c r="D72" s="50">
        <f>VLOOKUP($A72,'Data shares'!$C:$FM,114)</f>
        <v>31.44</v>
      </c>
      <c r="E72" s="50">
        <f>VLOOKUP($A72,'Data shares'!$C:$FM,106)</f>
        <v>35.25</v>
      </c>
      <c r="F72" s="50">
        <f>VLOOKUP($A72,'Data shares'!$C:$FM,108)</f>
        <v>-3.51</v>
      </c>
      <c r="G72" s="50">
        <f t="shared" si="2"/>
        <v>0.90042553191489361</v>
      </c>
    </row>
    <row r="73" spans="1:7" x14ac:dyDescent="0.25">
      <c r="A73" s="49" t="str">
        <f>'Data Vlaue (Cr)'!C68</f>
        <v>GMRAIRPORT</v>
      </c>
      <c r="B73" s="50">
        <f>VLOOKUP($A73,'Data shares'!$C:$FM,102)</f>
        <v>28.97</v>
      </c>
      <c r="C73" s="50">
        <f>VLOOKUP($A73,'Data shares'!$C:$FM,110)</f>
        <v>30.11</v>
      </c>
      <c r="D73" s="50">
        <f>VLOOKUP($A73,'Data shares'!$C:$FM,114)</f>
        <v>27.58</v>
      </c>
      <c r="E73" s="50">
        <f>VLOOKUP($A73,'Data shares'!$C:$FM,106)</f>
        <v>36.36</v>
      </c>
      <c r="F73" s="50">
        <f>VLOOKUP($A73,'Data shares'!$C:$FM,108)</f>
        <v>-7.39</v>
      </c>
      <c r="G73" s="50">
        <f t="shared" si="2"/>
        <v>0.79675467546754675</v>
      </c>
    </row>
    <row r="74" spans="1:7" x14ac:dyDescent="0.25">
      <c r="A74" s="49" t="str">
        <f>'Data Vlaue (Cr)'!C69</f>
        <v>GODREJCP</v>
      </c>
      <c r="B74" s="50">
        <f>VLOOKUP($A74,'Data shares'!$C:$FM,102)</f>
        <v>26.48</v>
      </c>
      <c r="C74" s="50">
        <f>VLOOKUP($A74,'Data shares'!$C:$FM,110)</f>
        <v>26.33</v>
      </c>
      <c r="D74" s="50">
        <f>VLOOKUP($A74,'Data shares'!$C:$FM,114)</f>
        <v>26.91</v>
      </c>
      <c r="E74" s="50">
        <f>VLOOKUP($A74,'Data shares'!$C:$FM,106)</f>
        <v>27.7</v>
      </c>
      <c r="F74" s="50">
        <f>VLOOKUP($A74,'Data shares'!$C:$FM,108)</f>
        <v>-1.22</v>
      </c>
      <c r="G74" s="50">
        <f t="shared" si="2"/>
        <v>0.95595667870036105</v>
      </c>
    </row>
    <row r="75" spans="1:7" x14ac:dyDescent="0.25">
      <c r="A75" s="49" t="str">
        <f>'Data Vlaue (Cr)'!C70</f>
        <v>GODREJPROP</v>
      </c>
      <c r="B75" s="50">
        <f>VLOOKUP($A75,'Data shares'!$C:$FM,102)</f>
        <v>45.51</v>
      </c>
      <c r="C75" s="50">
        <f>VLOOKUP($A75,'Data shares'!$C:$FM,110)</f>
        <v>46.13</v>
      </c>
      <c r="D75" s="50">
        <f>VLOOKUP($A75,'Data shares'!$C:$FM,114)</f>
        <v>44.46</v>
      </c>
      <c r="E75" s="50">
        <f>VLOOKUP($A75,'Data shares'!$C:$FM,106)</f>
        <v>42.99</v>
      </c>
      <c r="F75" s="50">
        <f>VLOOKUP($A75,'Data shares'!$C:$FM,108)</f>
        <v>2.52</v>
      </c>
      <c r="G75" s="50">
        <f t="shared" si="2"/>
        <v>1.0586182833217026</v>
      </c>
    </row>
    <row r="76" spans="1:7" x14ac:dyDescent="0.25">
      <c r="A76" s="49" t="str">
        <f>'Data Vlaue (Cr)'!C71</f>
        <v>GRASIM</v>
      </c>
      <c r="B76" s="50">
        <f>VLOOKUP($A76,'Data shares'!$C:$FM,102)</f>
        <v>21.11</v>
      </c>
      <c r="C76" s="50">
        <f>VLOOKUP($A76,'Data shares'!$C:$FM,110)</f>
        <v>20.94</v>
      </c>
      <c r="D76" s="50">
        <f>VLOOKUP($A76,'Data shares'!$C:$FM,114)</f>
        <v>21.28</v>
      </c>
      <c r="E76" s="50">
        <f>VLOOKUP($A76,'Data shares'!$C:$FM,106)</f>
        <v>24.9</v>
      </c>
      <c r="F76" s="50">
        <f>VLOOKUP($A76,'Data shares'!$C:$FM,108)</f>
        <v>-3.79</v>
      </c>
      <c r="G76" s="50">
        <f t="shared" si="2"/>
        <v>0.84779116465863458</v>
      </c>
    </row>
    <row r="77" spans="1:7" x14ac:dyDescent="0.25">
      <c r="A77" s="49" t="str">
        <f>'Data Vlaue (Cr)'!C72</f>
        <v>HAL</v>
      </c>
      <c r="B77" s="50">
        <f>VLOOKUP($A77,'Data shares'!$C:$FM,102)</f>
        <v>33.14</v>
      </c>
      <c r="C77" s="50">
        <f>VLOOKUP($A77,'Data shares'!$C:$FM,110)</f>
        <v>33.29</v>
      </c>
      <c r="D77" s="50">
        <f>VLOOKUP($A77,'Data shares'!$C:$FM,114)</f>
        <v>32.86</v>
      </c>
      <c r="E77" s="50">
        <f>VLOOKUP($A77,'Data shares'!$C:$FM,106)</f>
        <v>36.659999999999997</v>
      </c>
      <c r="F77" s="50">
        <f>VLOOKUP($A77,'Data shares'!$C:$FM,108)</f>
        <v>-3.52</v>
      </c>
      <c r="G77" s="50">
        <f t="shared" si="2"/>
        <v>0.90398254228041475</v>
      </c>
    </row>
    <row r="78" spans="1:7" x14ac:dyDescent="0.25">
      <c r="A78" s="49" t="str">
        <f>'Data Vlaue (Cr)'!C73</f>
        <v>HAVELLS</v>
      </c>
      <c r="B78" s="50">
        <f>VLOOKUP($A78,'Data shares'!$C:$FM,102)</f>
        <v>26.42</v>
      </c>
      <c r="C78" s="50">
        <f>VLOOKUP($A78,'Data shares'!$C:$FM,110)</f>
        <v>26.81</v>
      </c>
      <c r="D78" s="50">
        <f>VLOOKUP($A78,'Data shares'!$C:$FM,114)</f>
        <v>25.56</v>
      </c>
      <c r="E78" s="50">
        <f>VLOOKUP($A78,'Data shares'!$C:$FM,106)</f>
        <v>28.45</v>
      </c>
      <c r="F78" s="50">
        <f>VLOOKUP($A78,'Data shares'!$C:$FM,108)</f>
        <v>-2.0299999999999998</v>
      </c>
      <c r="G78" s="50">
        <f t="shared" si="2"/>
        <v>0.92864674868189812</v>
      </c>
    </row>
    <row r="79" spans="1:7" x14ac:dyDescent="0.25">
      <c r="A79" s="49" t="str">
        <f>'Data Vlaue (Cr)'!C74</f>
        <v>HCLTECH</v>
      </c>
      <c r="B79" s="50">
        <f>VLOOKUP($A79,'Data shares'!$C:$FM,102)</f>
        <v>21.39</v>
      </c>
      <c r="C79" s="50">
        <f>VLOOKUP($A79,'Data shares'!$C:$FM,110)</f>
        <v>21.11</v>
      </c>
      <c r="D79" s="50">
        <f>VLOOKUP($A79,'Data shares'!$C:$FM,114)</f>
        <v>21.88</v>
      </c>
      <c r="E79" s="50">
        <f>VLOOKUP($A79,'Data shares'!$C:$FM,106)</f>
        <v>27.42</v>
      </c>
      <c r="F79" s="50">
        <f>VLOOKUP($A79,'Data shares'!$C:$FM,108)</f>
        <v>-6.03</v>
      </c>
      <c r="G79" s="50">
        <f t="shared" si="2"/>
        <v>0.78008752735229758</v>
      </c>
    </row>
    <row r="80" spans="1:7" x14ac:dyDescent="0.25">
      <c r="A80" s="49" t="str">
        <f>'Data Vlaue (Cr)'!C75</f>
        <v>HDFCAMC</v>
      </c>
      <c r="B80" s="50">
        <f>VLOOKUP($A80,'Data shares'!$C:$FM,102)</f>
        <v>24.29</v>
      </c>
      <c r="C80" s="50">
        <f>VLOOKUP($A80,'Data shares'!$C:$FM,110)</f>
        <v>24.25</v>
      </c>
      <c r="D80" s="50">
        <f>VLOOKUP($A80,'Data shares'!$C:$FM,114)</f>
        <v>24.35</v>
      </c>
      <c r="E80" s="50">
        <f>VLOOKUP($A80,'Data shares'!$C:$FM,106)</f>
        <v>33.61</v>
      </c>
      <c r="F80" s="50">
        <f>VLOOKUP($A80,'Data shares'!$C:$FM,108)</f>
        <v>-9.32</v>
      </c>
      <c r="G80" s="50">
        <f t="shared" si="2"/>
        <v>0.72270157691163339</v>
      </c>
    </row>
    <row r="81" spans="1:7" x14ac:dyDescent="0.25">
      <c r="A81" s="49" t="str">
        <f>'Data Vlaue (Cr)'!C76</f>
        <v>HDFCBANK</v>
      </c>
      <c r="B81" s="50">
        <f>VLOOKUP($A81,'Data shares'!$C:$FM,102)</f>
        <v>20.48</v>
      </c>
      <c r="C81" s="50">
        <f>VLOOKUP($A81,'Data shares'!$C:$FM,110)</f>
        <v>20.7</v>
      </c>
      <c r="D81" s="50">
        <f>VLOOKUP($A81,'Data shares'!$C:$FM,114)</f>
        <v>19.899999999999999</v>
      </c>
      <c r="E81" s="50">
        <f>VLOOKUP($A81,'Data shares'!$C:$FM,106)</f>
        <v>19.62</v>
      </c>
      <c r="F81" s="50">
        <f>VLOOKUP($A81,'Data shares'!$C:$FM,108)</f>
        <v>0.86</v>
      </c>
      <c r="G81" s="50">
        <f t="shared" si="2"/>
        <v>1.0438328236493373</v>
      </c>
    </row>
    <row r="82" spans="1:7" x14ac:dyDescent="0.25">
      <c r="A82" s="49" t="str">
        <f>'Data Vlaue (Cr)'!C77</f>
        <v>HDFCLIFE</v>
      </c>
      <c r="B82" s="50">
        <f>VLOOKUP($A82,'Data shares'!$C:$FM,102)</f>
        <v>22.07</v>
      </c>
      <c r="C82" s="50">
        <f>VLOOKUP($A82,'Data shares'!$C:$FM,110)</f>
        <v>22.21</v>
      </c>
      <c r="D82" s="50">
        <f>VLOOKUP($A82,'Data shares'!$C:$FM,114)</f>
        <v>21.94</v>
      </c>
      <c r="E82" s="50">
        <f>VLOOKUP($A82,'Data shares'!$C:$FM,106)</f>
        <v>24.65</v>
      </c>
      <c r="F82" s="50">
        <f>VLOOKUP($A82,'Data shares'!$C:$FM,108)</f>
        <v>-2.58</v>
      </c>
      <c r="G82" s="50">
        <f t="shared" si="2"/>
        <v>0.89533468559837737</v>
      </c>
    </row>
    <row r="83" spans="1:7" x14ac:dyDescent="0.25">
      <c r="A83" s="49" t="str">
        <f>'Data Vlaue (Cr)'!C78</f>
        <v>HEROMOTOCO</v>
      </c>
      <c r="B83" s="50">
        <f>VLOOKUP($A83,'Data shares'!$C:$FM,102)</f>
        <v>28.21</v>
      </c>
      <c r="C83" s="50">
        <f>VLOOKUP($A83,'Data shares'!$C:$FM,110)</f>
        <v>28.66</v>
      </c>
      <c r="D83" s="50">
        <f>VLOOKUP($A83,'Data shares'!$C:$FM,114)</f>
        <v>27.42</v>
      </c>
      <c r="E83" s="50">
        <f>VLOOKUP($A83,'Data shares'!$C:$FM,106)</f>
        <v>29.94</v>
      </c>
      <c r="F83" s="50">
        <f>VLOOKUP($A83,'Data shares'!$C:$FM,108)</f>
        <v>-1.73</v>
      </c>
      <c r="G83" s="50">
        <f t="shared" si="2"/>
        <v>0.94221776887107545</v>
      </c>
    </row>
    <row r="84" spans="1:7" x14ac:dyDescent="0.25">
      <c r="A84" s="49" t="str">
        <f>'Data Vlaue (Cr)'!C79</f>
        <v>HINDALCO</v>
      </c>
      <c r="B84" s="50">
        <f>VLOOKUP($A84,'Data shares'!$C:$FM,102)</f>
        <v>29.43</v>
      </c>
      <c r="C84" s="50">
        <f>VLOOKUP($A84,'Data shares'!$C:$FM,110)</f>
        <v>29.47</v>
      </c>
      <c r="D84" s="50">
        <f>VLOOKUP($A84,'Data shares'!$C:$FM,114)</f>
        <v>29.39</v>
      </c>
      <c r="E84" s="50">
        <f>VLOOKUP($A84,'Data shares'!$C:$FM,106)</f>
        <v>32.29</v>
      </c>
      <c r="F84" s="50">
        <f>VLOOKUP($A84,'Data shares'!$C:$FM,108)</f>
        <v>-2.86</v>
      </c>
      <c r="G84" s="50">
        <f t="shared" si="2"/>
        <v>0.91142768659027562</v>
      </c>
    </row>
    <row r="85" spans="1:7" x14ac:dyDescent="0.25">
      <c r="A85" s="49" t="str">
        <f>'Data Vlaue (Cr)'!C80</f>
        <v>HINDPETRO</v>
      </c>
      <c r="B85" s="50">
        <f>VLOOKUP($A85,'Data shares'!$C:$FM,102)</f>
        <v>31.79</v>
      </c>
      <c r="C85" s="50">
        <f>VLOOKUP($A85,'Data shares'!$C:$FM,110)</f>
        <v>31.16</v>
      </c>
      <c r="D85" s="50">
        <f>VLOOKUP($A85,'Data shares'!$C:$FM,114)</f>
        <v>32.520000000000003</v>
      </c>
      <c r="E85" s="50">
        <f>VLOOKUP($A85,'Data shares'!$C:$FM,106)</f>
        <v>38.79</v>
      </c>
      <c r="F85" s="50">
        <f>VLOOKUP($A85,'Data shares'!$C:$FM,108)</f>
        <v>-7</v>
      </c>
      <c r="G85" s="50">
        <f t="shared" si="2"/>
        <v>0.8195411188450632</v>
      </c>
    </row>
    <row r="86" spans="1:7" x14ac:dyDescent="0.25">
      <c r="A86" s="49" t="str">
        <f>'Data Vlaue (Cr)'!C81</f>
        <v>HINDUNILVR</v>
      </c>
      <c r="B86" s="50">
        <f>VLOOKUP($A86,'Data shares'!$C:$FM,102)</f>
        <v>21.73</v>
      </c>
      <c r="C86" s="50">
        <f>VLOOKUP($A86,'Data shares'!$C:$FM,110)</f>
        <v>21.72</v>
      </c>
      <c r="D86" s="50">
        <f>VLOOKUP($A86,'Data shares'!$C:$FM,114)</f>
        <v>21.74</v>
      </c>
      <c r="E86" s="50">
        <f>VLOOKUP($A86,'Data shares'!$C:$FM,106)</f>
        <v>21.87</v>
      </c>
      <c r="F86" s="50">
        <f>VLOOKUP($A86,'Data shares'!$C:$FM,108)</f>
        <v>-0.14000000000000001</v>
      </c>
      <c r="G86" s="50">
        <f t="shared" si="2"/>
        <v>0.99359853680841337</v>
      </c>
    </row>
    <row r="87" spans="1:7" x14ac:dyDescent="0.25">
      <c r="A87" s="49" t="str">
        <f>'Data Vlaue (Cr)'!C82</f>
        <v>HINDZINC</v>
      </c>
      <c r="B87" s="50">
        <f>VLOOKUP($A87,'Data shares'!$C:$FM,102)</f>
        <v>48.9</v>
      </c>
      <c r="C87" s="50">
        <f>VLOOKUP($A87,'Data shares'!$C:$FM,110)</f>
        <v>49.4</v>
      </c>
      <c r="D87" s="50">
        <f>VLOOKUP($A87,'Data shares'!$C:$FM,114)</f>
        <v>47.92</v>
      </c>
      <c r="E87" s="50">
        <f>VLOOKUP($A87,'Data shares'!$C:$FM,106)</f>
        <v>44.6</v>
      </c>
      <c r="F87" s="50">
        <f>VLOOKUP($A87,'Data shares'!$C:$FM,108)</f>
        <v>4.3</v>
      </c>
      <c r="G87" s="50">
        <f t="shared" si="2"/>
        <v>1.0964125560538116</v>
      </c>
    </row>
    <row r="88" spans="1:7" x14ac:dyDescent="0.25">
      <c r="A88" s="49" t="str">
        <f>'Data Vlaue (Cr)'!C83</f>
        <v>HUDCO</v>
      </c>
      <c r="B88" s="50">
        <f>VLOOKUP($A88,'Data shares'!$C:$FM,102)</f>
        <v>38.96</v>
      </c>
      <c r="C88" s="50">
        <f>VLOOKUP($A88,'Data shares'!$C:$FM,110)</f>
        <v>39.369999999999997</v>
      </c>
      <c r="D88" s="50">
        <f>VLOOKUP($A88,'Data shares'!$C:$FM,114)</f>
        <v>38.35</v>
      </c>
      <c r="E88" s="50">
        <f>VLOOKUP($A88,'Data shares'!$C:$FM,106)</f>
        <v>49.67</v>
      </c>
      <c r="F88" s="50">
        <f>VLOOKUP($A88,'Data shares'!$C:$FM,108)</f>
        <v>-10.71</v>
      </c>
      <c r="G88" s="50">
        <f t="shared" si="2"/>
        <v>0.78437688745721768</v>
      </c>
    </row>
    <row r="89" spans="1:7" x14ac:dyDescent="0.25">
      <c r="A89" s="49" t="str">
        <f>'Data Vlaue (Cr)'!C84</f>
        <v>ICICIBANK</v>
      </c>
      <c r="B89" s="50">
        <f>VLOOKUP($A89,'Data shares'!$C:$FM,102)</f>
        <v>16.93</v>
      </c>
      <c r="C89" s="50">
        <f>VLOOKUP($A89,'Data shares'!$C:$FM,110)</f>
        <v>16.809999999999999</v>
      </c>
      <c r="D89" s="50">
        <f>VLOOKUP($A89,'Data shares'!$C:$FM,114)</f>
        <v>17.16</v>
      </c>
      <c r="E89" s="50">
        <f>VLOOKUP($A89,'Data shares'!$C:$FM,106)</f>
        <v>20.78</v>
      </c>
      <c r="F89" s="50">
        <f>VLOOKUP($A89,'Data shares'!$C:$FM,108)</f>
        <v>-3.85</v>
      </c>
      <c r="G89" s="50">
        <f t="shared" si="2"/>
        <v>0.81472569778633297</v>
      </c>
    </row>
    <row r="90" spans="1:7" x14ac:dyDescent="0.25">
      <c r="A90" s="49" t="str">
        <f>'Data Vlaue (Cr)'!C85</f>
        <v>ICICIGI</v>
      </c>
      <c r="B90" s="50">
        <f>VLOOKUP($A90,'Data shares'!$C:$FM,102)</f>
        <v>23.07</v>
      </c>
      <c r="C90" s="50">
        <f>VLOOKUP($A90,'Data shares'!$C:$FM,110)</f>
        <v>23.69</v>
      </c>
      <c r="D90" s="50">
        <f>VLOOKUP($A90,'Data shares'!$C:$FM,114)</f>
        <v>22.46</v>
      </c>
      <c r="E90" s="50">
        <f>VLOOKUP($A90,'Data shares'!$C:$FM,106)</f>
        <v>27.55</v>
      </c>
      <c r="F90" s="50">
        <f>VLOOKUP($A90,'Data shares'!$C:$FM,108)</f>
        <v>-4.4800000000000004</v>
      </c>
      <c r="G90" s="50">
        <f t="shared" si="2"/>
        <v>0.83738656987295823</v>
      </c>
    </row>
    <row r="91" spans="1:7" x14ac:dyDescent="0.25">
      <c r="A91" s="49" t="str">
        <f>'Data Vlaue (Cr)'!C86</f>
        <v>ICICIPRULI</v>
      </c>
      <c r="B91" s="50">
        <f>VLOOKUP($A91,'Data shares'!$C:$FM,102)</f>
        <v>26.03</v>
      </c>
      <c r="C91" s="50">
        <f>VLOOKUP($A91,'Data shares'!$C:$FM,110)</f>
        <v>25.93</v>
      </c>
      <c r="D91" s="50">
        <f>VLOOKUP($A91,'Data shares'!$C:$FM,114)</f>
        <v>26.28</v>
      </c>
      <c r="E91" s="50">
        <f>VLOOKUP($A91,'Data shares'!$C:$FM,106)</f>
        <v>26.76</v>
      </c>
      <c r="F91" s="50">
        <f>VLOOKUP($A91,'Data shares'!$C:$FM,108)</f>
        <v>-0.73</v>
      </c>
      <c r="G91" s="50">
        <f t="shared" si="2"/>
        <v>0.97272047832585951</v>
      </c>
    </row>
    <row r="92" spans="1:7" x14ac:dyDescent="0.25">
      <c r="A92" s="49" t="str">
        <f>'Data Vlaue (Cr)'!C87</f>
        <v>IDEA</v>
      </c>
      <c r="B92" s="50">
        <f>VLOOKUP($A92,'Data shares'!$C:$FM,102)</f>
        <v>57.64</v>
      </c>
      <c r="C92" s="50">
        <f>VLOOKUP($A92,'Data shares'!$C:$FM,110)</f>
        <v>60.36</v>
      </c>
      <c r="D92" s="50">
        <f>VLOOKUP($A92,'Data shares'!$C:$FM,114)</f>
        <v>52.82</v>
      </c>
      <c r="E92" s="50">
        <f>VLOOKUP($A92,'Data shares'!$C:$FM,106)</f>
        <v>67.510000000000005</v>
      </c>
      <c r="F92" s="50">
        <f>VLOOKUP($A92,'Data shares'!$C:$FM,108)</f>
        <v>-9.8699999999999992</v>
      </c>
      <c r="G92" s="50">
        <f t="shared" si="2"/>
        <v>0.8537994371204265</v>
      </c>
    </row>
    <row r="93" spans="1:7" x14ac:dyDescent="0.25">
      <c r="A93" s="49" t="str">
        <f>'Data Vlaue (Cr)'!C88</f>
        <v>IDFCFIRSTB</v>
      </c>
      <c r="B93" s="50">
        <f>VLOOKUP($A93,'Data shares'!$C:$FM,102)</f>
        <v>31.73</v>
      </c>
      <c r="C93" s="50">
        <f>VLOOKUP($A93,'Data shares'!$C:$FM,110)</f>
        <v>31.63</v>
      </c>
      <c r="D93" s="50">
        <f>VLOOKUP($A93,'Data shares'!$C:$FM,114)</f>
        <v>31.93</v>
      </c>
      <c r="E93" s="50">
        <f>VLOOKUP($A93,'Data shares'!$C:$FM,106)</f>
        <v>32.08</v>
      </c>
      <c r="F93" s="50">
        <f>VLOOKUP($A93,'Data shares'!$C:$FM,108)</f>
        <v>-0.35</v>
      </c>
      <c r="G93" s="50">
        <f t="shared" si="2"/>
        <v>0.98908977556109734</v>
      </c>
    </row>
    <row r="94" spans="1:7" x14ac:dyDescent="0.25">
      <c r="A94" s="49" t="str">
        <f>'Data Vlaue (Cr)'!C89</f>
        <v>IEX</v>
      </c>
      <c r="B94" s="50">
        <f>VLOOKUP($A94,'Data shares'!$C:$FM,102)</f>
        <v>43.74</v>
      </c>
      <c r="C94" s="50">
        <f>VLOOKUP($A94,'Data shares'!$C:$FM,110)</f>
        <v>43.25</v>
      </c>
      <c r="D94" s="50">
        <f>VLOOKUP($A94,'Data shares'!$C:$FM,114)</f>
        <v>44.38</v>
      </c>
      <c r="E94" s="50">
        <f>VLOOKUP($A94,'Data shares'!$C:$FM,106)</f>
        <v>54.57</v>
      </c>
      <c r="F94" s="50">
        <f>VLOOKUP($A94,'Data shares'!$C:$FM,108)</f>
        <v>-10.83</v>
      </c>
      <c r="G94" s="50">
        <f t="shared" si="2"/>
        <v>0.80153930731170975</v>
      </c>
    </row>
    <row r="95" spans="1:7" x14ac:dyDescent="0.25">
      <c r="A95" s="49" t="str">
        <f>'Data Vlaue (Cr)'!C90</f>
        <v>IIFL</v>
      </c>
      <c r="B95" s="50">
        <f>VLOOKUP($A95,'Data shares'!$C:$FM,102)</f>
        <v>51.8</v>
      </c>
      <c r="C95" s="50">
        <f>VLOOKUP($A95,'Data shares'!$C:$FM,110)</f>
        <v>51.8</v>
      </c>
      <c r="D95" s="50">
        <f>VLOOKUP($A95,'Data shares'!$C:$FM,114)</f>
        <v>51.8</v>
      </c>
      <c r="E95" s="50">
        <f>VLOOKUP($A95,'Data shares'!$C:$FM,106)</f>
        <v>51.8</v>
      </c>
      <c r="F95" s="50">
        <f>VLOOKUP($A95,'Data shares'!$C:$FM,108)</f>
        <v>0</v>
      </c>
      <c r="G95" s="50">
        <f t="shared" si="2"/>
        <v>1</v>
      </c>
    </row>
    <row r="96" spans="1:7" x14ac:dyDescent="0.25">
      <c r="A96" s="49" t="str">
        <f>'Data Vlaue (Cr)'!C91</f>
        <v>INDHOTEL</v>
      </c>
      <c r="B96" s="50">
        <f>VLOOKUP($A96,'Data shares'!$C:$FM,102)</f>
        <v>27.56</v>
      </c>
      <c r="C96" s="50">
        <f>VLOOKUP($A96,'Data shares'!$C:$FM,110)</f>
        <v>27.73</v>
      </c>
      <c r="D96" s="50">
        <f>VLOOKUP($A96,'Data shares'!$C:$FM,114)</f>
        <v>27.23</v>
      </c>
      <c r="E96" s="50">
        <f>VLOOKUP($A96,'Data shares'!$C:$FM,106)</f>
        <v>33.44</v>
      </c>
      <c r="F96" s="50">
        <f>VLOOKUP($A96,'Data shares'!$C:$FM,108)</f>
        <v>-5.88</v>
      </c>
      <c r="G96" s="50">
        <f t="shared" si="2"/>
        <v>0.82416267942583732</v>
      </c>
    </row>
    <row r="97" spans="1:7" x14ac:dyDescent="0.25">
      <c r="A97" s="49" t="str">
        <f>'Data Vlaue (Cr)'!C92</f>
        <v>INDIANB</v>
      </c>
      <c r="B97" s="50">
        <f>VLOOKUP($A97,'Data shares'!$C:$FM,102)</f>
        <v>33.22</v>
      </c>
      <c r="C97" s="50">
        <f>VLOOKUP($A97,'Data shares'!$C:$FM,110)</f>
        <v>32.74</v>
      </c>
      <c r="D97" s="50">
        <f>VLOOKUP($A97,'Data shares'!$C:$FM,114)</f>
        <v>34.75</v>
      </c>
      <c r="E97" s="50">
        <f>VLOOKUP($A97,'Data shares'!$C:$FM,106)</f>
        <v>37.909999999999997</v>
      </c>
      <c r="F97" s="50">
        <f>VLOOKUP($A97,'Data shares'!$C:$FM,108)</f>
        <v>-4.6900000000000004</v>
      </c>
      <c r="G97" s="50">
        <f t="shared" si="2"/>
        <v>0.87628594038512275</v>
      </c>
    </row>
    <row r="98" spans="1:7" x14ac:dyDescent="0.25">
      <c r="A98" s="49" t="str">
        <f>'Data Vlaue (Cr)'!C93</f>
        <v>INDIAVIX</v>
      </c>
      <c r="B98" s="50">
        <f>VLOOKUP($A98,'Data shares'!$C:$FM,102)</f>
        <v>0</v>
      </c>
      <c r="C98" s="50">
        <f>VLOOKUP($A98,'Data shares'!$C:$FM,110)</f>
        <v>0</v>
      </c>
      <c r="D98" s="50">
        <f>VLOOKUP($A98,'Data shares'!$C:$FM,114)</f>
        <v>0</v>
      </c>
      <c r="E98" s="50">
        <f>VLOOKUP($A98,'Data shares'!$C:$FM,106)</f>
        <v>0</v>
      </c>
      <c r="F98" s="50">
        <f>VLOOKUP($A98,'Data shares'!$C:$FM,108)</f>
        <v>0</v>
      </c>
      <c r="G98" s="50" t="e">
        <f t="shared" si="2"/>
        <v>#DIV/0!</v>
      </c>
    </row>
    <row r="99" spans="1:7" x14ac:dyDescent="0.25">
      <c r="A99" s="49" t="str">
        <f>'Data Vlaue (Cr)'!C94</f>
        <v>INDIGO</v>
      </c>
      <c r="B99" s="50">
        <f>VLOOKUP($A99,'Data shares'!$C:$FM,102)</f>
        <v>29.92</v>
      </c>
      <c r="C99" s="50">
        <f>VLOOKUP($A99,'Data shares'!$C:$FM,110)</f>
        <v>29.07</v>
      </c>
      <c r="D99" s="50">
        <f>VLOOKUP($A99,'Data shares'!$C:$FM,114)</f>
        <v>30.96</v>
      </c>
      <c r="E99" s="50">
        <f>VLOOKUP($A99,'Data shares'!$C:$FM,106)</f>
        <v>33.31</v>
      </c>
      <c r="F99" s="50">
        <f>VLOOKUP($A99,'Data shares'!$C:$FM,108)</f>
        <v>-3.39</v>
      </c>
      <c r="G99" s="50">
        <f t="shared" si="2"/>
        <v>0.89822876013209241</v>
      </c>
    </row>
    <row r="100" spans="1:7" x14ac:dyDescent="0.25">
      <c r="A100" s="49" t="str">
        <f>'Data Vlaue (Cr)'!C95</f>
        <v>INDUSINDBK</v>
      </c>
      <c r="B100" s="50">
        <f>VLOOKUP($A100,'Data shares'!$C:$FM,102)</f>
        <v>33.51</v>
      </c>
      <c r="C100" s="50">
        <f>VLOOKUP($A100,'Data shares'!$C:$FM,110)</f>
        <v>33.53</v>
      </c>
      <c r="D100" s="50">
        <f>VLOOKUP($A100,'Data shares'!$C:$FM,114)</f>
        <v>33.47</v>
      </c>
      <c r="E100" s="50">
        <f>VLOOKUP($A100,'Data shares'!$C:$FM,106)</f>
        <v>43.31</v>
      </c>
      <c r="F100" s="50">
        <f>VLOOKUP($A100,'Data shares'!$C:$FM,108)</f>
        <v>-9.8000000000000007</v>
      </c>
      <c r="G100" s="50">
        <f t="shared" si="2"/>
        <v>0.77372431309166467</v>
      </c>
    </row>
    <row r="101" spans="1:7" x14ac:dyDescent="0.25">
      <c r="A101" s="49" t="str">
        <f>'Data Vlaue (Cr)'!C96</f>
        <v>INDUSTOWER</v>
      </c>
      <c r="B101" s="50">
        <f>VLOOKUP($A101,'Data shares'!$C:$FM,102)</f>
        <v>32.49</v>
      </c>
      <c r="C101" s="50">
        <f>VLOOKUP($A101,'Data shares'!$C:$FM,110)</f>
        <v>32.229999999999997</v>
      </c>
      <c r="D101" s="50">
        <f>VLOOKUP($A101,'Data shares'!$C:$FM,114)</f>
        <v>32.86</v>
      </c>
      <c r="E101" s="50">
        <f>VLOOKUP($A101,'Data shares'!$C:$FM,106)</f>
        <v>37.630000000000003</v>
      </c>
      <c r="F101" s="50">
        <f>VLOOKUP($A101,'Data shares'!$C:$FM,108)</f>
        <v>-5.14</v>
      </c>
      <c r="G101" s="50">
        <f t="shared" si="2"/>
        <v>0.86340685623172997</v>
      </c>
    </row>
    <row r="102" spans="1:7" x14ac:dyDescent="0.25">
      <c r="A102" s="49" t="str">
        <f>'Data Vlaue (Cr)'!C97</f>
        <v>INFY</v>
      </c>
      <c r="B102" s="50">
        <f>VLOOKUP($A102,'Data shares'!$C:$FM,102)</f>
        <v>20.93</v>
      </c>
      <c r="C102" s="50">
        <f>VLOOKUP($A102,'Data shares'!$C:$FM,110)</f>
        <v>20.59</v>
      </c>
      <c r="D102" s="50">
        <f>VLOOKUP($A102,'Data shares'!$C:$FM,114)</f>
        <v>21.57</v>
      </c>
      <c r="E102" s="50">
        <f>VLOOKUP($A102,'Data shares'!$C:$FM,106)</f>
        <v>28.67</v>
      </c>
      <c r="F102" s="50">
        <f>VLOOKUP($A102,'Data shares'!$C:$FM,108)</f>
        <v>-7.74</v>
      </c>
      <c r="G102" s="50">
        <f t="shared" si="2"/>
        <v>0.73003139169863962</v>
      </c>
    </row>
    <row r="103" spans="1:7" x14ac:dyDescent="0.25">
      <c r="A103" s="49" t="str">
        <f>'Data Vlaue (Cr)'!C98</f>
        <v>INOXWIND</v>
      </c>
      <c r="B103" s="50">
        <f>VLOOKUP($A103,'Data shares'!$C:$FM,102)</f>
        <v>48.67</v>
      </c>
      <c r="C103" s="50">
        <f>VLOOKUP($A103,'Data shares'!$C:$FM,110)</f>
        <v>48.23</v>
      </c>
      <c r="D103" s="50">
        <f>VLOOKUP($A103,'Data shares'!$C:$FM,114)</f>
        <v>49.53</v>
      </c>
      <c r="E103" s="50">
        <f>VLOOKUP($A103,'Data shares'!$C:$FM,106)</f>
        <v>51.8</v>
      </c>
      <c r="F103" s="50">
        <f>VLOOKUP($A103,'Data shares'!$C:$FM,108)</f>
        <v>-3.13</v>
      </c>
      <c r="G103" s="50">
        <f t="shared" ref="G103:G134" si="3">B103/E103</f>
        <v>0.93957528957528968</v>
      </c>
    </row>
    <row r="104" spans="1:7" x14ac:dyDescent="0.25">
      <c r="A104" s="49" t="str">
        <f>'Data Vlaue (Cr)'!C99</f>
        <v>IOC</v>
      </c>
      <c r="B104" s="50">
        <f>VLOOKUP($A104,'Data shares'!$C:$FM,102)</f>
        <v>25.54</v>
      </c>
      <c r="C104" s="50">
        <f>VLOOKUP($A104,'Data shares'!$C:$FM,110)</f>
        <v>25.76</v>
      </c>
      <c r="D104" s="50">
        <f>VLOOKUP($A104,'Data shares'!$C:$FM,114)</f>
        <v>25.27</v>
      </c>
      <c r="E104" s="50">
        <f>VLOOKUP($A104,'Data shares'!$C:$FM,106)</f>
        <v>30.39</v>
      </c>
      <c r="F104" s="50">
        <f>VLOOKUP($A104,'Data shares'!$C:$FM,108)</f>
        <v>-4.8499999999999996</v>
      </c>
      <c r="G104" s="50">
        <f t="shared" si="3"/>
        <v>0.8404080289568937</v>
      </c>
    </row>
    <row r="105" spans="1:7" x14ac:dyDescent="0.25">
      <c r="A105" s="49" t="str">
        <f>'Data Vlaue (Cr)'!C100</f>
        <v>IRCTC</v>
      </c>
      <c r="B105" s="50">
        <f>VLOOKUP($A105,'Data shares'!$C:$FM,102)</f>
        <v>32.200000000000003</v>
      </c>
      <c r="C105" s="50">
        <f>VLOOKUP($A105,'Data shares'!$C:$FM,110)</f>
        <v>32.799999999999997</v>
      </c>
      <c r="D105" s="50">
        <f>VLOOKUP($A105,'Data shares'!$C:$FM,114)</f>
        <v>31.1</v>
      </c>
      <c r="E105" s="50">
        <f>VLOOKUP($A105,'Data shares'!$C:$FM,106)</f>
        <v>29.65</v>
      </c>
      <c r="F105" s="50">
        <f>VLOOKUP($A105,'Data shares'!$C:$FM,108)</f>
        <v>2.5499999999999998</v>
      </c>
      <c r="G105" s="50">
        <f t="shared" si="3"/>
        <v>1.0860033726812817</v>
      </c>
    </row>
    <row r="106" spans="1:7" x14ac:dyDescent="0.25">
      <c r="A106" s="49" t="str">
        <f>'Data Vlaue (Cr)'!C101</f>
        <v>IREDA</v>
      </c>
      <c r="B106" s="50">
        <f>VLOOKUP($A106,'Data shares'!$C:$FM,102)</f>
        <v>41.93</v>
      </c>
      <c r="C106" s="50">
        <f>VLOOKUP($A106,'Data shares'!$C:$FM,110)</f>
        <v>42.5</v>
      </c>
      <c r="D106" s="50">
        <f>VLOOKUP($A106,'Data shares'!$C:$FM,114)</f>
        <v>40.409999999999997</v>
      </c>
      <c r="E106" s="50">
        <f>VLOOKUP($A106,'Data shares'!$C:$FM,106)</f>
        <v>48.43</v>
      </c>
      <c r="F106" s="50">
        <f>VLOOKUP($A106,'Data shares'!$C:$FM,108)</f>
        <v>-6.5</v>
      </c>
      <c r="G106" s="50">
        <f t="shared" si="3"/>
        <v>0.8657856700392319</v>
      </c>
    </row>
    <row r="107" spans="1:7" x14ac:dyDescent="0.25">
      <c r="A107" s="49" t="str">
        <f>'Data Vlaue (Cr)'!C102</f>
        <v>IRFC</v>
      </c>
      <c r="B107" s="50">
        <f>VLOOKUP($A107,'Data shares'!$C:$FM,102)</f>
        <v>42.66</v>
      </c>
      <c r="C107" s="50">
        <f>VLOOKUP($A107,'Data shares'!$C:$FM,110)</f>
        <v>42.94</v>
      </c>
      <c r="D107" s="50">
        <f>VLOOKUP($A107,'Data shares'!$C:$FM,114)</f>
        <v>41.65</v>
      </c>
      <c r="E107" s="50">
        <f>VLOOKUP($A107,'Data shares'!$C:$FM,106)</f>
        <v>45.17</v>
      </c>
      <c r="F107" s="50">
        <f>VLOOKUP($A107,'Data shares'!$C:$FM,108)</f>
        <v>-2.5099999999999998</v>
      </c>
      <c r="G107" s="50">
        <f t="shared" si="3"/>
        <v>0.94443214522913432</v>
      </c>
    </row>
    <row r="108" spans="1:7" x14ac:dyDescent="0.25">
      <c r="A108" s="49" t="str">
        <f>'Data Vlaue (Cr)'!C103</f>
        <v>ITC</v>
      </c>
      <c r="B108" s="50">
        <f>VLOOKUP($A108,'Data shares'!$C:$FM,102)</f>
        <v>27.25</v>
      </c>
      <c r="C108" s="50">
        <f>VLOOKUP($A108,'Data shares'!$C:$FM,110)</f>
        <v>27.45</v>
      </c>
      <c r="D108" s="50">
        <f>VLOOKUP($A108,'Data shares'!$C:$FM,114)</f>
        <v>26.99</v>
      </c>
      <c r="E108" s="50">
        <f>VLOOKUP($A108,'Data shares'!$C:$FM,106)</f>
        <v>23.21</v>
      </c>
      <c r="F108" s="50">
        <f>VLOOKUP($A108,'Data shares'!$C:$FM,108)</f>
        <v>4.04</v>
      </c>
      <c r="G108" s="50">
        <f t="shared" si="3"/>
        <v>1.1740629039207238</v>
      </c>
    </row>
    <row r="109" spans="1:7" x14ac:dyDescent="0.25">
      <c r="A109" s="49" t="str">
        <f>'Data Vlaue (Cr)'!C104</f>
        <v>JINDALSTEL</v>
      </c>
      <c r="B109" s="50">
        <f>VLOOKUP($A109,'Data shares'!$C:$FM,102)</f>
        <v>31.54</v>
      </c>
      <c r="C109" s="50">
        <f>VLOOKUP($A109,'Data shares'!$C:$FM,110)</f>
        <v>31.38</v>
      </c>
      <c r="D109" s="50">
        <f>VLOOKUP($A109,'Data shares'!$C:$FM,114)</f>
        <v>31.77</v>
      </c>
      <c r="E109" s="50">
        <f>VLOOKUP($A109,'Data shares'!$C:$FM,106)</f>
        <v>34.770000000000003</v>
      </c>
      <c r="F109" s="50">
        <f>VLOOKUP($A109,'Data shares'!$C:$FM,108)</f>
        <v>-3.23</v>
      </c>
      <c r="G109" s="50">
        <f t="shared" si="3"/>
        <v>0.90710382513661192</v>
      </c>
    </row>
    <row r="110" spans="1:7" x14ac:dyDescent="0.25">
      <c r="A110" s="49" t="str">
        <f>'Data Vlaue (Cr)'!C105</f>
        <v>JIOFIN</v>
      </c>
      <c r="B110" s="50">
        <f>VLOOKUP($A110,'Data shares'!$C:$FM,102)</f>
        <v>31.15</v>
      </c>
      <c r="C110" s="50">
        <f>VLOOKUP($A110,'Data shares'!$C:$FM,110)</f>
        <v>31.07</v>
      </c>
      <c r="D110" s="50">
        <f>VLOOKUP($A110,'Data shares'!$C:$FM,114)</f>
        <v>31.28</v>
      </c>
      <c r="E110" s="50">
        <f>VLOOKUP($A110,'Data shares'!$C:$FM,106)</f>
        <v>33.729999999999997</v>
      </c>
      <c r="F110" s="50">
        <f>VLOOKUP($A110,'Data shares'!$C:$FM,108)</f>
        <v>-2.58</v>
      </c>
      <c r="G110" s="50">
        <f t="shared" si="3"/>
        <v>0.92351022828342721</v>
      </c>
    </row>
    <row r="111" spans="1:7" x14ac:dyDescent="0.25">
      <c r="A111" s="49" t="str">
        <f>'Data Vlaue (Cr)'!C106</f>
        <v>JSWENERGY</v>
      </c>
      <c r="B111" s="50">
        <f>VLOOKUP($A111,'Data shares'!$C:$FM,102)</f>
        <v>31.59</v>
      </c>
      <c r="C111" s="50">
        <f>VLOOKUP($A111,'Data shares'!$C:$FM,110)</f>
        <v>31.93</v>
      </c>
      <c r="D111" s="50">
        <f>VLOOKUP($A111,'Data shares'!$C:$FM,114)</f>
        <v>31.13</v>
      </c>
      <c r="E111" s="50">
        <f>VLOOKUP($A111,'Data shares'!$C:$FM,106)</f>
        <v>41.91</v>
      </c>
      <c r="F111" s="50">
        <f>VLOOKUP($A111,'Data shares'!$C:$FM,108)</f>
        <v>-10.32</v>
      </c>
      <c r="G111" s="50">
        <f t="shared" si="3"/>
        <v>0.75375805297065146</v>
      </c>
    </row>
    <row r="112" spans="1:7" x14ac:dyDescent="0.25">
      <c r="A112" s="49" t="str">
        <f>'Data Vlaue (Cr)'!C107</f>
        <v>JSWSTEEL</v>
      </c>
      <c r="B112" s="50">
        <f>VLOOKUP($A112,'Data shares'!$C:$FM,102)</f>
        <v>26.19</v>
      </c>
      <c r="C112" s="50">
        <f>VLOOKUP($A112,'Data shares'!$C:$FM,110)</f>
        <v>26.04</v>
      </c>
      <c r="D112" s="50">
        <f>VLOOKUP($A112,'Data shares'!$C:$FM,114)</f>
        <v>26.47</v>
      </c>
      <c r="E112" s="50">
        <f>VLOOKUP($A112,'Data shares'!$C:$FM,106)</f>
        <v>29.15</v>
      </c>
      <c r="F112" s="50">
        <f>VLOOKUP($A112,'Data shares'!$C:$FM,108)</f>
        <v>-2.96</v>
      </c>
      <c r="G112" s="50">
        <f t="shared" si="3"/>
        <v>0.89845626072041174</v>
      </c>
    </row>
    <row r="113" spans="1:7" x14ac:dyDescent="0.25">
      <c r="A113" s="49" t="str">
        <f>'Data Vlaue (Cr)'!C108</f>
        <v>JUBLFOOD</v>
      </c>
      <c r="B113" s="50">
        <f>VLOOKUP($A113,'Data shares'!$C:$FM,102)</f>
        <v>31.91</v>
      </c>
      <c r="C113" s="50">
        <f>VLOOKUP($A113,'Data shares'!$C:$FM,110)</f>
        <v>32.299999999999997</v>
      </c>
      <c r="D113" s="50">
        <f>VLOOKUP($A113,'Data shares'!$C:$FM,114)</f>
        <v>31.22</v>
      </c>
      <c r="E113" s="50">
        <f>VLOOKUP($A113,'Data shares'!$C:$FM,106)</f>
        <v>32.729999999999997</v>
      </c>
      <c r="F113" s="50">
        <f>VLOOKUP($A113,'Data shares'!$C:$FM,108)</f>
        <v>-0.82</v>
      </c>
      <c r="G113" s="50">
        <f t="shared" si="3"/>
        <v>0.97494653223342509</v>
      </c>
    </row>
    <row r="114" spans="1:7" x14ac:dyDescent="0.25">
      <c r="A114" s="49" t="str">
        <f>'Data Vlaue (Cr)'!C109</f>
        <v>KALYANKJIL</v>
      </c>
      <c r="B114" s="50">
        <f>VLOOKUP($A114,'Data shares'!$C:$FM,102)</f>
        <v>57.05</v>
      </c>
      <c r="C114" s="50">
        <f>VLOOKUP($A114,'Data shares'!$C:$FM,110)</f>
        <v>56.8</v>
      </c>
      <c r="D114" s="50">
        <f>VLOOKUP($A114,'Data shares'!$C:$FM,114)</f>
        <v>57.33</v>
      </c>
      <c r="E114" s="50">
        <f>VLOOKUP($A114,'Data shares'!$C:$FM,106)</f>
        <v>50.42</v>
      </c>
      <c r="F114" s="50">
        <f>VLOOKUP($A114,'Data shares'!$C:$FM,108)</f>
        <v>6.63</v>
      </c>
      <c r="G114" s="50">
        <f t="shared" si="3"/>
        <v>1.1314954383181277</v>
      </c>
    </row>
    <row r="115" spans="1:7" x14ac:dyDescent="0.25">
      <c r="A115" s="49" t="str">
        <f>'Data Vlaue (Cr)'!C110</f>
        <v>KAYNES</v>
      </c>
      <c r="B115" s="50">
        <f>VLOOKUP($A115,'Data shares'!$C:$FM,102)</f>
        <v>51.17</v>
      </c>
      <c r="C115" s="50">
        <f>VLOOKUP($A115,'Data shares'!$C:$FM,110)</f>
        <v>51.06</v>
      </c>
      <c r="D115" s="50">
        <f>VLOOKUP($A115,'Data shares'!$C:$FM,114)</f>
        <v>51.37</v>
      </c>
      <c r="E115" s="50">
        <f>VLOOKUP($A115,'Data shares'!$C:$FM,106)</f>
        <v>60.75</v>
      </c>
      <c r="F115" s="50">
        <f>VLOOKUP($A115,'Data shares'!$C:$FM,108)</f>
        <v>-9.58</v>
      </c>
      <c r="G115" s="50">
        <f t="shared" si="3"/>
        <v>0.84230452674897127</v>
      </c>
    </row>
    <row r="116" spans="1:7" x14ac:dyDescent="0.25">
      <c r="A116" s="49" t="str">
        <f>'Data Vlaue (Cr)'!C111</f>
        <v>KEI</v>
      </c>
      <c r="B116" s="50">
        <f>VLOOKUP($A116,'Data shares'!$C:$FM,102)</f>
        <v>32.840000000000003</v>
      </c>
      <c r="C116" s="50">
        <f>VLOOKUP($A116,'Data shares'!$C:$FM,110)</f>
        <v>32.619999999999997</v>
      </c>
      <c r="D116" s="50">
        <f>VLOOKUP($A116,'Data shares'!$C:$FM,114)</f>
        <v>33.340000000000003</v>
      </c>
      <c r="E116" s="50">
        <f>VLOOKUP($A116,'Data shares'!$C:$FM,106)</f>
        <v>45.27</v>
      </c>
      <c r="F116" s="50">
        <f>VLOOKUP($A116,'Data shares'!$C:$FM,108)</f>
        <v>-12.43</v>
      </c>
      <c r="G116" s="50">
        <f t="shared" si="3"/>
        <v>0.72542522641926221</v>
      </c>
    </row>
    <row r="117" spans="1:7" x14ac:dyDescent="0.25">
      <c r="A117" s="49" t="str">
        <f>'Data Vlaue (Cr)'!C112</f>
        <v>KFINTECH</v>
      </c>
      <c r="B117" s="50">
        <f>VLOOKUP($A117,'Data shares'!$C:$FM,102)</f>
        <v>36.35</v>
      </c>
      <c r="C117" s="50">
        <f>VLOOKUP($A117,'Data shares'!$C:$FM,110)</f>
        <v>35.200000000000003</v>
      </c>
      <c r="D117" s="50">
        <f>VLOOKUP($A117,'Data shares'!$C:$FM,114)</f>
        <v>38.15</v>
      </c>
      <c r="E117" s="50">
        <f>VLOOKUP($A117,'Data shares'!$C:$FM,106)</f>
        <v>50.78</v>
      </c>
      <c r="F117" s="50">
        <f>VLOOKUP($A117,'Data shares'!$C:$FM,108)</f>
        <v>-14.43</v>
      </c>
      <c r="G117" s="50">
        <f t="shared" si="3"/>
        <v>0.71583300512012604</v>
      </c>
    </row>
    <row r="118" spans="1:7" x14ac:dyDescent="0.25">
      <c r="A118" s="49" t="str">
        <f>'Data Vlaue (Cr)'!C113</f>
        <v>KOTAKBANK</v>
      </c>
      <c r="B118" s="50">
        <f>VLOOKUP($A118,'Data shares'!$C:$FM,102)</f>
        <v>24.22</v>
      </c>
      <c r="C118" s="50">
        <f>VLOOKUP($A118,'Data shares'!$C:$FM,110)</f>
        <v>23.47</v>
      </c>
      <c r="D118" s="50">
        <f>VLOOKUP($A118,'Data shares'!$C:$FM,114)</f>
        <v>25.26</v>
      </c>
      <c r="E118" s="50">
        <f>VLOOKUP($A118,'Data shares'!$C:$FM,106)</f>
        <v>25.03</v>
      </c>
      <c r="F118" s="50">
        <f>VLOOKUP($A118,'Data shares'!$C:$FM,108)</f>
        <v>-0.81</v>
      </c>
      <c r="G118" s="50">
        <f t="shared" si="3"/>
        <v>0.96763883339991996</v>
      </c>
    </row>
    <row r="119" spans="1:7" x14ac:dyDescent="0.25">
      <c r="A119" s="49" t="str">
        <f>'Data Vlaue (Cr)'!C114</f>
        <v>KPITTECH</v>
      </c>
      <c r="B119" s="50">
        <f>VLOOKUP($A119,'Data shares'!$C:$FM,102)</f>
        <v>36.33</v>
      </c>
      <c r="C119" s="50">
        <f>VLOOKUP($A119,'Data shares'!$C:$FM,110)</f>
        <v>37.130000000000003</v>
      </c>
      <c r="D119" s="50">
        <f>VLOOKUP($A119,'Data shares'!$C:$FM,114)</f>
        <v>35.35</v>
      </c>
      <c r="E119" s="50">
        <f>VLOOKUP($A119,'Data shares'!$C:$FM,106)</f>
        <v>42.37</v>
      </c>
      <c r="F119" s="50">
        <f>VLOOKUP($A119,'Data shares'!$C:$FM,108)</f>
        <v>-6.04</v>
      </c>
      <c r="G119" s="50">
        <f t="shared" si="3"/>
        <v>0.85744630634883168</v>
      </c>
    </row>
    <row r="120" spans="1:7" x14ac:dyDescent="0.25">
      <c r="A120" s="49" t="str">
        <f>'Data Vlaue (Cr)'!C115</f>
        <v>LAURUSLABS</v>
      </c>
      <c r="B120" s="50">
        <f>VLOOKUP($A120,'Data shares'!$C:$FM,102)</f>
        <v>37.25</v>
      </c>
      <c r="C120" s="50">
        <f>VLOOKUP($A120,'Data shares'!$C:$FM,110)</f>
        <v>37.57</v>
      </c>
      <c r="D120" s="50">
        <f>VLOOKUP($A120,'Data shares'!$C:$FM,114)</f>
        <v>36.6</v>
      </c>
      <c r="E120" s="50">
        <f>VLOOKUP($A120,'Data shares'!$C:$FM,106)</f>
        <v>38.22</v>
      </c>
      <c r="F120" s="50">
        <f>VLOOKUP($A120,'Data shares'!$C:$FM,108)</f>
        <v>-0.97</v>
      </c>
      <c r="G120" s="50">
        <f t="shared" si="3"/>
        <v>0.97462061747776041</v>
      </c>
    </row>
    <row r="121" spans="1:7" x14ac:dyDescent="0.25">
      <c r="A121" s="49" t="str">
        <f>'Data Vlaue (Cr)'!C116</f>
        <v>LICHSGFIN</v>
      </c>
      <c r="B121" s="50">
        <f>VLOOKUP($A121,'Data shares'!$C:$FM,102)</f>
        <v>27.61</v>
      </c>
      <c r="C121" s="50">
        <f>VLOOKUP($A121,'Data shares'!$C:$FM,110)</f>
        <v>27.82</v>
      </c>
      <c r="D121" s="50">
        <f>VLOOKUP($A121,'Data shares'!$C:$FM,114)</f>
        <v>27.37</v>
      </c>
      <c r="E121" s="50">
        <f>VLOOKUP($A121,'Data shares'!$C:$FM,106)</f>
        <v>31.98</v>
      </c>
      <c r="F121" s="50">
        <f>VLOOKUP($A121,'Data shares'!$C:$FM,108)</f>
        <v>-4.37</v>
      </c>
      <c r="G121" s="50">
        <f t="shared" si="3"/>
        <v>0.86335209505941213</v>
      </c>
    </row>
    <row r="122" spans="1:7" x14ac:dyDescent="0.25">
      <c r="A122" s="49" t="str">
        <f>'Data Vlaue (Cr)'!C117</f>
        <v>LICI</v>
      </c>
      <c r="B122" s="50">
        <f>VLOOKUP($A122,'Data shares'!$C:$FM,102)</f>
        <v>25.4</v>
      </c>
      <c r="C122" s="50">
        <f>VLOOKUP($A122,'Data shares'!$C:$FM,110)</f>
        <v>25.74</v>
      </c>
      <c r="D122" s="50">
        <f>VLOOKUP($A122,'Data shares'!$C:$FM,114)</f>
        <v>24.88</v>
      </c>
      <c r="E122" s="50">
        <f>VLOOKUP($A122,'Data shares'!$C:$FM,106)</f>
        <v>29.24</v>
      </c>
      <c r="F122" s="50">
        <f>VLOOKUP($A122,'Data shares'!$C:$FM,108)</f>
        <v>-3.84</v>
      </c>
      <c r="G122" s="50">
        <f t="shared" si="3"/>
        <v>0.86867305061559508</v>
      </c>
    </row>
    <row r="123" spans="1:7" x14ac:dyDescent="0.25">
      <c r="A123" s="49" t="str">
        <f>'Data Vlaue (Cr)'!C118</f>
        <v>LODHA</v>
      </c>
      <c r="B123" s="50">
        <f>VLOOKUP($A123,'Data shares'!$C:$FM,102)</f>
        <v>39.83</v>
      </c>
      <c r="C123" s="50">
        <f>VLOOKUP($A123,'Data shares'!$C:$FM,110)</f>
        <v>39.840000000000003</v>
      </c>
      <c r="D123" s="50">
        <f>VLOOKUP($A123,'Data shares'!$C:$FM,114)</f>
        <v>39.83</v>
      </c>
      <c r="E123" s="50">
        <f>VLOOKUP($A123,'Data shares'!$C:$FM,106)</f>
        <v>43.47</v>
      </c>
      <c r="F123" s="50">
        <f>VLOOKUP($A123,'Data shares'!$C:$FM,108)</f>
        <v>-3.64</v>
      </c>
      <c r="G123" s="50">
        <f t="shared" si="3"/>
        <v>0.91626409017713362</v>
      </c>
    </row>
    <row r="124" spans="1:7" x14ac:dyDescent="0.25">
      <c r="A124" s="49" t="str">
        <f>'Data Vlaue (Cr)'!C119</f>
        <v>LT</v>
      </c>
      <c r="B124" s="50">
        <f>VLOOKUP($A124,'Data shares'!$C:$FM,102)</f>
        <v>24.77</v>
      </c>
      <c r="C124" s="50">
        <f>VLOOKUP($A124,'Data shares'!$C:$FM,110)</f>
        <v>24.41</v>
      </c>
      <c r="D124" s="50">
        <f>VLOOKUP($A124,'Data shares'!$C:$FM,114)</f>
        <v>25.49</v>
      </c>
      <c r="E124" s="50">
        <f>VLOOKUP($A124,'Data shares'!$C:$FM,106)</f>
        <v>25.64</v>
      </c>
      <c r="F124" s="50">
        <f>VLOOKUP($A124,'Data shares'!$C:$FM,108)</f>
        <v>-0.87</v>
      </c>
      <c r="G124" s="50">
        <f t="shared" si="3"/>
        <v>0.9660686427457098</v>
      </c>
    </row>
    <row r="125" spans="1:7" x14ac:dyDescent="0.25">
      <c r="A125" s="49" t="str">
        <f>'Data Vlaue (Cr)'!C120</f>
        <v>LTF</v>
      </c>
      <c r="B125" s="50">
        <f>VLOOKUP($A125,'Data shares'!$C:$FM,102)</f>
        <v>33.96</v>
      </c>
      <c r="C125" s="50">
        <f>VLOOKUP($A125,'Data shares'!$C:$FM,110)</f>
        <v>34.020000000000003</v>
      </c>
      <c r="D125" s="50">
        <f>VLOOKUP($A125,'Data shares'!$C:$FM,114)</f>
        <v>33.82</v>
      </c>
      <c r="E125" s="50">
        <f>VLOOKUP($A125,'Data shares'!$C:$FM,106)</f>
        <v>38.47</v>
      </c>
      <c r="F125" s="50">
        <f>VLOOKUP($A125,'Data shares'!$C:$FM,108)</f>
        <v>-4.51</v>
      </c>
      <c r="G125" s="50">
        <f t="shared" si="3"/>
        <v>0.88276579152586432</v>
      </c>
    </row>
    <row r="126" spans="1:7" x14ac:dyDescent="0.25">
      <c r="A126" s="49" t="str">
        <f>'Data Vlaue (Cr)'!C121</f>
        <v>LTIM</v>
      </c>
      <c r="B126" s="50">
        <f>VLOOKUP($A126,'Data shares'!$C:$FM,102)</f>
        <v>25.51</v>
      </c>
      <c r="C126" s="50">
        <f>VLOOKUP($A126,'Data shares'!$C:$FM,110)</f>
        <v>24.83</v>
      </c>
      <c r="D126" s="50">
        <f>VLOOKUP($A126,'Data shares'!$C:$FM,114)</f>
        <v>26.59</v>
      </c>
      <c r="E126" s="50">
        <f>VLOOKUP($A126,'Data shares'!$C:$FM,106)</f>
        <v>33.130000000000003</v>
      </c>
      <c r="F126" s="50">
        <f>VLOOKUP($A126,'Data shares'!$C:$FM,108)</f>
        <v>-7.62</v>
      </c>
      <c r="G126" s="50">
        <f t="shared" si="3"/>
        <v>0.76999698158768481</v>
      </c>
    </row>
    <row r="127" spans="1:7" x14ac:dyDescent="0.25">
      <c r="A127" s="49" t="str">
        <f>'Data Vlaue (Cr)'!C122</f>
        <v>LUPIN</v>
      </c>
      <c r="B127" s="50">
        <f>VLOOKUP($A127,'Data shares'!$C:$FM,102)</f>
        <v>28.16</v>
      </c>
      <c r="C127" s="50">
        <f>VLOOKUP($A127,'Data shares'!$C:$FM,110)</f>
        <v>28.42</v>
      </c>
      <c r="D127" s="50">
        <f>VLOOKUP($A127,'Data shares'!$C:$FM,114)</f>
        <v>27.7</v>
      </c>
      <c r="E127" s="50">
        <f>VLOOKUP($A127,'Data shares'!$C:$FM,106)</f>
        <v>29.48</v>
      </c>
      <c r="F127" s="50">
        <f>VLOOKUP($A127,'Data shares'!$C:$FM,108)</f>
        <v>-1.32</v>
      </c>
      <c r="G127" s="50">
        <f t="shared" si="3"/>
        <v>0.95522388059701491</v>
      </c>
    </row>
    <row r="128" spans="1:7" x14ac:dyDescent="0.25">
      <c r="A128" s="49" t="str">
        <f>'Data Vlaue (Cr)'!C123</f>
        <v>M&amp;M</v>
      </c>
      <c r="B128" s="50">
        <f>VLOOKUP($A128,'Data shares'!$C:$FM,102)</f>
        <v>26.68</v>
      </c>
      <c r="C128" s="50">
        <f>VLOOKUP($A128,'Data shares'!$C:$FM,110)</f>
        <v>26.55</v>
      </c>
      <c r="D128" s="50">
        <f>VLOOKUP($A128,'Data shares'!$C:$FM,114)</f>
        <v>26.91</v>
      </c>
      <c r="E128" s="50">
        <f>VLOOKUP($A128,'Data shares'!$C:$FM,106)</f>
        <v>30.92</v>
      </c>
      <c r="F128" s="50">
        <f>VLOOKUP($A128,'Data shares'!$C:$FM,108)</f>
        <v>-4.24</v>
      </c>
      <c r="G128" s="50">
        <f t="shared" si="3"/>
        <v>0.86287192755498054</v>
      </c>
    </row>
    <row r="129" spans="1:7" x14ac:dyDescent="0.25">
      <c r="A129" s="49" t="str">
        <f>'Data Vlaue (Cr)'!C124</f>
        <v>MANAPPURAM</v>
      </c>
      <c r="B129" s="50">
        <f>VLOOKUP($A129,'Data shares'!$C:$FM,102)</f>
        <v>37.17</v>
      </c>
      <c r="C129" s="50">
        <f>VLOOKUP($A129,'Data shares'!$C:$FM,110)</f>
        <v>36.590000000000003</v>
      </c>
      <c r="D129" s="50">
        <f>VLOOKUP($A129,'Data shares'!$C:$FM,114)</f>
        <v>38.159999999999997</v>
      </c>
      <c r="E129" s="50">
        <f>VLOOKUP($A129,'Data shares'!$C:$FM,106)</f>
        <v>42.38</v>
      </c>
      <c r="F129" s="50">
        <f>VLOOKUP($A129,'Data shares'!$C:$FM,108)</f>
        <v>-5.21</v>
      </c>
      <c r="G129" s="50">
        <f t="shared" si="3"/>
        <v>0.87706465313827275</v>
      </c>
    </row>
    <row r="130" spans="1:7" x14ac:dyDescent="0.25">
      <c r="A130" s="49" t="str">
        <f>'Data Vlaue (Cr)'!C125</f>
        <v>MANKIND</v>
      </c>
      <c r="B130" s="50">
        <f>VLOOKUP($A130,'Data shares'!$C:$FM,102)</f>
        <v>30.21</v>
      </c>
      <c r="C130" s="50">
        <f>VLOOKUP($A130,'Data shares'!$C:$FM,110)</f>
        <v>29.24</v>
      </c>
      <c r="D130" s="50">
        <f>VLOOKUP($A130,'Data shares'!$C:$FM,114)</f>
        <v>31.88</v>
      </c>
      <c r="E130" s="50">
        <f>VLOOKUP($A130,'Data shares'!$C:$FM,106)</f>
        <v>32.479999999999997</v>
      </c>
      <c r="F130" s="50">
        <f>VLOOKUP($A130,'Data shares'!$C:$FM,108)</f>
        <v>-2.27</v>
      </c>
      <c r="G130" s="50">
        <f t="shared" si="3"/>
        <v>0.93011083743842371</v>
      </c>
    </row>
    <row r="131" spans="1:7" x14ac:dyDescent="0.25">
      <c r="A131" s="49" t="str">
        <f>'Data Vlaue (Cr)'!C126</f>
        <v>MARICO</v>
      </c>
      <c r="B131" s="50">
        <f>VLOOKUP($A131,'Data shares'!$C:$FM,102)</f>
        <v>25.11</v>
      </c>
      <c r="C131" s="50">
        <f>VLOOKUP($A131,'Data shares'!$C:$FM,110)</f>
        <v>25.1</v>
      </c>
      <c r="D131" s="50">
        <f>VLOOKUP($A131,'Data shares'!$C:$FM,114)</f>
        <v>25.13</v>
      </c>
      <c r="E131" s="50">
        <f>VLOOKUP($A131,'Data shares'!$C:$FM,106)</f>
        <v>24.28</v>
      </c>
      <c r="F131" s="50">
        <f>VLOOKUP($A131,'Data shares'!$C:$FM,108)</f>
        <v>0.83</v>
      </c>
      <c r="G131" s="50">
        <f t="shared" si="3"/>
        <v>1.0341845140032948</v>
      </c>
    </row>
    <row r="132" spans="1:7" x14ac:dyDescent="0.25">
      <c r="A132" s="49" t="str">
        <f>'Data Vlaue (Cr)'!C127</f>
        <v>MARUTI</v>
      </c>
      <c r="B132" s="50">
        <f>VLOOKUP($A132,'Data shares'!$C:$FM,102)</f>
        <v>24.53</v>
      </c>
      <c r="C132" s="50">
        <f>VLOOKUP($A132,'Data shares'!$C:$FM,110)</f>
        <v>24.53</v>
      </c>
      <c r="D132" s="50">
        <f>VLOOKUP($A132,'Data shares'!$C:$FM,114)</f>
        <v>24.53</v>
      </c>
      <c r="E132" s="50">
        <f>VLOOKUP($A132,'Data shares'!$C:$FM,106)</f>
        <v>24.39</v>
      </c>
      <c r="F132" s="50">
        <f>VLOOKUP($A132,'Data shares'!$C:$FM,108)</f>
        <v>0.14000000000000001</v>
      </c>
      <c r="G132" s="50">
        <f t="shared" si="3"/>
        <v>1.0057400574005739</v>
      </c>
    </row>
    <row r="133" spans="1:7" x14ac:dyDescent="0.25">
      <c r="A133" s="49" t="str">
        <f>'Data Vlaue (Cr)'!C128</f>
        <v>MAXHEALTH</v>
      </c>
      <c r="B133" s="50">
        <f>VLOOKUP($A133,'Data shares'!$C:$FM,102)</f>
        <v>30.45</v>
      </c>
      <c r="C133" s="50">
        <f>VLOOKUP($A133,'Data shares'!$C:$FM,110)</f>
        <v>30.48</v>
      </c>
      <c r="D133" s="50">
        <f>VLOOKUP($A133,'Data shares'!$C:$FM,114)</f>
        <v>30.38</v>
      </c>
      <c r="E133" s="50">
        <f>VLOOKUP($A133,'Data shares'!$C:$FM,106)</f>
        <v>37.880000000000003</v>
      </c>
      <c r="F133" s="50">
        <f>VLOOKUP($A133,'Data shares'!$C:$FM,108)</f>
        <v>-7.43</v>
      </c>
      <c r="G133" s="50">
        <f t="shared" si="3"/>
        <v>0.80385427666314668</v>
      </c>
    </row>
    <row r="134" spans="1:7" x14ac:dyDescent="0.25">
      <c r="A134" s="49" t="str">
        <f>'Data Vlaue (Cr)'!C129</f>
        <v>MAZDOCK</v>
      </c>
      <c r="B134" s="50">
        <f>VLOOKUP($A134,'Data shares'!$C:$FM,102)</f>
        <v>41.87</v>
      </c>
      <c r="C134" s="50">
        <f>VLOOKUP($A134,'Data shares'!$C:$FM,110)</f>
        <v>42.39</v>
      </c>
      <c r="D134" s="50">
        <f>VLOOKUP($A134,'Data shares'!$C:$FM,114)</f>
        <v>40.58</v>
      </c>
      <c r="E134" s="50">
        <f>VLOOKUP($A134,'Data shares'!$C:$FM,106)</f>
        <v>53.41</v>
      </c>
      <c r="F134" s="50">
        <f>VLOOKUP($A134,'Data shares'!$C:$FM,108)</f>
        <v>-11.54</v>
      </c>
      <c r="G134" s="50">
        <f t="shared" si="3"/>
        <v>0.78393559258565815</v>
      </c>
    </row>
    <row r="135" spans="1:7" x14ac:dyDescent="0.25">
      <c r="A135" s="49" t="str">
        <f>'Data Vlaue (Cr)'!C130</f>
        <v>MCX</v>
      </c>
      <c r="B135" s="50">
        <f>VLOOKUP($A135,'Data shares'!$C:$FM,102)</f>
        <v>46.41</v>
      </c>
      <c r="C135" s="50">
        <f>VLOOKUP($A135,'Data shares'!$C:$FM,110)</f>
        <v>46.47</v>
      </c>
      <c r="D135" s="50">
        <f>VLOOKUP($A135,'Data shares'!$C:$FM,114)</f>
        <v>46.29</v>
      </c>
      <c r="E135" s="50">
        <f>VLOOKUP($A135,'Data shares'!$C:$FM,106)</f>
        <v>44.9</v>
      </c>
      <c r="F135" s="50">
        <f>VLOOKUP($A135,'Data shares'!$C:$FM,108)</f>
        <v>1.51</v>
      </c>
      <c r="G135" s="50">
        <f t="shared" ref="G135:G166" si="4">B135/E135</f>
        <v>1.033630289532294</v>
      </c>
    </row>
    <row r="136" spans="1:7" x14ac:dyDescent="0.25">
      <c r="A136" s="49" t="str">
        <f>'Data Vlaue (Cr)'!C131</f>
        <v>MFSL</v>
      </c>
      <c r="B136" s="50">
        <f>VLOOKUP($A136,'Data shares'!$C:$FM,102)</f>
        <v>27.5</v>
      </c>
      <c r="C136" s="50">
        <f>VLOOKUP($A136,'Data shares'!$C:$FM,110)</f>
        <v>26.9</v>
      </c>
      <c r="D136" s="50">
        <f>VLOOKUP($A136,'Data shares'!$C:$FM,114)</f>
        <v>28.25</v>
      </c>
      <c r="E136" s="50">
        <f>VLOOKUP($A136,'Data shares'!$C:$FM,106)</f>
        <v>29</v>
      </c>
      <c r="F136" s="50">
        <f>VLOOKUP($A136,'Data shares'!$C:$FM,108)</f>
        <v>-1.5</v>
      </c>
      <c r="G136" s="50">
        <f t="shared" si="4"/>
        <v>0.94827586206896552</v>
      </c>
    </row>
    <row r="137" spans="1:7" x14ac:dyDescent="0.25">
      <c r="A137" s="49" t="str">
        <f>'Data Vlaue (Cr)'!C132</f>
        <v>MIDCPNIFTY</v>
      </c>
      <c r="B137" s="50">
        <f>VLOOKUP($A137,'Data shares'!$C:$FM,102)</f>
        <v>20.54</v>
      </c>
      <c r="C137" s="50">
        <f>VLOOKUP($A137,'Data shares'!$C:$FM,110)</f>
        <v>19.64</v>
      </c>
      <c r="D137" s="50">
        <f>VLOOKUP($A137,'Data shares'!$C:$FM,114)</f>
        <v>21.58</v>
      </c>
      <c r="E137" s="50">
        <f>VLOOKUP($A137,'Data shares'!$C:$FM,106)</f>
        <v>21.56</v>
      </c>
      <c r="F137" s="50">
        <f>VLOOKUP($A137,'Data shares'!$C:$FM,108)</f>
        <v>-1.02</v>
      </c>
      <c r="G137" s="50">
        <f t="shared" si="4"/>
        <v>0.95269016697588127</v>
      </c>
    </row>
    <row r="138" spans="1:7" x14ac:dyDescent="0.25">
      <c r="A138" s="49" t="str">
        <f>'Data Vlaue (Cr)'!C133</f>
        <v>MOTHERSON</v>
      </c>
      <c r="B138" s="50">
        <f>VLOOKUP($A138,'Data shares'!$C:$FM,102)</f>
        <v>37.26</v>
      </c>
      <c r="C138" s="50">
        <f>VLOOKUP($A138,'Data shares'!$C:$FM,110)</f>
        <v>37.67</v>
      </c>
      <c r="D138" s="50">
        <f>VLOOKUP($A138,'Data shares'!$C:$FM,114)</f>
        <v>36.53</v>
      </c>
      <c r="E138" s="50">
        <f>VLOOKUP($A138,'Data shares'!$C:$FM,106)</f>
        <v>38.1</v>
      </c>
      <c r="F138" s="50">
        <f>VLOOKUP($A138,'Data shares'!$C:$FM,108)</f>
        <v>-0.84</v>
      </c>
      <c r="G138" s="50">
        <f t="shared" si="4"/>
        <v>0.97795275590551167</v>
      </c>
    </row>
    <row r="139" spans="1:7" x14ac:dyDescent="0.25">
      <c r="A139" s="49" t="str">
        <f>'Data Vlaue (Cr)'!C134</f>
        <v>MPHASIS</v>
      </c>
      <c r="B139" s="50">
        <f>VLOOKUP($A139,'Data shares'!$C:$FM,102)</f>
        <v>35.04</v>
      </c>
      <c r="C139" s="50">
        <f>VLOOKUP($A139,'Data shares'!$C:$FM,110)</f>
        <v>35.19</v>
      </c>
      <c r="D139" s="50">
        <f>VLOOKUP($A139,'Data shares'!$C:$FM,114)</f>
        <v>34.869999999999997</v>
      </c>
      <c r="E139" s="50">
        <f>VLOOKUP($A139,'Data shares'!$C:$FM,106)</f>
        <v>35.21</v>
      </c>
      <c r="F139" s="50">
        <f>VLOOKUP($A139,'Data shares'!$C:$FM,108)</f>
        <v>-0.17</v>
      </c>
      <c r="G139" s="50">
        <f t="shared" si="4"/>
        <v>0.99517182618574263</v>
      </c>
    </row>
    <row r="140" spans="1:7" x14ac:dyDescent="0.25">
      <c r="A140" s="49" t="str">
        <f>'Data Vlaue (Cr)'!C135</f>
        <v>MUTHOOTFIN</v>
      </c>
      <c r="B140" s="50">
        <f>VLOOKUP($A140,'Data shares'!$C:$FM,102)</f>
        <v>36.14</v>
      </c>
      <c r="C140" s="50">
        <f>VLOOKUP($A140,'Data shares'!$C:$FM,110)</f>
        <v>35.200000000000003</v>
      </c>
      <c r="D140" s="50">
        <f>VLOOKUP($A140,'Data shares'!$C:$FM,114)</f>
        <v>37.19</v>
      </c>
      <c r="E140" s="50">
        <f>VLOOKUP($A140,'Data shares'!$C:$FM,106)</f>
        <v>34.979999999999997</v>
      </c>
      <c r="F140" s="50">
        <f>VLOOKUP($A140,'Data shares'!$C:$FM,108)</f>
        <v>1.1599999999999999</v>
      </c>
      <c r="G140" s="50">
        <f t="shared" si="4"/>
        <v>1.0331618067467125</v>
      </c>
    </row>
    <row r="141" spans="1:7" x14ac:dyDescent="0.25">
      <c r="A141" s="49" t="str">
        <f>'Data Vlaue (Cr)'!C136</f>
        <v>NATIONALUM</v>
      </c>
      <c r="B141" s="50">
        <f>VLOOKUP($A141,'Data shares'!$C:$FM,102)</f>
        <v>38.74</v>
      </c>
      <c r="C141" s="50">
        <f>VLOOKUP($A141,'Data shares'!$C:$FM,110)</f>
        <v>38.369999999999997</v>
      </c>
      <c r="D141" s="50">
        <f>VLOOKUP($A141,'Data shares'!$C:$FM,114)</f>
        <v>39.26</v>
      </c>
      <c r="E141" s="50">
        <f>VLOOKUP($A141,'Data shares'!$C:$FM,106)</f>
        <v>47.47</v>
      </c>
      <c r="F141" s="50">
        <f>VLOOKUP($A141,'Data shares'!$C:$FM,108)</f>
        <v>-8.73</v>
      </c>
      <c r="G141" s="50">
        <f t="shared" si="4"/>
        <v>0.81609437539498642</v>
      </c>
    </row>
    <row r="142" spans="1:7" x14ac:dyDescent="0.25">
      <c r="A142" s="49" t="str">
        <f>'Data Vlaue (Cr)'!C137</f>
        <v>NAUKRI</v>
      </c>
      <c r="B142" s="50">
        <f>VLOOKUP($A142,'Data shares'!$C:$FM,102)</f>
        <v>34.15</v>
      </c>
      <c r="C142" s="50">
        <f>VLOOKUP($A142,'Data shares'!$C:$FM,110)</f>
        <v>34.68</v>
      </c>
      <c r="D142" s="50">
        <f>VLOOKUP($A142,'Data shares'!$C:$FM,114)</f>
        <v>33.22</v>
      </c>
      <c r="E142" s="50">
        <f>VLOOKUP($A142,'Data shares'!$C:$FM,106)</f>
        <v>35.270000000000003</v>
      </c>
      <c r="F142" s="50">
        <f>VLOOKUP($A142,'Data shares'!$C:$FM,108)</f>
        <v>-1.1200000000000001</v>
      </c>
      <c r="G142" s="50">
        <f t="shared" si="4"/>
        <v>0.96824496739438604</v>
      </c>
    </row>
    <row r="143" spans="1:7" x14ac:dyDescent="0.25">
      <c r="A143" s="49" t="str">
        <f>'Data Vlaue (Cr)'!C138</f>
        <v>NBCC</v>
      </c>
      <c r="B143" s="50">
        <f>VLOOKUP($A143,'Data shares'!$C:$FM,102)</f>
        <v>44.03</v>
      </c>
      <c r="C143" s="50">
        <f>VLOOKUP($A143,'Data shares'!$C:$FM,110)</f>
        <v>44.21</v>
      </c>
      <c r="D143" s="50">
        <f>VLOOKUP($A143,'Data shares'!$C:$FM,114)</f>
        <v>43.68</v>
      </c>
      <c r="E143" s="50">
        <f>VLOOKUP($A143,'Data shares'!$C:$FM,106)</f>
        <v>50.37</v>
      </c>
      <c r="F143" s="50">
        <f>VLOOKUP($A143,'Data shares'!$C:$FM,108)</f>
        <v>-6.34</v>
      </c>
      <c r="G143" s="50">
        <f t="shared" si="4"/>
        <v>0.87413142743696648</v>
      </c>
    </row>
    <row r="144" spans="1:7" x14ac:dyDescent="0.25">
      <c r="A144" s="49" t="str">
        <f>'Data Vlaue (Cr)'!C139</f>
        <v>NESTLEIND</v>
      </c>
      <c r="B144" s="50">
        <f>VLOOKUP($A144,'Data shares'!$C:$FM,102)</f>
        <v>23.76</v>
      </c>
      <c r="C144" s="50">
        <f>VLOOKUP($A144,'Data shares'!$C:$FM,110)</f>
        <v>23.64</v>
      </c>
      <c r="D144" s="50">
        <f>VLOOKUP($A144,'Data shares'!$C:$FM,114)</f>
        <v>23.99</v>
      </c>
      <c r="E144" s="50">
        <f>VLOOKUP($A144,'Data shares'!$C:$FM,106)</f>
        <v>22.57</v>
      </c>
      <c r="F144" s="50">
        <f>VLOOKUP($A144,'Data shares'!$C:$FM,108)</f>
        <v>1.19</v>
      </c>
      <c r="G144" s="50">
        <f t="shared" si="4"/>
        <v>1.0527248560035445</v>
      </c>
    </row>
    <row r="145" spans="1:7" x14ac:dyDescent="0.25">
      <c r="A145" s="49" t="str">
        <f>'Data Vlaue (Cr)'!C140</f>
        <v>NHPC</v>
      </c>
      <c r="B145" s="50">
        <f>VLOOKUP($A145,'Data shares'!$C:$FM,102)</f>
        <v>32.33</v>
      </c>
      <c r="C145" s="50">
        <f>VLOOKUP($A145,'Data shares'!$C:$FM,110)</f>
        <v>33.130000000000003</v>
      </c>
      <c r="D145" s="50">
        <f>VLOOKUP($A145,'Data shares'!$C:$FM,114)</f>
        <v>31.11</v>
      </c>
      <c r="E145" s="50">
        <f>VLOOKUP($A145,'Data shares'!$C:$FM,106)</f>
        <v>36.06</v>
      </c>
      <c r="F145" s="50">
        <f>VLOOKUP($A145,'Data shares'!$C:$FM,108)</f>
        <v>-3.73</v>
      </c>
      <c r="G145" s="50">
        <f t="shared" si="4"/>
        <v>0.8965612867443149</v>
      </c>
    </row>
    <row r="146" spans="1:7" x14ac:dyDescent="0.25">
      <c r="A146" s="49" t="str">
        <f>'Data Vlaue (Cr)'!C141</f>
        <v>NIFTY</v>
      </c>
      <c r="B146" s="50">
        <f>VLOOKUP($A146,'Data shares'!$C:$FM,102)</f>
        <v>14.72</v>
      </c>
      <c r="C146" s="50">
        <f>VLOOKUP($A146,'Data shares'!$C:$FM,110)</f>
        <v>14.04</v>
      </c>
      <c r="D146" s="50">
        <f>VLOOKUP($A146,'Data shares'!$C:$FM,114)</f>
        <v>15.46</v>
      </c>
      <c r="E146" s="50">
        <f>VLOOKUP($A146,'Data shares'!$C:$FM,106)</f>
        <v>13.75</v>
      </c>
      <c r="F146" s="50">
        <f>VLOOKUP($A146,'Data shares'!$C:$FM,108)</f>
        <v>0.97</v>
      </c>
      <c r="G146" s="50">
        <f t="shared" si="4"/>
        <v>1.0705454545454547</v>
      </c>
    </row>
    <row r="147" spans="1:7" x14ac:dyDescent="0.25">
      <c r="A147" s="49" t="str">
        <f>'Data Vlaue (Cr)'!C142</f>
        <v>NIFTYNXT50</v>
      </c>
      <c r="B147" s="50">
        <f>VLOOKUP($A147,'Data shares'!$C:$FM,102)</f>
        <v>16.07</v>
      </c>
      <c r="C147" s="50">
        <f>VLOOKUP($A147,'Data shares'!$C:$FM,110)</f>
        <v>16.07</v>
      </c>
      <c r="D147" s="50">
        <f>VLOOKUP($A147,'Data shares'!$C:$FM,114)</f>
        <v>16.07</v>
      </c>
      <c r="E147" s="50">
        <f>VLOOKUP($A147,'Data shares'!$C:$FM,106)</f>
        <v>19.55</v>
      </c>
      <c r="F147" s="50">
        <f>VLOOKUP($A147,'Data shares'!$C:$FM,108)</f>
        <v>-3.48</v>
      </c>
      <c r="G147" s="50">
        <f t="shared" si="4"/>
        <v>0.82199488491048589</v>
      </c>
    </row>
    <row r="148" spans="1:7" x14ac:dyDescent="0.25">
      <c r="A148" s="49" t="str">
        <f>'Data Vlaue (Cr)'!C143</f>
        <v>NMDC</v>
      </c>
      <c r="B148" s="50">
        <f>VLOOKUP($A148,'Data shares'!$C:$FM,102)</f>
        <v>36.86</v>
      </c>
      <c r="C148" s="50">
        <f>VLOOKUP($A148,'Data shares'!$C:$FM,110)</f>
        <v>37.1</v>
      </c>
      <c r="D148" s="50">
        <f>VLOOKUP($A148,'Data shares'!$C:$FM,114)</f>
        <v>36.28</v>
      </c>
      <c r="E148" s="50">
        <f>VLOOKUP($A148,'Data shares'!$C:$FM,106)</f>
        <v>37.53</v>
      </c>
      <c r="F148" s="50">
        <f>VLOOKUP($A148,'Data shares'!$C:$FM,108)</f>
        <v>-0.67</v>
      </c>
      <c r="G148" s="50">
        <f t="shared" si="4"/>
        <v>0.98214761524114036</v>
      </c>
    </row>
    <row r="149" spans="1:7" x14ac:dyDescent="0.25">
      <c r="A149" s="49" t="str">
        <f>'Data Vlaue (Cr)'!C144</f>
        <v>NTPC</v>
      </c>
      <c r="B149" s="50">
        <f>VLOOKUP($A149,'Data shares'!$C:$FM,102)</f>
        <v>21.79</v>
      </c>
      <c r="C149" s="50">
        <f>VLOOKUP($A149,'Data shares'!$C:$FM,110)</f>
        <v>21.71</v>
      </c>
      <c r="D149" s="50">
        <f>VLOOKUP($A149,'Data shares'!$C:$FM,114)</f>
        <v>21.98</v>
      </c>
      <c r="E149" s="50">
        <f>VLOOKUP($A149,'Data shares'!$C:$FM,106)</f>
        <v>26.9</v>
      </c>
      <c r="F149" s="50">
        <f>VLOOKUP($A149,'Data shares'!$C:$FM,108)</f>
        <v>-5.1100000000000003</v>
      </c>
      <c r="G149" s="50">
        <f t="shared" si="4"/>
        <v>0.81003717472118963</v>
      </c>
    </row>
    <row r="150" spans="1:7" x14ac:dyDescent="0.25">
      <c r="A150" s="49" t="str">
        <f>'Data Vlaue (Cr)'!C145</f>
        <v>NUVAMA</v>
      </c>
      <c r="B150" s="50">
        <f>VLOOKUP($A150,'Data shares'!$C:$FM,102)</f>
        <v>35.94</v>
      </c>
      <c r="C150" s="50">
        <f>VLOOKUP($A150,'Data shares'!$C:$FM,110)</f>
        <v>35.79</v>
      </c>
      <c r="D150" s="50">
        <f>VLOOKUP($A150,'Data shares'!$C:$FM,114)</f>
        <v>36.14</v>
      </c>
      <c r="E150" s="50">
        <f>VLOOKUP($A150,'Data shares'!$C:$FM,106)</f>
        <v>47.77</v>
      </c>
      <c r="F150" s="50">
        <f>VLOOKUP($A150,'Data shares'!$C:$FM,108)</f>
        <v>-11.83</v>
      </c>
      <c r="G150" s="50">
        <f t="shared" si="4"/>
        <v>0.75235503454050645</v>
      </c>
    </row>
    <row r="151" spans="1:7" x14ac:dyDescent="0.25">
      <c r="A151" s="49" t="str">
        <f>'Data Vlaue (Cr)'!C146</f>
        <v>NYKAA</v>
      </c>
      <c r="B151" s="50">
        <f>VLOOKUP($A151,'Data shares'!$C:$FM,102)</f>
        <v>36.020000000000003</v>
      </c>
      <c r="C151" s="50">
        <f>VLOOKUP($A151,'Data shares'!$C:$FM,110)</f>
        <v>36.380000000000003</v>
      </c>
      <c r="D151" s="50">
        <f>VLOOKUP($A151,'Data shares'!$C:$FM,114)</f>
        <v>35.53</v>
      </c>
      <c r="E151" s="50">
        <f>VLOOKUP($A151,'Data shares'!$C:$FM,106)</f>
        <v>35.15</v>
      </c>
      <c r="F151" s="50">
        <f>VLOOKUP($A151,'Data shares'!$C:$FM,108)</f>
        <v>0.87</v>
      </c>
      <c r="G151" s="50">
        <f t="shared" si="4"/>
        <v>1.0247510668563302</v>
      </c>
    </row>
    <row r="152" spans="1:7" x14ac:dyDescent="0.25">
      <c r="A152" s="49" t="str">
        <f>'Data Vlaue (Cr)'!C147</f>
        <v>OBEROIRLTY</v>
      </c>
      <c r="B152" s="50">
        <f>VLOOKUP($A152,'Data shares'!$C:$FM,102)</f>
        <v>32.94</v>
      </c>
      <c r="C152" s="50">
        <f>VLOOKUP($A152,'Data shares'!$C:$FM,110)</f>
        <v>33.04</v>
      </c>
      <c r="D152" s="50">
        <f>VLOOKUP($A152,'Data shares'!$C:$FM,114)</f>
        <v>32.81</v>
      </c>
      <c r="E152" s="50">
        <f>VLOOKUP($A152,'Data shares'!$C:$FM,106)</f>
        <v>37.24</v>
      </c>
      <c r="F152" s="50">
        <f>VLOOKUP($A152,'Data shares'!$C:$FM,108)</f>
        <v>-4.3</v>
      </c>
      <c r="G152" s="50">
        <f t="shared" si="4"/>
        <v>0.88453276047260998</v>
      </c>
    </row>
    <row r="153" spans="1:7" x14ac:dyDescent="0.25">
      <c r="A153" s="49" t="str">
        <f>'Data Vlaue (Cr)'!C148</f>
        <v>OFSS</v>
      </c>
      <c r="B153" s="50">
        <f>VLOOKUP($A153,'Data shares'!$C:$FM,102)</f>
        <v>30.77</v>
      </c>
      <c r="C153" s="50">
        <f>VLOOKUP($A153,'Data shares'!$C:$FM,110)</f>
        <v>30.73</v>
      </c>
      <c r="D153" s="50">
        <f>VLOOKUP($A153,'Data shares'!$C:$FM,114)</f>
        <v>30.85</v>
      </c>
      <c r="E153" s="50">
        <f>VLOOKUP($A153,'Data shares'!$C:$FM,106)</f>
        <v>38.71</v>
      </c>
      <c r="F153" s="50">
        <f>VLOOKUP($A153,'Data shares'!$C:$FM,108)</f>
        <v>-7.94</v>
      </c>
      <c r="G153" s="50">
        <f t="shared" si="4"/>
        <v>0.79488504262464477</v>
      </c>
    </row>
    <row r="154" spans="1:7" x14ac:dyDescent="0.25">
      <c r="A154" s="49" t="str">
        <f>'Data Vlaue (Cr)'!C149</f>
        <v>OIL</v>
      </c>
      <c r="B154" s="50">
        <f>VLOOKUP($A154,'Data shares'!$C:$FM,102)</f>
        <v>33.979999999999997</v>
      </c>
      <c r="C154" s="50">
        <f>VLOOKUP($A154,'Data shares'!$C:$FM,110)</f>
        <v>34.47</v>
      </c>
      <c r="D154" s="50">
        <f>VLOOKUP($A154,'Data shares'!$C:$FM,114)</f>
        <v>32.65</v>
      </c>
      <c r="E154" s="50">
        <f>VLOOKUP($A154,'Data shares'!$C:$FM,106)</f>
        <v>40.869999999999997</v>
      </c>
      <c r="F154" s="50">
        <f>VLOOKUP($A154,'Data shares'!$C:$FM,108)</f>
        <v>-6.89</v>
      </c>
      <c r="G154" s="50">
        <f t="shared" si="4"/>
        <v>0.83141668705652061</v>
      </c>
    </row>
    <row r="155" spans="1:7" x14ac:dyDescent="0.25">
      <c r="A155" s="49" t="str">
        <f>'Data Vlaue (Cr)'!C150</f>
        <v>ONGC</v>
      </c>
      <c r="B155" s="50">
        <f>VLOOKUP($A155,'Data shares'!$C:$FM,102)</f>
        <v>24.44</v>
      </c>
      <c r="C155" s="50">
        <f>VLOOKUP($A155,'Data shares'!$C:$FM,110)</f>
        <v>23.82</v>
      </c>
      <c r="D155" s="50">
        <f>VLOOKUP($A155,'Data shares'!$C:$FM,114)</f>
        <v>25.48</v>
      </c>
      <c r="E155" s="50">
        <f>VLOOKUP($A155,'Data shares'!$C:$FM,106)</f>
        <v>29.72</v>
      </c>
      <c r="F155" s="50">
        <f>VLOOKUP($A155,'Data shares'!$C:$FM,108)</f>
        <v>-5.28</v>
      </c>
      <c r="G155" s="50">
        <f t="shared" si="4"/>
        <v>0.82234185733512788</v>
      </c>
    </row>
    <row r="156" spans="1:7" x14ac:dyDescent="0.25">
      <c r="A156" s="49" t="str">
        <f>'Data Vlaue (Cr)'!C151</f>
        <v>PAGEIND</v>
      </c>
      <c r="B156" s="50">
        <f>VLOOKUP($A156,'Data shares'!$C:$FM,102)</f>
        <v>29.78</v>
      </c>
      <c r="C156" s="50">
        <f>VLOOKUP($A156,'Data shares'!$C:$FM,110)</f>
        <v>30.26</v>
      </c>
      <c r="D156" s="50">
        <f>VLOOKUP($A156,'Data shares'!$C:$FM,114)</f>
        <v>28.81</v>
      </c>
      <c r="E156" s="50">
        <f>VLOOKUP($A156,'Data shares'!$C:$FM,106)</f>
        <v>27.5</v>
      </c>
      <c r="F156" s="50">
        <f>VLOOKUP($A156,'Data shares'!$C:$FM,108)</f>
        <v>2.2799999999999998</v>
      </c>
      <c r="G156" s="50">
        <f t="shared" si="4"/>
        <v>1.082909090909091</v>
      </c>
    </row>
    <row r="157" spans="1:7" x14ac:dyDescent="0.25">
      <c r="A157" s="49" t="str">
        <f>'Data Vlaue (Cr)'!C152</f>
        <v>PATANJALI</v>
      </c>
      <c r="B157" s="50">
        <f>VLOOKUP($A157,'Data shares'!$C:$FM,102)</f>
        <v>30.45</v>
      </c>
      <c r="C157" s="50">
        <f>VLOOKUP($A157,'Data shares'!$C:$FM,110)</f>
        <v>30.68</v>
      </c>
      <c r="D157" s="50">
        <f>VLOOKUP($A157,'Data shares'!$C:$FM,114)</f>
        <v>30.14</v>
      </c>
      <c r="E157" s="50">
        <f>VLOOKUP($A157,'Data shares'!$C:$FM,106)</f>
        <v>33.31</v>
      </c>
      <c r="F157" s="50">
        <f>VLOOKUP($A157,'Data shares'!$C:$FM,108)</f>
        <v>-2.86</v>
      </c>
      <c r="G157" s="50">
        <f t="shared" si="4"/>
        <v>0.91413989792854988</v>
      </c>
    </row>
    <row r="158" spans="1:7" x14ac:dyDescent="0.25">
      <c r="A158" s="49" t="str">
        <f>'Data Vlaue (Cr)'!C153</f>
        <v>PAYTM</v>
      </c>
      <c r="B158" s="50">
        <f>VLOOKUP($A158,'Data shares'!$C:$FM,102)</f>
        <v>38.270000000000003</v>
      </c>
      <c r="C158" s="50">
        <f>VLOOKUP($A158,'Data shares'!$C:$FM,110)</f>
        <v>37.58</v>
      </c>
      <c r="D158" s="50">
        <f>VLOOKUP($A158,'Data shares'!$C:$FM,114)</f>
        <v>39.119999999999997</v>
      </c>
      <c r="E158" s="50">
        <f>VLOOKUP($A158,'Data shares'!$C:$FM,106)</f>
        <v>50.8</v>
      </c>
      <c r="F158" s="50">
        <f>VLOOKUP($A158,'Data shares'!$C:$FM,108)</f>
        <v>-12.53</v>
      </c>
      <c r="G158" s="50">
        <f t="shared" si="4"/>
        <v>0.75334645669291345</v>
      </c>
    </row>
    <row r="159" spans="1:7" x14ac:dyDescent="0.25">
      <c r="A159" s="49" t="str">
        <f>'Data Vlaue (Cr)'!C154</f>
        <v>PERSISTENT</v>
      </c>
      <c r="B159" s="50">
        <f>VLOOKUP($A159,'Data shares'!$C:$FM,102)</f>
        <v>30.31</v>
      </c>
      <c r="C159" s="50">
        <f>VLOOKUP($A159,'Data shares'!$C:$FM,110)</f>
        <v>29.89</v>
      </c>
      <c r="D159" s="50">
        <f>VLOOKUP($A159,'Data shares'!$C:$FM,114)</f>
        <v>30.88</v>
      </c>
      <c r="E159" s="50">
        <f>VLOOKUP($A159,'Data shares'!$C:$FM,106)</f>
        <v>39.14</v>
      </c>
      <c r="F159" s="50">
        <f>VLOOKUP($A159,'Data shares'!$C:$FM,108)</f>
        <v>-8.83</v>
      </c>
      <c r="G159" s="50">
        <f t="shared" si="4"/>
        <v>0.7743995912110373</v>
      </c>
    </row>
    <row r="160" spans="1:7" x14ac:dyDescent="0.25">
      <c r="A160" s="49" t="str">
        <f>'Data Vlaue (Cr)'!C155</f>
        <v>PETRONET</v>
      </c>
      <c r="B160" s="50">
        <f>VLOOKUP($A160,'Data shares'!$C:$FM,102)</f>
        <v>28.68</v>
      </c>
      <c r="C160" s="50">
        <f>VLOOKUP($A160,'Data shares'!$C:$FM,110)</f>
        <v>28.13</v>
      </c>
      <c r="D160" s="50">
        <f>VLOOKUP($A160,'Data shares'!$C:$FM,114)</f>
        <v>29.04</v>
      </c>
      <c r="E160" s="50">
        <f>VLOOKUP($A160,'Data shares'!$C:$FM,106)</f>
        <v>30.71</v>
      </c>
      <c r="F160" s="50">
        <f>VLOOKUP($A160,'Data shares'!$C:$FM,108)</f>
        <v>-2.0299999999999998</v>
      </c>
      <c r="G160" s="50">
        <f t="shared" si="4"/>
        <v>0.93389775317486157</v>
      </c>
    </row>
    <row r="161" spans="1:7" x14ac:dyDescent="0.25">
      <c r="A161" s="49" t="str">
        <f>'Data Vlaue (Cr)'!C156</f>
        <v>PFC</v>
      </c>
      <c r="B161" s="50">
        <f>VLOOKUP($A161,'Data shares'!$C:$FM,102)</f>
        <v>30.21</v>
      </c>
      <c r="C161" s="50">
        <f>VLOOKUP($A161,'Data shares'!$C:$FM,110)</f>
        <v>30.59</v>
      </c>
      <c r="D161" s="50">
        <f>VLOOKUP($A161,'Data shares'!$C:$FM,114)</f>
        <v>29.7</v>
      </c>
      <c r="E161" s="50">
        <f>VLOOKUP($A161,'Data shares'!$C:$FM,106)</f>
        <v>40.71</v>
      </c>
      <c r="F161" s="50">
        <f>VLOOKUP($A161,'Data shares'!$C:$FM,108)</f>
        <v>-10.5</v>
      </c>
      <c r="G161" s="50">
        <f t="shared" si="4"/>
        <v>0.74207811348563002</v>
      </c>
    </row>
    <row r="162" spans="1:7" x14ac:dyDescent="0.25">
      <c r="A162" s="49" t="str">
        <f>'Data Vlaue (Cr)'!C157</f>
        <v>PGEL</v>
      </c>
      <c r="B162" s="50">
        <f>VLOOKUP($A162,'Data shares'!$C:$FM,102)</f>
        <v>46.9</v>
      </c>
      <c r="C162" s="50">
        <f>VLOOKUP($A162,'Data shares'!$C:$FM,110)</f>
        <v>47.02</v>
      </c>
      <c r="D162" s="50">
        <f>VLOOKUP($A162,'Data shares'!$C:$FM,114)</f>
        <v>46.61</v>
      </c>
      <c r="E162" s="50">
        <f>VLOOKUP($A162,'Data shares'!$C:$FM,106)</f>
        <v>63.76</v>
      </c>
      <c r="F162" s="50">
        <f>VLOOKUP($A162,'Data shares'!$C:$FM,108)</f>
        <v>-16.86</v>
      </c>
      <c r="G162" s="50">
        <f t="shared" si="4"/>
        <v>0.73557089084065241</v>
      </c>
    </row>
    <row r="163" spans="1:7" x14ac:dyDescent="0.25">
      <c r="A163" s="49" t="str">
        <f>'Data Vlaue (Cr)'!C158</f>
        <v>PHOENIXLTD</v>
      </c>
      <c r="B163" s="50">
        <f>VLOOKUP($A163,'Data shares'!$C:$FM,102)</f>
        <v>32.93</v>
      </c>
      <c r="C163" s="50">
        <f>VLOOKUP($A163,'Data shares'!$C:$FM,110)</f>
        <v>33.17</v>
      </c>
      <c r="D163" s="50">
        <f>VLOOKUP($A163,'Data shares'!$C:$FM,114)</f>
        <v>31.98</v>
      </c>
      <c r="E163" s="50">
        <f>VLOOKUP($A163,'Data shares'!$C:$FM,106)</f>
        <v>39.64</v>
      </c>
      <c r="F163" s="50">
        <f>VLOOKUP($A163,'Data shares'!$C:$FM,108)</f>
        <v>-6.71</v>
      </c>
      <c r="G163" s="50">
        <f t="shared" si="4"/>
        <v>0.83072653884964676</v>
      </c>
    </row>
    <row r="164" spans="1:7" x14ac:dyDescent="0.25">
      <c r="A164" s="49" t="str">
        <f>'Data Vlaue (Cr)'!C159</f>
        <v>PIDILITIND</v>
      </c>
      <c r="B164" s="50">
        <f>VLOOKUP($A164,'Data shares'!$C:$FM,102)</f>
        <v>23.32</v>
      </c>
      <c r="C164" s="50">
        <f>VLOOKUP($A164,'Data shares'!$C:$FM,110)</f>
        <v>22.58</v>
      </c>
      <c r="D164" s="50">
        <f>VLOOKUP($A164,'Data shares'!$C:$FM,114)</f>
        <v>23.9</v>
      </c>
      <c r="E164" s="50">
        <f>VLOOKUP($A164,'Data shares'!$C:$FM,106)</f>
        <v>21.38</v>
      </c>
      <c r="F164" s="50">
        <f>VLOOKUP($A164,'Data shares'!$C:$FM,108)</f>
        <v>1.94</v>
      </c>
      <c r="G164" s="50">
        <f t="shared" si="4"/>
        <v>1.0907390084190833</v>
      </c>
    </row>
    <row r="165" spans="1:7" x14ac:dyDescent="0.25">
      <c r="A165" s="49" t="str">
        <f>'Data Vlaue (Cr)'!C160</f>
        <v>PIIND</v>
      </c>
      <c r="B165" s="50">
        <f>VLOOKUP($A165,'Data shares'!$C:$FM,102)</f>
        <v>30.01</v>
      </c>
      <c r="C165" s="50">
        <f>VLOOKUP($A165,'Data shares'!$C:$FM,110)</f>
        <v>30.23</v>
      </c>
      <c r="D165" s="50">
        <f>VLOOKUP($A165,'Data shares'!$C:$FM,114)</f>
        <v>29.75</v>
      </c>
      <c r="E165" s="50">
        <f>VLOOKUP($A165,'Data shares'!$C:$FM,106)</f>
        <v>28.56</v>
      </c>
      <c r="F165" s="50">
        <f>VLOOKUP($A165,'Data shares'!$C:$FM,108)</f>
        <v>1.45</v>
      </c>
      <c r="G165" s="50">
        <f t="shared" si="4"/>
        <v>1.0507703081232493</v>
      </c>
    </row>
    <row r="166" spans="1:7" x14ac:dyDescent="0.25">
      <c r="A166" s="49" t="str">
        <f>'Data Vlaue (Cr)'!C161</f>
        <v>PNB</v>
      </c>
      <c r="B166" s="50">
        <f>VLOOKUP($A166,'Data shares'!$C:$FM,102)</f>
        <v>29.23</v>
      </c>
      <c r="C166" s="50">
        <f>VLOOKUP($A166,'Data shares'!$C:$FM,110)</f>
        <v>29.33</v>
      </c>
      <c r="D166" s="50">
        <f>VLOOKUP($A166,'Data shares'!$C:$FM,114)</f>
        <v>29.03</v>
      </c>
      <c r="E166" s="50">
        <f>VLOOKUP($A166,'Data shares'!$C:$FM,106)</f>
        <v>35.17</v>
      </c>
      <c r="F166" s="50">
        <f>VLOOKUP($A166,'Data shares'!$C:$FM,108)</f>
        <v>-5.94</v>
      </c>
      <c r="G166" s="50">
        <f t="shared" si="4"/>
        <v>0.83110605629798118</v>
      </c>
    </row>
    <row r="167" spans="1:7" x14ac:dyDescent="0.25">
      <c r="A167" s="49" t="str">
        <f>'Data Vlaue (Cr)'!C162</f>
        <v>PNBHOUSING</v>
      </c>
      <c r="B167" s="50">
        <f>VLOOKUP($A167,'Data shares'!$C:$FM,102)</f>
        <v>37.35</v>
      </c>
      <c r="C167" s="50">
        <f>VLOOKUP($A167,'Data shares'!$C:$FM,110)</f>
        <v>36.65</v>
      </c>
      <c r="D167" s="50">
        <f>VLOOKUP($A167,'Data shares'!$C:$FM,114)</f>
        <v>38.31</v>
      </c>
      <c r="E167" s="50">
        <f>VLOOKUP($A167,'Data shares'!$C:$FM,106)</f>
        <v>46.1</v>
      </c>
      <c r="F167" s="50">
        <f>VLOOKUP($A167,'Data shares'!$C:$FM,108)</f>
        <v>-8.75</v>
      </c>
      <c r="G167" s="50">
        <f t="shared" ref="G167:G187" si="5">B167/E167</f>
        <v>0.81019522776572672</v>
      </c>
    </row>
    <row r="168" spans="1:7" x14ac:dyDescent="0.25">
      <c r="A168" s="49" t="str">
        <f>'Data Vlaue (Cr)'!C163</f>
        <v>POLICYBZR</v>
      </c>
      <c r="B168" s="50">
        <f>VLOOKUP($A168,'Data shares'!$C:$FM,102)</f>
        <v>36.93</v>
      </c>
      <c r="C168" s="50">
        <f>VLOOKUP($A168,'Data shares'!$C:$FM,110)</f>
        <v>36.75</v>
      </c>
      <c r="D168" s="50">
        <f>VLOOKUP($A168,'Data shares'!$C:$FM,114)</f>
        <v>37.21</v>
      </c>
      <c r="E168" s="50">
        <f>VLOOKUP($A168,'Data shares'!$C:$FM,106)</f>
        <v>45.68</v>
      </c>
      <c r="F168" s="50">
        <f>VLOOKUP($A168,'Data shares'!$C:$FM,108)</f>
        <v>-8.75</v>
      </c>
      <c r="G168" s="50">
        <f t="shared" si="5"/>
        <v>0.80845008756567427</v>
      </c>
    </row>
    <row r="169" spans="1:7" x14ac:dyDescent="0.25">
      <c r="A169" s="49" t="str">
        <f>'Data Vlaue (Cr)'!C164</f>
        <v>POLYCAB</v>
      </c>
      <c r="B169" s="50">
        <f>VLOOKUP($A169,'Data shares'!$C:$FM,102)</f>
        <v>30.5</v>
      </c>
      <c r="C169" s="50">
        <f>VLOOKUP($A169,'Data shares'!$C:$FM,110)</f>
        <v>30.04</v>
      </c>
      <c r="D169" s="50">
        <f>VLOOKUP($A169,'Data shares'!$C:$FM,114)</f>
        <v>31.47</v>
      </c>
      <c r="E169" s="50">
        <f>VLOOKUP($A169,'Data shares'!$C:$FM,106)</f>
        <v>38.86</v>
      </c>
      <c r="F169" s="50">
        <f>VLOOKUP($A169,'Data shares'!$C:$FM,108)</f>
        <v>-8.36</v>
      </c>
      <c r="G169" s="50">
        <f t="shared" si="5"/>
        <v>0.78486875965002578</v>
      </c>
    </row>
    <row r="170" spans="1:7" x14ac:dyDescent="0.25">
      <c r="A170" s="49" t="str">
        <f>'Data Vlaue (Cr)'!C165</f>
        <v>POWERGRID</v>
      </c>
      <c r="B170" s="50">
        <f>VLOOKUP($A170,'Data shares'!$C:$FM,102)</f>
        <v>23.85</v>
      </c>
      <c r="C170" s="50">
        <f>VLOOKUP($A170,'Data shares'!$C:$FM,110)</f>
        <v>23.98</v>
      </c>
      <c r="D170" s="50">
        <f>VLOOKUP($A170,'Data shares'!$C:$FM,114)</f>
        <v>23.66</v>
      </c>
      <c r="E170" s="50">
        <f>VLOOKUP($A170,'Data shares'!$C:$FM,106)</f>
        <v>27.09</v>
      </c>
      <c r="F170" s="50">
        <f>VLOOKUP($A170,'Data shares'!$C:$FM,108)</f>
        <v>-3.24</v>
      </c>
      <c r="G170" s="50">
        <f t="shared" si="5"/>
        <v>0.88039867109634562</v>
      </c>
    </row>
    <row r="171" spans="1:7" x14ac:dyDescent="0.25">
      <c r="A171" s="49" t="str">
        <f>'Data Vlaue (Cr)'!C166</f>
        <v>POWERINDIA</v>
      </c>
      <c r="B171" s="50">
        <f>VLOOKUP($A171,'Data shares'!$C:$FM,102)</f>
        <v>42.36</v>
      </c>
      <c r="C171" s="50">
        <f>VLOOKUP($A171,'Data shares'!$C:$FM,110)</f>
        <v>42.39</v>
      </c>
      <c r="D171" s="50">
        <f>VLOOKUP($A171,'Data shares'!$C:$FM,114)</f>
        <v>42.32</v>
      </c>
      <c r="E171" s="50">
        <f>VLOOKUP($A171,'Data shares'!$C:$FM,106)</f>
        <v>57.3</v>
      </c>
      <c r="F171" s="50">
        <f>VLOOKUP($A171,'Data shares'!$C:$FM,108)</f>
        <v>-14.94</v>
      </c>
      <c r="G171" s="50">
        <f t="shared" si="5"/>
        <v>0.73926701570680631</v>
      </c>
    </row>
    <row r="172" spans="1:7" x14ac:dyDescent="0.25">
      <c r="A172" s="49" t="str">
        <f>'Data Vlaue (Cr)'!C167</f>
        <v>PPLPHARMA</v>
      </c>
      <c r="B172" s="50">
        <f>VLOOKUP($A172,'Data shares'!$C:$FM,102)</f>
        <v>38.57</v>
      </c>
      <c r="C172" s="50">
        <f>VLOOKUP($A172,'Data shares'!$C:$FM,110)</f>
        <v>37.79</v>
      </c>
      <c r="D172" s="50">
        <f>VLOOKUP($A172,'Data shares'!$C:$FM,114)</f>
        <v>39.159999999999997</v>
      </c>
      <c r="E172" s="50">
        <f>VLOOKUP($A172,'Data shares'!$C:$FM,106)</f>
        <v>43.29</v>
      </c>
      <c r="F172" s="50">
        <f>VLOOKUP($A172,'Data shares'!$C:$FM,108)</f>
        <v>-4.72</v>
      </c>
      <c r="G172" s="50">
        <f t="shared" si="5"/>
        <v>0.89096789096789097</v>
      </c>
    </row>
    <row r="173" spans="1:7" x14ac:dyDescent="0.25">
      <c r="A173" s="49" t="str">
        <f>'Data Vlaue (Cr)'!C168</f>
        <v>PREMIERENE</v>
      </c>
      <c r="B173" s="50">
        <f>VLOOKUP($A173,'Data shares'!$C:$FM,102)</f>
        <v>50.87</v>
      </c>
      <c r="C173" s="50">
        <f>VLOOKUP($A173,'Data shares'!$C:$FM,110)</f>
        <v>51.09</v>
      </c>
      <c r="D173" s="50">
        <f>VLOOKUP($A173,'Data shares'!$C:$FM,114)</f>
        <v>50.05</v>
      </c>
      <c r="E173" s="50">
        <f>VLOOKUP($A173,'Data shares'!$C:$FM,106)</f>
        <v>45.93</v>
      </c>
      <c r="F173" s="50">
        <f>VLOOKUP($A173,'Data shares'!$C:$FM,108)</f>
        <v>4.9400000000000004</v>
      </c>
      <c r="G173" s="50">
        <f t="shared" si="5"/>
        <v>1.1075549749618985</v>
      </c>
    </row>
    <row r="174" spans="1:7" x14ac:dyDescent="0.25">
      <c r="A174" s="49" t="str">
        <f>'Data Vlaue (Cr)'!C169</f>
        <v>PRESTIGE</v>
      </c>
      <c r="B174" s="50">
        <f>VLOOKUP($A174,'Data shares'!$C:$FM,102)</f>
        <v>36.619999999999997</v>
      </c>
      <c r="C174" s="50">
        <f>VLOOKUP($A174,'Data shares'!$C:$FM,110)</f>
        <v>37.19</v>
      </c>
      <c r="D174" s="50">
        <f>VLOOKUP($A174,'Data shares'!$C:$FM,114)</f>
        <v>36.19</v>
      </c>
      <c r="E174" s="50">
        <f>VLOOKUP($A174,'Data shares'!$C:$FM,106)</f>
        <v>43.86</v>
      </c>
      <c r="F174" s="50">
        <f>VLOOKUP($A174,'Data shares'!$C:$FM,108)</f>
        <v>-7.24</v>
      </c>
      <c r="G174" s="50">
        <f t="shared" si="5"/>
        <v>0.83492932056543545</v>
      </c>
    </row>
    <row r="175" spans="1:7" x14ac:dyDescent="0.25">
      <c r="A175" s="49" t="str">
        <f>'Data Vlaue (Cr)'!C170</f>
        <v>RBLBANK</v>
      </c>
      <c r="B175" s="50">
        <f>VLOOKUP($A175,'Data shares'!$C:$FM,102)</f>
        <v>25.3</v>
      </c>
      <c r="C175" s="50">
        <f>VLOOKUP($A175,'Data shares'!$C:$FM,110)</f>
        <v>26.2</v>
      </c>
      <c r="D175" s="50">
        <f>VLOOKUP($A175,'Data shares'!$C:$FM,114)</f>
        <v>23.71</v>
      </c>
      <c r="E175" s="50">
        <f>VLOOKUP($A175,'Data shares'!$C:$FM,106)</f>
        <v>44.31</v>
      </c>
      <c r="F175" s="50">
        <f>VLOOKUP($A175,'Data shares'!$C:$FM,108)</f>
        <v>-19.010000000000002</v>
      </c>
      <c r="G175" s="50">
        <f t="shared" si="5"/>
        <v>0.57097720604829605</v>
      </c>
    </row>
    <row r="176" spans="1:7" x14ac:dyDescent="0.25">
      <c r="A176" s="49" t="str">
        <f>'Data Vlaue (Cr)'!C171</f>
        <v>RECLTD</v>
      </c>
      <c r="B176" s="50">
        <f>VLOOKUP($A176,'Data shares'!$C:$FM,102)</f>
        <v>32.54</v>
      </c>
      <c r="C176" s="50">
        <f>VLOOKUP($A176,'Data shares'!$C:$FM,110)</f>
        <v>32.19</v>
      </c>
      <c r="D176" s="50">
        <f>VLOOKUP($A176,'Data shares'!$C:$FM,114)</f>
        <v>32.99</v>
      </c>
      <c r="E176" s="50">
        <f>VLOOKUP($A176,'Data shares'!$C:$FM,106)</f>
        <v>41.36</v>
      </c>
      <c r="F176" s="50">
        <f>VLOOKUP($A176,'Data shares'!$C:$FM,108)</f>
        <v>-8.82</v>
      </c>
      <c r="G176" s="50">
        <f t="shared" si="5"/>
        <v>0.78675048355899424</v>
      </c>
    </row>
    <row r="177" spans="1:7" x14ac:dyDescent="0.25">
      <c r="A177" s="49" t="str">
        <f>'Data Vlaue (Cr)'!C172</f>
        <v>RELIANCE</v>
      </c>
      <c r="B177" s="50">
        <f>VLOOKUP($A177,'Data shares'!$C:$FM,102)</f>
        <v>23.24</v>
      </c>
      <c r="C177" s="50">
        <f>VLOOKUP($A177,'Data shares'!$C:$FM,110)</f>
        <v>23.23</v>
      </c>
      <c r="D177" s="50">
        <f>VLOOKUP($A177,'Data shares'!$C:$FM,114)</f>
        <v>23.26</v>
      </c>
      <c r="E177" s="50">
        <f>VLOOKUP($A177,'Data shares'!$C:$FM,106)</f>
        <v>23.97</v>
      </c>
      <c r="F177" s="50">
        <f>VLOOKUP($A177,'Data shares'!$C:$FM,108)</f>
        <v>-0.73</v>
      </c>
      <c r="G177" s="50">
        <f t="shared" si="5"/>
        <v>0.96954526491447646</v>
      </c>
    </row>
    <row r="178" spans="1:7" x14ac:dyDescent="0.25">
      <c r="A178" s="49" t="str">
        <f>'Data Vlaue (Cr)'!C173</f>
        <v>RVNL</v>
      </c>
      <c r="B178" s="50">
        <f>VLOOKUP($A178,'Data shares'!$C:$FM,102)</f>
        <v>56.92</v>
      </c>
      <c r="C178" s="50">
        <f>VLOOKUP($A178,'Data shares'!$C:$FM,110)</f>
        <v>57.49</v>
      </c>
      <c r="D178" s="50">
        <f>VLOOKUP($A178,'Data shares'!$C:$FM,114)</f>
        <v>54.84</v>
      </c>
      <c r="E178" s="50">
        <f>VLOOKUP($A178,'Data shares'!$C:$FM,106)</f>
        <v>55.6</v>
      </c>
      <c r="F178" s="50">
        <f>VLOOKUP($A178,'Data shares'!$C:$FM,108)</f>
        <v>1.32</v>
      </c>
      <c r="G178" s="50">
        <f t="shared" si="5"/>
        <v>1.0237410071942445</v>
      </c>
    </row>
    <row r="179" spans="1:7" x14ac:dyDescent="0.25">
      <c r="A179" s="49" t="str">
        <f>'Data Vlaue (Cr)'!C174</f>
        <v>SAIL</v>
      </c>
      <c r="B179" s="50">
        <f>VLOOKUP($A179,'Data shares'!$C:$FM,102)</f>
        <v>41.52</v>
      </c>
      <c r="C179" s="50">
        <f>VLOOKUP($A179,'Data shares'!$C:$FM,110)</f>
        <v>40.58</v>
      </c>
      <c r="D179" s="50">
        <f>VLOOKUP($A179,'Data shares'!$C:$FM,114)</f>
        <v>42.95</v>
      </c>
      <c r="E179" s="50">
        <f>VLOOKUP($A179,'Data shares'!$C:$FM,106)</f>
        <v>43.53</v>
      </c>
      <c r="F179" s="50">
        <f>VLOOKUP($A179,'Data shares'!$C:$FM,108)</f>
        <v>-2.0099999999999998</v>
      </c>
      <c r="G179" s="50">
        <f t="shared" si="5"/>
        <v>0.95382494831150932</v>
      </c>
    </row>
    <row r="180" spans="1:7" x14ac:dyDescent="0.25">
      <c r="A180" s="49" t="str">
        <f>'Data Vlaue (Cr)'!C175</f>
        <v>SAMMAANCAP</v>
      </c>
      <c r="B180" s="50">
        <f>VLOOKUP($A180,'Data shares'!$C:$FM,102)</f>
        <v>55.13</v>
      </c>
      <c r="C180" s="50">
        <f>VLOOKUP($A180,'Data shares'!$C:$FM,110)</f>
        <v>55.13</v>
      </c>
      <c r="D180" s="50">
        <f>VLOOKUP($A180,'Data shares'!$C:$FM,114)</f>
        <v>55.13</v>
      </c>
      <c r="E180" s="50">
        <f>VLOOKUP($A180,'Data shares'!$C:$FM,106)</f>
        <v>55.13</v>
      </c>
      <c r="F180" s="50">
        <f>VLOOKUP($A180,'Data shares'!$C:$FM,108)</f>
        <v>0</v>
      </c>
      <c r="G180" s="50">
        <f t="shared" si="5"/>
        <v>1</v>
      </c>
    </row>
    <row r="181" spans="1:7" x14ac:dyDescent="0.25">
      <c r="A181" s="49" t="str">
        <f>'Data Vlaue (Cr)'!C176</f>
        <v>SBICARD</v>
      </c>
      <c r="B181" s="50">
        <f>VLOOKUP($A181,'Data shares'!$C:$FM,102)</f>
        <v>29.82</v>
      </c>
      <c r="C181" s="50">
        <f>VLOOKUP($A181,'Data shares'!$C:$FM,110)</f>
        <v>30.45</v>
      </c>
      <c r="D181" s="50">
        <f>VLOOKUP($A181,'Data shares'!$C:$FM,114)</f>
        <v>28.91</v>
      </c>
      <c r="E181" s="50">
        <f>VLOOKUP($A181,'Data shares'!$C:$FM,106)</f>
        <v>29.57</v>
      </c>
      <c r="F181" s="50">
        <f>VLOOKUP($A181,'Data shares'!$C:$FM,108)</f>
        <v>0.25</v>
      </c>
      <c r="G181" s="50">
        <f t="shared" si="5"/>
        <v>1.0084545147108557</v>
      </c>
    </row>
    <row r="182" spans="1:7" x14ac:dyDescent="0.25">
      <c r="A182" s="49" t="str">
        <f>'Data Vlaue (Cr)'!C177</f>
        <v>SBILIFE</v>
      </c>
      <c r="B182" s="50">
        <f>VLOOKUP($A182,'Data shares'!$C:$FM,102)</f>
        <v>22.8</v>
      </c>
      <c r="C182" s="50">
        <f>VLOOKUP($A182,'Data shares'!$C:$FM,110)</f>
        <v>22.49</v>
      </c>
      <c r="D182" s="50">
        <f>VLOOKUP($A182,'Data shares'!$C:$FM,114)</f>
        <v>23.11</v>
      </c>
      <c r="E182" s="50">
        <f>VLOOKUP($A182,'Data shares'!$C:$FM,106)</f>
        <v>23.62</v>
      </c>
      <c r="F182" s="50">
        <f>VLOOKUP($A182,'Data shares'!$C:$FM,108)</f>
        <v>-0.82</v>
      </c>
      <c r="G182" s="50">
        <f t="shared" si="5"/>
        <v>0.96528365791701942</v>
      </c>
    </row>
    <row r="183" spans="1:7" x14ac:dyDescent="0.25">
      <c r="A183" s="49" t="str">
        <f>'Data Vlaue (Cr)'!C178</f>
        <v>SBIN</v>
      </c>
      <c r="B183" s="50">
        <f>VLOOKUP($A183,'Data shares'!$C:$FM,102)</f>
        <v>23.83</v>
      </c>
      <c r="C183" s="50">
        <f>VLOOKUP($A183,'Data shares'!$C:$FM,110)</f>
        <v>23.57</v>
      </c>
      <c r="D183" s="50">
        <f>VLOOKUP($A183,'Data shares'!$C:$FM,114)</f>
        <v>24.12</v>
      </c>
      <c r="E183" s="50">
        <f>VLOOKUP($A183,'Data shares'!$C:$FM,106)</f>
        <v>24.07</v>
      </c>
      <c r="F183" s="50">
        <f>VLOOKUP($A183,'Data shares'!$C:$FM,108)</f>
        <v>-0.24</v>
      </c>
      <c r="G183" s="50">
        <f t="shared" si="5"/>
        <v>0.9900290818446198</v>
      </c>
    </row>
    <row r="184" spans="1:7" x14ac:dyDescent="0.25">
      <c r="A184" s="49" t="str">
        <f>'Data Vlaue (Cr)'!C179</f>
        <v>SHREECEM</v>
      </c>
      <c r="B184" s="50">
        <f>VLOOKUP($A184,'Data shares'!$C:$FM,102)</f>
        <v>25.45</v>
      </c>
      <c r="C184" s="50">
        <f>VLOOKUP($A184,'Data shares'!$C:$FM,110)</f>
        <v>25.15</v>
      </c>
      <c r="D184" s="50">
        <f>VLOOKUP($A184,'Data shares'!$C:$FM,114)</f>
        <v>25.74</v>
      </c>
      <c r="E184" s="50">
        <f>VLOOKUP($A184,'Data shares'!$C:$FM,106)</f>
        <v>24.11</v>
      </c>
      <c r="F184" s="50">
        <f>VLOOKUP($A184,'Data shares'!$C:$FM,108)</f>
        <v>1.34</v>
      </c>
      <c r="G184" s="50">
        <f t="shared" si="5"/>
        <v>1.055578598092078</v>
      </c>
    </row>
    <row r="185" spans="1:7" x14ac:dyDescent="0.25">
      <c r="A185" s="49" t="str">
        <f>'Data Vlaue (Cr)'!C180</f>
        <v>SHRIRAMFIN</v>
      </c>
      <c r="B185" s="50">
        <f>VLOOKUP($A185,'Data shares'!$C:$FM,102)</f>
        <v>36.35</v>
      </c>
      <c r="C185" s="50">
        <f>VLOOKUP($A185,'Data shares'!$C:$FM,110)</f>
        <v>36.33</v>
      </c>
      <c r="D185" s="50">
        <f>VLOOKUP($A185,'Data shares'!$C:$FM,114)</f>
        <v>36.39</v>
      </c>
      <c r="E185" s="50">
        <f>VLOOKUP($A185,'Data shares'!$C:$FM,106)</f>
        <v>38.44</v>
      </c>
      <c r="F185" s="50">
        <f>VLOOKUP($A185,'Data shares'!$C:$FM,108)</f>
        <v>-2.09</v>
      </c>
      <c r="G185" s="50">
        <f t="shared" si="5"/>
        <v>0.94562955254942782</v>
      </c>
    </row>
    <row r="186" spans="1:7" x14ac:dyDescent="0.25">
      <c r="A186" s="49" t="str">
        <f>'Data Vlaue (Cr)'!C181</f>
        <v>SIEMENS</v>
      </c>
      <c r="B186" s="50">
        <f>VLOOKUP($A186,'Data shares'!$C:$FM,102)</f>
        <v>31.28</v>
      </c>
      <c r="C186" s="50">
        <f>VLOOKUP($A186,'Data shares'!$C:$FM,110)</f>
        <v>30.65</v>
      </c>
      <c r="D186" s="50">
        <f>VLOOKUP($A186,'Data shares'!$C:$FM,114)</f>
        <v>33.06</v>
      </c>
      <c r="E186" s="50">
        <f>VLOOKUP($A186,'Data shares'!$C:$FM,106)</f>
        <v>37.04</v>
      </c>
      <c r="F186" s="50">
        <f>VLOOKUP($A186,'Data shares'!$C:$FM,108)</f>
        <v>-5.76</v>
      </c>
      <c r="G186" s="50">
        <f t="shared" si="5"/>
        <v>0.8444924406047517</v>
      </c>
    </row>
    <row r="187" spans="1:7" x14ac:dyDescent="0.25">
      <c r="A187" s="49" t="str">
        <f>'Data Vlaue (Cr)'!C182</f>
        <v>SOLARINDS</v>
      </c>
      <c r="B187" s="50">
        <f>VLOOKUP($A187,'Data shares'!$C:$FM,102)</f>
        <v>35.869999999999997</v>
      </c>
      <c r="C187" s="50">
        <f>VLOOKUP($A187,'Data shares'!$C:$FM,110)</f>
        <v>35.729999999999997</v>
      </c>
      <c r="D187" s="50">
        <f>VLOOKUP($A187,'Data shares'!$C:$FM,114)</f>
        <v>36.06</v>
      </c>
      <c r="E187" s="50">
        <f>VLOOKUP($A187,'Data shares'!$C:$FM,106)</f>
        <v>39.340000000000003</v>
      </c>
      <c r="F187" s="50">
        <f>VLOOKUP($A187,'Data shares'!$C:$FM,108)</f>
        <v>-3.47</v>
      </c>
      <c r="G187" s="50">
        <f t="shared" si="5"/>
        <v>0.91179461108286719</v>
      </c>
    </row>
    <row r="188" spans="1:7" x14ac:dyDescent="0.25">
      <c r="A188" s="49" t="str">
        <f>'Data Vlaue (Cr)'!C183</f>
        <v>SONACOMS</v>
      </c>
      <c r="B188" s="50">
        <f>VLOOKUP($A188,'Data shares'!$C:$FM,102)</f>
        <v>37.19</v>
      </c>
      <c r="C188" s="50">
        <f>VLOOKUP($A188,'Data shares'!$C:$FM,110)</f>
        <v>36.32</v>
      </c>
      <c r="D188" s="50">
        <f>VLOOKUP($A188,'Data shares'!$C:$FM,114)</f>
        <v>38.19</v>
      </c>
      <c r="E188" s="50">
        <f>VLOOKUP($A188,'Data shares'!$C:$FM,106)</f>
        <v>38.24</v>
      </c>
      <c r="F188" s="50">
        <f>VLOOKUP($A188,'Data shares'!$C:$FM,108)</f>
        <v>-1.05</v>
      </c>
      <c r="G188" s="50">
        <f t="shared" ref="G188:G220" si="6">B188/E188</f>
        <v>0.97254184100418395</v>
      </c>
    </row>
    <row r="189" spans="1:7" x14ac:dyDescent="0.25">
      <c r="A189" s="49" t="str">
        <f>'Data Vlaue (Cr)'!C184</f>
        <v>SRF</v>
      </c>
      <c r="B189" s="50">
        <f>VLOOKUP($A189,'Data shares'!$C:$FM,102)</f>
        <v>26.74</v>
      </c>
      <c r="C189" s="50">
        <f>VLOOKUP($A189,'Data shares'!$C:$FM,110)</f>
        <v>26.72</v>
      </c>
      <c r="D189" s="50">
        <f>VLOOKUP($A189,'Data shares'!$C:$FM,114)</f>
        <v>26.81</v>
      </c>
      <c r="E189" s="50">
        <f>VLOOKUP($A189,'Data shares'!$C:$FM,106)</f>
        <v>31.8</v>
      </c>
      <c r="F189" s="50">
        <f>VLOOKUP($A189,'Data shares'!$C:$FM,108)</f>
        <v>-5.0599999999999996</v>
      </c>
      <c r="G189" s="50">
        <f t="shared" si="6"/>
        <v>0.84088050314465401</v>
      </c>
    </row>
    <row r="190" spans="1:7" x14ac:dyDescent="0.25">
      <c r="A190" s="49" t="str">
        <f>'Data Vlaue (Cr)'!C185</f>
        <v>SUNPHARMA</v>
      </c>
      <c r="B190" s="50">
        <f>VLOOKUP($A190,'Data shares'!$C:$FM,102)</f>
        <v>24.28</v>
      </c>
      <c r="C190" s="50">
        <f>VLOOKUP($A190,'Data shares'!$C:$FM,110)</f>
        <v>24.12</v>
      </c>
      <c r="D190" s="50">
        <f>VLOOKUP($A190,'Data shares'!$C:$FM,114)</f>
        <v>24.57</v>
      </c>
      <c r="E190" s="50">
        <f>VLOOKUP($A190,'Data shares'!$C:$FM,106)</f>
        <v>22.95</v>
      </c>
      <c r="F190" s="50">
        <f>VLOOKUP($A190,'Data shares'!$C:$FM,108)</f>
        <v>1.33</v>
      </c>
      <c r="G190" s="50">
        <f t="shared" si="6"/>
        <v>1.0579520697167757</v>
      </c>
    </row>
    <row r="191" spans="1:7" x14ac:dyDescent="0.25">
      <c r="A191" s="49" t="str">
        <f>'Data Vlaue (Cr)'!C186</f>
        <v>SUPREMEIND</v>
      </c>
      <c r="B191" s="50">
        <f>VLOOKUP($A191,'Data shares'!$C:$FM,102)</f>
        <v>31.62</v>
      </c>
      <c r="C191" s="50">
        <f>VLOOKUP($A191,'Data shares'!$C:$FM,110)</f>
        <v>30.62</v>
      </c>
      <c r="D191" s="50">
        <f>VLOOKUP($A191,'Data shares'!$C:$FM,114)</f>
        <v>32.68</v>
      </c>
      <c r="E191" s="50">
        <f>VLOOKUP($A191,'Data shares'!$C:$FM,106)</f>
        <v>39.020000000000003</v>
      </c>
      <c r="F191" s="50">
        <f>VLOOKUP($A191,'Data shares'!$C:$FM,108)</f>
        <v>-7.4</v>
      </c>
      <c r="G191" s="50">
        <f t="shared" si="6"/>
        <v>0.81035366478728854</v>
      </c>
    </row>
    <row r="192" spans="1:7" x14ac:dyDescent="0.25">
      <c r="A192" s="49" t="str">
        <f>'Data Vlaue (Cr)'!C187</f>
        <v>SUZLON</v>
      </c>
      <c r="B192" s="50">
        <f>VLOOKUP($A192,'Data shares'!$C:$FM,102)</f>
        <v>43.33</v>
      </c>
      <c r="C192" s="50">
        <f>VLOOKUP($A192,'Data shares'!$C:$FM,110)</f>
        <v>43.43</v>
      </c>
      <c r="D192" s="50">
        <f>VLOOKUP($A192,'Data shares'!$C:$FM,114)</f>
        <v>43.11</v>
      </c>
      <c r="E192" s="50">
        <f>VLOOKUP($A192,'Data shares'!$C:$FM,106)</f>
        <v>46.37</v>
      </c>
      <c r="F192" s="50">
        <f>VLOOKUP($A192,'Data shares'!$C:$FM,108)</f>
        <v>-3.04</v>
      </c>
      <c r="G192" s="50">
        <f t="shared" si="6"/>
        <v>0.93444037092948029</v>
      </c>
    </row>
    <row r="193" spans="1:7" x14ac:dyDescent="0.25">
      <c r="A193" s="49" t="str">
        <f>'Data Vlaue (Cr)'!C188</f>
        <v>SWIGGY</v>
      </c>
      <c r="B193" s="50">
        <f>VLOOKUP($A193,'Data shares'!$C:$FM,102)</f>
        <v>45.28</v>
      </c>
      <c r="C193" s="50">
        <f>VLOOKUP($A193,'Data shares'!$C:$FM,110)</f>
        <v>46.09</v>
      </c>
      <c r="D193" s="50">
        <f>VLOOKUP($A193,'Data shares'!$C:$FM,114)</f>
        <v>44.45</v>
      </c>
      <c r="E193" s="50">
        <f>VLOOKUP($A193,'Data shares'!$C:$FM,106)</f>
        <v>44.36</v>
      </c>
      <c r="F193" s="50">
        <f>VLOOKUP($A193,'Data shares'!$C:$FM,108)</f>
        <v>0.92</v>
      </c>
      <c r="G193" s="50">
        <f t="shared" si="6"/>
        <v>1.0207394048692515</v>
      </c>
    </row>
    <row r="194" spans="1:7" x14ac:dyDescent="0.25">
      <c r="A194" s="49" t="str">
        <f>'Data Vlaue (Cr)'!C189</f>
        <v>SYNGENE</v>
      </c>
      <c r="B194" s="50">
        <f>VLOOKUP($A194,'Data shares'!$C:$FM,102)</f>
        <v>32.75</v>
      </c>
      <c r="C194" s="50">
        <f>VLOOKUP($A194,'Data shares'!$C:$FM,110)</f>
        <v>33.93</v>
      </c>
      <c r="D194" s="50">
        <f>VLOOKUP($A194,'Data shares'!$C:$FM,114)</f>
        <v>32.22</v>
      </c>
      <c r="E194" s="50">
        <f>VLOOKUP($A194,'Data shares'!$C:$FM,106)</f>
        <v>31.68</v>
      </c>
      <c r="F194" s="50">
        <f>VLOOKUP($A194,'Data shares'!$C:$FM,108)</f>
        <v>1.07</v>
      </c>
      <c r="G194" s="50">
        <f t="shared" si="6"/>
        <v>1.0337752525252526</v>
      </c>
    </row>
    <row r="195" spans="1:7" x14ac:dyDescent="0.25">
      <c r="A195" s="49" t="str">
        <f>'Data Vlaue (Cr)'!C190</f>
        <v>TATACONSUM</v>
      </c>
      <c r="B195" s="50">
        <f>VLOOKUP($A195,'Data shares'!$C:$FM,102)</f>
        <v>26.26</v>
      </c>
      <c r="C195" s="50">
        <f>VLOOKUP($A195,'Data shares'!$C:$FM,110)</f>
        <v>26.21</v>
      </c>
      <c r="D195" s="50">
        <f>VLOOKUP($A195,'Data shares'!$C:$FM,114)</f>
        <v>26.34</v>
      </c>
      <c r="E195" s="50">
        <f>VLOOKUP($A195,'Data shares'!$C:$FM,106)</f>
        <v>25.61</v>
      </c>
      <c r="F195" s="50">
        <f>VLOOKUP($A195,'Data shares'!$C:$FM,108)</f>
        <v>0.65</v>
      </c>
      <c r="G195" s="50">
        <f t="shared" si="6"/>
        <v>1.0253807106598987</v>
      </c>
    </row>
    <row r="196" spans="1:7" x14ac:dyDescent="0.25">
      <c r="A196" s="49" t="str">
        <f>'Data Vlaue (Cr)'!C191</f>
        <v>TATAELXSI</v>
      </c>
      <c r="B196" s="50">
        <f>VLOOKUP($A196,'Data shares'!$C:$FM,102)</f>
        <v>31.17</v>
      </c>
      <c r="C196" s="50">
        <f>VLOOKUP($A196,'Data shares'!$C:$FM,110)</f>
        <v>30.7</v>
      </c>
      <c r="D196" s="50">
        <f>VLOOKUP($A196,'Data shares'!$C:$FM,114)</f>
        <v>31.87</v>
      </c>
      <c r="E196" s="50">
        <f>VLOOKUP($A196,'Data shares'!$C:$FM,106)</f>
        <v>38.020000000000003</v>
      </c>
      <c r="F196" s="50">
        <f>VLOOKUP($A196,'Data shares'!$C:$FM,108)</f>
        <v>-6.85</v>
      </c>
      <c r="G196" s="50">
        <f t="shared" si="6"/>
        <v>0.8198316675433982</v>
      </c>
    </row>
    <row r="197" spans="1:7" x14ac:dyDescent="0.25">
      <c r="A197" s="49" t="str">
        <f>'Data Vlaue (Cr)'!C192</f>
        <v>TATAPOWER</v>
      </c>
      <c r="B197" s="50">
        <f>VLOOKUP($A197,'Data shares'!$C:$FM,102)</f>
        <v>26.44</v>
      </c>
      <c r="C197" s="50">
        <f>VLOOKUP($A197,'Data shares'!$C:$FM,110)</f>
        <v>26.4</v>
      </c>
      <c r="D197" s="50">
        <f>VLOOKUP($A197,'Data shares'!$C:$FM,114)</f>
        <v>26.48</v>
      </c>
      <c r="E197" s="50">
        <f>VLOOKUP($A197,'Data shares'!$C:$FM,106)</f>
        <v>30.88</v>
      </c>
      <c r="F197" s="50">
        <f>VLOOKUP($A197,'Data shares'!$C:$FM,108)</f>
        <v>-4.4400000000000004</v>
      </c>
      <c r="G197" s="50">
        <f t="shared" si="6"/>
        <v>0.85621761658031093</v>
      </c>
    </row>
    <row r="198" spans="1:7" x14ac:dyDescent="0.25">
      <c r="A198" s="49" t="str">
        <f>'Data Vlaue (Cr)'!C193</f>
        <v>TATASTEEL</v>
      </c>
      <c r="B198" s="50">
        <f>VLOOKUP($A198,'Data shares'!$C:$FM,102)</f>
        <v>28.83</v>
      </c>
      <c r="C198" s="50">
        <f>VLOOKUP($A198,'Data shares'!$C:$FM,110)</f>
        <v>28.82</v>
      </c>
      <c r="D198" s="50">
        <f>VLOOKUP($A198,'Data shares'!$C:$FM,114)</f>
        <v>28.85</v>
      </c>
      <c r="E198" s="50">
        <f>VLOOKUP($A198,'Data shares'!$C:$FM,106)</f>
        <v>32.590000000000003</v>
      </c>
      <c r="F198" s="50">
        <f>VLOOKUP($A198,'Data shares'!$C:$FM,108)</f>
        <v>-3.76</v>
      </c>
      <c r="G198" s="50">
        <f t="shared" si="6"/>
        <v>0.88462718625345182</v>
      </c>
    </row>
    <row r="199" spans="1:7" x14ac:dyDescent="0.25">
      <c r="A199" s="49" t="str">
        <f>'Data Vlaue (Cr)'!C194</f>
        <v>TATATECH</v>
      </c>
      <c r="B199" s="50">
        <f>VLOOKUP($A199,'Data shares'!$C:$FM,102)</f>
        <v>25.29</v>
      </c>
      <c r="C199" s="50">
        <f>VLOOKUP($A199,'Data shares'!$C:$FM,110)</f>
        <v>25.7</v>
      </c>
      <c r="D199" s="50">
        <f>VLOOKUP($A199,'Data shares'!$C:$FM,114)</f>
        <v>24.76</v>
      </c>
      <c r="E199" s="50">
        <f>VLOOKUP($A199,'Data shares'!$C:$FM,106)</f>
        <v>30.53</v>
      </c>
      <c r="F199" s="50">
        <f>VLOOKUP($A199,'Data shares'!$C:$FM,108)</f>
        <v>-5.24</v>
      </c>
      <c r="G199" s="50">
        <f t="shared" si="6"/>
        <v>0.82836554208974778</v>
      </c>
    </row>
    <row r="200" spans="1:7" x14ac:dyDescent="0.25">
      <c r="A200" s="49" t="str">
        <f>'Data Vlaue (Cr)'!C195</f>
        <v>TCS</v>
      </c>
      <c r="B200" s="50">
        <f>VLOOKUP($A200,'Data shares'!$C:$FM,102)</f>
        <v>19.190000000000001</v>
      </c>
      <c r="C200" s="50">
        <f>VLOOKUP($A200,'Data shares'!$C:$FM,110)</f>
        <v>19.29</v>
      </c>
      <c r="D200" s="50">
        <f>VLOOKUP($A200,'Data shares'!$C:$FM,114)</f>
        <v>19.059999999999999</v>
      </c>
      <c r="E200" s="50">
        <f>VLOOKUP($A200,'Data shares'!$C:$FM,106)</f>
        <v>23.66</v>
      </c>
      <c r="F200" s="50">
        <f>VLOOKUP($A200,'Data shares'!$C:$FM,108)</f>
        <v>-4.47</v>
      </c>
      <c r="G200" s="50">
        <f t="shared" si="6"/>
        <v>0.81107354184277269</v>
      </c>
    </row>
    <row r="201" spans="1:7" x14ac:dyDescent="0.25">
      <c r="A201" s="49" t="str">
        <f>'Data Vlaue (Cr)'!C196</f>
        <v>TECHM</v>
      </c>
      <c r="B201" s="50">
        <f>VLOOKUP($A201,'Data shares'!$C:$FM,102)</f>
        <v>24.35</v>
      </c>
      <c r="C201" s="50">
        <f>VLOOKUP($A201,'Data shares'!$C:$FM,110)</f>
        <v>24.44</v>
      </c>
      <c r="D201" s="50">
        <f>VLOOKUP($A201,'Data shares'!$C:$FM,114)</f>
        <v>24.16</v>
      </c>
      <c r="E201" s="50">
        <f>VLOOKUP($A201,'Data shares'!$C:$FM,106)</f>
        <v>29.02</v>
      </c>
      <c r="F201" s="50">
        <f>VLOOKUP($A201,'Data shares'!$C:$FM,108)</f>
        <v>-4.67</v>
      </c>
      <c r="G201" s="50">
        <f t="shared" si="6"/>
        <v>0.83907649896623027</v>
      </c>
    </row>
    <row r="202" spans="1:7" x14ac:dyDescent="0.25">
      <c r="A202" s="49" t="str">
        <f>'Data Vlaue (Cr)'!C197</f>
        <v>TIINDIA</v>
      </c>
      <c r="B202" s="50">
        <f>VLOOKUP($A202,'Data shares'!$C:$FM,102)</f>
        <v>33.619999999999997</v>
      </c>
      <c r="C202" s="50">
        <f>VLOOKUP($A202,'Data shares'!$C:$FM,110)</f>
        <v>33</v>
      </c>
      <c r="D202" s="50">
        <f>VLOOKUP($A202,'Data shares'!$C:$FM,114)</f>
        <v>34.270000000000003</v>
      </c>
      <c r="E202" s="50">
        <f>VLOOKUP($A202,'Data shares'!$C:$FM,106)</f>
        <v>39.5</v>
      </c>
      <c r="F202" s="50">
        <f>VLOOKUP($A202,'Data shares'!$C:$FM,108)</f>
        <v>-5.88</v>
      </c>
      <c r="G202" s="50">
        <f t="shared" si="6"/>
        <v>0.85113924050632905</v>
      </c>
    </row>
    <row r="203" spans="1:7" x14ac:dyDescent="0.25">
      <c r="A203" s="49" t="str">
        <f>'Data Vlaue (Cr)'!C198</f>
        <v>TITAN</v>
      </c>
      <c r="B203" s="50">
        <f>VLOOKUP($A203,'Data shares'!$C:$FM,102)</f>
        <v>26.26</v>
      </c>
      <c r="C203" s="50">
        <f>VLOOKUP($A203,'Data shares'!$C:$FM,110)</f>
        <v>25.21</v>
      </c>
      <c r="D203" s="50">
        <f>VLOOKUP($A203,'Data shares'!$C:$FM,114)</f>
        <v>27.72</v>
      </c>
      <c r="E203" s="50">
        <f>VLOOKUP($A203,'Data shares'!$C:$FM,106)</f>
        <v>24.58</v>
      </c>
      <c r="F203" s="50">
        <f>VLOOKUP($A203,'Data shares'!$C:$FM,108)</f>
        <v>1.68</v>
      </c>
      <c r="G203" s="50">
        <f t="shared" si="6"/>
        <v>1.0683482506102524</v>
      </c>
    </row>
    <row r="204" spans="1:7" x14ac:dyDescent="0.25">
      <c r="A204" s="49" t="str">
        <f>'Data Vlaue (Cr)'!C199</f>
        <v>TMPV</v>
      </c>
      <c r="B204" s="50">
        <f>VLOOKUP($A204,'Data shares'!$C:$FM,102)</f>
        <v>33.880000000000003</v>
      </c>
      <c r="C204" s="50">
        <f>VLOOKUP($A204,'Data shares'!$C:$FM,110)</f>
        <v>34</v>
      </c>
      <c r="D204" s="50">
        <f>VLOOKUP($A204,'Data shares'!$C:$FM,114)</f>
        <v>33.69</v>
      </c>
      <c r="E204" s="50">
        <f>VLOOKUP($A204,'Data shares'!$C:$FM,106)</f>
        <v>33.28</v>
      </c>
      <c r="F204" s="50">
        <f>VLOOKUP($A204,'Data shares'!$C:$FM,108)</f>
        <v>0.6</v>
      </c>
      <c r="G204" s="50">
        <f t="shared" si="6"/>
        <v>1.0180288461538463</v>
      </c>
    </row>
    <row r="205" spans="1:7" x14ac:dyDescent="0.25">
      <c r="A205" s="49" t="str">
        <f>'Data Vlaue (Cr)'!C200</f>
        <v>TORNTPHARM</v>
      </c>
      <c r="B205" s="50">
        <f>VLOOKUP($A205,'Data shares'!$C:$FM,102)</f>
        <v>25.48</v>
      </c>
      <c r="C205" s="50">
        <f>VLOOKUP($A205,'Data shares'!$C:$FM,110)</f>
        <v>22.77</v>
      </c>
      <c r="D205" s="50">
        <f>VLOOKUP($A205,'Data shares'!$C:$FM,114)</f>
        <v>29.1</v>
      </c>
      <c r="E205" s="50">
        <f>VLOOKUP($A205,'Data shares'!$C:$FM,106)</f>
        <v>25.34</v>
      </c>
      <c r="F205" s="50">
        <f>VLOOKUP($A205,'Data shares'!$C:$FM,108)</f>
        <v>0.14000000000000001</v>
      </c>
      <c r="G205" s="50">
        <f t="shared" si="6"/>
        <v>1.0055248618784531</v>
      </c>
    </row>
    <row r="206" spans="1:7" x14ac:dyDescent="0.25">
      <c r="A206" s="49" t="str">
        <f>'Data Vlaue (Cr)'!C201</f>
        <v>TORNTPOWER</v>
      </c>
      <c r="B206" s="50">
        <f>VLOOKUP($A206,'Data shares'!$C:$FM,102)</f>
        <v>29.72</v>
      </c>
      <c r="C206" s="50">
        <f>VLOOKUP($A206,'Data shares'!$C:$FM,110)</f>
        <v>28.28</v>
      </c>
      <c r="D206" s="50">
        <f>VLOOKUP($A206,'Data shares'!$C:$FM,114)</f>
        <v>31.45</v>
      </c>
      <c r="E206" s="50">
        <f>VLOOKUP($A206,'Data shares'!$C:$FM,106)</f>
        <v>39.340000000000003</v>
      </c>
      <c r="F206" s="50">
        <f>VLOOKUP($A206,'Data shares'!$C:$FM,108)</f>
        <v>-9.6199999999999992</v>
      </c>
      <c r="G206" s="50">
        <f t="shared" si="6"/>
        <v>0.75546517539400093</v>
      </c>
    </row>
    <row r="207" spans="1:7" x14ac:dyDescent="0.25">
      <c r="A207" s="49" t="str">
        <f>'Data Vlaue (Cr)'!C202</f>
        <v>TRENT</v>
      </c>
      <c r="B207" s="50">
        <f>VLOOKUP($A207,'Data shares'!$C:$FM,102)</f>
        <v>38.130000000000003</v>
      </c>
      <c r="C207" s="50">
        <f>VLOOKUP($A207,'Data shares'!$C:$FM,110)</f>
        <v>37.97</v>
      </c>
      <c r="D207" s="50">
        <f>VLOOKUP($A207,'Data shares'!$C:$FM,114)</f>
        <v>38.299999999999997</v>
      </c>
      <c r="E207" s="50">
        <f>VLOOKUP($A207,'Data shares'!$C:$FM,106)</f>
        <v>42.98</v>
      </c>
      <c r="F207" s="50">
        <f>VLOOKUP($A207,'Data shares'!$C:$FM,108)</f>
        <v>-4.8499999999999996</v>
      </c>
      <c r="G207" s="50">
        <f t="shared" si="6"/>
        <v>0.88715681712424399</v>
      </c>
    </row>
    <row r="208" spans="1:7" x14ac:dyDescent="0.25">
      <c r="A208" s="49" t="str">
        <f>'Data Vlaue (Cr)'!C203</f>
        <v>TVSMOTOR</v>
      </c>
      <c r="B208" s="50">
        <f>VLOOKUP($A208,'Data shares'!$C:$FM,102)</f>
        <v>28.61</v>
      </c>
      <c r="C208" s="50">
        <f>VLOOKUP($A208,'Data shares'!$C:$FM,110)</f>
        <v>28.56</v>
      </c>
      <c r="D208" s="50">
        <f>VLOOKUP($A208,'Data shares'!$C:$FM,114)</f>
        <v>28.7</v>
      </c>
      <c r="E208" s="50">
        <f>VLOOKUP($A208,'Data shares'!$C:$FM,106)</f>
        <v>29.12</v>
      </c>
      <c r="F208" s="50">
        <f>VLOOKUP($A208,'Data shares'!$C:$FM,108)</f>
        <v>-0.51</v>
      </c>
      <c r="G208" s="50">
        <f t="shared" si="6"/>
        <v>0.98248626373626369</v>
      </c>
    </row>
    <row r="209" spans="1:7" x14ac:dyDescent="0.25">
      <c r="A209" s="49" t="str">
        <f>'Data Vlaue (Cr)'!C204</f>
        <v>ULTRACEMCO</v>
      </c>
      <c r="B209" s="50">
        <f>VLOOKUP($A209,'Data shares'!$C:$FM,102)</f>
        <v>22.91</v>
      </c>
      <c r="C209" s="50">
        <f>VLOOKUP($A209,'Data shares'!$C:$FM,110)</f>
        <v>22.89</v>
      </c>
      <c r="D209" s="50">
        <f>VLOOKUP($A209,'Data shares'!$C:$FM,114)</f>
        <v>22.96</v>
      </c>
      <c r="E209" s="50">
        <f>VLOOKUP($A209,'Data shares'!$C:$FM,106)</f>
        <v>23.56</v>
      </c>
      <c r="F209" s="50">
        <f>VLOOKUP($A209,'Data shares'!$C:$FM,108)</f>
        <v>-0.65</v>
      </c>
      <c r="G209" s="50">
        <f t="shared" si="6"/>
        <v>0.97241086587436343</v>
      </c>
    </row>
    <row r="210" spans="1:7" x14ac:dyDescent="0.25">
      <c r="A210" s="49" t="str">
        <f>'Data Vlaue (Cr)'!C205</f>
        <v>UNIONBANK</v>
      </c>
      <c r="B210" s="50">
        <f>VLOOKUP($A210,'Data shares'!$C:$FM,102)</f>
        <v>34.090000000000003</v>
      </c>
      <c r="C210" s="50">
        <f>VLOOKUP($A210,'Data shares'!$C:$FM,110)</f>
        <v>34.340000000000003</v>
      </c>
      <c r="D210" s="50">
        <f>VLOOKUP($A210,'Data shares'!$C:$FM,114)</f>
        <v>33.53</v>
      </c>
      <c r="E210" s="50">
        <f>VLOOKUP($A210,'Data shares'!$C:$FM,106)</f>
        <v>40.78</v>
      </c>
      <c r="F210" s="50">
        <f>VLOOKUP($A210,'Data shares'!$C:$FM,108)</f>
        <v>-6.69</v>
      </c>
      <c r="G210" s="50">
        <f t="shared" si="6"/>
        <v>0.83594899460519867</v>
      </c>
    </row>
    <row r="211" spans="1:7" x14ac:dyDescent="0.25">
      <c r="A211" s="49" t="str">
        <f>'Data Vlaue (Cr)'!C206</f>
        <v>UNITDSPR</v>
      </c>
      <c r="B211" s="50">
        <f>VLOOKUP($A211,'Data shares'!$C:$FM,102)</f>
        <v>22.19</v>
      </c>
      <c r="C211" s="50">
        <f>VLOOKUP($A211,'Data shares'!$C:$FM,110)</f>
        <v>21.61</v>
      </c>
      <c r="D211" s="50">
        <f>VLOOKUP($A211,'Data shares'!$C:$FM,114)</f>
        <v>22.95</v>
      </c>
      <c r="E211" s="50">
        <f>VLOOKUP($A211,'Data shares'!$C:$FM,106)</f>
        <v>26.75</v>
      </c>
      <c r="F211" s="50">
        <f>VLOOKUP($A211,'Data shares'!$C:$FM,108)</f>
        <v>-4.5599999999999996</v>
      </c>
      <c r="G211" s="50">
        <f t="shared" si="6"/>
        <v>0.8295327102803739</v>
      </c>
    </row>
    <row r="212" spans="1:7" x14ac:dyDescent="0.25">
      <c r="A212" s="49" t="str">
        <f>'Data Vlaue (Cr)'!C207</f>
        <v>UNOMINDA</v>
      </c>
      <c r="B212" s="50">
        <f>VLOOKUP($A212,'Data shares'!$C:$FM,102)</f>
        <v>33.39</v>
      </c>
      <c r="C212" s="50">
        <f>VLOOKUP($A212,'Data shares'!$C:$FM,110)</f>
        <v>33.19</v>
      </c>
      <c r="D212" s="50">
        <f>VLOOKUP($A212,'Data shares'!$C:$FM,114)</f>
        <v>33.61</v>
      </c>
      <c r="E212" s="50">
        <f>VLOOKUP($A212,'Data shares'!$C:$FM,106)</f>
        <v>40.11</v>
      </c>
      <c r="F212" s="50">
        <f>VLOOKUP($A212,'Data shares'!$C:$FM,108)</f>
        <v>-6.72</v>
      </c>
      <c r="G212" s="50">
        <f t="shared" si="6"/>
        <v>0.83246073298429324</v>
      </c>
    </row>
    <row r="213" spans="1:7" x14ac:dyDescent="0.25">
      <c r="A213" s="49" t="str">
        <f>'Data Vlaue (Cr)'!C208</f>
        <v>UPL</v>
      </c>
      <c r="B213" s="50">
        <f>VLOOKUP($A213,'Data shares'!$C:$FM,102)</f>
        <v>33.36</v>
      </c>
      <c r="C213" s="50">
        <f>VLOOKUP($A213,'Data shares'!$C:$FM,110)</f>
        <v>33.380000000000003</v>
      </c>
      <c r="D213" s="50">
        <f>VLOOKUP($A213,'Data shares'!$C:$FM,114)</f>
        <v>33.35</v>
      </c>
      <c r="E213" s="50">
        <f>VLOOKUP($A213,'Data shares'!$C:$FM,106)</f>
        <v>33.909999999999997</v>
      </c>
      <c r="F213" s="50">
        <f>VLOOKUP($A213,'Data shares'!$C:$FM,108)</f>
        <v>-0.55000000000000004</v>
      </c>
      <c r="G213" s="50">
        <f t="shared" si="6"/>
        <v>0.9837805956944855</v>
      </c>
    </row>
    <row r="214" spans="1:7" x14ac:dyDescent="0.25">
      <c r="A214" s="49" t="str">
        <f>'Data Vlaue (Cr)'!C209</f>
        <v>VBL</v>
      </c>
      <c r="B214" s="50">
        <f>VLOOKUP($A214,'Data shares'!$C:$FM,102)</f>
        <v>29.94</v>
      </c>
      <c r="C214" s="50">
        <f>VLOOKUP($A214,'Data shares'!$C:$FM,110)</f>
        <v>29.64</v>
      </c>
      <c r="D214" s="50">
        <f>VLOOKUP($A214,'Data shares'!$C:$FM,114)</f>
        <v>30.16</v>
      </c>
      <c r="E214" s="50">
        <f>VLOOKUP($A214,'Data shares'!$C:$FM,106)</f>
        <v>36.83</v>
      </c>
      <c r="F214" s="50">
        <f>VLOOKUP($A214,'Data shares'!$C:$FM,108)</f>
        <v>-6.89</v>
      </c>
      <c r="G214" s="50">
        <f t="shared" si="6"/>
        <v>0.81292424653814832</v>
      </c>
    </row>
    <row r="215" spans="1:7" x14ac:dyDescent="0.25">
      <c r="A215" s="49" t="str">
        <f>'Data Vlaue (Cr)'!C210</f>
        <v>VEDL</v>
      </c>
      <c r="B215" s="50">
        <f>VLOOKUP($A215,'Data shares'!$C:$FM,102)</f>
        <v>38.31</v>
      </c>
      <c r="C215" s="50">
        <f>VLOOKUP($A215,'Data shares'!$C:$FM,110)</f>
        <v>38.229999999999997</v>
      </c>
      <c r="D215" s="50">
        <f>VLOOKUP($A215,'Data shares'!$C:$FM,114)</f>
        <v>38.47</v>
      </c>
      <c r="E215" s="50">
        <f>VLOOKUP($A215,'Data shares'!$C:$FM,106)</f>
        <v>36.85</v>
      </c>
      <c r="F215" s="50">
        <f>VLOOKUP($A215,'Data shares'!$C:$FM,108)</f>
        <v>1.46</v>
      </c>
      <c r="G215" s="50">
        <f t="shared" si="6"/>
        <v>1.0396200814111263</v>
      </c>
    </row>
    <row r="216" spans="1:7" x14ac:dyDescent="0.25">
      <c r="A216" s="49" t="str">
        <f>'Data Vlaue (Cr)'!C211</f>
        <v>VOLTAS</v>
      </c>
      <c r="B216" s="50">
        <f>VLOOKUP($A216,'Data shares'!$C:$FM,102)</f>
        <v>35.65</v>
      </c>
      <c r="C216" s="50">
        <f>VLOOKUP($A216,'Data shares'!$C:$FM,110)</f>
        <v>35.58</v>
      </c>
      <c r="D216" s="50">
        <f>VLOOKUP($A216,'Data shares'!$C:$FM,114)</f>
        <v>35.799999999999997</v>
      </c>
      <c r="E216" s="50">
        <f>VLOOKUP($A216,'Data shares'!$C:$FM,106)</f>
        <v>36.44</v>
      </c>
      <c r="F216" s="50">
        <f>VLOOKUP($A216,'Data shares'!$C:$FM,108)</f>
        <v>-0.79</v>
      </c>
      <c r="G216" s="50">
        <f t="shared" si="6"/>
        <v>0.97832052689352367</v>
      </c>
    </row>
    <row r="217" spans="1:7" x14ac:dyDescent="0.25">
      <c r="A217" s="49" t="str">
        <f>'Data Vlaue (Cr)'!C212</f>
        <v>WAAREEENER</v>
      </c>
      <c r="B217" s="50">
        <f>VLOOKUP($A217,'Data shares'!$C:$FM,102)</f>
        <v>45.51</v>
      </c>
      <c r="C217" s="50">
        <f>VLOOKUP($A217,'Data shares'!$C:$FM,110)</f>
        <v>45.1</v>
      </c>
      <c r="D217" s="50">
        <f>VLOOKUP($A217,'Data shares'!$C:$FM,114)</f>
        <v>46.55</v>
      </c>
      <c r="E217" s="50">
        <f>VLOOKUP($A217,'Data shares'!$C:$FM,106)</f>
        <v>50.21</v>
      </c>
      <c r="F217" s="50">
        <f>VLOOKUP($A217,'Data shares'!$C:$FM,108)</f>
        <v>-4.7</v>
      </c>
      <c r="G217" s="50">
        <f t="shared" si="6"/>
        <v>0.90639314877514432</v>
      </c>
    </row>
    <row r="218" spans="1:7" x14ac:dyDescent="0.25">
      <c r="A218" s="49" t="str">
        <f>'Data Vlaue (Cr)'!C213</f>
        <v>WIPRO</v>
      </c>
      <c r="B218" s="50">
        <f>VLOOKUP($A218,'Data shares'!$C:$FM,102)</f>
        <v>25.27</v>
      </c>
      <c r="C218" s="50">
        <f>VLOOKUP($A218,'Data shares'!$C:$FM,110)</f>
        <v>25.57</v>
      </c>
      <c r="D218" s="50">
        <f>VLOOKUP($A218,'Data shares'!$C:$FM,114)</f>
        <v>24.76</v>
      </c>
      <c r="E218" s="50">
        <f>VLOOKUP($A218,'Data shares'!$C:$FM,106)</f>
        <v>31.16</v>
      </c>
      <c r="F218" s="50">
        <f>VLOOKUP($A218,'Data shares'!$C:$FM,108)</f>
        <v>-5.89</v>
      </c>
      <c r="G218" s="50">
        <f t="shared" si="6"/>
        <v>0.8109756097560975</v>
      </c>
    </row>
    <row r="219" spans="1:7" x14ac:dyDescent="0.25">
      <c r="A219" s="49" t="str">
        <f>'Data Vlaue (Cr)'!C214</f>
        <v>YESBANK</v>
      </c>
      <c r="B219" s="50">
        <f>VLOOKUP($A219,'Data shares'!$C:$FM,102)</f>
        <v>33.11</v>
      </c>
      <c r="C219" s="50">
        <f>VLOOKUP($A219,'Data shares'!$C:$FM,110)</f>
        <v>35</v>
      </c>
      <c r="D219" s="50">
        <f>VLOOKUP($A219,'Data shares'!$C:$FM,114)</f>
        <v>29.28</v>
      </c>
      <c r="E219" s="50">
        <f>VLOOKUP($A219,'Data shares'!$C:$FM,106)</f>
        <v>39.229999999999997</v>
      </c>
      <c r="F219" s="50">
        <f>VLOOKUP($A219,'Data shares'!$C:$FM,108)</f>
        <v>-6.12</v>
      </c>
      <c r="G219" s="50">
        <f t="shared" si="6"/>
        <v>0.84399694111649248</v>
      </c>
    </row>
    <row r="220" spans="1:7" x14ac:dyDescent="0.25">
      <c r="A220" s="49" t="str">
        <f>'Data Vlaue (Cr)'!C215</f>
        <v>ZYDUSLIFE</v>
      </c>
      <c r="B220" s="50">
        <f>VLOOKUP($A220,'Data shares'!$C:$FM,102)</f>
        <v>26.85</v>
      </c>
      <c r="C220" s="50">
        <f>VLOOKUP($A220,'Data shares'!$C:$FM,110)</f>
        <v>26.95</v>
      </c>
      <c r="D220" s="50">
        <f>VLOOKUP($A220,'Data shares'!$C:$FM,114)</f>
        <v>26.68</v>
      </c>
      <c r="E220" s="50">
        <f>VLOOKUP($A220,'Data shares'!$C:$FM,106)</f>
        <v>27.28</v>
      </c>
      <c r="F220" s="50">
        <f>VLOOKUP($A220,'Data shares'!$C:$FM,108)</f>
        <v>-0.43</v>
      </c>
      <c r="G220" s="50">
        <f t="shared" si="6"/>
        <v>0.98423753665689151</v>
      </c>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5" activePane="bottomLeft" state="frozen"/>
      <selection pane="bottomLeft" activeCell="O15" sqref="O15"/>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18" t="s">
        <v>416</v>
      </c>
      <c r="B3" s="319"/>
      <c r="C3" s="319"/>
      <c r="D3" s="319"/>
      <c r="E3" s="319"/>
      <c r="F3" s="319"/>
    </row>
    <row r="4" spans="1:6" s="107" customFormat="1" ht="16.5" customHeight="1" x14ac:dyDescent="0.25">
      <c r="A4" s="174" t="s">
        <v>366</v>
      </c>
      <c r="B4" s="76" t="s">
        <v>417</v>
      </c>
      <c r="C4" s="76" t="s">
        <v>412</v>
      </c>
      <c r="D4" s="162" t="s">
        <v>418</v>
      </c>
      <c r="E4" s="162" t="s">
        <v>419</v>
      </c>
      <c r="F4" s="162" t="s">
        <v>419</v>
      </c>
    </row>
    <row r="5" spans="1:6" x14ac:dyDescent="0.25">
      <c r="A5" s="99" t="s">
        <v>682</v>
      </c>
      <c r="B5" s="49">
        <v>36943219</v>
      </c>
      <c r="C5" s="49">
        <v>8125500</v>
      </c>
      <c r="D5" s="49">
        <v>3128328.80981</v>
      </c>
      <c r="E5" s="50">
        <f>VLOOKUP($A5,'Data shares'!$C:$FA,154)*100</f>
        <v>23.05</v>
      </c>
      <c r="F5" s="173">
        <f t="shared" ref="F5:F68" si="0">C5/B5</f>
        <v>0.21994564144505113</v>
      </c>
    </row>
    <row r="6" spans="1:6" x14ac:dyDescent="0.25">
      <c r="A6" s="99" t="s">
        <v>553</v>
      </c>
      <c r="B6" s="49">
        <v>7946564</v>
      </c>
      <c r="C6" s="49">
        <v>4514625</v>
      </c>
      <c r="D6" s="49">
        <v>2248995.5534525001</v>
      </c>
      <c r="E6" s="50">
        <f>VLOOKUP($A6,'Data shares'!$C:$FA,154)*100</f>
        <v>58.730000000000004</v>
      </c>
      <c r="F6" s="173">
        <f t="shared" si="0"/>
        <v>0.56812290192339732</v>
      </c>
    </row>
    <row r="7" spans="1:6" x14ac:dyDescent="0.25">
      <c r="A7" s="99" t="s">
        <v>544</v>
      </c>
      <c r="B7" s="49">
        <v>122657000</v>
      </c>
      <c r="C7" s="49">
        <v>119576300</v>
      </c>
      <c r="D7" s="49">
        <v>77902469.156744003</v>
      </c>
      <c r="E7" s="50">
        <f>VLOOKUP($A7,'Data shares'!$C:$FA,154)*100</f>
        <v>99.1</v>
      </c>
      <c r="F7" s="173">
        <f t="shared" si="0"/>
        <v>0.97488361854602668</v>
      </c>
    </row>
    <row r="8" spans="1:6" x14ac:dyDescent="0.25">
      <c r="A8" s="99" t="s">
        <v>579</v>
      </c>
      <c r="B8" s="49">
        <v>43791427</v>
      </c>
      <c r="C8" s="49">
        <v>28973700</v>
      </c>
      <c r="D8" s="49">
        <v>17405546.5406317</v>
      </c>
      <c r="E8" s="50">
        <f>VLOOKUP($A8,'Data shares'!$C:$FA,154)*100</f>
        <v>66.739999999999995</v>
      </c>
      <c r="F8" s="173">
        <f t="shared" si="0"/>
        <v>0.66162950113500529</v>
      </c>
    </row>
    <row r="9" spans="1:6" x14ac:dyDescent="0.25">
      <c r="A9" s="99" t="s">
        <v>159</v>
      </c>
      <c r="B9" s="49">
        <v>49117354</v>
      </c>
      <c r="C9" s="49">
        <v>35857287</v>
      </c>
      <c r="D9" s="49">
        <v>17841081.541799899</v>
      </c>
      <c r="E9" s="50">
        <f>VLOOKUP($A9,'Data shares'!$C:$FA,154)*100</f>
        <v>78.13</v>
      </c>
      <c r="F9" s="173">
        <f t="shared" si="0"/>
        <v>0.7300329533223634</v>
      </c>
    </row>
    <row r="10" spans="1:6" x14ac:dyDescent="0.25">
      <c r="A10" s="99" t="s">
        <v>606</v>
      </c>
      <c r="B10" s="49">
        <v>92816927</v>
      </c>
      <c r="C10" s="49">
        <v>37296000</v>
      </c>
      <c r="D10" s="49">
        <v>19217817.801936001</v>
      </c>
      <c r="E10" s="50">
        <f>VLOOKUP($A10,'Data shares'!$C:$FA,154)*100</f>
        <v>40.65</v>
      </c>
      <c r="F10" s="173">
        <f t="shared" si="0"/>
        <v>0.4018232579494902</v>
      </c>
    </row>
    <row r="11" spans="1:6" x14ac:dyDescent="0.25">
      <c r="A11" s="99" t="s">
        <v>160</v>
      </c>
      <c r="B11" s="49">
        <v>84394936</v>
      </c>
      <c r="C11" s="49">
        <v>40885150</v>
      </c>
      <c r="D11" s="49">
        <v>25278355.865595199</v>
      </c>
      <c r="E11" s="50">
        <f>VLOOKUP($A11,'Data shares'!$C:$FA,154)*100</f>
        <v>49.27</v>
      </c>
      <c r="F11" s="173">
        <f t="shared" si="0"/>
        <v>0.48445027554733855</v>
      </c>
    </row>
    <row r="12" spans="1:6" x14ac:dyDescent="0.25">
      <c r="A12" s="99" t="s">
        <v>497</v>
      </c>
      <c r="B12" s="49">
        <v>7334235</v>
      </c>
      <c r="C12" s="49">
        <v>1956875</v>
      </c>
      <c r="D12" s="49">
        <v>1330951.0456362499</v>
      </c>
      <c r="E12" s="50">
        <f>VLOOKUP($A12,'Data shares'!$C:$FA,154)*100</f>
        <v>27.04</v>
      </c>
      <c r="F12" s="173">
        <f t="shared" si="0"/>
        <v>0.26681378494144242</v>
      </c>
    </row>
    <row r="13" spans="1:6" x14ac:dyDescent="0.25">
      <c r="A13" s="99" t="s">
        <v>681</v>
      </c>
      <c r="B13" s="49">
        <v>3257355</v>
      </c>
      <c r="C13" s="49">
        <v>2055700</v>
      </c>
      <c r="D13" s="49">
        <v>1004285.3543689999</v>
      </c>
      <c r="E13" s="50">
        <f>VLOOKUP($A13,'Data shares'!$C:$FA,154)*100</f>
        <v>65.67</v>
      </c>
      <c r="F13" s="173">
        <f t="shared" si="0"/>
        <v>0.63109486070753729</v>
      </c>
    </row>
    <row r="14" spans="1:6" x14ac:dyDescent="0.25">
      <c r="A14" s="99" t="s">
        <v>164</v>
      </c>
      <c r="B14" s="49">
        <v>79841849</v>
      </c>
      <c r="C14" s="49">
        <v>74781000</v>
      </c>
      <c r="D14" s="49">
        <v>45632327.965896003</v>
      </c>
      <c r="E14" s="50">
        <f>VLOOKUP($A14,'Data shares'!$C:$FA,154)*100</f>
        <v>95.66</v>
      </c>
      <c r="F14" s="173">
        <f t="shared" si="0"/>
        <v>0.93661408066839735</v>
      </c>
    </row>
    <row r="15" spans="1:6" x14ac:dyDescent="0.25">
      <c r="A15" s="99" t="s">
        <v>609</v>
      </c>
      <c r="B15" s="49">
        <v>9673308</v>
      </c>
      <c r="C15" s="49">
        <v>9062750</v>
      </c>
      <c r="D15" s="49">
        <v>3407007.378455</v>
      </c>
      <c r="E15" s="50">
        <f>VLOOKUP($A15,'Data shares'!$C:$FA,154)*100</f>
        <v>97.19</v>
      </c>
      <c r="F15" s="173">
        <f t="shared" si="0"/>
        <v>0.93688219169698717</v>
      </c>
    </row>
    <row r="16" spans="1:6" x14ac:dyDescent="0.25">
      <c r="A16" s="99" t="s">
        <v>598</v>
      </c>
      <c r="B16" s="49">
        <v>23068453</v>
      </c>
      <c r="C16" s="49">
        <v>15022000</v>
      </c>
      <c r="D16" s="49">
        <v>10507810.6781375</v>
      </c>
      <c r="E16" s="50">
        <f>VLOOKUP($A16,'Data shares'!$C:$FA,154)*100</f>
        <v>65.66</v>
      </c>
      <c r="F16" s="173">
        <f t="shared" si="0"/>
        <v>0.65119234480092791</v>
      </c>
    </row>
    <row r="17" spans="1:6" x14ac:dyDescent="0.25">
      <c r="A17" s="99" t="s">
        <v>165</v>
      </c>
      <c r="B17" s="49">
        <v>15524629</v>
      </c>
      <c r="C17" s="49">
        <v>6928375</v>
      </c>
      <c r="D17" s="49">
        <v>3810426.7885150001</v>
      </c>
      <c r="E17" s="50">
        <f>VLOOKUP($A17,'Data shares'!$C:$FA,154)*100</f>
        <v>45.65</v>
      </c>
      <c r="F17" s="173">
        <f t="shared" si="0"/>
        <v>0.44628280650056112</v>
      </c>
    </row>
    <row r="18" spans="1:6" x14ac:dyDescent="0.25">
      <c r="A18" s="99" t="s">
        <v>167</v>
      </c>
      <c r="B18" s="49">
        <v>423719104</v>
      </c>
      <c r="C18" s="49">
        <v>279020000</v>
      </c>
      <c r="D18" s="49">
        <v>161251600.99715</v>
      </c>
      <c r="E18" s="50">
        <f>VLOOKUP($A18,'Data shares'!$C:$FA,154)*100</f>
        <v>67.679999999999993</v>
      </c>
      <c r="F18" s="173">
        <f t="shared" si="0"/>
        <v>0.65850228929021803</v>
      </c>
    </row>
    <row r="19" spans="1:6" x14ac:dyDescent="0.25">
      <c r="A19" s="99" t="s">
        <v>169</v>
      </c>
      <c r="B19" s="49">
        <v>49389162</v>
      </c>
      <c r="C19" s="49">
        <v>20840500</v>
      </c>
      <c r="D19" s="49">
        <v>12209654.089837501</v>
      </c>
      <c r="E19" s="50"/>
      <c r="F19" s="173">
        <f t="shared" si="0"/>
        <v>0.42196504569160337</v>
      </c>
    </row>
    <row r="20" spans="1:6" x14ac:dyDescent="0.25">
      <c r="A20" s="99" t="s">
        <v>503</v>
      </c>
      <c r="B20" s="49">
        <v>18450534</v>
      </c>
      <c r="C20" s="49">
        <v>13320775</v>
      </c>
      <c r="D20" s="49">
        <v>6405498.5588622503</v>
      </c>
      <c r="E20" s="50">
        <f>VLOOKUP($A20,'Data shares'!$C:$FA,154)*100</f>
        <v>73.070000000000007</v>
      </c>
      <c r="F20" s="173">
        <f t="shared" si="0"/>
        <v>0.72197232882256956</v>
      </c>
    </row>
    <row r="21" spans="1:6" x14ac:dyDescent="0.25">
      <c r="A21" s="99" t="s">
        <v>495</v>
      </c>
      <c r="B21" s="49">
        <v>86371921</v>
      </c>
      <c r="C21" s="49">
        <v>42032000</v>
      </c>
      <c r="D21" s="49">
        <v>25268966.319729999</v>
      </c>
      <c r="E21" s="50">
        <f>VLOOKUP($A21,'Data shares'!$C:$FA,154)*100</f>
        <v>50.22</v>
      </c>
      <c r="F21" s="173">
        <f t="shared" si="0"/>
        <v>0.4866396337300406</v>
      </c>
    </row>
    <row r="22" spans="1:6" x14ac:dyDescent="0.25">
      <c r="A22" s="99" t="s">
        <v>171</v>
      </c>
      <c r="B22" s="49">
        <v>41977935</v>
      </c>
      <c r="C22" s="49">
        <v>31587050</v>
      </c>
      <c r="D22" s="49">
        <v>20171931.134514499</v>
      </c>
      <c r="E22" s="50">
        <f>VLOOKUP($A22,'Data shares'!$C:$FA,154)*100</f>
        <v>75.960000000000008</v>
      </c>
      <c r="F22" s="173">
        <f t="shared" si="0"/>
        <v>0.75246793345122864</v>
      </c>
    </row>
    <row r="23" spans="1:6" x14ac:dyDescent="0.25">
      <c r="A23" s="99" t="s">
        <v>173</v>
      </c>
      <c r="B23" s="49">
        <v>296371456</v>
      </c>
      <c r="C23" s="49">
        <v>130966875</v>
      </c>
      <c r="D23" s="49">
        <v>83240721.462575004</v>
      </c>
      <c r="E23" s="50">
        <f>VLOOKUP($A23,'Data shares'!$C:$FA,154)*100</f>
        <v>45.08</v>
      </c>
      <c r="F23" s="173">
        <f t="shared" si="0"/>
        <v>0.4419011087221571</v>
      </c>
    </row>
    <row r="24" spans="1:6" x14ac:dyDescent="0.25">
      <c r="A24" s="99" t="s">
        <v>174</v>
      </c>
      <c r="B24" s="49">
        <v>15906526</v>
      </c>
      <c r="C24" s="49">
        <v>5887725</v>
      </c>
      <c r="D24" s="49">
        <v>3290118.0013095001</v>
      </c>
      <c r="E24" s="50">
        <f>VLOOKUP($A24,'Data shares'!$C:$FA,154)*100</f>
        <v>38.049999999999997</v>
      </c>
      <c r="F24" s="173">
        <f t="shared" si="0"/>
        <v>0.37014524730289944</v>
      </c>
    </row>
    <row r="25" spans="1:6" x14ac:dyDescent="0.25">
      <c r="A25" s="99" t="s">
        <v>176</v>
      </c>
      <c r="B25" s="49">
        <v>65701623</v>
      </c>
      <c r="C25" s="49">
        <v>24825750</v>
      </c>
      <c r="D25" s="49">
        <v>15867822.524115</v>
      </c>
      <c r="E25" s="50">
        <f>VLOOKUP($A25,'Data shares'!$C:$FA,154)*100</f>
        <v>38.21</v>
      </c>
      <c r="F25" s="173">
        <f t="shared" si="0"/>
        <v>0.37785596255361908</v>
      </c>
    </row>
    <row r="26" spans="1:6" x14ac:dyDescent="0.25">
      <c r="A26" s="99" t="s">
        <v>691</v>
      </c>
      <c r="B26" s="49">
        <v>5401993</v>
      </c>
      <c r="C26" s="49">
        <v>488800</v>
      </c>
      <c r="D26" s="49">
        <v>209125.17942649999</v>
      </c>
      <c r="E26" s="50">
        <f>VLOOKUP($A26,'Data shares'!$C:$FA,154)*100</f>
        <v>9.17</v>
      </c>
      <c r="F26" s="173">
        <f t="shared" si="0"/>
        <v>9.0485122805601559E-2</v>
      </c>
    </row>
    <row r="27" spans="1:6" x14ac:dyDescent="0.25">
      <c r="A27" s="99" t="s">
        <v>177</v>
      </c>
      <c r="B27" s="49">
        <v>317526833</v>
      </c>
      <c r="C27" s="49">
        <v>141055500</v>
      </c>
      <c r="D27" s="49">
        <v>92951428.545420006</v>
      </c>
      <c r="E27" s="50">
        <f>VLOOKUP($A27,'Data shares'!$C:$FA,154)*100</f>
        <v>45.47</v>
      </c>
      <c r="F27" s="173">
        <f t="shared" si="0"/>
        <v>0.44423174780948355</v>
      </c>
    </row>
    <row r="28" spans="1:6" x14ac:dyDescent="0.25">
      <c r="A28" s="99" t="s">
        <v>179</v>
      </c>
      <c r="B28" s="49">
        <v>144289555</v>
      </c>
      <c r="C28" s="49">
        <v>198784800</v>
      </c>
      <c r="D28" s="49">
        <v>122444335.601568</v>
      </c>
      <c r="E28" s="50">
        <f>VLOOKUP($A28,'Data shares'!$C:$FA,154)*100</f>
        <v>140.59</v>
      </c>
      <c r="F28" s="173">
        <f t="shared" si="0"/>
        <v>1.3776797634451088</v>
      </c>
    </row>
    <row r="29" spans="1:6" x14ac:dyDescent="0.25">
      <c r="A29" s="99" t="s">
        <v>180</v>
      </c>
      <c r="B29" s="49">
        <v>279476623</v>
      </c>
      <c r="C29" s="49">
        <v>174955950</v>
      </c>
      <c r="D29" s="49">
        <v>76457079.439649999</v>
      </c>
      <c r="E29" s="50">
        <f>VLOOKUP($A29,'Data shares'!$C:$FA,154)*100</f>
        <v>64</v>
      </c>
      <c r="F29" s="173">
        <f t="shared" si="0"/>
        <v>0.62601282397776792</v>
      </c>
    </row>
    <row r="30" spans="1:6" x14ac:dyDescent="0.25">
      <c r="A30" s="99" t="s">
        <v>602</v>
      </c>
      <c r="B30" s="49">
        <v>181770921</v>
      </c>
      <c r="C30" s="49">
        <v>131393600</v>
      </c>
      <c r="D30" s="49">
        <v>54669700.510151997</v>
      </c>
      <c r="E30" s="50">
        <f>VLOOKUP($A30,'Data shares'!$C:$FA,154)*100</f>
        <v>73.260000000000005</v>
      </c>
      <c r="F30" s="173">
        <f t="shared" si="0"/>
        <v>0.72285269435368049</v>
      </c>
    </row>
    <row r="31" spans="1:6" x14ac:dyDescent="0.25">
      <c r="A31" s="99" t="s">
        <v>671</v>
      </c>
      <c r="B31" s="49">
        <v>13786716</v>
      </c>
      <c r="C31" s="49">
        <v>12656700</v>
      </c>
      <c r="D31" s="49">
        <v>4149059.6133945002</v>
      </c>
      <c r="E31" s="50">
        <f>VLOOKUP($A31,'Data shares'!$C:$FA,154)*100</f>
        <v>93.72</v>
      </c>
      <c r="F31" s="173">
        <f t="shared" si="0"/>
        <v>0.91803588323716834</v>
      </c>
    </row>
    <row r="32" spans="1:6" x14ac:dyDescent="0.25">
      <c r="A32" s="99" t="s">
        <v>185</v>
      </c>
      <c r="B32" s="49">
        <v>535778534</v>
      </c>
      <c r="C32" s="49">
        <v>209544825</v>
      </c>
      <c r="D32" s="49">
        <v>117699278.683111</v>
      </c>
      <c r="E32" s="50">
        <f>VLOOKUP($A32,'Data shares'!$C:$FA,154)*100</f>
        <v>40.18</v>
      </c>
      <c r="F32" s="173">
        <f t="shared" si="0"/>
        <v>0.39110343491290378</v>
      </c>
    </row>
    <row r="33" spans="1:6" x14ac:dyDescent="0.25">
      <c r="A33" s="99" t="s">
        <v>187</v>
      </c>
      <c r="B33" s="49">
        <v>40107751</v>
      </c>
      <c r="C33" s="49">
        <v>13586000</v>
      </c>
      <c r="D33" s="49">
        <v>6943396.1983200004</v>
      </c>
      <c r="E33" s="50">
        <f>VLOOKUP($A33,'Data shares'!$C:$FA,154)*100</f>
        <v>34.67</v>
      </c>
      <c r="F33" s="173">
        <f t="shared" si="0"/>
        <v>0.33873751734421609</v>
      </c>
    </row>
    <row r="34" spans="1:6" x14ac:dyDescent="0.25">
      <c r="A34" s="99" t="s">
        <v>189</v>
      </c>
      <c r="B34" s="49">
        <v>367085962</v>
      </c>
      <c r="C34" s="49">
        <v>74555050</v>
      </c>
      <c r="D34" s="49">
        <v>51821767.574600197</v>
      </c>
      <c r="E34" s="50">
        <f>VLOOKUP($A34,'Data shares'!$C:$FA,154)*100</f>
        <v>20.82</v>
      </c>
      <c r="F34" s="173">
        <f t="shared" si="0"/>
        <v>0.20309970338773128</v>
      </c>
    </row>
    <row r="35" spans="1:6" x14ac:dyDescent="0.25">
      <c r="A35" s="99" t="s">
        <v>190</v>
      </c>
      <c r="B35" s="49">
        <v>192361942</v>
      </c>
      <c r="C35" s="49">
        <v>230209875</v>
      </c>
      <c r="D35" s="49">
        <v>78519076.587734997</v>
      </c>
      <c r="E35" s="50">
        <f>VLOOKUP($A35,'Data shares'!$C:$FA,154)*100</f>
        <v>124.79</v>
      </c>
      <c r="F35" s="173">
        <f t="shared" si="0"/>
        <v>1.1967537476825847</v>
      </c>
    </row>
    <row r="36" spans="1:6" x14ac:dyDescent="0.25">
      <c r="A36" s="99" t="s">
        <v>191</v>
      </c>
      <c r="B36" s="49">
        <v>91057772</v>
      </c>
      <c r="C36" s="49">
        <v>91647500</v>
      </c>
      <c r="D36" s="49">
        <v>42613778.144125</v>
      </c>
      <c r="E36" s="50">
        <f>VLOOKUP($A36,'Data shares'!$C:$FA,154)*100</f>
        <v>103.14000000000001</v>
      </c>
      <c r="F36" s="173">
        <f t="shared" si="0"/>
        <v>1.0064764158736499</v>
      </c>
    </row>
    <row r="37" spans="1:6" x14ac:dyDescent="0.25">
      <c r="A37" s="99" t="s">
        <v>679</v>
      </c>
      <c r="B37" s="49">
        <v>17213286</v>
      </c>
      <c r="C37" s="49">
        <v>4671550</v>
      </c>
      <c r="D37" s="49">
        <v>2138877.0713082501</v>
      </c>
      <c r="E37" s="50">
        <f>VLOOKUP($A37,'Data shares'!$C:$FA,154)*100</f>
        <v>27.700000000000003</v>
      </c>
      <c r="F37" s="173">
        <f t="shared" si="0"/>
        <v>0.27139210956002241</v>
      </c>
    </row>
    <row r="38" spans="1:6" x14ac:dyDescent="0.25">
      <c r="A38" s="99" t="s">
        <v>192</v>
      </c>
      <c r="B38" s="49">
        <v>882048</v>
      </c>
      <c r="C38" s="49">
        <v>724425</v>
      </c>
      <c r="D38" s="49">
        <v>209421.407794</v>
      </c>
      <c r="E38" s="50">
        <f>VLOOKUP($A38,'Data shares'!$C:$FA,154)*100</f>
        <v>84.399999999999991</v>
      </c>
      <c r="F38" s="173">
        <f t="shared" si="0"/>
        <v>0.82129884087940797</v>
      </c>
    </row>
    <row r="39" spans="1:6" x14ac:dyDescent="0.25">
      <c r="A39" s="99" t="s">
        <v>194</v>
      </c>
      <c r="B39" s="49">
        <v>306020745</v>
      </c>
      <c r="C39" s="49">
        <v>61541000</v>
      </c>
      <c r="D39" s="49">
        <v>27804213.328214198</v>
      </c>
      <c r="E39" s="50">
        <f>VLOOKUP($A39,'Data shares'!$C:$FA,154)*100</f>
        <v>21.07</v>
      </c>
      <c r="F39" s="173">
        <f t="shared" si="0"/>
        <v>0.20110074563735866</v>
      </c>
    </row>
    <row r="40" spans="1:6" x14ac:dyDescent="0.25">
      <c r="A40" s="99" t="s">
        <v>195</v>
      </c>
      <c r="B40" s="49">
        <v>16370935</v>
      </c>
      <c r="C40" s="49">
        <v>4471250</v>
      </c>
      <c r="D40" s="49">
        <v>3057944.3605112499</v>
      </c>
      <c r="E40" s="50">
        <f>VLOOKUP($A40,'Data shares'!$C:$FA,154)*100</f>
        <v>28.28</v>
      </c>
      <c r="F40" s="173">
        <f t="shared" si="0"/>
        <v>0.2731212358976442</v>
      </c>
    </row>
    <row r="41" spans="1:6" x14ac:dyDescent="0.25">
      <c r="A41" s="99" t="s">
        <v>584</v>
      </c>
      <c r="B41" s="49">
        <v>61094861</v>
      </c>
      <c r="C41" s="49">
        <v>24308625</v>
      </c>
      <c r="D41" s="49">
        <v>10552462.27674</v>
      </c>
      <c r="E41" s="50">
        <f>VLOOKUP($A41,'Data shares'!$C:$FA,154)*100</f>
        <v>41.65</v>
      </c>
      <c r="F41" s="173">
        <f t="shared" si="0"/>
        <v>0.39788330151041673</v>
      </c>
    </row>
    <row r="42" spans="1:6" x14ac:dyDescent="0.25">
      <c r="A42" s="99" t="s">
        <v>611</v>
      </c>
      <c r="B42" s="49">
        <v>37122288</v>
      </c>
      <c r="C42" s="49">
        <v>15886500</v>
      </c>
      <c r="D42" s="49">
        <v>7007626.4201100003</v>
      </c>
      <c r="E42" s="50">
        <f>VLOOKUP($A42,'Data shares'!$C:$FA,154)*100</f>
        <v>44.09</v>
      </c>
      <c r="F42" s="173">
        <f t="shared" si="0"/>
        <v>0.42795045391598707</v>
      </c>
    </row>
    <row r="43" spans="1:6" x14ac:dyDescent="0.25">
      <c r="A43" s="99" t="s">
        <v>196</v>
      </c>
      <c r="B43" s="49">
        <v>504315430</v>
      </c>
      <c r="C43" s="49">
        <v>352410750</v>
      </c>
      <c r="D43" s="49">
        <v>142116432.28794</v>
      </c>
      <c r="E43" s="50">
        <f>VLOOKUP($A43,'Data shares'!$C:$FA,154)*100</f>
        <v>71.850000000000009</v>
      </c>
      <c r="F43" s="173">
        <f t="shared" si="0"/>
        <v>0.69879033841974658</v>
      </c>
    </row>
    <row r="44" spans="1:6" x14ac:dyDescent="0.25">
      <c r="A44" s="99" t="s">
        <v>597</v>
      </c>
      <c r="B44" s="49">
        <v>26647500</v>
      </c>
      <c r="C44" s="49">
        <v>25702250</v>
      </c>
      <c r="D44" s="49">
        <v>9733643.7343167495</v>
      </c>
      <c r="E44" s="50">
        <f>VLOOKUP($A44,'Data shares'!$C:$FA,154)*100</f>
        <v>100.59</v>
      </c>
      <c r="F44" s="173">
        <f t="shared" si="0"/>
        <v>0.96452762923351154</v>
      </c>
    </row>
    <row r="45" spans="1:6" x14ac:dyDescent="0.25">
      <c r="A45" s="99" t="s">
        <v>612</v>
      </c>
      <c r="B45" s="49">
        <v>103060454</v>
      </c>
      <c r="C45" s="49">
        <v>40851850</v>
      </c>
      <c r="D45" s="49">
        <v>16721784.181506</v>
      </c>
      <c r="E45" s="50">
        <f>VLOOKUP($A45,'Data shares'!$C:$FA,154)*100</f>
        <v>40.47</v>
      </c>
      <c r="F45" s="173">
        <f t="shared" si="0"/>
        <v>0.39638725053549639</v>
      </c>
    </row>
    <row r="46" spans="1:6" x14ac:dyDescent="0.25">
      <c r="A46" s="99" t="s">
        <v>198</v>
      </c>
      <c r="B46" s="49">
        <v>63257923</v>
      </c>
      <c r="C46" s="49">
        <v>23355000</v>
      </c>
      <c r="D46" s="49">
        <v>14539577.5902375</v>
      </c>
      <c r="E46" s="50">
        <f>VLOOKUP($A46,'Data shares'!$C:$FA,154)*100</f>
        <v>37.79</v>
      </c>
      <c r="F46" s="173">
        <f t="shared" si="0"/>
        <v>0.36920276373917621</v>
      </c>
    </row>
    <row r="47" spans="1:6" x14ac:dyDescent="0.25">
      <c r="A47" s="99" t="s">
        <v>199</v>
      </c>
      <c r="B47" s="49">
        <v>59297360</v>
      </c>
      <c r="C47" s="49">
        <v>27630750</v>
      </c>
      <c r="D47" s="49">
        <v>14822145.6352912</v>
      </c>
      <c r="E47" s="50">
        <f>VLOOKUP($A47,'Data shares'!$C:$FA,154)*100</f>
        <v>48.22</v>
      </c>
      <c r="F47" s="173">
        <f t="shared" si="0"/>
        <v>0.46596931128131169</v>
      </c>
    </row>
    <row r="48" spans="1:6" x14ac:dyDescent="0.25">
      <c r="A48" s="99" t="s">
        <v>200</v>
      </c>
      <c r="B48" s="49">
        <v>278206904</v>
      </c>
      <c r="C48" s="49">
        <v>131512950</v>
      </c>
      <c r="D48" s="49">
        <v>54948587.3613315</v>
      </c>
      <c r="E48" s="50">
        <f>VLOOKUP($A48,'Data shares'!$C:$FA,154)*100</f>
        <v>48.78</v>
      </c>
      <c r="F48" s="173">
        <f t="shared" si="0"/>
        <v>0.47271634207898738</v>
      </c>
    </row>
    <row r="49" spans="1:6" x14ac:dyDescent="0.25">
      <c r="A49" s="99" t="s">
        <v>470</v>
      </c>
      <c r="B49" s="49">
        <v>50189409</v>
      </c>
      <c r="C49" s="49">
        <v>27271125</v>
      </c>
      <c r="D49" s="49">
        <v>13863214.4324625</v>
      </c>
      <c r="E49" s="50">
        <f>VLOOKUP($A49,'Data shares'!$C:$FA,154)*100</f>
        <v>56.98</v>
      </c>
      <c r="F49" s="173">
        <f t="shared" si="0"/>
        <v>0.54336413883654222</v>
      </c>
    </row>
    <row r="50" spans="1:6" x14ac:dyDescent="0.25">
      <c r="A50" s="99" t="s">
        <v>201</v>
      </c>
      <c r="B50" s="49">
        <v>19546143</v>
      </c>
      <c r="C50" s="49">
        <v>10068525</v>
      </c>
      <c r="D50" s="49">
        <v>5781194.95680675</v>
      </c>
      <c r="E50" s="50">
        <f>VLOOKUP($A50,'Data shares'!$C:$FA,154)*100</f>
        <v>52.52</v>
      </c>
      <c r="F50" s="173">
        <f t="shared" si="0"/>
        <v>0.51511569315746841</v>
      </c>
    </row>
    <row r="51" spans="1:6" x14ac:dyDescent="0.25">
      <c r="A51" s="99" t="s">
        <v>202</v>
      </c>
      <c r="B51" s="49">
        <v>51639257</v>
      </c>
      <c r="C51" s="49">
        <v>55522500</v>
      </c>
      <c r="D51" s="49">
        <v>28609254.023487501</v>
      </c>
      <c r="E51" s="50">
        <f>VLOOKUP($A51,'Data shares'!$C:$FA,154)*100</f>
        <v>109.69</v>
      </c>
      <c r="F51" s="173">
        <f t="shared" si="0"/>
        <v>1.0751994359639991</v>
      </c>
    </row>
    <row r="52" spans="1:6" x14ac:dyDescent="0.25">
      <c r="A52" s="99" t="s">
        <v>523</v>
      </c>
      <c r="B52" s="49">
        <v>96587231</v>
      </c>
      <c r="C52" s="49">
        <v>89478000</v>
      </c>
      <c r="D52" s="49">
        <v>49198347.853866003</v>
      </c>
      <c r="E52" s="50">
        <f>VLOOKUP($A52,'Data shares'!$C:$FA,154)*100</f>
        <v>94.34</v>
      </c>
      <c r="F52" s="173">
        <f t="shared" si="0"/>
        <v>0.92639574686637405</v>
      </c>
    </row>
    <row r="53" spans="1:6" x14ac:dyDescent="0.25">
      <c r="A53" s="99" t="s">
        <v>203</v>
      </c>
      <c r="B53" s="49">
        <v>19131188</v>
      </c>
      <c r="C53" s="49">
        <v>6394800</v>
      </c>
      <c r="D53" s="49">
        <v>3465735.9068300002</v>
      </c>
      <c r="E53" s="50">
        <f>VLOOKUP($A53,'Data shares'!$C:$FA,154)*100</f>
        <v>34.200000000000003</v>
      </c>
      <c r="F53" s="173">
        <f t="shared" si="0"/>
        <v>0.33426047561709182</v>
      </c>
    </row>
    <row r="54" spans="1:6" x14ac:dyDescent="0.25">
      <c r="A54" s="99" t="s">
        <v>204</v>
      </c>
      <c r="B54" s="49">
        <v>89873278</v>
      </c>
      <c r="C54" s="49">
        <v>42555000</v>
      </c>
      <c r="D54" s="49">
        <v>22791726.7415125</v>
      </c>
      <c r="E54" s="50">
        <f>VLOOKUP($A54,'Data shares'!$C:$FA,154)*100</f>
        <v>49.53</v>
      </c>
      <c r="F54" s="173">
        <f t="shared" si="0"/>
        <v>0.47350003190047213</v>
      </c>
    </row>
    <row r="55" spans="1:6" x14ac:dyDescent="0.25">
      <c r="A55" s="99" t="s">
        <v>524</v>
      </c>
      <c r="B55" s="49">
        <v>12425041</v>
      </c>
      <c r="C55" s="49">
        <v>5404750</v>
      </c>
      <c r="D55" s="49">
        <v>2961266.4186884998</v>
      </c>
      <c r="E55" s="50">
        <f>VLOOKUP($A55,'Data shares'!$C:$FA,154)*100</f>
        <v>44.14</v>
      </c>
      <c r="F55" s="173">
        <f t="shared" si="0"/>
        <v>0.43498850426328572</v>
      </c>
    </row>
    <row r="56" spans="1:6" x14ac:dyDescent="0.25">
      <c r="A56" s="99" t="s">
        <v>600</v>
      </c>
      <c r="B56" s="49">
        <v>112112283</v>
      </c>
      <c r="C56" s="49">
        <v>35455525</v>
      </c>
      <c r="D56" s="49">
        <v>21754967.568916999</v>
      </c>
      <c r="E56" s="50">
        <f>VLOOKUP($A56,'Data shares'!$C:$FA,154)*100</f>
        <v>31.96</v>
      </c>
      <c r="F56" s="173">
        <f t="shared" si="0"/>
        <v>0.3162501382654031</v>
      </c>
    </row>
    <row r="57" spans="1:6" x14ac:dyDescent="0.25">
      <c r="A57" s="99" t="s">
        <v>205</v>
      </c>
      <c r="B57" s="49">
        <v>14898112</v>
      </c>
      <c r="C57" s="49">
        <v>6320700</v>
      </c>
      <c r="D57" s="49">
        <v>3298119.2123230002</v>
      </c>
      <c r="E57" s="50">
        <f>VLOOKUP($A57,'Data shares'!$C:$FA,154)*100</f>
        <v>42.92</v>
      </c>
      <c r="F57" s="173">
        <f t="shared" si="0"/>
        <v>0.42426181250349038</v>
      </c>
    </row>
    <row r="58" spans="1:6" x14ac:dyDescent="0.25">
      <c r="A58" s="99" t="s">
        <v>512</v>
      </c>
      <c r="B58" s="49">
        <v>6452220</v>
      </c>
      <c r="C58" s="49">
        <v>9119650</v>
      </c>
      <c r="D58" s="49">
        <v>3208552.5143955001</v>
      </c>
      <c r="E58" s="50">
        <f>VLOOKUP($A58,'Data shares'!$C:$FA,154)*100</f>
        <v>145.78</v>
      </c>
      <c r="F58" s="173">
        <f t="shared" si="0"/>
        <v>1.4134127478604264</v>
      </c>
    </row>
    <row r="59" spans="1:6" x14ac:dyDescent="0.25">
      <c r="A59" s="99" t="s">
        <v>207</v>
      </c>
      <c r="B59" s="49">
        <v>96058266</v>
      </c>
      <c r="C59" s="49">
        <v>100366200</v>
      </c>
      <c r="D59" s="49">
        <v>58453740.742014699</v>
      </c>
      <c r="E59" s="50">
        <f>VLOOKUP($A59,'Data shares'!$C:$FA,154)*100</f>
        <v>106.89999999999999</v>
      </c>
      <c r="F59" s="173">
        <f t="shared" si="0"/>
        <v>1.044847093117421</v>
      </c>
    </row>
    <row r="60" spans="1:6" x14ac:dyDescent="0.25">
      <c r="A60" s="99" t="s">
        <v>583</v>
      </c>
      <c r="B60" s="49">
        <v>18750186</v>
      </c>
      <c r="C60" s="49">
        <v>9900300</v>
      </c>
      <c r="D60" s="49">
        <v>4318488.9463125002</v>
      </c>
      <c r="E60" s="50">
        <f>VLOOKUP($A60,'Data shares'!$C:$FA,154)*100</f>
        <v>54.290000000000006</v>
      </c>
      <c r="F60" s="173">
        <f t="shared" si="0"/>
        <v>0.52801076213323961</v>
      </c>
    </row>
    <row r="61" spans="1:6" x14ac:dyDescent="0.25">
      <c r="A61" s="99" t="s">
        <v>208</v>
      </c>
      <c r="B61" s="49">
        <v>91531454</v>
      </c>
      <c r="C61" s="49">
        <v>31801875</v>
      </c>
      <c r="D61" s="49">
        <v>13790903.711087501</v>
      </c>
      <c r="E61" s="50">
        <f>VLOOKUP($A61,'Data shares'!$C:$FA,154)*100</f>
        <v>36.29</v>
      </c>
      <c r="F61" s="173">
        <f t="shared" si="0"/>
        <v>0.34744203888643571</v>
      </c>
    </row>
    <row r="62" spans="1:6" x14ac:dyDescent="0.25">
      <c r="A62" s="99" t="s">
        <v>209</v>
      </c>
      <c r="B62" s="49">
        <v>19199175</v>
      </c>
      <c r="C62" s="49">
        <v>5813200</v>
      </c>
      <c r="D62" s="49">
        <v>2997995.6693389998</v>
      </c>
      <c r="E62" s="50">
        <f>VLOOKUP($A62,'Data shares'!$C:$FA,154)*100</f>
        <v>30.86</v>
      </c>
      <c r="F62" s="173">
        <f t="shared" si="0"/>
        <v>0.30278384357661203</v>
      </c>
    </row>
    <row r="63" spans="1:6" x14ac:dyDescent="0.25">
      <c r="A63" s="99" t="s">
        <v>667</v>
      </c>
      <c r="B63" s="49">
        <v>1251309857</v>
      </c>
      <c r="C63" s="49">
        <v>506449125</v>
      </c>
      <c r="D63" s="49">
        <v>333220724.97266299</v>
      </c>
      <c r="E63" s="50">
        <f>VLOOKUP($A63,'Data shares'!$C:$FA,154)*100</f>
        <v>41.120000000000005</v>
      </c>
      <c r="F63" s="173">
        <f t="shared" si="0"/>
        <v>0.40473518382905216</v>
      </c>
    </row>
    <row r="64" spans="1:6" x14ac:dyDescent="0.25">
      <c r="A64" s="99" t="s">
        <v>211</v>
      </c>
      <c r="B64" s="49">
        <v>68856800</v>
      </c>
      <c r="C64" s="49">
        <v>62076600</v>
      </c>
      <c r="D64" s="49">
        <v>24946162.581023999</v>
      </c>
      <c r="E64" s="50">
        <f>VLOOKUP($A64,'Data shares'!$C:$FA,154)*100</f>
        <v>92.16</v>
      </c>
      <c r="F64" s="173">
        <f t="shared" si="0"/>
        <v>0.90153187484750963</v>
      </c>
    </row>
    <row r="65" spans="1:6" x14ac:dyDescent="0.25">
      <c r="A65" s="99" t="s">
        <v>212</v>
      </c>
      <c r="B65" s="49">
        <v>320636733</v>
      </c>
      <c r="C65" s="49">
        <v>183850000</v>
      </c>
      <c r="D65" s="49">
        <v>55598868.754699998</v>
      </c>
      <c r="E65" s="50">
        <f>VLOOKUP($A65,'Data shares'!$C:$FA,154)*100</f>
        <v>59.88</v>
      </c>
      <c r="F65" s="173">
        <f t="shared" si="0"/>
        <v>0.57339032331021167</v>
      </c>
    </row>
    <row r="66" spans="1:6" x14ac:dyDescent="0.25">
      <c r="A66" s="99" t="s">
        <v>677</v>
      </c>
      <c r="B66" s="49">
        <v>77949604</v>
      </c>
      <c r="C66" s="49">
        <v>19647025</v>
      </c>
      <c r="D66" s="49">
        <v>12080967.0996192</v>
      </c>
      <c r="E66" s="50">
        <f>VLOOKUP($A66,'Data shares'!$C:$FA,154)*100</f>
        <v>25.779999999999998</v>
      </c>
      <c r="F66" s="173">
        <f t="shared" si="0"/>
        <v>0.25204778461735355</v>
      </c>
    </row>
    <row r="67" spans="1:6" x14ac:dyDescent="0.25">
      <c r="A67" s="99" t="s">
        <v>213</v>
      </c>
      <c r="B67" s="49">
        <v>435694919</v>
      </c>
      <c r="C67" s="49">
        <v>166770450</v>
      </c>
      <c r="D67" s="49">
        <v>87221332.059183002</v>
      </c>
      <c r="E67" s="50"/>
      <c r="F67" s="173">
        <f t="shared" si="0"/>
        <v>0.38276886584486425</v>
      </c>
    </row>
    <row r="68" spans="1:6" x14ac:dyDescent="0.25">
      <c r="A68" s="99" t="s">
        <v>214</v>
      </c>
      <c r="B68" s="49">
        <v>22585180</v>
      </c>
      <c r="C68" s="49">
        <v>16504500</v>
      </c>
      <c r="D68" s="49">
        <v>10050284.3452575</v>
      </c>
      <c r="E68" s="50">
        <f>VLOOKUP($A68,'Data shares'!$C:$FA,154)*100</f>
        <v>74.13</v>
      </c>
      <c r="F68" s="173">
        <f t="shared" si="0"/>
        <v>0.73076681257355491</v>
      </c>
    </row>
    <row r="69" spans="1:6" x14ac:dyDescent="0.25">
      <c r="A69" s="99" t="s">
        <v>631</v>
      </c>
      <c r="B69" s="49">
        <v>534704421</v>
      </c>
      <c r="C69" s="49">
        <v>354434625</v>
      </c>
      <c r="D69" s="49">
        <v>159300150.50578699</v>
      </c>
      <c r="E69" s="50">
        <f>VLOOKUP($A69,'Data shares'!$C:$FA,154)*100</f>
        <v>67.490000000000009</v>
      </c>
      <c r="F69" s="173">
        <f t="shared" ref="F69:F132" si="1">C69/B69</f>
        <v>0.66286084625434583</v>
      </c>
    </row>
    <row r="70" spans="1:6" x14ac:dyDescent="0.25">
      <c r="A70" s="99" t="s">
        <v>217</v>
      </c>
      <c r="B70" s="49">
        <v>72031016</v>
      </c>
      <c r="C70" s="49">
        <v>11684000</v>
      </c>
      <c r="D70" s="49">
        <v>8633552.5372049995</v>
      </c>
      <c r="E70" s="50">
        <f>VLOOKUP($A70,'Data shares'!$C:$FA,154)*100</f>
        <v>16.619999999999997</v>
      </c>
      <c r="F70" s="173">
        <f t="shared" si="1"/>
        <v>0.16220790221812226</v>
      </c>
    </row>
    <row r="71" spans="1:6" x14ac:dyDescent="0.25">
      <c r="A71" s="99" t="s">
        <v>218</v>
      </c>
      <c r="B71" s="49">
        <v>17263909</v>
      </c>
      <c r="C71" s="49">
        <v>22667150</v>
      </c>
      <c r="D71" s="49">
        <v>11230056.0495502</v>
      </c>
      <c r="E71" s="50">
        <f>VLOOKUP($A71,'Data shares'!$C:$FA,154)*100</f>
        <v>134.88999999999999</v>
      </c>
      <c r="F71" s="173">
        <f t="shared" si="1"/>
        <v>1.312979001453263</v>
      </c>
    </row>
    <row r="72" spans="1:6" x14ac:dyDescent="0.25">
      <c r="A72" s="99" t="s">
        <v>219</v>
      </c>
      <c r="B72" s="49">
        <v>38505832</v>
      </c>
      <c r="C72" s="49">
        <v>19730000</v>
      </c>
      <c r="D72" s="49">
        <v>14375870.9127775</v>
      </c>
      <c r="E72" s="50">
        <f>VLOOKUP($A72,'Data shares'!$C:$FA,154)*100</f>
        <v>51.62</v>
      </c>
      <c r="F72" s="173">
        <f t="shared" si="1"/>
        <v>0.51238991537697454</v>
      </c>
    </row>
    <row r="73" spans="1:6" x14ac:dyDescent="0.25">
      <c r="A73" s="99" t="s">
        <v>513</v>
      </c>
      <c r="B73" s="49">
        <v>28450886</v>
      </c>
      <c r="C73" s="49">
        <v>17876250</v>
      </c>
      <c r="D73" s="49">
        <v>8292649.3012380004</v>
      </c>
      <c r="E73" s="50">
        <f>VLOOKUP($A73,'Data shares'!$C:$FA,154)*100</f>
        <v>64.86</v>
      </c>
      <c r="F73" s="173">
        <f t="shared" si="1"/>
        <v>0.62831962421135146</v>
      </c>
    </row>
    <row r="74" spans="1:6" x14ac:dyDescent="0.25">
      <c r="A74" s="99" t="s">
        <v>220</v>
      </c>
      <c r="B74" s="49">
        <v>35667502</v>
      </c>
      <c r="C74" s="49">
        <v>22235500</v>
      </c>
      <c r="D74" s="49">
        <v>9595158.8871350009</v>
      </c>
      <c r="E74" s="50">
        <f>VLOOKUP($A74,'Data shares'!$C:$FA,154)*100</f>
        <v>64.59</v>
      </c>
      <c r="F74" s="173">
        <f t="shared" si="1"/>
        <v>0.6234106330182585</v>
      </c>
    </row>
    <row r="75" spans="1:6" x14ac:dyDescent="0.25">
      <c r="A75" s="99" t="s">
        <v>222</v>
      </c>
      <c r="B75" s="49">
        <v>106857976</v>
      </c>
      <c r="C75" s="49">
        <v>29774500</v>
      </c>
      <c r="D75" s="49">
        <v>18402469.129324</v>
      </c>
      <c r="E75" s="50">
        <f>VLOOKUP($A75,'Data shares'!$C:$FA,154)*100</f>
        <v>28.310000000000002</v>
      </c>
      <c r="F75" s="173">
        <f t="shared" si="1"/>
        <v>0.27863619651564425</v>
      </c>
    </row>
    <row r="76" spans="1:6" x14ac:dyDescent="0.25">
      <c r="A76" s="99" t="s">
        <v>475</v>
      </c>
      <c r="B76" s="49">
        <v>30592324</v>
      </c>
      <c r="C76" s="49">
        <v>12380400</v>
      </c>
      <c r="D76" s="49">
        <v>7596554.0144039998</v>
      </c>
      <c r="E76" s="50">
        <f>VLOOKUP($A76,'Data shares'!$C:$FA,154)*100</f>
        <v>41.28</v>
      </c>
      <c r="F76" s="173">
        <f t="shared" si="1"/>
        <v>0.40468975158605147</v>
      </c>
    </row>
    <row r="77" spans="1:6" x14ac:dyDescent="0.25">
      <c r="A77" s="99" t="s">
        <v>224</v>
      </c>
      <c r="B77" s="49">
        <v>1330694977</v>
      </c>
      <c r="C77" s="49">
        <v>401955400</v>
      </c>
      <c r="D77" s="49">
        <v>252019441.79645199</v>
      </c>
      <c r="E77" s="50">
        <f>VLOOKUP($A77,'Data shares'!$C:$FA,154)*100</f>
        <v>30.669999999999998</v>
      </c>
      <c r="F77" s="173">
        <f t="shared" si="1"/>
        <v>0.30206426487472943</v>
      </c>
    </row>
    <row r="78" spans="1:6" x14ac:dyDescent="0.25">
      <c r="A78" s="99" t="s">
        <v>225</v>
      </c>
      <c r="B78" s="49">
        <v>128849634</v>
      </c>
      <c r="C78" s="49">
        <v>60123800</v>
      </c>
      <c r="D78" s="49">
        <v>37752806.026704997</v>
      </c>
      <c r="E78" s="50">
        <f>VLOOKUP($A78,'Data shares'!$C:$FA,154)*100</f>
        <v>47.54</v>
      </c>
      <c r="F78" s="173">
        <f t="shared" si="1"/>
        <v>0.46661987413949502</v>
      </c>
    </row>
    <row r="79" spans="1:6" x14ac:dyDescent="0.25">
      <c r="A79" s="99" t="s">
        <v>226</v>
      </c>
      <c r="B79" s="49">
        <v>19586951</v>
      </c>
      <c r="C79" s="49">
        <v>9484500</v>
      </c>
      <c r="D79" s="49">
        <v>4606176.3283214998</v>
      </c>
      <c r="E79" s="50">
        <f>VLOOKUP($A79,'Data shares'!$C:$FA,154)*100</f>
        <v>50.07</v>
      </c>
      <c r="F79" s="173">
        <f t="shared" si="1"/>
        <v>0.48422544172393139</v>
      </c>
    </row>
    <row r="80" spans="1:6" x14ac:dyDescent="0.25">
      <c r="A80" s="99" t="s">
        <v>228</v>
      </c>
      <c r="B80" s="49">
        <v>212176873</v>
      </c>
      <c r="C80" s="49">
        <v>76829200</v>
      </c>
      <c r="D80" s="49">
        <v>48882047.683931001</v>
      </c>
      <c r="E80" s="50">
        <f>VLOOKUP($A80,'Data shares'!$C:$FA,154)*100</f>
        <v>37.72</v>
      </c>
      <c r="F80" s="173">
        <f t="shared" si="1"/>
        <v>0.36209978455097697</v>
      </c>
    </row>
    <row r="81" spans="1:6" x14ac:dyDescent="0.25">
      <c r="A81" s="99" t="s">
        <v>229</v>
      </c>
      <c r="B81" s="49">
        <v>143933168</v>
      </c>
      <c r="C81" s="49">
        <v>72373500</v>
      </c>
      <c r="D81" s="49">
        <v>36215858.6087602</v>
      </c>
      <c r="E81" s="50"/>
      <c r="F81" s="173">
        <f t="shared" si="1"/>
        <v>0.50282711765227039</v>
      </c>
    </row>
    <row r="82" spans="1:6" x14ac:dyDescent="0.25">
      <c r="A82" s="99" t="s">
        <v>230</v>
      </c>
      <c r="B82" s="49">
        <v>91001773</v>
      </c>
      <c r="C82" s="49">
        <v>23712900</v>
      </c>
      <c r="D82" s="49">
        <v>13576072.249353001</v>
      </c>
      <c r="E82" s="50">
        <f>VLOOKUP($A82,'Data shares'!$C:$FA,154)*100</f>
        <v>26.85</v>
      </c>
      <c r="F82" s="173">
        <f t="shared" si="1"/>
        <v>0.26057624173981753</v>
      </c>
    </row>
    <row r="83" spans="1:6" x14ac:dyDescent="0.25">
      <c r="A83" s="99" t="s">
        <v>668</v>
      </c>
      <c r="B83" s="49">
        <v>161247058</v>
      </c>
      <c r="C83" s="49">
        <v>134315125</v>
      </c>
      <c r="D83" s="49">
        <v>36924656.684124999</v>
      </c>
      <c r="E83" s="50">
        <f>VLOOKUP($A83,'Data shares'!$C:$FA,154)*100</f>
        <v>86.460000000000008</v>
      </c>
      <c r="F83" s="173">
        <f t="shared" si="1"/>
        <v>0.83297721314084383</v>
      </c>
    </row>
    <row r="84" spans="1:6" x14ac:dyDescent="0.25">
      <c r="A84" s="99" t="s">
        <v>608</v>
      </c>
      <c r="B84" s="49">
        <v>75071250</v>
      </c>
      <c r="C84" s="49">
        <v>84088050</v>
      </c>
      <c r="D84" s="49">
        <v>35158336.177709199</v>
      </c>
      <c r="E84" s="50">
        <f>VLOOKUP($A84,'Data shares'!$C:$FA,154)*100</f>
        <v>114.5</v>
      </c>
      <c r="F84" s="173">
        <f t="shared" si="1"/>
        <v>1.1201098955991808</v>
      </c>
    </row>
    <row r="85" spans="1:6" x14ac:dyDescent="0.25">
      <c r="A85" s="99" t="s">
        <v>232</v>
      </c>
      <c r="B85" s="49">
        <v>580601807</v>
      </c>
      <c r="C85" s="49">
        <v>206823400</v>
      </c>
      <c r="D85" s="49">
        <v>126982379.130943</v>
      </c>
      <c r="E85" s="50">
        <f>VLOOKUP($A85,'Data shares'!$C:$FA,154)*100</f>
        <v>36.120000000000005</v>
      </c>
      <c r="F85" s="173">
        <f t="shared" si="1"/>
        <v>0.35622245316229267</v>
      </c>
    </row>
    <row r="86" spans="1:6" x14ac:dyDescent="0.25">
      <c r="A86" s="99" t="s">
        <v>472</v>
      </c>
      <c r="B86" s="49">
        <v>28747897</v>
      </c>
      <c r="C86" s="49">
        <v>8441875</v>
      </c>
      <c r="D86" s="49">
        <v>5398557.6430564998</v>
      </c>
      <c r="E86" s="50">
        <f>VLOOKUP($A86,'Data shares'!$C:$FA,154)*100</f>
        <v>30.28</v>
      </c>
      <c r="F86" s="173">
        <f t="shared" si="1"/>
        <v>0.29365191478180125</v>
      </c>
    </row>
    <row r="87" spans="1:6" x14ac:dyDescent="0.25">
      <c r="A87" s="99" t="s">
        <v>233</v>
      </c>
      <c r="B87" s="49">
        <v>58746582</v>
      </c>
      <c r="C87" s="49">
        <v>24833475</v>
      </c>
      <c r="D87" s="49">
        <v>17111216.471276499</v>
      </c>
      <c r="E87" s="50">
        <f>VLOOKUP($A87,'Data shares'!$C:$FA,154)*100</f>
        <v>42.94</v>
      </c>
      <c r="F87" s="173">
        <f t="shared" si="1"/>
        <v>0.42272204023716647</v>
      </c>
    </row>
    <row r="88" spans="1:6" x14ac:dyDescent="0.25">
      <c r="A88" s="99" t="s">
        <v>234</v>
      </c>
      <c r="B88" s="49">
        <v>12037179660</v>
      </c>
      <c r="C88" s="49">
        <v>11650639425</v>
      </c>
      <c r="D88" s="49">
        <v>6428325018.1215401</v>
      </c>
      <c r="E88" s="50">
        <f>VLOOKUP($A88,'Data shares'!$C:$FA,154)*100</f>
        <v>99.1</v>
      </c>
      <c r="F88" s="173">
        <f t="shared" si="1"/>
        <v>0.96788780711776801</v>
      </c>
    </row>
    <row r="89" spans="1:6" x14ac:dyDescent="0.25">
      <c r="A89" s="99" t="s">
        <v>235</v>
      </c>
      <c r="B89" s="49">
        <v>936861183</v>
      </c>
      <c r="C89" s="49">
        <v>529519025</v>
      </c>
      <c r="D89" s="49">
        <v>283508239.65930498</v>
      </c>
      <c r="E89" s="50">
        <f>VLOOKUP($A89,'Data shares'!$C:$FA,154)*100</f>
        <v>57.18</v>
      </c>
      <c r="F89" s="173">
        <f t="shared" si="1"/>
        <v>0.56520542702429377</v>
      </c>
    </row>
    <row r="90" spans="1:6" x14ac:dyDescent="0.25">
      <c r="A90" s="99" t="s">
        <v>514</v>
      </c>
      <c r="B90" s="49">
        <v>133395043</v>
      </c>
      <c r="C90" s="49">
        <v>253263750</v>
      </c>
      <c r="D90" s="49">
        <v>73694037.915674999</v>
      </c>
      <c r="E90" s="50"/>
      <c r="F90" s="173">
        <f t="shared" si="1"/>
        <v>1.8985994104743458</v>
      </c>
    </row>
    <row r="91" spans="1:6" x14ac:dyDescent="0.25">
      <c r="A91" s="99" t="s">
        <v>666</v>
      </c>
      <c r="B91" s="49">
        <v>35669230</v>
      </c>
      <c r="C91" s="49">
        <v>32247600</v>
      </c>
      <c r="D91" s="49">
        <v>10818147.235401001</v>
      </c>
      <c r="E91" s="50">
        <f>VLOOKUP($A91,'Data shares'!$C:$FA,154)*100</f>
        <v>93.07</v>
      </c>
      <c r="F91" s="173">
        <f t="shared" si="1"/>
        <v>0.90407334276630025</v>
      </c>
    </row>
    <row r="92" spans="1:6" x14ac:dyDescent="0.25">
      <c r="A92" s="99" t="s">
        <v>501</v>
      </c>
      <c r="B92" s="49">
        <v>132129624</v>
      </c>
      <c r="C92" s="49">
        <v>50414000</v>
      </c>
      <c r="D92" s="49">
        <v>27108255.647399999</v>
      </c>
      <c r="E92" s="50">
        <f>VLOOKUP($A92,'Data shares'!$C:$FA,154)*100</f>
        <v>39.06</v>
      </c>
      <c r="F92" s="173">
        <f t="shared" si="1"/>
        <v>0.38154956075558044</v>
      </c>
    </row>
    <row r="93" spans="1:6" x14ac:dyDescent="0.25">
      <c r="A93" s="99" t="s">
        <v>578</v>
      </c>
      <c r="B93" s="49">
        <v>52862157</v>
      </c>
      <c r="C93" s="49">
        <v>25059000</v>
      </c>
      <c r="D93" s="49">
        <v>10343213.16554</v>
      </c>
      <c r="E93" s="50">
        <f>VLOOKUP($A93,'Data shares'!$C:$FA,154)*100</f>
        <v>48.88</v>
      </c>
      <c r="F93" s="173">
        <f t="shared" si="1"/>
        <v>0.47404422032948823</v>
      </c>
    </row>
    <row r="94" spans="1:6" x14ac:dyDescent="0.25">
      <c r="A94" s="99" t="s">
        <v>238</v>
      </c>
      <c r="B94" s="49">
        <v>33874835</v>
      </c>
      <c r="C94" s="49">
        <v>18550650</v>
      </c>
      <c r="D94" s="49">
        <v>8952583.3744169995</v>
      </c>
      <c r="E94" s="50">
        <f>VLOOKUP($A94,'Data shares'!$C:$FA,154)*100</f>
        <v>56.08</v>
      </c>
      <c r="F94" s="173">
        <f t="shared" si="1"/>
        <v>0.54762333159703946</v>
      </c>
    </row>
    <row r="95" spans="1:6" x14ac:dyDescent="0.25">
      <c r="A95" s="99" t="s">
        <v>239</v>
      </c>
      <c r="B95" s="49">
        <v>93808799</v>
      </c>
      <c r="C95" s="49">
        <v>60785200</v>
      </c>
      <c r="D95" s="49">
        <v>31795839.672037002</v>
      </c>
      <c r="E95" s="50">
        <f>VLOOKUP($A95,'Data shares'!$C:$FA,154)*100</f>
        <v>65.459999999999994</v>
      </c>
      <c r="F95" s="173">
        <f t="shared" si="1"/>
        <v>0.6479690673792764</v>
      </c>
    </row>
    <row r="96" spans="1:6" x14ac:dyDescent="0.25">
      <c r="A96" s="99" t="s">
        <v>473</v>
      </c>
      <c r="B96" s="49">
        <v>193623116</v>
      </c>
      <c r="C96" s="49">
        <v>144738000</v>
      </c>
      <c r="D96" s="49">
        <v>88325783.442091003</v>
      </c>
      <c r="E96" s="50">
        <f>VLOOKUP($A96,'Data shares'!$C:$FA,154)*100</f>
        <v>75.97</v>
      </c>
      <c r="F96" s="173">
        <f t="shared" si="1"/>
        <v>0.74752438133471621</v>
      </c>
    </row>
    <row r="97" spans="1:6" x14ac:dyDescent="0.25">
      <c r="A97" s="99" t="s">
        <v>240</v>
      </c>
      <c r="B97" s="49">
        <v>368703409</v>
      </c>
      <c r="C97" s="49">
        <v>118289600</v>
      </c>
      <c r="D97" s="49">
        <v>69750985.212819993</v>
      </c>
      <c r="E97" s="50">
        <f>VLOOKUP($A97,'Data shares'!$C:$FA,154)*100</f>
        <v>32.550000000000004</v>
      </c>
      <c r="F97" s="173">
        <f t="shared" si="1"/>
        <v>0.32082589179423615</v>
      </c>
    </row>
    <row r="98" spans="1:6" x14ac:dyDescent="0.25">
      <c r="A98" s="99" t="s">
        <v>669</v>
      </c>
      <c r="B98" s="49">
        <v>144708707</v>
      </c>
      <c r="C98" s="49">
        <v>176372625</v>
      </c>
      <c r="D98" s="49">
        <v>85286061.754214704</v>
      </c>
      <c r="E98" s="50">
        <f>VLOOKUP($A98,'Data shares'!$C:$FA,154)*100</f>
        <v>125.88</v>
      </c>
      <c r="F98" s="173">
        <f t="shared" si="1"/>
        <v>1.218811422314761</v>
      </c>
    </row>
    <row r="99" spans="1:6" x14ac:dyDescent="0.25">
      <c r="A99" s="99" t="s">
        <v>241</v>
      </c>
      <c r="B99" s="49">
        <v>684903861</v>
      </c>
      <c r="C99" s="49">
        <v>183007500</v>
      </c>
      <c r="D99" s="49">
        <v>91089194.091138706</v>
      </c>
      <c r="E99" s="50">
        <f>VLOOKUP($A99,'Data shares'!$C:$FA,154)*100</f>
        <v>27.12</v>
      </c>
      <c r="F99" s="173">
        <f t="shared" si="1"/>
        <v>0.26720173504759964</v>
      </c>
    </row>
    <row r="100" spans="1:6" x14ac:dyDescent="0.25">
      <c r="A100" s="99" t="s">
        <v>490</v>
      </c>
      <c r="B100" s="49">
        <v>32504261</v>
      </c>
      <c r="C100" s="49">
        <v>61424125</v>
      </c>
      <c r="D100" s="49">
        <v>21103691.725751199</v>
      </c>
      <c r="E100" s="50">
        <f>VLOOKUP($A100,'Data shares'!$C:$FA,154)*100</f>
        <v>196.56</v>
      </c>
      <c r="F100" s="173">
        <f t="shared" si="1"/>
        <v>1.8897253193973553</v>
      </c>
    </row>
    <row r="101" spans="1:6" x14ac:dyDescent="0.25">
      <c r="A101" s="99" t="s">
        <v>664</v>
      </c>
      <c r="B101" s="49">
        <v>119011160</v>
      </c>
      <c r="C101" s="49">
        <v>155046450</v>
      </c>
      <c r="D101" s="49">
        <v>51100671.681194998</v>
      </c>
      <c r="E101" s="50">
        <f>VLOOKUP($A101,'Data shares'!$C:$FA,154)*100</f>
        <v>133.94</v>
      </c>
      <c r="F101" s="173">
        <f t="shared" si="1"/>
        <v>1.3027891669991285</v>
      </c>
    </row>
    <row r="102" spans="1:6" x14ac:dyDescent="0.25">
      <c r="A102" s="99" t="s">
        <v>592</v>
      </c>
      <c r="B102" s="49">
        <v>200960551</v>
      </c>
      <c r="C102" s="49">
        <v>217009250</v>
      </c>
      <c r="D102" s="49">
        <v>56871601.743790001</v>
      </c>
      <c r="E102" s="50">
        <f>VLOOKUP($A102,'Data shares'!$C:$FA,154)*100</f>
        <v>112.77999999999999</v>
      </c>
      <c r="F102" s="173">
        <f t="shared" si="1"/>
        <v>1.0798599472390977</v>
      </c>
    </row>
    <row r="103" spans="1:6" x14ac:dyDescent="0.25">
      <c r="A103" s="99" t="s">
        <v>242</v>
      </c>
      <c r="B103" s="49">
        <v>1252401670</v>
      </c>
      <c r="C103" s="49">
        <v>624256000</v>
      </c>
      <c r="D103" s="49">
        <v>212428715.57454401</v>
      </c>
      <c r="E103" s="50">
        <f>VLOOKUP($A103,'Data shares'!$C:$FA,154)*100</f>
        <v>51.839999999999996</v>
      </c>
      <c r="F103" s="173">
        <f t="shared" si="1"/>
        <v>0.49844711561267718</v>
      </c>
    </row>
    <row r="104" spans="1:6" x14ac:dyDescent="0.25">
      <c r="A104" s="99" t="s">
        <v>243</v>
      </c>
      <c r="B104" s="49">
        <v>48257090</v>
      </c>
      <c r="C104" s="49">
        <v>19656875</v>
      </c>
      <c r="D104" s="49">
        <v>11220916.248793701</v>
      </c>
      <c r="E104" s="50">
        <f>VLOOKUP($A104,'Data shares'!$C:$FA,154)*100</f>
        <v>41.4</v>
      </c>
      <c r="F104" s="173">
        <f t="shared" si="1"/>
        <v>0.40733651780494845</v>
      </c>
    </row>
    <row r="105" spans="1:6" x14ac:dyDescent="0.25">
      <c r="A105" s="99" t="s">
        <v>570</v>
      </c>
      <c r="B105" s="49">
        <v>355358091</v>
      </c>
      <c r="C105" s="49">
        <v>316089100</v>
      </c>
      <c r="D105" s="49">
        <v>151524980.85279801</v>
      </c>
      <c r="E105" s="50">
        <f>VLOOKUP($A105,'Data shares'!$C:$FA,154)*100</f>
        <v>90.74</v>
      </c>
      <c r="F105" s="173">
        <f t="shared" si="1"/>
        <v>0.88949459152739541</v>
      </c>
    </row>
    <row r="106" spans="1:6" x14ac:dyDescent="0.25">
      <c r="A106" s="99" t="s">
        <v>580</v>
      </c>
      <c r="B106" s="49">
        <v>80385888</v>
      </c>
      <c r="C106" s="49">
        <v>52842000</v>
      </c>
      <c r="D106" s="49">
        <v>36457751.832160003</v>
      </c>
      <c r="E106" s="50">
        <f>VLOOKUP($A106,'Data shares'!$C:$FA,154)*100</f>
        <v>66</v>
      </c>
      <c r="F106" s="173">
        <f t="shared" si="1"/>
        <v>0.65735418634673792</v>
      </c>
    </row>
    <row r="107" spans="1:6" x14ac:dyDescent="0.25">
      <c r="A107" s="99" t="s">
        <v>244</v>
      </c>
      <c r="B107" s="49">
        <v>133434355</v>
      </c>
      <c r="C107" s="49">
        <v>63080775</v>
      </c>
      <c r="D107" s="49">
        <v>48512828.624742001</v>
      </c>
      <c r="E107" s="50">
        <f>VLOOKUP($A107,'Data shares'!$C:$FA,154)*100</f>
        <v>47.68</v>
      </c>
      <c r="F107" s="173">
        <f t="shared" si="1"/>
        <v>0.47274762934927816</v>
      </c>
    </row>
    <row r="108" spans="1:6" x14ac:dyDescent="0.25">
      <c r="A108" s="99" t="s">
        <v>245</v>
      </c>
      <c r="B108" s="49">
        <v>58761693</v>
      </c>
      <c r="C108" s="49">
        <v>45640000</v>
      </c>
      <c r="D108" s="49">
        <v>22655122.970112499</v>
      </c>
      <c r="E108" s="50">
        <f>VLOOKUP($A108,'Data shares'!$C:$FA,154)*100</f>
        <v>79.690000000000012</v>
      </c>
      <c r="F108" s="173">
        <f t="shared" si="1"/>
        <v>0.77669647809500653</v>
      </c>
    </row>
    <row r="109" spans="1:6" x14ac:dyDescent="0.25">
      <c r="A109" s="99" t="s">
        <v>582</v>
      </c>
      <c r="B109" s="49">
        <v>57654984</v>
      </c>
      <c r="C109" s="49">
        <v>80143225</v>
      </c>
      <c r="D109" s="49">
        <v>26543634.357305001</v>
      </c>
      <c r="E109" s="50">
        <f>VLOOKUP($A109,'Data shares'!$C:$FA,154)*100</f>
        <v>142.19</v>
      </c>
      <c r="F109" s="173">
        <f t="shared" si="1"/>
        <v>1.3900485168810384</v>
      </c>
    </row>
    <row r="110" spans="1:6" x14ac:dyDescent="0.25">
      <c r="A110" s="99" t="s">
        <v>676</v>
      </c>
      <c r="B110" s="49">
        <v>4679418</v>
      </c>
      <c r="C110" s="49">
        <v>8345300</v>
      </c>
      <c r="D110" s="49">
        <v>3098032.2324649999</v>
      </c>
      <c r="E110" s="50">
        <f>VLOOKUP($A110,'Data shares'!$C:$FA,154)*100</f>
        <v>184.49</v>
      </c>
      <c r="F110" s="173">
        <f t="shared" si="1"/>
        <v>1.7834055431679752</v>
      </c>
    </row>
    <row r="111" spans="1:6" x14ac:dyDescent="0.25">
      <c r="A111" s="99" t="s">
        <v>610</v>
      </c>
      <c r="B111" s="49">
        <v>8553821</v>
      </c>
      <c r="C111" s="49">
        <v>2981125</v>
      </c>
      <c r="D111" s="49">
        <v>1058537.5111779999</v>
      </c>
      <c r="E111" s="50">
        <f>VLOOKUP($A111,'Data shares'!$C:$FA,154)*100</f>
        <v>35.75</v>
      </c>
      <c r="F111" s="173">
        <f t="shared" si="1"/>
        <v>0.34851383960454629</v>
      </c>
    </row>
    <row r="112" spans="1:6" x14ac:dyDescent="0.25">
      <c r="A112" s="99" t="s">
        <v>683</v>
      </c>
      <c r="B112" s="49">
        <v>19924232</v>
      </c>
      <c r="C112" s="49">
        <v>10129000</v>
      </c>
      <c r="D112" s="49">
        <v>3924067.1999650002</v>
      </c>
      <c r="E112" s="50">
        <f>VLOOKUP($A112,'Data shares'!$C:$FA,154)*100</f>
        <v>51.970000000000006</v>
      </c>
      <c r="F112" s="173">
        <f t="shared" si="1"/>
        <v>0.50837593137843406</v>
      </c>
    </row>
    <row r="113" spans="1:6" x14ac:dyDescent="0.25">
      <c r="A113" s="99" t="s">
        <v>246</v>
      </c>
      <c r="B113" s="49">
        <v>781025350</v>
      </c>
      <c r="C113" s="49">
        <v>263578000</v>
      </c>
      <c r="D113" s="49">
        <v>181206282.12940001</v>
      </c>
      <c r="E113" s="50">
        <f>VLOOKUP($A113,'Data shares'!$C:$FA,154)*100</f>
        <v>34.200000000000003</v>
      </c>
      <c r="F113" s="173">
        <f t="shared" si="1"/>
        <v>0.33747688215241667</v>
      </c>
    </row>
    <row r="114" spans="1:6" x14ac:dyDescent="0.25">
      <c r="A114" s="99" t="s">
        <v>577</v>
      </c>
      <c r="B114" s="49">
        <v>24589408</v>
      </c>
      <c r="C114" s="49">
        <v>8696775</v>
      </c>
      <c r="D114" s="49">
        <v>3731807.3486525002</v>
      </c>
      <c r="E114" s="50">
        <f>VLOOKUP($A114,'Data shares'!$C:$FA,154)*100</f>
        <v>36.69</v>
      </c>
      <c r="F114" s="173">
        <f t="shared" si="1"/>
        <v>0.35367972258624525</v>
      </c>
    </row>
    <row r="115" spans="1:6" x14ac:dyDescent="0.25">
      <c r="A115" s="99" t="s">
        <v>535</v>
      </c>
      <c r="B115" s="49">
        <v>58629477</v>
      </c>
      <c r="C115" s="49">
        <v>41544600</v>
      </c>
      <c r="D115" s="49">
        <v>14660478.278604001</v>
      </c>
      <c r="E115" s="50">
        <f>VLOOKUP($A115,'Data shares'!$C:$FA,154)*100</f>
        <v>72.460000000000008</v>
      </c>
      <c r="F115" s="173">
        <f t="shared" si="1"/>
        <v>0.70859578024207859</v>
      </c>
    </row>
    <row r="116" spans="1:6" x14ac:dyDescent="0.25">
      <c r="A116" s="99" t="s">
        <v>248</v>
      </c>
      <c r="B116" s="49">
        <v>45183075</v>
      </c>
      <c r="C116" s="49">
        <v>48557000</v>
      </c>
      <c r="D116" s="49">
        <v>28249508.93265</v>
      </c>
      <c r="E116" s="50">
        <f>VLOOKUP($A116,'Data shares'!$C:$FA,154)*100</f>
        <v>108.74999999999999</v>
      </c>
      <c r="F116" s="173">
        <f t="shared" si="1"/>
        <v>1.0746723192257277</v>
      </c>
    </row>
    <row r="117" spans="1:6" x14ac:dyDescent="0.25">
      <c r="A117" s="99" t="s">
        <v>607</v>
      </c>
      <c r="B117" s="49">
        <v>33206238</v>
      </c>
      <c r="C117" s="49">
        <v>22414000</v>
      </c>
      <c r="D117" s="49">
        <v>9469516.5719700009</v>
      </c>
      <c r="E117" s="50">
        <f>VLOOKUP($A117,'Data shares'!$C:$FA,154)*100</f>
        <v>69.17</v>
      </c>
      <c r="F117" s="173">
        <f t="shared" si="1"/>
        <v>0.67499365631240738</v>
      </c>
    </row>
    <row r="118" spans="1:6" x14ac:dyDescent="0.25">
      <c r="A118" s="99" t="s">
        <v>588</v>
      </c>
      <c r="B118" s="49">
        <v>42126960</v>
      </c>
      <c r="C118" s="49">
        <v>18629550</v>
      </c>
      <c r="D118" s="49">
        <v>10369005.9886485</v>
      </c>
      <c r="E118" s="50">
        <f>VLOOKUP($A118,'Data shares'!$C:$FA,154)*100</f>
        <v>45.019999999999996</v>
      </c>
      <c r="F118" s="173">
        <f t="shared" si="1"/>
        <v>0.44222393450654879</v>
      </c>
    </row>
    <row r="119" spans="1:6" x14ac:dyDescent="0.25">
      <c r="A119" s="99" t="s">
        <v>249</v>
      </c>
      <c r="B119" s="49">
        <v>136109374</v>
      </c>
      <c r="C119" s="49">
        <v>25083975</v>
      </c>
      <c r="D119" s="49">
        <v>15030045.025324</v>
      </c>
      <c r="E119" s="50">
        <f>VLOOKUP($A119,'Data shares'!$C:$FA,154)*100</f>
        <v>18.93</v>
      </c>
      <c r="F119" s="173">
        <f t="shared" si="1"/>
        <v>0.18429278059863827</v>
      </c>
    </row>
    <row r="120" spans="1:6" x14ac:dyDescent="0.25">
      <c r="A120" s="99" t="s">
        <v>565</v>
      </c>
      <c r="B120" s="49">
        <v>127100972</v>
      </c>
      <c r="C120" s="49">
        <v>122100750</v>
      </c>
      <c r="D120" s="49">
        <v>41396163.768742502</v>
      </c>
      <c r="E120" s="50">
        <f>VLOOKUP($A120,'Data shares'!$C:$FA,154)*100</f>
        <v>101.6</v>
      </c>
      <c r="F120" s="173">
        <f t="shared" si="1"/>
        <v>0.96065945113307238</v>
      </c>
    </row>
    <row r="121" spans="1:6" x14ac:dyDescent="0.25">
      <c r="A121" s="99" t="s">
        <v>561</v>
      </c>
      <c r="B121" s="49">
        <v>9672091</v>
      </c>
      <c r="C121" s="49">
        <v>5569200</v>
      </c>
      <c r="D121" s="49">
        <v>2686752.5680740001</v>
      </c>
      <c r="E121" s="50">
        <f>VLOOKUP($A121,'Data shares'!$C:$FA,154)*100</f>
        <v>59.150000000000006</v>
      </c>
      <c r="F121" s="173">
        <f t="shared" si="1"/>
        <v>0.57580103413005523</v>
      </c>
    </row>
    <row r="122" spans="1:6" x14ac:dyDescent="0.25">
      <c r="A122" s="99" t="s">
        <v>250</v>
      </c>
      <c r="B122" s="49">
        <v>36381777</v>
      </c>
      <c r="C122" s="49">
        <v>10848125</v>
      </c>
      <c r="D122" s="49">
        <v>6343643.4847424999</v>
      </c>
      <c r="E122" s="50"/>
      <c r="F122" s="173">
        <f t="shared" si="1"/>
        <v>0.29817468783891454</v>
      </c>
    </row>
    <row r="123" spans="1:6" x14ac:dyDescent="0.25">
      <c r="A123" s="99" t="s">
        <v>251</v>
      </c>
      <c r="B123" s="49">
        <v>95452027</v>
      </c>
      <c r="C123" s="49">
        <v>24044400</v>
      </c>
      <c r="D123" s="49">
        <v>17905762.074285999</v>
      </c>
      <c r="E123" s="50">
        <f>VLOOKUP($A123,'Data shares'!$C:$FA,154)*100</f>
        <v>25.580000000000002</v>
      </c>
      <c r="F123" s="173">
        <f t="shared" si="1"/>
        <v>0.25190036037684144</v>
      </c>
    </row>
    <row r="124" spans="1:6" x14ac:dyDescent="0.25">
      <c r="A124" s="99" t="s">
        <v>253</v>
      </c>
      <c r="B124" s="49">
        <v>82205057</v>
      </c>
      <c r="C124" s="49">
        <v>93084000</v>
      </c>
      <c r="D124" s="49">
        <v>35529274.05669</v>
      </c>
      <c r="E124" s="50">
        <f>VLOOKUP($A124,'Data shares'!$C:$FA,154)*100</f>
        <v>115.53999999999999</v>
      </c>
      <c r="F124" s="173">
        <f t="shared" si="1"/>
        <v>1.132339096851426</v>
      </c>
    </row>
    <row r="125" spans="1:6" x14ac:dyDescent="0.25">
      <c r="A125" s="99" t="s">
        <v>672</v>
      </c>
      <c r="B125" s="49">
        <v>16919681</v>
      </c>
      <c r="C125" s="49">
        <v>3774825</v>
      </c>
      <c r="D125" s="49">
        <v>2076653.4957135001</v>
      </c>
      <c r="E125" s="50">
        <f>VLOOKUP($A125,'Data shares'!$C:$FA,154)*100</f>
        <v>22.6</v>
      </c>
      <c r="F125" s="173">
        <f t="shared" si="1"/>
        <v>0.22310261050429969</v>
      </c>
    </row>
    <row r="126" spans="1:6" x14ac:dyDescent="0.25">
      <c r="A126" s="99" t="s">
        <v>254</v>
      </c>
      <c r="B126" s="49">
        <v>79442217</v>
      </c>
      <c r="C126" s="49">
        <v>43502400</v>
      </c>
      <c r="D126" s="49">
        <v>30077418.711924002</v>
      </c>
      <c r="E126" s="50">
        <f>VLOOKUP($A126,'Data shares'!$C:$FA,154)*100</f>
        <v>55.35</v>
      </c>
      <c r="F126" s="173">
        <f t="shared" si="1"/>
        <v>0.54759801076548509</v>
      </c>
    </row>
    <row r="127" spans="1:6" x14ac:dyDescent="0.25">
      <c r="A127" s="99" t="s">
        <v>255</v>
      </c>
      <c r="B127" s="49">
        <v>17687048</v>
      </c>
      <c r="C127" s="49">
        <v>6508350</v>
      </c>
      <c r="D127" s="49">
        <v>2998892.9107960002</v>
      </c>
      <c r="E127" s="50">
        <f>VLOOKUP($A127,'Data shares'!$C:$FA,154)*100</f>
        <v>38.32</v>
      </c>
      <c r="F127" s="173">
        <f t="shared" si="1"/>
        <v>0.36797265434005721</v>
      </c>
    </row>
    <row r="128" spans="1:6" x14ac:dyDescent="0.25">
      <c r="A128" s="99" t="s">
        <v>603</v>
      </c>
      <c r="B128" s="49">
        <v>111218809</v>
      </c>
      <c r="C128" s="49">
        <v>25148550</v>
      </c>
      <c r="D128" s="49">
        <v>19091196.840009</v>
      </c>
      <c r="E128" s="50">
        <f>VLOOKUP($A128,'Data shares'!$C:$FA,154)*100</f>
        <v>22.869999999999997</v>
      </c>
      <c r="F128" s="173">
        <f t="shared" si="1"/>
        <v>0.22611777833369892</v>
      </c>
    </row>
    <row r="129" spans="1:6" x14ac:dyDescent="0.25">
      <c r="A129" s="99" t="s">
        <v>673</v>
      </c>
      <c r="B129" s="49">
        <v>11364224</v>
      </c>
      <c r="C129" s="49">
        <v>11601200</v>
      </c>
      <c r="D129" s="49">
        <v>4558203.5740700001</v>
      </c>
      <c r="E129" s="50">
        <f>VLOOKUP($A129,'Data shares'!$C:$FA,154)*100</f>
        <v>104.67999999999999</v>
      </c>
      <c r="F129" s="173">
        <f t="shared" si="1"/>
        <v>1.0208528096595069</v>
      </c>
    </row>
    <row r="130" spans="1:6" x14ac:dyDescent="0.25">
      <c r="A130" s="99" t="s">
        <v>517</v>
      </c>
      <c r="B130" s="49">
        <v>38177110</v>
      </c>
      <c r="C130" s="49">
        <v>42260625</v>
      </c>
      <c r="D130" s="49">
        <v>15316897.402081201</v>
      </c>
      <c r="E130" s="50">
        <f>VLOOKUP($A130,'Data shares'!$C:$FA,154)*100</f>
        <v>114.77</v>
      </c>
      <c r="F130" s="173">
        <f t="shared" si="1"/>
        <v>1.1069623918625584</v>
      </c>
    </row>
    <row r="131" spans="1:6" x14ac:dyDescent="0.25">
      <c r="A131" s="99" t="s">
        <v>257</v>
      </c>
      <c r="B131" s="49">
        <v>33919851</v>
      </c>
      <c r="C131" s="49">
        <v>11459600</v>
      </c>
      <c r="D131" s="49">
        <v>8881311.0267200004</v>
      </c>
      <c r="E131" s="50">
        <f>VLOOKUP($A131,'Data shares'!$C:$FA,154)*100</f>
        <v>33.950000000000003</v>
      </c>
      <c r="F131" s="173">
        <f t="shared" si="1"/>
        <v>0.33784346517324032</v>
      </c>
    </row>
    <row r="132" spans="1:6" x14ac:dyDescent="0.25">
      <c r="A132" s="99" t="s">
        <v>559</v>
      </c>
      <c r="B132" s="49">
        <v>606151620</v>
      </c>
      <c r="C132" s="49">
        <v>282014400</v>
      </c>
      <c r="D132" s="49">
        <v>157032385.514377</v>
      </c>
      <c r="E132" s="50">
        <f>VLOOKUP($A132,'Data shares'!$C:$FA,154)*100</f>
        <v>47.07</v>
      </c>
      <c r="F132" s="173">
        <f t="shared" si="1"/>
        <v>0.46525389142736268</v>
      </c>
    </row>
    <row r="133" spans="1:6" x14ac:dyDescent="0.25">
      <c r="A133" s="99" t="s">
        <v>487</v>
      </c>
      <c r="B133" s="49">
        <v>17093933</v>
      </c>
      <c r="C133" s="49">
        <v>6949800</v>
      </c>
      <c r="D133" s="49">
        <v>4499032.3042280003</v>
      </c>
      <c r="E133" s="50">
        <f>VLOOKUP($A133,'Data shares'!$C:$FA,154)*100</f>
        <v>41.23</v>
      </c>
      <c r="F133" s="173">
        <f t="shared" ref="F133:F196" si="2">C133/B133</f>
        <v>0.40656530009799385</v>
      </c>
    </row>
    <row r="134" spans="1:6" x14ac:dyDescent="0.25">
      <c r="A134" s="99" t="s">
        <v>262</v>
      </c>
      <c r="B134" s="49">
        <v>14790848</v>
      </c>
      <c r="C134" s="49">
        <v>7828975</v>
      </c>
      <c r="D134" s="49">
        <v>4153074.9693207499</v>
      </c>
      <c r="E134" s="50">
        <f>VLOOKUP($A134,'Data shares'!$C:$FA,154)*100</f>
        <v>54.390000000000008</v>
      </c>
      <c r="F134" s="173">
        <f t="shared" si="2"/>
        <v>0.5293121124630582</v>
      </c>
    </row>
    <row r="135" spans="1:6" x14ac:dyDescent="0.25">
      <c r="A135" s="99" t="s">
        <v>263</v>
      </c>
      <c r="B135" s="49">
        <v>134225816</v>
      </c>
      <c r="C135" s="49">
        <v>133953750</v>
      </c>
      <c r="D135" s="49">
        <v>47377846.143037498</v>
      </c>
      <c r="E135" s="50">
        <f>VLOOKUP($A135,'Data shares'!$C:$FA,154)*100</f>
        <v>103.64</v>
      </c>
      <c r="F135" s="173">
        <f t="shared" si="2"/>
        <v>0.99797307248256928</v>
      </c>
    </row>
    <row r="136" spans="1:6" x14ac:dyDescent="0.25">
      <c r="A136" s="99" t="s">
        <v>264</v>
      </c>
      <c r="B136" s="49">
        <v>45110207</v>
      </c>
      <c r="C136" s="49">
        <v>13139250</v>
      </c>
      <c r="D136" s="49">
        <v>8213155.4352150001</v>
      </c>
      <c r="E136" s="50">
        <f>VLOOKUP($A136,'Data shares'!$C:$FA,154)*100</f>
        <v>29.38</v>
      </c>
      <c r="F136" s="173">
        <f t="shared" si="2"/>
        <v>0.29127000015761401</v>
      </c>
    </row>
    <row r="137" spans="1:6" x14ac:dyDescent="0.25">
      <c r="A137" s="99" t="s">
        <v>550</v>
      </c>
      <c r="B137" s="49">
        <v>154894704</v>
      </c>
      <c r="C137" s="49">
        <v>197398500</v>
      </c>
      <c r="D137" s="49">
        <v>83959298.565479994</v>
      </c>
      <c r="E137" s="50">
        <f>VLOOKUP($A137,'Data shares'!$C:$FA,154)*100</f>
        <v>130.42000000000002</v>
      </c>
      <c r="F137" s="173">
        <f t="shared" si="2"/>
        <v>1.2744044496188842</v>
      </c>
    </row>
    <row r="138" spans="1:6" x14ac:dyDescent="0.25">
      <c r="A138" s="99" t="s">
        <v>265</v>
      </c>
      <c r="B138" s="49">
        <v>71801274</v>
      </c>
      <c r="C138" s="49">
        <v>22635000</v>
      </c>
      <c r="D138" s="49">
        <v>17003113.5</v>
      </c>
      <c r="E138" s="50">
        <f>VLOOKUP($A138,'Data shares'!$C:$FA,154)*100</f>
        <v>31.75</v>
      </c>
      <c r="F138" s="173">
        <f t="shared" si="2"/>
        <v>0.31524510275402634</v>
      </c>
    </row>
    <row r="139" spans="1:6" x14ac:dyDescent="0.25">
      <c r="A139" s="99" t="s">
        <v>585</v>
      </c>
      <c r="B139" s="49">
        <v>491233252</v>
      </c>
      <c r="C139" s="49">
        <v>140025600</v>
      </c>
      <c r="D139" s="49">
        <v>73057350.427839994</v>
      </c>
      <c r="E139" s="50">
        <f>VLOOKUP($A139,'Data shares'!$C:$FA,154)*100</f>
        <v>28.93</v>
      </c>
      <c r="F139" s="173">
        <f t="shared" si="2"/>
        <v>0.28504910738412309</v>
      </c>
    </row>
    <row r="140" spans="1:6" x14ac:dyDescent="0.25">
      <c r="A140" s="99" t="s">
        <v>267</v>
      </c>
      <c r="B140" s="49">
        <v>517037525</v>
      </c>
      <c r="C140" s="49">
        <v>553351500</v>
      </c>
      <c r="D140" s="49">
        <v>301830798.08445698</v>
      </c>
      <c r="E140" s="50">
        <f>VLOOKUP($A140,'Data shares'!$C:$FA,154)*100</f>
        <v>108.45</v>
      </c>
      <c r="F140" s="173">
        <f t="shared" si="2"/>
        <v>1.0702346991158911</v>
      </c>
    </row>
    <row r="141" spans="1:6" x14ac:dyDescent="0.25">
      <c r="A141" s="99" t="s">
        <v>268</v>
      </c>
      <c r="B141" s="49">
        <v>474131988</v>
      </c>
      <c r="C141" s="49">
        <v>176524500</v>
      </c>
      <c r="D141" s="49">
        <v>88235370.233520001</v>
      </c>
      <c r="E141" s="50">
        <f>VLOOKUP($A141,'Data shares'!$C:$FA,154)*100</f>
        <v>38.340000000000003</v>
      </c>
      <c r="F141" s="173">
        <f t="shared" si="2"/>
        <v>0.37231088487537356</v>
      </c>
    </row>
    <row r="142" spans="1:6" x14ac:dyDescent="0.25">
      <c r="A142" s="99" t="s">
        <v>685</v>
      </c>
      <c r="B142" s="49">
        <v>12267678</v>
      </c>
      <c r="C142" s="49">
        <v>4621000</v>
      </c>
      <c r="D142" s="49">
        <v>2401866.2853250001</v>
      </c>
      <c r="E142" s="50">
        <f>VLOOKUP($A142,'Data shares'!$C:$FA,154)*100</f>
        <v>38.99</v>
      </c>
      <c r="F142" s="173">
        <f t="shared" si="2"/>
        <v>0.37668090081920963</v>
      </c>
    </row>
    <row r="143" spans="1:6" x14ac:dyDescent="0.25">
      <c r="A143" s="99" t="s">
        <v>613</v>
      </c>
      <c r="B143" s="49">
        <v>205483040</v>
      </c>
      <c r="C143" s="49">
        <v>73678125</v>
      </c>
      <c r="D143" s="49">
        <v>39058735.748437501</v>
      </c>
      <c r="E143" s="50"/>
      <c r="F143" s="173">
        <f t="shared" si="2"/>
        <v>0.35856061405359779</v>
      </c>
    </row>
    <row r="144" spans="1:6" x14ac:dyDescent="0.25">
      <c r="A144" s="99" t="s">
        <v>528</v>
      </c>
      <c r="B144" s="49">
        <v>17614093</v>
      </c>
      <c r="C144" s="49">
        <v>9858800</v>
      </c>
      <c r="D144" s="49">
        <v>4777500.7893899996</v>
      </c>
      <c r="E144" s="50">
        <f>VLOOKUP($A144,'Data shares'!$C:$FA,154)*100</f>
        <v>57.66</v>
      </c>
      <c r="F144" s="173">
        <f t="shared" si="2"/>
        <v>0.55971090875925322</v>
      </c>
    </row>
    <row r="145" spans="1:6" x14ac:dyDescent="0.25">
      <c r="A145" s="99" t="s">
        <v>518</v>
      </c>
      <c r="B145" s="49">
        <v>3582756</v>
      </c>
      <c r="C145" s="49">
        <v>2389725</v>
      </c>
      <c r="D145" s="49">
        <v>1175294.6479770001</v>
      </c>
      <c r="E145" s="50">
        <f>VLOOKUP($A145,'Data shares'!$C:$FA,154)*100</f>
        <v>68.94</v>
      </c>
      <c r="F145" s="173">
        <f t="shared" si="2"/>
        <v>0.66700746576099512</v>
      </c>
    </row>
    <row r="146" spans="1:6" x14ac:dyDescent="0.25">
      <c r="A146" s="99" t="s">
        <v>587</v>
      </c>
      <c r="B146" s="49">
        <v>102006452</v>
      </c>
      <c r="C146" s="49">
        <v>27666800</v>
      </c>
      <c r="D146" s="49">
        <v>12991393.167997999</v>
      </c>
      <c r="E146" s="50">
        <f>VLOOKUP($A146,'Data shares'!$C:$FA,154)*100</f>
        <v>27.61</v>
      </c>
      <c r="F146" s="173">
        <f t="shared" si="2"/>
        <v>0.27122598088207206</v>
      </c>
    </row>
    <row r="147" spans="1:6" x14ac:dyDescent="0.25">
      <c r="A147" s="99" t="s">
        <v>269</v>
      </c>
      <c r="B147" s="49">
        <v>517141211</v>
      </c>
      <c r="C147" s="49">
        <v>256288500</v>
      </c>
      <c r="D147" s="49">
        <v>105487089.97212</v>
      </c>
      <c r="E147" s="50"/>
      <c r="F147" s="173">
        <f t="shared" si="2"/>
        <v>0.4955870747651554</v>
      </c>
    </row>
    <row r="148" spans="1:6" x14ac:dyDescent="0.25">
      <c r="A148" s="99" t="s">
        <v>270</v>
      </c>
      <c r="B148" s="49">
        <v>955549</v>
      </c>
      <c r="C148" s="49">
        <v>464970</v>
      </c>
      <c r="D148" s="49">
        <v>255422.99380485</v>
      </c>
      <c r="E148" s="50">
        <f>VLOOKUP($A148,'Data shares'!$C:$FA,154)*100</f>
        <v>49.34</v>
      </c>
      <c r="F148" s="173">
        <f t="shared" si="2"/>
        <v>0.48659984992920302</v>
      </c>
    </row>
    <row r="149" spans="1:6" x14ac:dyDescent="0.25">
      <c r="A149" s="99" t="s">
        <v>665</v>
      </c>
      <c r="B149" s="49">
        <v>50886533</v>
      </c>
      <c r="C149" s="49">
        <v>48240000</v>
      </c>
      <c r="D149" s="49">
        <v>22365217.425914999</v>
      </c>
      <c r="E149" s="50">
        <f>VLOOKUP($A149,'Data shares'!$C:$FA,154)*100</f>
        <v>95.43</v>
      </c>
      <c r="F149" s="173">
        <f t="shared" si="2"/>
        <v>0.94799148529140309</v>
      </c>
    </row>
    <row r="150" spans="1:6" x14ac:dyDescent="0.25">
      <c r="A150" s="99" t="s">
        <v>575</v>
      </c>
      <c r="B150" s="49">
        <v>95799519</v>
      </c>
      <c r="C150" s="49">
        <v>26331275</v>
      </c>
      <c r="D150" s="49">
        <v>15611201.628138</v>
      </c>
      <c r="E150" s="50"/>
      <c r="F150" s="173">
        <f t="shared" si="2"/>
        <v>0.27485811280534717</v>
      </c>
    </row>
    <row r="151" spans="1:6" x14ac:dyDescent="0.25">
      <c r="A151" s="99" t="s">
        <v>529</v>
      </c>
      <c r="B151" s="49">
        <v>15732422</v>
      </c>
      <c r="C151" s="49">
        <v>4718300</v>
      </c>
      <c r="D151" s="49">
        <v>2633061.8947450002</v>
      </c>
      <c r="E151" s="50">
        <f>VLOOKUP($A151,'Data shares'!$C:$FA,154)*100</f>
        <v>30.79</v>
      </c>
      <c r="F151" s="173">
        <f t="shared" si="2"/>
        <v>0.2999093210187217</v>
      </c>
    </row>
    <row r="152" spans="1:6" x14ac:dyDescent="0.25">
      <c r="A152" s="99" t="s">
        <v>272</v>
      </c>
      <c r="B152" s="49">
        <v>108255733</v>
      </c>
      <c r="C152" s="49">
        <v>70362700</v>
      </c>
      <c r="D152" s="49">
        <v>34164103.773916997</v>
      </c>
      <c r="E152" s="50">
        <f>VLOOKUP($A152,'Data shares'!$C:$FA,154)*100</f>
        <v>66.92</v>
      </c>
      <c r="F152" s="173">
        <f t="shared" si="2"/>
        <v>0.64996742481989378</v>
      </c>
    </row>
    <row r="153" spans="1:6" x14ac:dyDescent="0.25">
      <c r="A153" s="99" t="s">
        <v>273</v>
      </c>
      <c r="B153" s="49">
        <v>217835555</v>
      </c>
      <c r="C153" s="49">
        <v>133155100</v>
      </c>
      <c r="D153" s="49">
        <v>70207540.586065993</v>
      </c>
      <c r="E153" s="50">
        <f>VLOOKUP($A153,'Data shares'!$C:$FA,154)*100</f>
        <v>62.129999999999995</v>
      </c>
      <c r="F153" s="173">
        <f t="shared" si="2"/>
        <v>0.61126430898757556</v>
      </c>
    </row>
    <row r="154" spans="1:6" x14ac:dyDescent="0.25">
      <c r="A154" s="99" t="s">
        <v>680</v>
      </c>
      <c r="B154" s="49">
        <v>24030912</v>
      </c>
      <c r="C154" s="49">
        <v>24090100</v>
      </c>
      <c r="D154" s="49">
        <v>10127456.1622885</v>
      </c>
      <c r="E154" s="50">
        <f>VLOOKUP($A154,'Data shares'!$C:$FA,154)*100</f>
        <v>101.93</v>
      </c>
      <c r="F154" s="173">
        <f t="shared" si="2"/>
        <v>1.0024629943299697</v>
      </c>
    </row>
    <row r="155" spans="1:6" x14ac:dyDescent="0.25">
      <c r="A155" s="99" t="s">
        <v>645</v>
      </c>
      <c r="B155" s="49">
        <v>19533471</v>
      </c>
      <c r="C155" s="49">
        <v>5879300</v>
      </c>
      <c r="D155" s="49">
        <v>3610371.5159364999</v>
      </c>
      <c r="E155" s="50">
        <f>VLOOKUP($A155,'Data shares'!$C:$FA,154)*100</f>
        <v>30.4</v>
      </c>
      <c r="F155" s="173">
        <f t="shared" si="2"/>
        <v>0.30098593332439483</v>
      </c>
    </row>
    <row r="156" spans="1:6" x14ac:dyDescent="0.25">
      <c r="A156" s="99" t="s">
        <v>274</v>
      </c>
      <c r="B156" s="49">
        <v>31214205</v>
      </c>
      <c r="C156" s="49">
        <v>10700000</v>
      </c>
      <c r="D156" s="49">
        <v>8306194.6809649998</v>
      </c>
      <c r="E156" s="50">
        <f>VLOOKUP($A156,'Data shares'!$C:$FA,154)*100</f>
        <v>34.489999999999995</v>
      </c>
      <c r="F156" s="173">
        <f t="shared" si="2"/>
        <v>0.34279264841119611</v>
      </c>
    </row>
    <row r="157" spans="1:6" x14ac:dyDescent="0.25">
      <c r="A157" s="99" t="s">
        <v>483</v>
      </c>
      <c r="B157" s="49">
        <v>10712372</v>
      </c>
      <c r="C157" s="49">
        <v>4102875</v>
      </c>
      <c r="D157" s="49">
        <v>2309829.7285385001</v>
      </c>
      <c r="E157" s="50">
        <f>VLOOKUP($A157,'Data shares'!$C:$FA,154)*100</f>
        <v>38.940000000000005</v>
      </c>
      <c r="F157" s="173">
        <f t="shared" si="2"/>
        <v>0.38300340951565165</v>
      </c>
    </row>
    <row r="158" spans="1:6" x14ac:dyDescent="0.25">
      <c r="A158" s="99" t="s">
        <v>275</v>
      </c>
      <c r="B158" s="49">
        <v>515822637</v>
      </c>
      <c r="C158" s="49">
        <v>468448000</v>
      </c>
      <c r="D158" s="49">
        <v>222094683.50288001</v>
      </c>
      <c r="E158" s="50">
        <f>VLOOKUP($A158,'Data shares'!$C:$FA,154)*100</f>
        <v>93.01</v>
      </c>
      <c r="F158" s="173">
        <f t="shared" si="2"/>
        <v>0.90815711913007802</v>
      </c>
    </row>
    <row r="159" spans="1:6" x14ac:dyDescent="0.25">
      <c r="A159" s="99" t="s">
        <v>670</v>
      </c>
      <c r="B159" s="49">
        <v>28118603</v>
      </c>
      <c r="C159" s="49">
        <v>24529050</v>
      </c>
      <c r="D159" s="49">
        <v>13809332.813432001</v>
      </c>
      <c r="E159" s="50">
        <f>VLOOKUP($A159,'Data shares'!$C:$FA,154)*100</f>
        <v>88.06</v>
      </c>
      <c r="F159" s="173">
        <f t="shared" si="2"/>
        <v>0.87234241331263862</v>
      </c>
    </row>
    <row r="160" spans="1:6" x14ac:dyDescent="0.25">
      <c r="A160" s="99" t="s">
        <v>573</v>
      </c>
      <c r="B160" s="49">
        <v>60642005</v>
      </c>
      <c r="C160" s="49">
        <v>10746750</v>
      </c>
      <c r="D160" s="49">
        <v>6904272.4897999996</v>
      </c>
      <c r="E160" s="50">
        <f>VLOOKUP($A160,'Data shares'!$C:$FA,154)*100</f>
        <v>18.010000000000002</v>
      </c>
      <c r="F160" s="173">
        <f t="shared" si="2"/>
        <v>0.17721627113087701</v>
      </c>
    </row>
    <row r="161" spans="1:6" x14ac:dyDescent="0.25">
      <c r="A161" s="99" t="s">
        <v>519</v>
      </c>
      <c r="B161" s="49">
        <v>8688405</v>
      </c>
      <c r="C161" s="49">
        <v>7278375</v>
      </c>
      <c r="D161" s="49">
        <v>3736845.7560200002</v>
      </c>
      <c r="E161" s="50">
        <f>VLOOKUP($A161,'Data shares'!$C:$FA,154)*100</f>
        <v>86.88</v>
      </c>
      <c r="F161" s="173">
        <f t="shared" si="2"/>
        <v>0.83771129453564841</v>
      </c>
    </row>
    <row r="162" spans="1:6" x14ac:dyDescent="0.25">
      <c r="A162" s="99" t="s">
        <v>276</v>
      </c>
      <c r="B162" s="49">
        <v>678857930</v>
      </c>
      <c r="C162" s="49">
        <v>168248800</v>
      </c>
      <c r="D162" s="49">
        <v>101680524.584178</v>
      </c>
      <c r="E162" s="50">
        <f>VLOOKUP($A162,'Data shares'!$C:$FA,154)*100</f>
        <v>25.19</v>
      </c>
      <c r="F162" s="173">
        <f t="shared" si="2"/>
        <v>0.24784095841673381</v>
      </c>
    </row>
    <row r="163" spans="1:6" x14ac:dyDescent="0.25">
      <c r="A163" s="99" t="s">
        <v>687</v>
      </c>
      <c r="B163" s="49">
        <v>1917916</v>
      </c>
      <c r="C163" s="49">
        <v>829100</v>
      </c>
      <c r="D163" s="49">
        <v>326533.6755675</v>
      </c>
      <c r="E163" s="50">
        <f>VLOOKUP($A163,'Data shares'!$C:$FA,154)*100</f>
        <v>44.21</v>
      </c>
      <c r="F163" s="173">
        <f t="shared" si="2"/>
        <v>0.43229213375351161</v>
      </c>
    </row>
    <row r="164" spans="1:6" x14ac:dyDescent="0.25">
      <c r="A164" s="99" t="s">
        <v>678</v>
      </c>
      <c r="B164" s="49">
        <v>107697729</v>
      </c>
      <c r="C164" s="49">
        <v>47173875</v>
      </c>
      <c r="D164" s="49">
        <v>18841822.635405</v>
      </c>
      <c r="E164" s="50">
        <f>VLOOKUP($A164,'Data shares'!$C:$FA,154)*100</f>
        <v>44.99</v>
      </c>
      <c r="F164" s="173">
        <f t="shared" si="2"/>
        <v>0.43802107470622709</v>
      </c>
    </row>
    <row r="165" spans="1:6" x14ac:dyDescent="0.25">
      <c r="A165" s="99" t="s">
        <v>690</v>
      </c>
      <c r="B165" s="49">
        <v>23923093</v>
      </c>
      <c r="C165" s="49">
        <v>13376225</v>
      </c>
      <c r="D165" s="49">
        <v>4998685.7226649998</v>
      </c>
      <c r="E165" s="50">
        <f>VLOOKUP($A165,'Data shares'!$C:$FA,154)*100</f>
        <v>57.499999999999993</v>
      </c>
      <c r="F165" s="173">
        <f t="shared" si="2"/>
        <v>0.5591344313212343</v>
      </c>
    </row>
    <row r="166" spans="1:6" x14ac:dyDescent="0.25">
      <c r="A166" s="99" t="s">
        <v>605</v>
      </c>
      <c r="B166" s="49">
        <v>22697169</v>
      </c>
      <c r="C166" s="49">
        <v>8163000</v>
      </c>
      <c r="D166" s="49">
        <v>3925003.6667610002</v>
      </c>
      <c r="E166" s="50">
        <f>VLOOKUP($A166,'Data shares'!$C:$FA,154)*100</f>
        <v>36.58</v>
      </c>
      <c r="F166" s="173">
        <f t="shared" si="2"/>
        <v>0.35964837729322102</v>
      </c>
    </row>
    <row r="167" spans="1:6" x14ac:dyDescent="0.25">
      <c r="A167" s="99" t="s">
        <v>279</v>
      </c>
      <c r="B167" s="49">
        <v>91953095</v>
      </c>
      <c r="C167" s="49">
        <v>137944225</v>
      </c>
      <c r="D167" s="49">
        <v>65972753.926116697</v>
      </c>
      <c r="E167" s="50">
        <f>VLOOKUP($A167,'Data shares'!$C:$FA,154)*100</f>
        <v>152.57</v>
      </c>
      <c r="F167" s="173">
        <f t="shared" si="2"/>
        <v>1.500158586287933</v>
      </c>
    </row>
    <row r="168" spans="1:6" x14ac:dyDescent="0.25">
      <c r="A168" s="99" t="s">
        <v>280</v>
      </c>
      <c r="B168" s="49">
        <v>187084550</v>
      </c>
      <c r="C168" s="49">
        <v>153231400</v>
      </c>
      <c r="D168" s="49">
        <v>73254925.889725998</v>
      </c>
      <c r="E168" s="50">
        <f>VLOOKUP($A168,'Data shares'!$C:$FA,154)*100</f>
        <v>85.33</v>
      </c>
      <c r="F168" s="173">
        <f t="shared" si="2"/>
        <v>0.81904892734327872</v>
      </c>
    </row>
    <row r="169" spans="1:6" x14ac:dyDescent="0.25">
      <c r="A169" s="99" t="s">
        <v>281</v>
      </c>
      <c r="B169" s="49">
        <v>664266681</v>
      </c>
      <c r="C169" s="49">
        <v>264460000</v>
      </c>
      <c r="D169" s="49">
        <v>116942053.084685</v>
      </c>
      <c r="E169" s="50">
        <f>VLOOKUP($A169,'Data shares'!$C:$FA,154)*100</f>
        <v>41.28</v>
      </c>
      <c r="F169" s="173">
        <f t="shared" si="2"/>
        <v>0.39812323508666242</v>
      </c>
    </row>
    <row r="170" spans="1:6" x14ac:dyDescent="0.25">
      <c r="A170" s="99" t="s">
        <v>675</v>
      </c>
      <c r="B170" s="49">
        <v>84941460</v>
      </c>
      <c r="C170" s="49">
        <v>122227225</v>
      </c>
      <c r="D170" s="49">
        <v>37526673.372161701</v>
      </c>
      <c r="E170" s="50">
        <f>VLOOKUP($A170,'Data shares'!$C:$FA,154)*100</f>
        <v>147.69</v>
      </c>
      <c r="F170" s="173">
        <f t="shared" si="2"/>
        <v>1.4389583720364589</v>
      </c>
    </row>
    <row r="171" spans="1:6" x14ac:dyDescent="0.25">
      <c r="A171" s="99" t="s">
        <v>282</v>
      </c>
      <c r="B171" s="49">
        <v>216861410</v>
      </c>
      <c r="C171" s="49">
        <v>254815200</v>
      </c>
      <c r="D171" s="49">
        <v>163754706.49664599</v>
      </c>
      <c r="E171" s="50">
        <f>VLOOKUP($A171,'Data shares'!$C:$FA,154)*100</f>
        <v>120.55</v>
      </c>
      <c r="F171" s="173">
        <f t="shared" si="2"/>
        <v>1.1750140331560142</v>
      </c>
    </row>
    <row r="172" spans="1:6" x14ac:dyDescent="0.25">
      <c r="A172" s="99" t="s">
        <v>686</v>
      </c>
      <c r="B172" s="49">
        <v>122326971</v>
      </c>
      <c r="C172" s="49">
        <v>157582100</v>
      </c>
      <c r="D172" s="49">
        <v>86329735.587898001</v>
      </c>
      <c r="E172" s="50">
        <f>VLOOKUP($A172,'Data shares'!$C:$FA,154)*100</f>
        <v>130.78</v>
      </c>
      <c r="F172" s="173">
        <f t="shared" si="2"/>
        <v>1.2882040543618136</v>
      </c>
    </row>
    <row r="173" spans="1:6" x14ac:dyDescent="0.25">
      <c r="A173" s="99" t="s">
        <v>536</v>
      </c>
      <c r="B173" s="49">
        <v>44836888</v>
      </c>
      <c r="C173" s="49">
        <v>29840800</v>
      </c>
      <c r="D173" s="49">
        <v>15980458.526296001</v>
      </c>
      <c r="E173" s="50">
        <f>VLOOKUP($A173,'Data shares'!$C:$FA,154)*100</f>
        <v>69.11</v>
      </c>
      <c r="F173" s="173">
        <f t="shared" si="2"/>
        <v>0.66554128377509159</v>
      </c>
    </row>
    <row r="174" spans="1:6" x14ac:dyDescent="0.25">
      <c r="A174" s="99" t="s">
        <v>462</v>
      </c>
      <c r="B174" s="49">
        <v>44756800</v>
      </c>
      <c r="C174" s="49">
        <v>20054250</v>
      </c>
      <c r="D174" s="49">
        <v>9636243.0834525004</v>
      </c>
      <c r="E174" s="50">
        <f>VLOOKUP($A174,'Data shares'!$C:$FA,154)*100</f>
        <v>45.32</v>
      </c>
      <c r="F174" s="173">
        <f t="shared" si="2"/>
        <v>0.44807157795016622</v>
      </c>
    </row>
    <row r="175" spans="1:6" x14ac:dyDescent="0.25">
      <c r="A175" s="99" t="s">
        <v>283</v>
      </c>
      <c r="B175" s="49">
        <v>436949195</v>
      </c>
      <c r="C175" s="49">
        <v>156762750</v>
      </c>
      <c r="D175" s="49">
        <v>74131330.229430005</v>
      </c>
      <c r="E175" s="50">
        <f>VLOOKUP($A175,'Data shares'!$C:$FA,154)*100</f>
        <v>37.059999999999995</v>
      </c>
      <c r="F175" s="173">
        <f t="shared" si="2"/>
        <v>0.35876653806399622</v>
      </c>
    </row>
    <row r="176" spans="1:6" x14ac:dyDescent="0.25">
      <c r="A176" s="99" t="s">
        <v>284</v>
      </c>
      <c r="B176" s="49">
        <v>1568093</v>
      </c>
      <c r="C176" s="49">
        <v>369800</v>
      </c>
      <c r="D176" s="49">
        <v>237931.89867349999</v>
      </c>
      <c r="E176" s="50">
        <f>VLOOKUP($A176,'Data shares'!$C:$FA,154)*100</f>
        <v>23.94</v>
      </c>
      <c r="F176" s="173">
        <f t="shared" si="2"/>
        <v>0.23582784949617147</v>
      </c>
    </row>
    <row r="177" spans="1:6" x14ac:dyDescent="0.25">
      <c r="A177" s="99" t="s">
        <v>562</v>
      </c>
      <c r="B177" s="49">
        <v>210513975</v>
      </c>
      <c r="C177" s="49">
        <v>71539875</v>
      </c>
      <c r="D177" s="49">
        <v>44816702.466293998</v>
      </c>
      <c r="E177" s="50">
        <f>VLOOKUP($A177,'Data shares'!$C:$FA,154)*100</f>
        <v>34.71</v>
      </c>
      <c r="F177" s="173">
        <f t="shared" si="2"/>
        <v>0.33983432691345078</v>
      </c>
    </row>
    <row r="178" spans="1:6" x14ac:dyDescent="0.25">
      <c r="A178" s="99" t="s">
        <v>285</v>
      </c>
      <c r="B178" s="49">
        <v>13354588</v>
      </c>
      <c r="C178" s="49">
        <v>4491725</v>
      </c>
      <c r="D178" s="49">
        <v>2314416.0435602502</v>
      </c>
      <c r="E178" s="50"/>
      <c r="F178" s="173">
        <f t="shared" si="2"/>
        <v>0.33634321028847913</v>
      </c>
    </row>
    <row r="179" spans="1:6" x14ac:dyDescent="0.25">
      <c r="A179" s="99" t="s">
        <v>646</v>
      </c>
      <c r="B179" s="49">
        <v>3644817</v>
      </c>
      <c r="C179" s="49">
        <v>1786500</v>
      </c>
      <c r="D179" s="49">
        <v>984825.2050355</v>
      </c>
      <c r="E179" s="50">
        <f>VLOOKUP($A179,'Data shares'!$C:$FA,154)*100</f>
        <v>49.69</v>
      </c>
      <c r="F179" s="173">
        <f t="shared" si="2"/>
        <v>0.49014806504688713</v>
      </c>
    </row>
    <row r="180" spans="1:6" x14ac:dyDescent="0.25">
      <c r="A180" s="99" t="s">
        <v>614</v>
      </c>
      <c r="B180" s="49">
        <v>67126548</v>
      </c>
      <c r="C180" s="49">
        <v>26000625</v>
      </c>
      <c r="D180" s="49">
        <v>15734148.8268755</v>
      </c>
      <c r="E180" s="50">
        <f>VLOOKUP($A180,'Data shares'!$C:$FA,154)*100</f>
        <v>39.160000000000004</v>
      </c>
      <c r="F180" s="173">
        <f t="shared" si="2"/>
        <v>0.38733743615119309</v>
      </c>
    </row>
    <row r="181" spans="1:6" x14ac:dyDescent="0.25">
      <c r="A181" s="99" t="s">
        <v>286</v>
      </c>
      <c r="B181" s="49">
        <v>18529108</v>
      </c>
      <c r="C181" s="49">
        <v>7889000</v>
      </c>
      <c r="D181" s="49">
        <v>3473839.338546</v>
      </c>
      <c r="E181" s="50">
        <f>VLOOKUP($A181,'Data shares'!$C:$FA,154)*100</f>
        <v>43.71</v>
      </c>
      <c r="F181" s="173">
        <f t="shared" si="2"/>
        <v>0.42576253535788122</v>
      </c>
    </row>
    <row r="182" spans="1:6" x14ac:dyDescent="0.25">
      <c r="A182" s="99" t="s">
        <v>288</v>
      </c>
      <c r="B182" s="49">
        <v>109220043</v>
      </c>
      <c r="C182" s="49">
        <v>36895600</v>
      </c>
      <c r="D182" s="49">
        <v>20618069.087941501</v>
      </c>
      <c r="E182" s="50">
        <f>VLOOKUP($A182,'Data shares'!$C:$FA,154)*100</f>
        <v>34.61</v>
      </c>
      <c r="F182" s="173">
        <f t="shared" si="2"/>
        <v>0.33780979192619437</v>
      </c>
    </row>
    <row r="183" spans="1:6" x14ac:dyDescent="0.25">
      <c r="A183" s="99" t="s">
        <v>574</v>
      </c>
      <c r="B183" s="49">
        <v>9736357</v>
      </c>
      <c r="C183" s="49">
        <v>3663100</v>
      </c>
      <c r="D183" s="49">
        <v>1986838.1195390001</v>
      </c>
      <c r="E183" s="50"/>
      <c r="F183" s="173">
        <f t="shared" si="2"/>
        <v>0.37622901460987923</v>
      </c>
    </row>
    <row r="184" spans="1:6" x14ac:dyDescent="0.25">
      <c r="A184" s="99" t="s">
        <v>684</v>
      </c>
      <c r="B184" s="49">
        <v>1814982173</v>
      </c>
      <c r="C184" s="49">
        <v>634917775</v>
      </c>
      <c r="D184" s="49">
        <v>256259121.12541899</v>
      </c>
      <c r="E184" s="50">
        <f>VLOOKUP($A184,'Data shares'!$C:$FA,154)*100</f>
        <v>36.659999999999997</v>
      </c>
      <c r="F184" s="173">
        <f t="shared" si="2"/>
        <v>0.34982039187224567</v>
      </c>
    </row>
    <row r="185" spans="1:6" x14ac:dyDescent="0.25">
      <c r="A185" s="99" t="s">
        <v>693</v>
      </c>
      <c r="B185" s="49">
        <v>375529891</v>
      </c>
      <c r="C185" s="49">
        <v>47869900</v>
      </c>
      <c r="D185" s="49">
        <v>31170349.106311999</v>
      </c>
      <c r="E185" s="50">
        <f>VLOOKUP($A185,'Data shares'!$C:$FA,154)*100</f>
        <v>12.98</v>
      </c>
      <c r="F185" s="173">
        <f t="shared" si="2"/>
        <v>0.12747294196083048</v>
      </c>
    </row>
    <row r="186" spans="1:6" x14ac:dyDescent="0.25">
      <c r="A186" s="99" t="s">
        <v>520</v>
      </c>
      <c r="B186" s="49">
        <v>24733183</v>
      </c>
      <c r="C186" s="49">
        <v>17903000</v>
      </c>
      <c r="D186" s="49">
        <v>7916177.30638</v>
      </c>
      <c r="E186" s="50">
        <f>VLOOKUP($A186,'Data shares'!$C:$FA,154)*100</f>
        <v>74.64</v>
      </c>
      <c r="F186" s="173">
        <f t="shared" si="2"/>
        <v>0.72384537000352922</v>
      </c>
    </row>
    <row r="187" spans="1:6" x14ac:dyDescent="0.25">
      <c r="A187" s="99" t="s">
        <v>291</v>
      </c>
      <c r="B187" s="49">
        <v>65472326</v>
      </c>
      <c r="C187" s="49">
        <v>18051550</v>
      </c>
      <c r="D187" s="49">
        <v>11161877.697388001</v>
      </c>
      <c r="E187" s="50">
        <f>VLOOKUP($A187,'Data shares'!$C:$FA,154)*100</f>
        <v>28.24</v>
      </c>
      <c r="F187" s="173">
        <f t="shared" si="2"/>
        <v>0.27571267286272982</v>
      </c>
    </row>
    <row r="188" spans="1:6" x14ac:dyDescent="0.25">
      <c r="A188" s="99" t="s">
        <v>604</v>
      </c>
      <c r="B188" s="49">
        <v>5241546</v>
      </c>
      <c r="C188" s="49">
        <v>4173000</v>
      </c>
      <c r="D188" s="49">
        <v>1296866.2862740001</v>
      </c>
      <c r="E188" s="50">
        <f>VLOOKUP($A188,'Data shares'!$C:$FA,154)*100</f>
        <v>81.39</v>
      </c>
      <c r="F188" s="173">
        <f t="shared" si="2"/>
        <v>0.79613915436399874</v>
      </c>
    </row>
    <row r="189" spans="1:6" x14ac:dyDescent="0.25">
      <c r="A189" s="99" t="s">
        <v>293</v>
      </c>
      <c r="B189" s="49">
        <v>202215001</v>
      </c>
      <c r="C189" s="49">
        <v>131026350</v>
      </c>
      <c r="D189" s="49">
        <v>54409250.001602001</v>
      </c>
      <c r="E189" s="50">
        <f>VLOOKUP($A189,'Data shares'!$C:$FA,154)*100</f>
        <v>66.34</v>
      </c>
      <c r="F189" s="173">
        <f t="shared" si="2"/>
        <v>0.64795563806861189</v>
      </c>
    </row>
    <row r="190" spans="1:6" x14ac:dyDescent="0.25">
      <c r="A190" s="99" t="s">
        <v>294</v>
      </c>
      <c r="B190" s="49">
        <v>872935214</v>
      </c>
      <c r="C190" s="49">
        <v>505142000</v>
      </c>
      <c r="D190" s="49">
        <v>263064235.29688501</v>
      </c>
      <c r="E190" s="50">
        <f>VLOOKUP($A190,'Data shares'!$C:$FA,154)*100</f>
        <v>59.150000000000006</v>
      </c>
      <c r="F190" s="173">
        <f t="shared" si="2"/>
        <v>0.57867066409810342</v>
      </c>
    </row>
    <row r="191" spans="1:6" x14ac:dyDescent="0.25">
      <c r="A191" s="99" t="s">
        <v>663</v>
      </c>
      <c r="B191" s="49">
        <v>25116370</v>
      </c>
      <c r="C191" s="49">
        <v>22870400</v>
      </c>
      <c r="D191" s="49">
        <v>8559393.1699199993</v>
      </c>
      <c r="E191" s="50">
        <f>VLOOKUP($A191,'Data shares'!$C:$FA,154)*100</f>
        <v>95.98</v>
      </c>
      <c r="F191" s="173">
        <f t="shared" si="2"/>
        <v>0.91057744411314212</v>
      </c>
    </row>
    <row r="192" spans="1:6" x14ac:dyDescent="0.25">
      <c r="A192" s="99" t="s">
        <v>295</v>
      </c>
      <c r="B192" s="49">
        <v>126444612</v>
      </c>
      <c r="C192" s="49">
        <v>42845250</v>
      </c>
      <c r="D192" s="49">
        <v>19769315.198543701</v>
      </c>
      <c r="E192" s="50">
        <f>VLOOKUP($A192,'Data shares'!$C:$FA,154)*100</f>
        <v>34.520000000000003</v>
      </c>
      <c r="F192" s="173">
        <f t="shared" si="2"/>
        <v>0.33884599210917743</v>
      </c>
    </row>
    <row r="193" spans="1:6" x14ac:dyDescent="0.25">
      <c r="A193" s="99" t="s">
        <v>296</v>
      </c>
      <c r="B193" s="49">
        <v>80031540</v>
      </c>
      <c r="C193" s="49">
        <v>31291800</v>
      </c>
      <c r="D193" s="49">
        <v>20410113.216084</v>
      </c>
      <c r="E193" s="50">
        <f>VLOOKUP($A193,'Data shares'!$C:$FA,154)*100</f>
        <v>39.76</v>
      </c>
      <c r="F193" s="173">
        <f t="shared" si="2"/>
        <v>0.39099335087141895</v>
      </c>
    </row>
    <row r="194" spans="1:6" x14ac:dyDescent="0.25">
      <c r="A194" s="99" t="s">
        <v>595</v>
      </c>
      <c r="B194" s="49">
        <v>15879795</v>
      </c>
      <c r="C194" s="49">
        <v>5687600</v>
      </c>
      <c r="D194" s="49">
        <v>3594752.26669</v>
      </c>
      <c r="E194" s="50">
        <f>VLOOKUP($A194,'Data shares'!$C:$FA,154)*100</f>
        <v>36.270000000000003</v>
      </c>
      <c r="F194" s="173">
        <f t="shared" si="2"/>
        <v>0.35816583274532199</v>
      </c>
    </row>
    <row r="195" spans="1:6" x14ac:dyDescent="0.25">
      <c r="A195" s="99" t="s">
        <v>297</v>
      </c>
      <c r="B195" s="49">
        <v>45680146</v>
      </c>
      <c r="C195" s="49">
        <v>17541475</v>
      </c>
      <c r="D195" s="49">
        <v>8433831.0882769991</v>
      </c>
      <c r="E195" s="50">
        <f>VLOOKUP($A195,'Data shares'!$C:$FA,154)*100</f>
        <v>39.589999999999996</v>
      </c>
      <c r="F195" s="173">
        <f t="shared" si="2"/>
        <v>0.38400654411218388</v>
      </c>
    </row>
    <row r="196" spans="1:6" x14ac:dyDescent="0.25">
      <c r="A196" s="99" t="s">
        <v>689</v>
      </c>
      <c r="B196" s="49">
        <v>317235726</v>
      </c>
      <c r="C196" s="49">
        <v>164080800</v>
      </c>
      <c r="D196" s="49">
        <v>79225477.639311999</v>
      </c>
      <c r="E196" s="50">
        <f>VLOOKUP($A196,'Data shares'!$C:$FA,154)*100</f>
        <v>53.36</v>
      </c>
      <c r="F196" s="173">
        <f t="shared" si="2"/>
        <v>0.51722043437188403</v>
      </c>
    </row>
    <row r="197" spans="1:6" x14ac:dyDescent="0.25">
      <c r="A197" s="99" t="s">
        <v>298</v>
      </c>
      <c r="B197" s="49">
        <v>10726004</v>
      </c>
      <c r="C197" s="49">
        <v>3447000</v>
      </c>
      <c r="D197" s="49">
        <v>2390995.6236525001</v>
      </c>
      <c r="E197" s="50">
        <f>VLOOKUP($A197,'Data shares'!$C:$FA,154)*100</f>
        <v>33.01</v>
      </c>
      <c r="F197" s="173">
        <f t="shared" ref="F197:F212" si="3">C197/B197</f>
        <v>0.32136851711037961</v>
      </c>
    </row>
    <row r="198" spans="1:6" x14ac:dyDescent="0.25">
      <c r="A198" s="99" t="s">
        <v>299</v>
      </c>
      <c r="B198" s="49">
        <v>24646022</v>
      </c>
      <c r="C198" s="49">
        <v>5587900</v>
      </c>
      <c r="D198" s="49">
        <v>2712837.2627847502</v>
      </c>
      <c r="E198" s="50">
        <f>VLOOKUP($A198,'Data shares'!$C:$FA,154)*100</f>
        <v>22.939999999999998</v>
      </c>
      <c r="F198" s="173">
        <f t="shared" si="3"/>
        <v>0.22672624409732328</v>
      </c>
    </row>
    <row r="199" spans="1:6" x14ac:dyDescent="0.25">
      <c r="A199" s="99" t="s">
        <v>482</v>
      </c>
      <c r="B199" s="49">
        <v>33590487</v>
      </c>
      <c r="C199" s="49">
        <v>18757800</v>
      </c>
      <c r="D199" s="49">
        <v>8331485.3188270004</v>
      </c>
      <c r="E199" s="50">
        <f>VLOOKUP($A199,'Data shares'!$C:$FA,154)*100</f>
        <v>58.040000000000006</v>
      </c>
      <c r="F199" s="173">
        <f t="shared" si="3"/>
        <v>0.55842596149320489</v>
      </c>
    </row>
    <row r="200" spans="1:6" x14ac:dyDescent="0.25">
      <c r="A200" s="99" t="s">
        <v>300</v>
      </c>
      <c r="B200" s="49">
        <v>31634588</v>
      </c>
      <c r="C200" s="49">
        <v>11951800</v>
      </c>
      <c r="D200" s="49">
        <v>8349034.55071525</v>
      </c>
      <c r="E200" s="50">
        <f>VLOOKUP($A200,'Data shares'!$C:$FA,154)*100</f>
        <v>38.379999999999995</v>
      </c>
      <c r="F200" s="173">
        <f t="shared" si="3"/>
        <v>0.37780798662527232</v>
      </c>
    </row>
    <row r="201" spans="1:6" x14ac:dyDescent="0.25">
      <c r="A201" s="99" t="s">
        <v>302</v>
      </c>
      <c r="B201" s="49">
        <v>11955674</v>
      </c>
      <c r="C201" s="49">
        <v>3891800</v>
      </c>
      <c r="D201" s="49">
        <v>2833518.0120179998</v>
      </c>
      <c r="E201" s="50">
        <f>VLOOKUP($A201,'Data shares'!$C:$FA,154)*100</f>
        <v>33.339999999999996</v>
      </c>
      <c r="F201" s="173">
        <f t="shared" si="3"/>
        <v>0.32551907989461742</v>
      </c>
    </row>
    <row r="202" spans="1:6" x14ac:dyDescent="0.25">
      <c r="A202" s="99" t="s">
        <v>593</v>
      </c>
      <c r="B202" s="49">
        <v>289041713</v>
      </c>
      <c r="C202" s="49">
        <v>171123600</v>
      </c>
      <c r="D202" s="49">
        <v>78949174.900674</v>
      </c>
      <c r="E202" s="50">
        <f>VLOOKUP($A202,'Data shares'!$C:$FA,154)*100</f>
        <v>60.29</v>
      </c>
      <c r="F202" s="173">
        <f t="shared" si="3"/>
        <v>0.59203773124607795</v>
      </c>
    </row>
    <row r="203" spans="1:6" x14ac:dyDescent="0.25">
      <c r="A203" s="99" t="s">
        <v>569</v>
      </c>
      <c r="B203" s="49">
        <v>37091426</v>
      </c>
      <c r="C203" s="49">
        <v>20574800</v>
      </c>
      <c r="D203" s="49">
        <v>10726881.074535999</v>
      </c>
      <c r="E203" s="50">
        <f>VLOOKUP($A203,'Data shares'!$C:$FA,154)*100</f>
        <v>56.15</v>
      </c>
      <c r="F203" s="173">
        <f t="shared" si="3"/>
        <v>0.55470501457668409</v>
      </c>
    </row>
    <row r="204" spans="1:6" x14ac:dyDescent="0.25">
      <c r="A204" s="99" t="s">
        <v>674</v>
      </c>
      <c r="B204" s="49">
        <v>27292222</v>
      </c>
      <c r="C204" s="49">
        <v>8566800</v>
      </c>
      <c r="D204" s="49">
        <v>5182459.9062059997</v>
      </c>
      <c r="E204" s="50">
        <f>VLOOKUP($A204,'Data shares'!$C:$FA,154)*100</f>
        <v>31.91</v>
      </c>
      <c r="F204" s="173">
        <f t="shared" si="3"/>
        <v>0.31389162817157212</v>
      </c>
    </row>
    <row r="205" spans="1:6" x14ac:dyDescent="0.25">
      <c r="A205" s="99" t="s">
        <v>303</v>
      </c>
      <c r="B205" s="49">
        <v>84228583</v>
      </c>
      <c r="C205" s="49">
        <v>71645625</v>
      </c>
      <c r="D205" s="49">
        <v>30703581.752372202</v>
      </c>
      <c r="E205" s="50"/>
      <c r="F205" s="173">
        <f t="shared" si="3"/>
        <v>0.85060940654789363</v>
      </c>
    </row>
    <row r="206" spans="1:6" x14ac:dyDescent="0.25">
      <c r="A206" s="99" t="s">
        <v>586</v>
      </c>
      <c r="B206" s="49">
        <v>205761118</v>
      </c>
      <c r="C206" s="49">
        <v>67119750</v>
      </c>
      <c r="D206" s="49">
        <v>44655887.5121812</v>
      </c>
      <c r="E206" s="50">
        <f>VLOOKUP($A206,'Data shares'!$C:$FA,154)*100</f>
        <v>32.93</v>
      </c>
      <c r="F206" s="173">
        <f t="shared" si="3"/>
        <v>0.32620230028104724</v>
      </c>
    </row>
    <row r="207" spans="1:6" x14ac:dyDescent="0.25">
      <c r="A207" s="99" t="s">
        <v>304</v>
      </c>
      <c r="B207" s="49">
        <v>255091106</v>
      </c>
      <c r="C207" s="49">
        <v>174374500</v>
      </c>
      <c r="D207" s="49">
        <v>80991296.286702499</v>
      </c>
      <c r="E207" s="50">
        <f>VLOOKUP($A207,'Data shares'!$C:$FA,154)*100</f>
        <v>70.86</v>
      </c>
      <c r="F207" s="173">
        <f t="shared" si="3"/>
        <v>0.68357734118726976</v>
      </c>
    </row>
    <row r="208" spans="1:6" x14ac:dyDescent="0.25">
      <c r="A208" s="99" t="s">
        <v>305</v>
      </c>
      <c r="B208" s="49">
        <v>34594689</v>
      </c>
      <c r="C208" s="49">
        <v>19922250</v>
      </c>
      <c r="D208" s="49">
        <v>11021395.9459612</v>
      </c>
      <c r="E208" s="50"/>
      <c r="F208" s="173">
        <f t="shared" si="3"/>
        <v>0.57587596755097292</v>
      </c>
    </row>
    <row r="209" spans="1:6" x14ac:dyDescent="0.25">
      <c r="A209" s="99" t="s">
        <v>692</v>
      </c>
      <c r="B209" s="49">
        <v>15436318</v>
      </c>
      <c r="C209" s="49">
        <v>6938750</v>
      </c>
      <c r="D209" s="49">
        <v>2350414.9133184999</v>
      </c>
      <c r="E209" s="50">
        <f>VLOOKUP($A209,'Data shares'!$C:$FA,154)*100</f>
        <v>47.85</v>
      </c>
      <c r="F209" s="173">
        <f t="shared" si="3"/>
        <v>0.44950810160816845</v>
      </c>
    </row>
    <row r="210" spans="1:6" x14ac:dyDescent="0.25">
      <c r="A210" s="99" t="s">
        <v>306</v>
      </c>
      <c r="B210" s="49">
        <v>358423198</v>
      </c>
      <c r="C210" s="49">
        <v>285864000</v>
      </c>
      <c r="D210" s="49">
        <v>106216395.60216001</v>
      </c>
      <c r="E210" s="50"/>
      <c r="F210" s="173">
        <f t="shared" si="3"/>
        <v>0.79755998382671645</v>
      </c>
    </row>
    <row r="211" spans="1:6" x14ac:dyDescent="0.25">
      <c r="A211" s="99" t="s">
        <v>590</v>
      </c>
      <c r="B211" s="49">
        <v>3547322779</v>
      </c>
      <c r="C211" s="49">
        <v>1968039100</v>
      </c>
      <c r="D211" s="49">
        <v>1019677172.07496</v>
      </c>
      <c r="E211" s="50">
        <f>VLOOKUP($A211,'Data shares'!$C:$FA,154)*100</f>
        <v>56.64</v>
      </c>
      <c r="F211" s="173">
        <f t="shared" si="3"/>
        <v>0.55479560857859</v>
      </c>
    </row>
    <row r="212" spans="1:6" x14ac:dyDescent="0.25">
      <c r="A212" s="99" t="s">
        <v>557</v>
      </c>
      <c r="B212" s="49">
        <v>37741451</v>
      </c>
      <c r="C212" s="49">
        <v>17360100</v>
      </c>
      <c r="D212" s="49">
        <v>9385883.0552069992</v>
      </c>
      <c r="E212" s="50"/>
      <c r="F212" s="173">
        <f t="shared" si="3"/>
        <v>0.45997436611538861</v>
      </c>
    </row>
    <row r="213" spans="1:6" x14ac:dyDescent="0.25">
      <c r="A213" s="99"/>
      <c r="B213" s="49"/>
      <c r="C213" s="49"/>
      <c r="D213" s="49"/>
      <c r="E213" s="50"/>
      <c r="F213" s="173"/>
    </row>
    <row r="214" spans="1:6" x14ac:dyDescent="0.25">
      <c r="A214" s="99"/>
      <c r="B214" s="49"/>
      <c r="C214" s="49"/>
      <c r="D214" s="49"/>
      <c r="E214" s="50"/>
      <c r="F214" s="173"/>
    </row>
    <row r="215" spans="1:6" x14ac:dyDescent="0.25">
      <c r="A215" s="99"/>
      <c r="B215" s="49"/>
      <c r="C215" s="49"/>
      <c r="D215" s="49"/>
      <c r="E215" s="50"/>
      <c r="F215" s="173"/>
    </row>
    <row r="216" spans="1:6" x14ac:dyDescent="0.25">
      <c r="A216" s="99"/>
      <c r="B216" s="49"/>
      <c r="C216" s="49"/>
      <c r="D216" s="49"/>
      <c r="E216" s="50"/>
      <c r="F216" s="173"/>
    </row>
    <row r="217" spans="1:6" x14ac:dyDescent="0.25">
      <c r="A217" s="99"/>
      <c r="B217" s="49"/>
      <c r="C217" s="49"/>
      <c r="D217" s="49"/>
      <c r="E217" s="50"/>
      <c r="F217" s="173"/>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2">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zoomScaleNormal="100" workbookViewId="0">
      <selection activeCell="J26" sqref="J26"/>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0" t="s">
        <v>420</v>
      </c>
      <c r="B4" s="321"/>
      <c r="C4" s="321"/>
      <c r="D4" s="321"/>
      <c r="E4" s="321"/>
      <c r="F4" s="321"/>
      <c r="G4" s="321"/>
      <c r="H4" s="321"/>
      <c r="I4" s="321"/>
      <c r="J4" s="321"/>
      <c r="K4" s="321"/>
      <c r="L4" s="321"/>
      <c r="M4" s="321"/>
      <c r="N4" s="322"/>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579</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579</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579</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606</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606</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606</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609</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609</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609</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598</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598</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598</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589</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589</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589</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602</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602</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602</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584</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584</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584</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611</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611</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611</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597</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597</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597</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601</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601</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601</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612</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612</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612</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572</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572</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572</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600</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600</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600</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583</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583</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583</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631</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631</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631</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576</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576</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576</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608</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608</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608</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578</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578</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578</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594</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594</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594</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592</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592</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592</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570</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570</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570</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581</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581</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581</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580</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580</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580</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582</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582</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582</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610</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610</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610</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577</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577</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577</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607</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607</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607</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588</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588</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588</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565</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565</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565</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561</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561</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561</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603</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603</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603</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563</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563</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563</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559</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559</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559</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591</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591</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591</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585</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585</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585</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566</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566</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566</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613</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613</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613</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587</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587</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587</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575</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575</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575</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573</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573</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573</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596</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596</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596</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605</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605</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605</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564</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564</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564</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562</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562</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562</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599</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599</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599</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614</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614</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614</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574</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574</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574</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604</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604</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604</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595</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595</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595</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593</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593</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593</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569</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569</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569</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586</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586</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586</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590</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590</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590</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571</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571</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571</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557</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557</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557</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3" t="s">
        <v>380</v>
      </c>
      <c r="B3" s="324"/>
      <c r="C3" s="324"/>
      <c r="D3" s="324"/>
      <c r="E3" s="324"/>
      <c r="F3" s="324"/>
      <c r="G3" s="325"/>
    </row>
    <row r="4" spans="1:7" s="72" customFormat="1" x14ac:dyDescent="0.25">
      <c r="A4" s="108" t="s">
        <v>330</v>
      </c>
      <c r="B4" s="326" t="s">
        <v>380</v>
      </c>
      <c r="C4" s="326"/>
      <c r="D4" s="326"/>
      <c r="E4" s="326"/>
      <c r="F4" s="326"/>
      <c r="G4" s="326"/>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63.680000000000007</v>
      </c>
      <c r="F6" s="49">
        <f>VLOOKUP($A6,'Data shares'!$C:$FA,129)</f>
        <v>3789500</v>
      </c>
      <c r="G6" s="17"/>
    </row>
    <row r="7" spans="1:7" x14ac:dyDescent="0.25">
      <c r="A7" s="101" t="s">
        <v>228</v>
      </c>
      <c r="B7" s="17">
        <v>292206563</v>
      </c>
      <c r="C7" s="17">
        <v>71903525</v>
      </c>
      <c r="D7" s="17">
        <f t="shared" ref="D7:D70" si="0">C7</f>
        <v>71903525</v>
      </c>
      <c r="E7" s="49">
        <f>VLOOKUP($A7,'Data shares'!$C:$FA,128)*100</f>
        <v>64.990000000000009</v>
      </c>
      <c r="F7" s="49">
        <f>VLOOKUP($A7,'Data shares'!$C:$FA,129)</f>
        <v>18545100</v>
      </c>
      <c r="G7" s="17"/>
    </row>
    <row r="8" spans="1:7" x14ac:dyDescent="0.25">
      <c r="A8" s="101" t="s">
        <v>200</v>
      </c>
      <c r="B8" s="17">
        <v>417418754</v>
      </c>
      <c r="C8" s="17">
        <v>109662000</v>
      </c>
      <c r="D8" s="17">
        <f t="shared" si="0"/>
        <v>109662000</v>
      </c>
      <c r="E8" s="49">
        <f>VLOOKUP($A8,'Data shares'!$C:$FA,128)*100</f>
        <v>42.92</v>
      </c>
      <c r="F8" s="49">
        <f>VLOOKUP($A8,'Data shares'!$C:$FA,129)</f>
        <v>15819300</v>
      </c>
      <c r="G8" s="17"/>
    </row>
    <row r="9" spans="1:7" x14ac:dyDescent="0.25">
      <c r="A9" s="101" t="s">
        <v>214</v>
      </c>
      <c r="B9" s="17">
        <v>30110093</v>
      </c>
      <c r="C9" s="17">
        <v>10703050</v>
      </c>
      <c r="D9" s="17">
        <f t="shared" si="0"/>
        <v>10703050</v>
      </c>
      <c r="E9" s="49">
        <f>VLOOKUP($A9,'Data shares'!$C:$FA,128)*100</f>
        <v>49.97</v>
      </c>
      <c r="F9" s="49">
        <f>VLOOKUP($A9,'Data shares'!$C:$FA,129)</f>
        <v>3068250</v>
      </c>
      <c r="G9" s="17"/>
    </row>
    <row r="10" spans="1:7" x14ac:dyDescent="0.25">
      <c r="A10" s="101" t="s">
        <v>243</v>
      </c>
      <c r="B10" s="17">
        <v>80699820</v>
      </c>
      <c r="C10" s="17">
        <v>65367500</v>
      </c>
      <c r="D10" s="17">
        <f t="shared" si="0"/>
        <v>65367500</v>
      </c>
      <c r="E10" s="49">
        <f>VLOOKUP($A10,'Data shares'!$C:$FA,128)*100</f>
        <v>62.57</v>
      </c>
      <c r="F10" s="49">
        <f>VLOOKUP($A10,'Data shares'!$C:$FA,129)</f>
        <v>4485000</v>
      </c>
      <c r="G10" s="17"/>
    </row>
    <row r="11" spans="1:7" x14ac:dyDescent="0.25">
      <c r="A11" s="101" t="s">
        <v>231</v>
      </c>
      <c r="B11" s="17">
        <v>80556813</v>
      </c>
      <c r="C11" s="17">
        <v>62967200</v>
      </c>
      <c r="D11" s="17">
        <f t="shared" si="0"/>
        <v>62967200</v>
      </c>
      <c r="E11" s="49">
        <f>VLOOKUP($A11,'Data shares'!$C:$FA,128)*100</f>
        <v>39.1</v>
      </c>
      <c r="F11" s="49">
        <f>VLOOKUP($A11,'Data shares'!$C:$FA,129)</f>
        <v>9085350</v>
      </c>
      <c r="G11" s="17"/>
    </row>
    <row r="12" spans="1:7" x14ac:dyDescent="0.25">
      <c r="A12" s="101" t="s">
        <v>195</v>
      </c>
      <c r="B12" s="17">
        <v>23823080</v>
      </c>
      <c r="C12" s="17">
        <v>2862400</v>
      </c>
      <c r="D12" s="17">
        <f t="shared" si="0"/>
        <v>2862400</v>
      </c>
      <c r="E12" s="49">
        <f>VLOOKUP($A12,'Data shares'!$C:$FA,128)*100</f>
        <v>65.72</v>
      </c>
      <c r="F12" s="49">
        <f>VLOOKUP($A12,'Data shares'!$C:$FA,129)</f>
        <v>822000</v>
      </c>
      <c r="G12" s="17"/>
    </row>
    <row r="13" spans="1:7" x14ac:dyDescent="0.25">
      <c r="A13" s="101" t="s">
        <v>304</v>
      </c>
      <c r="B13" s="17">
        <v>223492679</v>
      </c>
      <c r="C13" s="17">
        <v>98465300</v>
      </c>
      <c r="D13" s="17">
        <f t="shared" si="0"/>
        <v>98465300</v>
      </c>
      <c r="E13" s="49">
        <f>VLOOKUP($A13,'Data shares'!$C:$FA,128)*100</f>
        <v>56.34</v>
      </c>
      <c r="F13" s="49">
        <f>VLOOKUP($A13,'Data shares'!$C:$FA,129)</f>
        <v>31610050</v>
      </c>
      <c r="G13" s="17"/>
    </row>
    <row r="14" spans="1:7" x14ac:dyDescent="0.25">
      <c r="A14" s="101" t="s">
        <v>167</v>
      </c>
      <c r="B14" s="17">
        <v>282181803</v>
      </c>
      <c r="C14" s="17">
        <v>95526000</v>
      </c>
      <c r="D14" s="17">
        <f t="shared" si="0"/>
        <v>95526000</v>
      </c>
      <c r="E14" s="49">
        <f>VLOOKUP($A14,'Data shares'!$C:$FA,128)*100</f>
        <v>68.39</v>
      </c>
      <c r="F14" s="49">
        <f>VLOOKUP($A14,'Data shares'!$C:$FA,129)</f>
        <v>84145000</v>
      </c>
      <c r="G14" s="17"/>
    </row>
    <row r="15" spans="1:7" x14ac:dyDescent="0.25">
      <c r="A15" s="101" t="s">
        <v>222</v>
      </c>
      <c r="B15" s="17">
        <v>214194964</v>
      </c>
      <c r="C15" s="17">
        <v>37437400</v>
      </c>
      <c r="D15" s="17">
        <f t="shared" si="0"/>
        <v>37437400</v>
      </c>
      <c r="E15" s="49">
        <f>VLOOKUP($A15,'Data shares'!$C:$FA,128)*100</f>
        <v>62.33</v>
      </c>
      <c r="F15" s="49">
        <f>VLOOKUP($A15,'Data shares'!$C:$FA,129)</f>
        <v>5903100</v>
      </c>
      <c r="G15" s="17"/>
    </row>
    <row r="16" spans="1:7" x14ac:dyDescent="0.25">
      <c r="A16" s="101" t="s">
        <v>290</v>
      </c>
      <c r="B16" s="17">
        <v>31601465</v>
      </c>
      <c r="C16" s="17">
        <v>13192000</v>
      </c>
      <c r="D16" s="17">
        <f t="shared" si="0"/>
        <v>13192000</v>
      </c>
      <c r="E16" s="49">
        <f>VLOOKUP($A16,'Data shares'!$C:$FA,128)*100</f>
        <v>60.57</v>
      </c>
      <c r="F16" s="49">
        <f>VLOOKUP($A16,'Data shares'!$C:$FA,129)</f>
        <v>2101000</v>
      </c>
      <c r="G16" s="17"/>
    </row>
    <row r="17" spans="1:7" x14ac:dyDescent="0.25">
      <c r="A17" s="101" t="s">
        <v>500</v>
      </c>
      <c r="B17" s="17">
        <v>24930381</v>
      </c>
      <c r="C17" s="17">
        <v>1925625</v>
      </c>
      <c r="D17" s="17">
        <f t="shared" si="0"/>
        <v>1925625</v>
      </c>
      <c r="E17" s="49">
        <f>VLOOKUP($A17,'Data shares'!$C:$FA,128)*100</f>
        <v>53.900000000000006</v>
      </c>
      <c r="F17" s="49">
        <f>VLOOKUP($A17,'Data shares'!$C:$FA,129)</f>
        <v>11803750</v>
      </c>
      <c r="G17" s="17"/>
    </row>
    <row r="18" spans="1:7" x14ac:dyDescent="0.25">
      <c r="A18" s="101" t="s">
        <v>491</v>
      </c>
      <c r="B18" s="17">
        <v>53841317</v>
      </c>
      <c r="C18" s="17">
        <v>9268750</v>
      </c>
      <c r="D18" s="17">
        <f t="shared" si="0"/>
        <v>9268750</v>
      </c>
      <c r="E18" s="49">
        <f>VLOOKUP($A18,'Data shares'!$C:$FA,128)*100</f>
        <v>69.910000000000011</v>
      </c>
      <c r="F18" s="49">
        <f>VLOOKUP($A18,'Data shares'!$C:$FA,129)</f>
        <v>6577250</v>
      </c>
      <c r="G18" s="17"/>
    </row>
    <row r="19" spans="1:7" x14ac:dyDescent="0.25">
      <c r="A19" s="101" t="s">
        <v>257</v>
      </c>
      <c r="B19" s="17">
        <v>43771086</v>
      </c>
      <c r="C19" s="17">
        <v>2865850</v>
      </c>
      <c r="D19" s="17">
        <f t="shared" si="0"/>
        <v>2865850</v>
      </c>
      <c r="E19" s="49">
        <f>VLOOKUP($A19,'Data shares'!$C:$FA,128)*100</f>
        <v>66.97</v>
      </c>
      <c r="F19" s="49">
        <f>VLOOKUP($A19,'Data shares'!$C:$FA,129)</f>
        <v>2775600</v>
      </c>
      <c r="G19" s="17"/>
    </row>
    <row r="20" spans="1:7" x14ac:dyDescent="0.25">
      <c r="A20" s="101" t="s">
        <v>259</v>
      </c>
      <c r="B20" s="17">
        <v>12838406</v>
      </c>
      <c r="C20" s="17">
        <v>3561800</v>
      </c>
      <c r="D20" s="17">
        <f t="shared" si="0"/>
        <v>3561800</v>
      </c>
      <c r="E20" s="49">
        <f>VLOOKUP($A20,'Data shares'!$C:$FA,128)*100</f>
        <v>51.559999999999995</v>
      </c>
      <c r="F20" s="49">
        <f>VLOOKUP($A20,'Data shares'!$C:$FA,129)</f>
        <v>375960</v>
      </c>
      <c r="G20" s="17"/>
    </row>
    <row r="21" spans="1:7" x14ac:dyDescent="0.25">
      <c r="A21" s="101" t="s">
        <v>212</v>
      </c>
      <c r="B21" s="17">
        <v>393764205</v>
      </c>
      <c r="C21" s="17">
        <v>124730000</v>
      </c>
      <c r="D21" s="17">
        <f t="shared" si="0"/>
        <v>124730000</v>
      </c>
      <c r="E21" s="49">
        <f>VLOOKUP($A21,'Data shares'!$C:$FA,128)*100</f>
        <v>55.910000000000004</v>
      </c>
      <c r="F21" s="49">
        <f>VLOOKUP($A21,'Data shares'!$C:$FA,129)</f>
        <v>23435000</v>
      </c>
      <c r="G21" s="17"/>
    </row>
    <row r="22" spans="1:7" x14ac:dyDescent="0.25">
      <c r="A22" s="101" t="s">
        <v>209</v>
      </c>
      <c r="B22" s="17">
        <v>27768950</v>
      </c>
      <c r="C22" s="17">
        <v>5371100</v>
      </c>
      <c r="D22" s="17">
        <f t="shared" si="0"/>
        <v>5371100</v>
      </c>
      <c r="E22" s="49">
        <f>VLOOKUP($A22,'Data shares'!$C:$FA,128)*100</f>
        <v>52.969999999999992</v>
      </c>
      <c r="F22" s="49">
        <f>VLOOKUP($A22,'Data shares'!$C:$FA,129)</f>
        <v>781400</v>
      </c>
      <c r="G22" s="17"/>
    </row>
    <row r="23" spans="1:7" x14ac:dyDescent="0.25">
      <c r="A23" s="101" t="s">
        <v>501</v>
      </c>
      <c r="B23" s="17">
        <v>155792872</v>
      </c>
      <c r="C23" s="17">
        <v>50166406</v>
      </c>
      <c r="D23" s="17">
        <f t="shared" si="0"/>
        <v>50166406</v>
      </c>
      <c r="E23" s="49">
        <f>VLOOKUP($A23,'Data shares'!$C:$FA,128)*100</f>
        <v>51.49</v>
      </c>
      <c r="F23" s="49">
        <f>VLOOKUP($A23,'Data shares'!$C:$FA,129)</f>
        <v>6542000</v>
      </c>
      <c r="G23" s="17"/>
    </row>
    <row r="24" spans="1:7" x14ac:dyDescent="0.25">
      <c r="A24" s="101" t="s">
        <v>276</v>
      </c>
      <c r="B24" s="17">
        <v>678857930</v>
      </c>
      <c r="C24" s="17">
        <v>84677374</v>
      </c>
      <c r="D24" s="17">
        <f t="shared" si="0"/>
        <v>84677374</v>
      </c>
      <c r="E24" s="49">
        <f>VLOOKUP($A24,'Data shares'!$C:$FA,128)*100</f>
        <v>40.29</v>
      </c>
      <c r="F24" s="49">
        <f>VLOOKUP($A24,'Data shares'!$C:$FA,129)</f>
        <v>28140900</v>
      </c>
      <c r="G24" s="17"/>
    </row>
    <row r="25" spans="1:7" x14ac:dyDescent="0.25">
      <c r="A25" s="101" t="s">
        <v>210</v>
      </c>
      <c r="B25" s="17">
        <v>14114257</v>
      </c>
      <c r="C25" s="17">
        <v>11000000</v>
      </c>
      <c r="D25" s="17">
        <f t="shared" si="0"/>
        <v>11000000</v>
      </c>
      <c r="E25" s="49">
        <f>VLOOKUP($A25,'Data shares'!$C:$FA,128)*100</f>
        <v>52.969999999999992</v>
      </c>
      <c r="F25" s="49">
        <f>VLOOKUP($A25,'Data shares'!$C:$FA,129)</f>
        <v>781400</v>
      </c>
      <c r="G25" s="17"/>
    </row>
    <row r="26" spans="1:7" x14ac:dyDescent="0.25">
      <c r="A26" s="101" t="s">
        <v>267</v>
      </c>
      <c r="B26" s="17">
        <v>229794455</v>
      </c>
      <c r="C26" s="17">
        <v>133289800</v>
      </c>
      <c r="D26" s="17">
        <f t="shared" si="0"/>
        <v>133289800</v>
      </c>
      <c r="E26" s="49">
        <f>VLOOKUP($A26,'Data shares'!$C:$FA,128)*100</f>
        <v>41.92</v>
      </c>
      <c r="F26" s="49">
        <f>VLOOKUP($A26,'Data shares'!$C:$FA,129)</f>
        <v>91152000</v>
      </c>
      <c r="G26" s="17"/>
    </row>
    <row r="27" spans="1:7" x14ac:dyDescent="0.25">
      <c r="A27" s="101" t="s">
        <v>533</v>
      </c>
      <c r="B27" s="17">
        <v>61337685</v>
      </c>
      <c r="C27" s="17">
        <v>24741600</v>
      </c>
      <c r="D27" s="17">
        <f t="shared" si="0"/>
        <v>24741600</v>
      </c>
      <c r="E27" s="49">
        <f>VLOOKUP($A27,'Data shares'!$C:$FA,128)*100</f>
        <v>59.8</v>
      </c>
      <c r="F27" s="49">
        <f>VLOOKUP($A27,'Data shares'!$C:$FA,129)</f>
        <v>2776825</v>
      </c>
      <c r="G27" s="17"/>
    </row>
    <row r="28" spans="1:7" x14ac:dyDescent="0.25">
      <c r="A28" s="101" t="s">
        <v>502</v>
      </c>
      <c r="B28" s="17">
        <v>5165920</v>
      </c>
      <c r="C28" s="17">
        <v>1179400</v>
      </c>
      <c r="D28" s="17">
        <f t="shared" si="0"/>
        <v>1179400</v>
      </c>
      <c r="E28" s="49">
        <f>VLOOKUP($A28,'Data shares'!$C:$FA,128)*100</f>
        <v>65.95</v>
      </c>
      <c r="F28" s="49">
        <f>VLOOKUP($A28,'Data shares'!$C:$FA,129)</f>
        <v>4751875</v>
      </c>
      <c r="G28" s="17"/>
    </row>
    <row r="29" spans="1:7" x14ac:dyDescent="0.25">
      <c r="A29" s="101" t="s">
        <v>474</v>
      </c>
      <c r="B29" s="17">
        <v>7339737</v>
      </c>
      <c r="C29" s="17">
        <v>979625</v>
      </c>
      <c r="D29" s="17">
        <f t="shared" si="0"/>
        <v>979625</v>
      </c>
      <c r="E29" s="49">
        <f>VLOOKUP($A29,'Data shares'!$C:$FA,128)*100</f>
        <v>60.45</v>
      </c>
      <c r="F29" s="49">
        <f>VLOOKUP($A29,'Data shares'!$C:$FA,129)</f>
        <v>1722525</v>
      </c>
      <c r="G29" s="17"/>
    </row>
    <row r="30" spans="1:7" x14ac:dyDescent="0.25">
      <c r="A30" s="101" t="s">
        <v>158</v>
      </c>
      <c r="B30" s="17">
        <v>17078428</v>
      </c>
      <c r="C30" s="17">
        <v>3648750</v>
      </c>
      <c r="D30" s="17">
        <f t="shared" si="0"/>
        <v>3648750</v>
      </c>
      <c r="E30" s="49">
        <f>VLOOKUP($A30,'Data shares'!$C:$FA,128)*100</f>
        <v>66.67</v>
      </c>
      <c r="F30" s="49">
        <f>VLOOKUP($A30,'Data shares'!$C:$FA,129)</f>
        <v>21176100</v>
      </c>
      <c r="G30" s="17"/>
    </row>
    <row r="31" spans="1:7" x14ac:dyDescent="0.25">
      <c r="A31" s="101" t="s">
        <v>268</v>
      </c>
      <c r="B31" s="17">
        <v>948263976</v>
      </c>
      <c r="C31" s="17">
        <v>170042400</v>
      </c>
      <c r="D31" s="17">
        <f t="shared" si="0"/>
        <v>170042400</v>
      </c>
      <c r="E31" s="49">
        <f>VLOOKUP($A31,'Data shares'!$C:$FA,128)*100</f>
        <v>57.84</v>
      </c>
      <c r="F31" s="49">
        <f>VLOOKUP($A31,'Data shares'!$C:$FA,129)</f>
        <v>27072000</v>
      </c>
      <c r="G31" s="17"/>
    </row>
    <row r="32" spans="1:7" x14ac:dyDescent="0.25">
      <c r="A32" s="101" t="s">
        <v>557</v>
      </c>
      <c r="B32" s="17">
        <v>51441633</v>
      </c>
      <c r="C32" s="17">
        <v>26329600</v>
      </c>
      <c r="D32" s="17">
        <f t="shared" si="0"/>
        <v>26329600</v>
      </c>
      <c r="E32" s="49">
        <f>VLOOKUP($A32,'Data shares'!$C:$FA,128)*100</f>
        <v>58.58</v>
      </c>
      <c r="F32" s="49">
        <f>VLOOKUP($A32,'Data shares'!$C:$FA,129)</f>
        <v>3978900</v>
      </c>
      <c r="G32" s="17"/>
    </row>
    <row r="33" spans="1:7" x14ac:dyDescent="0.25">
      <c r="A33" s="101" t="s">
        <v>549</v>
      </c>
      <c r="B33" s="17">
        <v>319287188</v>
      </c>
      <c r="C33" s="17">
        <v>149780000</v>
      </c>
      <c r="D33" s="17">
        <f t="shared" si="0"/>
        <v>149780000</v>
      </c>
      <c r="E33" s="49">
        <f>VLOOKUP($A33,'Data shares'!$C:$FA,128)*100</f>
        <v>50.99</v>
      </c>
      <c r="F33" s="49">
        <f>VLOOKUP($A33,'Data shares'!$C:$FA,129)</f>
        <v>2779591275</v>
      </c>
      <c r="G33" s="17"/>
    </row>
    <row r="34" spans="1:7" x14ac:dyDescent="0.25">
      <c r="A34" s="101" t="s">
        <v>536</v>
      </c>
      <c r="B34" s="17">
        <v>57585215</v>
      </c>
      <c r="C34" s="17">
        <v>5314000</v>
      </c>
      <c r="D34" s="17">
        <f t="shared" si="0"/>
        <v>5314000</v>
      </c>
      <c r="E34" s="49">
        <f>VLOOKUP($A34,'Data shares'!$C:$FA,128)*100</f>
        <v>62.08</v>
      </c>
      <c r="F34" s="49">
        <f>VLOOKUP($A34,'Data shares'!$C:$FA,129)</f>
        <v>5651200</v>
      </c>
      <c r="G34" s="17"/>
    </row>
    <row r="35" spans="1:7" x14ac:dyDescent="0.25">
      <c r="A35" s="101" t="s">
        <v>270</v>
      </c>
      <c r="B35" s="17">
        <v>1178038</v>
      </c>
      <c r="C35" s="17">
        <v>100890</v>
      </c>
      <c r="D35" s="17">
        <f t="shared" si="0"/>
        <v>100890</v>
      </c>
      <c r="E35" s="49">
        <f>VLOOKUP($A35,'Data shares'!$C:$FA,128)*100</f>
        <v>72.39</v>
      </c>
      <c r="F35" s="49">
        <f>VLOOKUP($A35,'Data shares'!$C:$FA,129)</f>
        <v>117765</v>
      </c>
      <c r="G35" s="17"/>
    </row>
    <row r="36" spans="1:7" x14ac:dyDescent="0.25">
      <c r="A36" s="101" t="s">
        <v>258</v>
      </c>
      <c r="B36" s="17">
        <v>13335005</v>
      </c>
      <c r="C36" s="17">
        <v>5970600</v>
      </c>
      <c r="D36" s="17">
        <f t="shared" si="0"/>
        <v>5970600</v>
      </c>
      <c r="E36" s="49">
        <f>VLOOKUP($A36,'Data shares'!$C:$FA,128)*100</f>
        <v>66.97</v>
      </c>
      <c r="F36" s="49">
        <f>VLOOKUP($A36,'Data shares'!$C:$FA,129)</f>
        <v>2775600</v>
      </c>
      <c r="G36" s="17"/>
    </row>
    <row r="37" spans="1:7" x14ac:dyDescent="0.25">
      <c r="A37" s="101" t="s">
        <v>301</v>
      </c>
      <c r="B37" s="17">
        <v>14428803</v>
      </c>
      <c r="C37" s="17">
        <v>2171400</v>
      </c>
      <c r="D37" s="17">
        <f t="shared" si="0"/>
        <v>2171400</v>
      </c>
      <c r="E37" s="49">
        <f>VLOOKUP($A37,'Data shares'!$C:$FA,128)*100</f>
        <v>59.930000000000007</v>
      </c>
      <c r="F37" s="49">
        <f>VLOOKUP($A37,'Data shares'!$C:$FA,129)</f>
        <v>2537850</v>
      </c>
      <c r="G37" s="17"/>
    </row>
    <row r="38" spans="1:7" x14ac:dyDescent="0.25">
      <c r="A38" s="101" t="s">
        <v>283</v>
      </c>
      <c r="B38" s="17">
        <v>747713393</v>
      </c>
      <c r="C38" s="17">
        <v>158166000</v>
      </c>
      <c r="D38" s="17">
        <f t="shared" si="0"/>
        <v>158166000</v>
      </c>
      <c r="E38" s="49">
        <f>VLOOKUP($A38,'Data shares'!$C:$FA,128)*100</f>
        <v>61</v>
      </c>
      <c r="F38" s="49">
        <f>VLOOKUP($A38,'Data shares'!$C:$FA,129)</f>
        <v>26124000</v>
      </c>
      <c r="G38" s="17"/>
    </row>
    <row r="39" spans="1:7" x14ac:dyDescent="0.25">
      <c r="A39" s="101" t="s">
        <v>281</v>
      </c>
      <c r="B39" s="17">
        <v>648405756</v>
      </c>
      <c r="C39" s="17">
        <v>61815500</v>
      </c>
      <c r="D39" s="17">
        <f t="shared" si="0"/>
        <v>61815500</v>
      </c>
      <c r="E39" s="49">
        <f>VLOOKUP($A39,'Data shares'!$C:$FA,128)*100</f>
        <v>55.620000000000005</v>
      </c>
      <c r="F39" s="49">
        <f>VLOOKUP($A39,'Data shares'!$C:$FA,129)</f>
        <v>41010000</v>
      </c>
      <c r="G39" s="17"/>
    </row>
    <row r="40" spans="1:7" x14ac:dyDescent="0.25">
      <c r="A40" s="101" t="s">
        <v>198</v>
      </c>
      <c r="B40" s="17">
        <v>79546680</v>
      </c>
      <c r="C40" s="17">
        <v>13283750</v>
      </c>
      <c r="D40" s="17">
        <f t="shared" si="0"/>
        <v>13283750</v>
      </c>
      <c r="E40" s="49">
        <f>VLOOKUP($A40,'Data shares'!$C:$FA,128)*100</f>
        <v>59.430000000000007</v>
      </c>
      <c r="F40" s="49">
        <f>VLOOKUP($A40,'Data shares'!$C:$FA,129)</f>
        <v>3944375</v>
      </c>
      <c r="G40" s="17"/>
    </row>
    <row r="41" spans="1:7" x14ac:dyDescent="0.25">
      <c r="A41" s="101" t="s">
        <v>299</v>
      </c>
      <c r="B41" s="17">
        <v>44634693</v>
      </c>
      <c r="C41" s="17">
        <v>3805500</v>
      </c>
      <c r="D41" s="17">
        <f t="shared" si="0"/>
        <v>3805500</v>
      </c>
      <c r="E41" s="49">
        <f>VLOOKUP($A41,'Data shares'!$C:$FA,128)*100</f>
        <v>62.870000000000005</v>
      </c>
      <c r="F41" s="49">
        <f>VLOOKUP($A41,'Data shares'!$C:$FA,129)</f>
        <v>1009800</v>
      </c>
      <c r="G41" s="17"/>
    </row>
    <row r="42" spans="1:7" x14ac:dyDescent="0.25">
      <c r="A42" s="101" t="s">
        <v>273</v>
      </c>
      <c r="B42" s="17">
        <v>232357926</v>
      </c>
      <c r="C42" s="17">
        <v>67053000</v>
      </c>
      <c r="D42" s="17">
        <f t="shared" si="0"/>
        <v>67053000</v>
      </c>
      <c r="E42" s="49">
        <f>VLOOKUP($A42,'Data shares'!$C:$FA,128)*100</f>
        <v>47.25</v>
      </c>
      <c r="F42" s="49">
        <f>VLOOKUP($A42,'Data shares'!$C:$FA,129)</f>
        <v>24255400</v>
      </c>
      <c r="G42" s="17"/>
    </row>
    <row r="43" spans="1:7" x14ac:dyDescent="0.25">
      <c r="A43" s="101" t="s">
        <v>207</v>
      </c>
      <c r="B43" s="17">
        <v>124016568</v>
      </c>
      <c r="C43" s="17">
        <v>57530550</v>
      </c>
      <c r="D43" s="17">
        <f t="shared" si="0"/>
        <v>57530550</v>
      </c>
      <c r="E43" s="49">
        <f>VLOOKUP($A43,'Data shares'!$C:$FA,128)*100</f>
        <v>55.42</v>
      </c>
      <c r="F43" s="49">
        <f>VLOOKUP($A43,'Data shares'!$C:$FA,129)</f>
        <v>21737100</v>
      </c>
      <c r="G43" s="17"/>
    </row>
    <row r="44" spans="1:7" x14ac:dyDescent="0.25">
      <c r="A44" s="101" t="s">
        <v>191</v>
      </c>
      <c r="B44" s="17">
        <v>92946457</v>
      </c>
      <c r="C44" s="17">
        <v>36478000</v>
      </c>
      <c r="D44" s="17">
        <f t="shared" si="0"/>
        <v>36478000</v>
      </c>
      <c r="E44" s="49">
        <f>VLOOKUP($A44,'Data shares'!$C:$FA,128)*100</f>
        <v>34.589999999999996</v>
      </c>
      <c r="F44" s="49">
        <f>VLOOKUP($A44,'Data shares'!$C:$FA,129)</f>
        <v>11292500</v>
      </c>
      <c r="G44" s="17"/>
    </row>
    <row r="45" spans="1:7" x14ac:dyDescent="0.25">
      <c r="A45" s="101" t="s">
        <v>288</v>
      </c>
      <c r="B45" s="17">
        <v>218440087</v>
      </c>
      <c r="C45" s="17">
        <v>44080400</v>
      </c>
      <c r="D45" s="17">
        <f t="shared" si="0"/>
        <v>44080400</v>
      </c>
      <c r="E45" s="49">
        <f>VLOOKUP($A45,'Data shares'!$C:$FA,128)*100</f>
        <v>51.739999999999995</v>
      </c>
      <c r="F45" s="49">
        <f>VLOOKUP($A45,'Data shares'!$C:$FA,129)</f>
        <v>5165300</v>
      </c>
      <c r="G45" s="17"/>
    </row>
    <row r="46" spans="1:7" x14ac:dyDescent="0.25">
      <c r="A46" s="101" t="s">
        <v>275</v>
      </c>
      <c r="B46" s="17">
        <v>591377974</v>
      </c>
      <c r="C46" s="17">
        <v>493488000</v>
      </c>
      <c r="D46" s="17">
        <f t="shared" si="0"/>
        <v>493488000</v>
      </c>
      <c r="E46" s="49">
        <f>VLOOKUP($A46,'Data shares'!$C:$FA,128)*100</f>
        <v>55.04</v>
      </c>
      <c r="F46" s="49">
        <f>VLOOKUP($A46,'Data shares'!$C:$FA,129)</f>
        <v>83840000</v>
      </c>
      <c r="G46" s="17"/>
    </row>
    <row r="47" spans="1:7" x14ac:dyDescent="0.25">
      <c r="A47" s="101" t="s">
        <v>277</v>
      </c>
      <c r="B47" s="17">
        <v>10116165</v>
      </c>
      <c r="C47" s="17">
        <v>7378910</v>
      </c>
      <c r="D47" s="17">
        <f t="shared" si="0"/>
        <v>7378910</v>
      </c>
      <c r="E47" s="49">
        <f>VLOOKUP($A47,'Data shares'!$C:$FA,128)*100</f>
        <v>48.92</v>
      </c>
      <c r="F47" s="49">
        <f>VLOOKUP($A47,'Data shares'!$C:$FA,129)</f>
        <v>1047600</v>
      </c>
      <c r="G47" s="17"/>
    </row>
    <row r="48" spans="1:7" x14ac:dyDescent="0.25">
      <c r="A48" s="101" t="s">
        <v>196</v>
      </c>
      <c r="B48" s="17">
        <v>134484114</v>
      </c>
      <c r="C48" s="17">
        <v>73278000</v>
      </c>
      <c r="D48" s="17">
        <f t="shared" si="0"/>
        <v>73278000</v>
      </c>
      <c r="E48" s="49">
        <f>VLOOKUP($A48,'Data shares'!$C:$FA,128)*100</f>
        <v>63.749999999999993</v>
      </c>
      <c r="F48" s="49">
        <f>VLOOKUP($A48,'Data shares'!$C:$FA,129)</f>
        <v>74121750</v>
      </c>
      <c r="G48" s="17"/>
    </row>
    <row r="49" spans="1:7" x14ac:dyDescent="0.25">
      <c r="A49" s="101" t="s">
        <v>287</v>
      </c>
      <c r="B49" s="17">
        <v>40005132</v>
      </c>
      <c r="C49" s="17">
        <v>6264400</v>
      </c>
      <c r="D49" s="17">
        <f t="shared" si="0"/>
        <v>6264400</v>
      </c>
      <c r="E49" s="49">
        <f>VLOOKUP($A49,'Data shares'!$C:$FA,128)*100</f>
        <v>46.75</v>
      </c>
      <c r="F49" s="49">
        <f>VLOOKUP($A49,'Data shares'!$C:$FA,129)</f>
        <v>1097200</v>
      </c>
      <c r="G49" s="17"/>
    </row>
    <row r="50" spans="1:7" x14ac:dyDescent="0.25">
      <c r="A50" s="101" t="s">
        <v>553</v>
      </c>
      <c r="B50" s="17">
        <v>10595418</v>
      </c>
      <c r="C50" s="17">
        <v>250250</v>
      </c>
      <c r="D50" s="17">
        <f t="shared" si="0"/>
        <v>250250</v>
      </c>
      <c r="E50" s="49">
        <f>VLOOKUP($A50,'Data shares'!$C:$FA,128)*100</f>
        <v>60.97</v>
      </c>
      <c r="F50" s="49">
        <f>VLOOKUP($A50,'Data shares'!$C:$FA,129)</f>
        <v>1002000</v>
      </c>
      <c r="G50" s="17"/>
    </row>
    <row r="51" spans="1:7" x14ac:dyDescent="0.25">
      <c r="A51" s="101" t="s">
        <v>519</v>
      </c>
      <c r="B51" s="17">
        <v>9516271</v>
      </c>
      <c r="C51" s="17">
        <v>1000800</v>
      </c>
      <c r="D51" s="17">
        <f t="shared" si="0"/>
        <v>1000800</v>
      </c>
      <c r="E51" s="49">
        <f>VLOOKUP($A51,'Data shares'!$C:$FA,128)*100</f>
        <v>56.58</v>
      </c>
      <c r="F51" s="49">
        <f>VLOOKUP($A51,'Data shares'!$C:$FA,129)</f>
        <v>1065000</v>
      </c>
      <c r="G51" s="17"/>
    </row>
    <row r="52" spans="1:7" x14ac:dyDescent="0.25">
      <c r="A52" s="101" t="s">
        <v>550</v>
      </c>
      <c r="B52" s="17">
        <v>137684181</v>
      </c>
      <c r="C52" s="17">
        <v>42696000</v>
      </c>
      <c r="D52" s="17">
        <f t="shared" si="0"/>
        <v>42696000</v>
      </c>
      <c r="E52" s="49">
        <f>VLOOKUP($A52,'Data shares'!$C:$FA,128)*100</f>
        <v>40.03</v>
      </c>
      <c r="F52" s="49">
        <f>VLOOKUP($A52,'Data shares'!$C:$FA,129)</f>
        <v>24648000</v>
      </c>
      <c r="G52" s="17"/>
    </row>
    <row r="53" spans="1:7" x14ac:dyDescent="0.25">
      <c r="A53" s="101" t="s">
        <v>284</v>
      </c>
      <c r="B53" s="17">
        <v>2702190</v>
      </c>
      <c r="C53" s="17">
        <v>250575</v>
      </c>
      <c r="D53" s="17">
        <f t="shared" si="0"/>
        <v>250575</v>
      </c>
      <c r="E53" s="49">
        <f>VLOOKUP($A53,'Data shares'!$C:$FA,128)*100</f>
        <v>59.78</v>
      </c>
      <c r="F53" s="49">
        <f>VLOOKUP($A53,'Data shares'!$C:$FA,129)</f>
        <v>67650</v>
      </c>
      <c r="G53" s="17"/>
    </row>
    <row r="54" spans="1:7" x14ac:dyDescent="0.25">
      <c r="A54" s="101" t="s">
        <v>488</v>
      </c>
      <c r="B54" s="17">
        <v>5499709</v>
      </c>
      <c r="C54" s="17">
        <v>1097600</v>
      </c>
      <c r="D54" s="17">
        <f t="shared" si="0"/>
        <v>1097600</v>
      </c>
      <c r="E54" s="49">
        <f>VLOOKUP($A54,'Data shares'!$C:$FA,128)*100</f>
        <v>53.290000000000006</v>
      </c>
      <c r="F54" s="49">
        <f>VLOOKUP($A54,'Data shares'!$C:$FA,129)</f>
        <v>832950</v>
      </c>
      <c r="G54" s="17"/>
    </row>
    <row r="55" spans="1:7" x14ac:dyDescent="0.25">
      <c r="A55" s="101" t="s">
        <v>523</v>
      </c>
      <c r="B55" s="17">
        <v>118085392</v>
      </c>
      <c r="C55" s="17">
        <v>6549400</v>
      </c>
      <c r="D55" s="17">
        <f t="shared" si="0"/>
        <v>6549400</v>
      </c>
      <c r="E55" s="49">
        <f>VLOOKUP($A55,'Data shares'!$C:$FA,128)*100</f>
        <v>51.99</v>
      </c>
      <c r="F55" s="49">
        <f>VLOOKUP($A55,'Data shares'!$C:$FA,129)</f>
        <v>14682600</v>
      </c>
      <c r="G55" s="17"/>
    </row>
    <row r="56" spans="1:7" x14ac:dyDescent="0.25">
      <c r="A56" s="101" t="s">
        <v>485</v>
      </c>
      <c r="B56" s="17">
        <v>6917069</v>
      </c>
      <c r="C56" s="17">
        <v>762075</v>
      </c>
      <c r="D56" s="17">
        <f t="shared" si="0"/>
        <v>762075</v>
      </c>
      <c r="E56" s="49">
        <f>VLOOKUP($A56,'Data shares'!$C:$FA,128)*100</f>
        <v>73.56</v>
      </c>
      <c r="F56" s="49">
        <f>VLOOKUP($A56,'Data shares'!$C:$FA,129)</f>
        <v>3771375</v>
      </c>
      <c r="G56" s="17"/>
    </row>
    <row r="57" spans="1:7" x14ac:dyDescent="0.25">
      <c r="A57" s="101" t="s">
        <v>178</v>
      </c>
      <c r="B57" s="17">
        <v>16125398</v>
      </c>
      <c r="C57" s="17">
        <v>1552600</v>
      </c>
      <c r="D57" s="17">
        <f t="shared" si="0"/>
        <v>1552600</v>
      </c>
      <c r="E57" s="49">
        <f>VLOOKUP($A57,'Data shares'!$C:$FA,128)*100</f>
        <v>67.69</v>
      </c>
      <c r="F57" s="49">
        <f>VLOOKUP($A57,'Data shares'!$C:$FA,129)</f>
        <v>35636250</v>
      </c>
      <c r="G57" s="17"/>
    </row>
    <row r="58" spans="1:7" x14ac:dyDescent="0.25">
      <c r="A58" s="101" t="s">
        <v>240</v>
      </c>
      <c r="B58" s="17">
        <v>727896180</v>
      </c>
      <c r="C58" s="17">
        <v>46526100</v>
      </c>
      <c r="D58" s="17">
        <f t="shared" si="0"/>
        <v>46526100</v>
      </c>
      <c r="E58" s="49">
        <f>VLOOKUP($A58,'Data shares'!$C:$FA,128)*100</f>
        <v>64.349999999999994</v>
      </c>
      <c r="F58" s="49">
        <f>VLOOKUP($A58,'Data shares'!$C:$FA,129)</f>
        <v>27000400</v>
      </c>
      <c r="G58" s="17"/>
    </row>
    <row r="59" spans="1:7" x14ac:dyDescent="0.25">
      <c r="A59" s="101" t="s">
        <v>202</v>
      </c>
      <c r="B59" s="17">
        <v>55081874</v>
      </c>
      <c r="C59" s="17">
        <v>10856000</v>
      </c>
      <c r="D59" s="17">
        <f t="shared" si="0"/>
        <v>10856000</v>
      </c>
      <c r="E59" s="49">
        <f>VLOOKUP($A59,'Data shares'!$C:$FA,128)*100</f>
        <v>53.900000000000006</v>
      </c>
      <c r="F59" s="49">
        <f>VLOOKUP($A59,'Data shares'!$C:$FA,129)</f>
        <v>11803750</v>
      </c>
      <c r="G59" s="17"/>
    </row>
    <row r="60" spans="1:7" x14ac:dyDescent="0.25">
      <c r="A60" s="101" t="s">
        <v>245</v>
      </c>
      <c r="B60" s="17">
        <v>15273675</v>
      </c>
      <c r="C60" s="17">
        <v>5077125</v>
      </c>
      <c r="D60" s="17">
        <f t="shared" si="0"/>
        <v>5077125</v>
      </c>
      <c r="E60" s="49">
        <f>VLOOKUP($A60,'Data shares'!$C:$FA,128)*100</f>
        <v>64.66</v>
      </c>
      <c r="F60" s="49">
        <f>VLOOKUP($A60,'Data shares'!$C:$FA,129)</f>
        <v>9146250</v>
      </c>
      <c r="G60" s="17"/>
    </row>
    <row r="61" spans="1:7" x14ac:dyDescent="0.25">
      <c r="A61" s="101" t="s">
        <v>173</v>
      </c>
      <c r="B61" s="17">
        <v>541823383</v>
      </c>
      <c r="C61" s="17">
        <v>95378400</v>
      </c>
      <c r="D61" s="17">
        <f t="shared" si="0"/>
        <v>95378400</v>
      </c>
      <c r="E61" s="49">
        <f>VLOOKUP($A61,'Data shares'!$C:$FA,128)*100</f>
        <v>61.17</v>
      </c>
      <c r="F61" s="49">
        <f>VLOOKUP($A61,'Data shares'!$C:$FA,129)</f>
        <v>28920625</v>
      </c>
      <c r="G61" s="17"/>
    </row>
    <row r="62" spans="1:7" x14ac:dyDescent="0.25">
      <c r="A62" s="101" t="s">
        <v>234</v>
      </c>
      <c r="B62" s="17">
        <v>1606294231</v>
      </c>
      <c r="C62" s="17">
        <v>1302000000</v>
      </c>
      <c r="D62" s="17">
        <f t="shared" si="0"/>
        <v>1302000000</v>
      </c>
      <c r="E62" s="49">
        <f>VLOOKUP($A62,'Data shares'!$C:$FA,128)*100</f>
        <v>50.99</v>
      </c>
      <c r="F62" s="49">
        <f>VLOOKUP($A62,'Data shares'!$C:$FA,129)</f>
        <v>2779591275</v>
      </c>
      <c r="G62" s="17"/>
    </row>
    <row r="63" spans="1:7" x14ac:dyDescent="0.25">
      <c r="A63" s="101" t="s">
        <v>235</v>
      </c>
      <c r="B63" s="17">
        <v>789260827</v>
      </c>
      <c r="C63" s="17">
        <v>462303900</v>
      </c>
      <c r="D63" s="17">
        <f t="shared" si="0"/>
        <v>462303900</v>
      </c>
      <c r="E63" s="49">
        <f>VLOOKUP($A63,'Data shares'!$C:$FA,128)*100</f>
        <v>68.19</v>
      </c>
      <c r="F63" s="49">
        <f>VLOOKUP($A63,'Data shares'!$C:$FA,129)</f>
        <v>147259175</v>
      </c>
      <c r="G63" s="17"/>
    </row>
    <row r="64" spans="1:7" x14ac:dyDescent="0.25">
      <c r="A64" s="101" t="s">
        <v>482</v>
      </c>
      <c r="B64" s="17">
        <v>44785930</v>
      </c>
      <c r="C64" s="17">
        <v>4025925</v>
      </c>
      <c r="D64" s="17">
        <f t="shared" si="0"/>
        <v>4025925</v>
      </c>
      <c r="E64" s="49">
        <f>VLOOKUP($A64,'Data shares'!$C:$FA,128)*100</f>
        <v>52.949999999999996</v>
      </c>
      <c r="F64" s="49">
        <f>VLOOKUP($A64,'Data shares'!$C:$FA,129)</f>
        <v>2631700</v>
      </c>
      <c r="G64" s="17"/>
    </row>
    <row r="65" spans="1:7" x14ac:dyDescent="0.25">
      <c r="A65" s="101" t="s">
        <v>475</v>
      </c>
      <c r="B65" s="17">
        <v>13287700</v>
      </c>
      <c r="C65" s="17">
        <v>3968400</v>
      </c>
      <c r="D65" s="17">
        <f t="shared" si="0"/>
        <v>3968400</v>
      </c>
      <c r="E65" s="49">
        <f>VLOOKUP($A65,'Data shares'!$C:$FA,128)*100</f>
        <v>55.500000000000007</v>
      </c>
      <c r="F65" s="49">
        <f>VLOOKUP($A65,'Data shares'!$C:$FA,129)</f>
        <v>2019900</v>
      </c>
      <c r="G65" s="17"/>
    </row>
    <row r="66" spans="1:7" x14ac:dyDescent="0.25">
      <c r="A66" s="101" t="s">
        <v>306</v>
      </c>
      <c r="B66" s="17">
        <v>292716179</v>
      </c>
      <c r="C66" s="17">
        <v>57797600</v>
      </c>
      <c r="D66" s="17">
        <f t="shared" si="0"/>
        <v>57797600</v>
      </c>
      <c r="E66" s="49">
        <f>VLOOKUP($A66,'Data shares'!$C:$FA,128)*100</f>
        <v>65.02</v>
      </c>
      <c r="F66" s="49">
        <f>VLOOKUP($A66,'Data shares'!$C:$FA,129)</f>
        <v>79818000</v>
      </c>
      <c r="G66" s="17"/>
    </row>
    <row r="67" spans="1:7" x14ac:dyDescent="0.25">
      <c r="A67" s="101" t="s">
        <v>262</v>
      </c>
      <c r="B67" s="17">
        <v>21376133</v>
      </c>
      <c r="C67" s="17">
        <v>5958375</v>
      </c>
      <c r="D67" s="17">
        <f t="shared" si="0"/>
        <v>5958375</v>
      </c>
      <c r="E67" s="49">
        <f>VLOOKUP($A67,'Data shares'!$C:$FA,128)*100</f>
        <v>67.210000000000008</v>
      </c>
      <c r="F67" s="49">
        <f>VLOOKUP($A67,'Data shares'!$C:$FA,129)</f>
        <v>1231450</v>
      </c>
      <c r="G67" s="17"/>
    </row>
    <row r="68" spans="1:7" x14ac:dyDescent="0.25">
      <c r="A68" s="101" t="s">
        <v>174</v>
      </c>
      <c r="B68" s="17">
        <v>26775498</v>
      </c>
      <c r="C68" s="17">
        <v>3494750</v>
      </c>
      <c r="D68" s="17">
        <f t="shared" si="0"/>
        <v>3494750</v>
      </c>
      <c r="E68" s="49">
        <f>VLOOKUP($A68,'Data shares'!$C:$FA,128)*100</f>
        <v>72.23</v>
      </c>
      <c r="F68" s="49">
        <f>VLOOKUP($A68,'Data shares'!$C:$FA,129)</f>
        <v>1663800</v>
      </c>
      <c r="G68" s="17"/>
    </row>
    <row r="69" spans="1:7" x14ac:dyDescent="0.25">
      <c r="A69" s="101" t="s">
        <v>286</v>
      </c>
      <c r="B69" s="17">
        <v>29168705</v>
      </c>
      <c r="C69" s="17">
        <v>6373125</v>
      </c>
      <c r="D69" s="17">
        <f t="shared" si="0"/>
        <v>6373125</v>
      </c>
      <c r="E69" s="49">
        <f>VLOOKUP($A69,'Data shares'!$C:$FA,128)*100</f>
        <v>46.75</v>
      </c>
      <c r="F69" s="49">
        <f>VLOOKUP($A69,'Data shares'!$C:$FA,129)</f>
        <v>1097200</v>
      </c>
      <c r="G69" s="17"/>
    </row>
    <row r="70" spans="1:7" x14ac:dyDescent="0.25">
      <c r="A70" s="101" t="s">
        <v>297</v>
      </c>
      <c r="B70" s="17">
        <v>83636848</v>
      </c>
      <c r="C70" s="17">
        <v>13455750</v>
      </c>
      <c r="D70" s="17">
        <f t="shared" si="0"/>
        <v>13455750</v>
      </c>
      <c r="E70" s="49">
        <f>VLOOKUP($A70,'Data shares'!$C:$FA,128)*100</f>
        <v>58.01</v>
      </c>
      <c r="F70" s="49">
        <f>VLOOKUP($A70,'Data shares'!$C:$FA,129)</f>
        <v>2843925</v>
      </c>
      <c r="G70" s="17"/>
    </row>
    <row r="71" spans="1:7" x14ac:dyDescent="0.25">
      <c r="A71" s="101" t="s">
        <v>302</v>
      </c>
      <c r="B71" s="17">
        <v>23058222</v>
      </c>
      <c r="C71" s="17">
        <v>3980500</v>
      </c>
      <c r="D71" s="17">
        <f t="shared" ref="D71:D134" si="1">C71</f>
        <v>3980500</v>
      </c>
      <c r="E71" s="49">
        <f>VLOOKUP($A71,'Data shares'!$C:$FA,128)*100</f>
        <v>64.3</v>
      </c>
      <c r="F71" s="49">
        <f>VLOOKUP($A71,'Data shares'!$C:$FA,129)</f>
        <v>910750</v>
      </c>
      <c r="G71" s="17"/>
    </row>
    <row r="72" spans="1:7" x14ac:dyDescent="0.25">
      <c r="A72" s="101" t="s">
        <v>307</v>
      </c>
      <c r="B72" s="17">
        <v>184439886</v>
      </c>
      <c r="C72" s="17">
        <v>122460000</v>
      </c>
      <c r="D72" s="17">
        <f t="shared" si="1"/>
        <v>122460000</v>
      </c>
      <c r="E72" s="49">
        <f>VLOOKUP($A72,'Data shares'!$C:$FA,128)*100</f>
        <v>53.73</v>
      </c>
      <c r="F72" s="49">
        <f>VLOOKUP($A72,'Data shares'!$C:$FA,129)</f>
        <v>404642100</v>
      </c>
      <c r="G72" s="17"/>
    </row>
    <row r="73" spans="1:7" x14ac:dyDescent="0.25">
      <c r="A73" s="101" t="s">
        <v>177</v>
      </c>
      <c r="B73" s="17">
        <v>52956314</v>
      </c>
      <c r="C73" s="17">
        <v>7784625</v>
      </c>
      <c r="D73" s="17">
        <f t="shared" si="1"/>
        <v>7784625</v>
      </c>
      <c r="E73" s="49">
        <f>VLOOKUP($A73,'Data shares'!$C:$FA,128)*100</f>
        <v>67.69</v>
      </c>
      <c r="F73" s="49">
        <f>VLOOKUP($A73,'Data shares'!$C:$FA,129)</f>
        <v>35636250</v>
      </c>
      <c r="G73" s="17"/>
    </row>
    <row r="74" spans="1:7" x14ac:dyDescent="0.25">
      <c r="A74" s="101" t="s">
        <v>545</v>
      </c>
      <c r="B74" s="17">
        <v>23498849</v>
      </c>
      <c r="C74" s="17">
        <v>15745600</v>
      </c>
      <c r="D74" s="17">
        <f t="shared" si="1"/>
        <v>15745600</v>
      </c>
      <c r="E74" s="49">
        <f>VLOOKUP($A74,'Data shares'!$C:$FA,128)*100</f>
        <v>67.69</v>
      </c>
      <c r="F74" s="49">
        <f>VLOOKUP($A74,'Data shares'!$C:$FA,129)</f>
        <v>35636250</v>
      </c>
      <c r="G74" s="17"/>
    </row>
    <row r="75" spans="1:7" x14ac:dyDescent="0.25">
      <c r="A75" s="101" t="s">
        <v>185</v>
      </c>
      <c r="B75" s="17">
        <v>238123793</v>
      </c>
      <c r="C75" s="17">
        <v>59926000</v>
      </c>
      <c r="D75" s="17">
        <f t="shared" si="1"/>
        <v>59926000</v>
      </c>
      <c r="E75" s="49">
        <f>VLOOKUP($A75,'Data shares'!$C:$FA,128)*100</f>
        <v>52.300000000000004</v>
      </c>
      <c r="F75" s="49">
        <f>VLOOKUP($A75,'Data shares'!$C:$FA,129)</f>
        <v>36599700</v>
      </c>
      <c r="G75" s="17"/>
    </row>
    <row r="76" spans="1:7" x14ac:dyDescent="0.25">
      <c r="A76" s="101" t="s">
        <v>219</v>
      </c>
      <c r="B76" s="17">
        <v>75317259</v>
      </c>
      <c r="C76" s="17">
        <v>12188500</v>
      </c>
      <c r="D76" s="17">
        <f t="shared" si="1"/>
        <v>12188500</v>
      </c>
      <c r="E76" s="49">
        <f>VLOOKUP($A76,'Data shares'!$C:$FA,128)*100</f>
        <v>69.910000000000011</v>
      </c>
      <c r="F76" s="49">
        <f>VLOOKUP($A76,'Data shares'!$C:$FA,129)</f>
        <v>6577250</v>
      </c>
      <c r="G76" s="17"/>
    </row>
    <row r="77" spans="1:7" x14ac:dyDescent="0.25">
      <c r="A77" s="101" t="s">
        <v>534</v>
      </c>
      <c r="B77" s="17">
        <v>70381221</v>
      </c>
      <c r="C77" s="17">
        <v>3354100</v>
      </c>
      <c r="D77" s="17">
        <f t="shared" si="1"/>
        <v>3354100</v>
      </c>
      <c r="E77" s="49">
        <f>VLOOKUP($A77,'Data shares'!$C:$FA,128)*100</f>
        <v>69.910000000000011</v>
      </c>
      <c r="F77" s="49">
        <f>VLOOKUP($A77,'Data shares'!$C:$FA,129)</f>
        <v>6577250</v>
      </c>
      <c r="G77" s="17"/>
    </row>
    <row r="78" spans="1:7" x14ac:dyDescent="0.25">
      <c r="A78" s="101" t="s">
        <v>516</v>
      </c>
      <c r="B78" s="17">
        <v>27254349</v>
      </c>
      <c r="C78" s="17">
        <v>1133550</v>
      </c>
      <c r="D78" s="17">
        <f t="shared" si="1"/>
        <v>1133550</v>
      </c>
      <c r="E78" s="49">
        <f>VLOOKUP($A78,'Data shares'!$C:$FA,128)*100</f>
        <v>52.09</v>
      </c>
      <c r="F78" s="49">
        <f>VLOOKUP($A78,'Data shares'!$C:$FA,129)</f>
        <v>25876500</v>
      </c>
      <c r="G78" s="17"/>
    </row>
    <row r="79" spans="1:7" x14ac:dyDescent="0.25">
      <c r="A79" s="101" t="s">
        <v>271</v>
      </c>
      <c r="B79" s="17">
        <v>26746179</v>
      </c>
      <c r="C79" s="17">
        <v>5445825</v>
      </c>
      <c r="D79" s="17">
        <f t="shared" si="1"/>
        <v>5445825</v>
      </c>
      <c r="E79" s="49">
        <f>VLOOKUP($A79,'Data shares'!$C:$FA,128)*100</f>
        <v>46.94</v>
      </c>
      <c r="F79" s="49">
        <f>VLOOKUP($A79,'Data shares'!$C:$FA,129)</f>
        <v>3715625</v>
      </c>
      <c r="G79" s="17"/>
    </row>
    <row r="80" spans="1:7" x14ac:dyDescent="0.25">
      <c r="A80" s="101" t="s">
        <v>264</v>
      </c>
      <c r="B80" s="17">
        <v>15844192</v>
      </c>
      <c r="C80" s="17">
        <v>2354125</v>
      </c>
      <c r="D80" s="17">
        <f t="shared" si="1"/>
        <v>2354125</v>
      </c>
      <c r="E80" s="49">
        <f>VLOOKUP($A80,'Data shares'!$C:$FA,128)*100</f>
        <v>73.56</v>
      </c>
      <c r="F80" s="49">
        <f>VLOOKUP($A80,'Data shares'!$C:$FA,129)</f>
        <v>3771375</v>
      </c>
      <c r="G80" s="17"/>
    </row>
    <row r="81" spans="1:7" x14ac:dyDescent="0.25">
      <c r="A81" s="101" t="s">
        <v>208</v>
      </c>
      <c r="B81" s="17">
        <v>24296838</v>
      </c>
      <c r="C81" s="17">
        <v>5125750</v>
      </c>
      <c r="D81" s="17">
        <f t="shared" si="1"/>
        <v>5125750</v>
      </c>
      <c r="E81" s="49">
        <f>VLOOKUP($A81,'Data shares'!$C:$FA,128)*100</f>
        <v>49.96</v>
      </c>
      <c r="F81" s="49">
        <f>VLOOKUP($A81,'Data shares'!$C:$FA,129)</f>
        <v>3166875</v>
      </c>
      <c r="G81" s="17"/>
    </row>
    <row r="82" spans="1:7" x14ac:dyDescent="0.25">
      <c r="A82" s="101" t="s">
        <v>552</v>
      </c>
      <c r="B82" s="17">
        <v>23447901</v>
      </c>
      <c r="C82" s="17">
        <v>3785600</v>
      </c>
      <c r="D82" s="17">
        <f t="shared" si="1"/>
        <v>3785600</v>
      </c>
      <c r="E82" s="49">
        <f>VLOOKUP($A82,'Data shares'!$C:$FA,128)*100</f>
        <v>60.57</v>
      </c>
      <c r="F82" s="49">
        <f>VLOOKUP($A82,'Data shares'!$C:$FA,129)</f>
        <v>2101000</v>
      </c>
      <c r="G82" s="17"/>
    </row>
    <row r="83" spans="1:7" x14ac:dyDescent="0.25">
      <c r="A83" s="101" t="s">
        <v>204</v>
      </c>
      <c r="B83" s="17">
        <v>115362060</v>
      </c>
      <c r="C83" s="17">
        <v>19043750</v>
      </c>
      <c r="D83" s="17">
        <f t="shared" si="1"/>
        <v>19043750</v>
      </c>
      <c r="E83" s="49">
        <f>VLOOKUP($A83,'Data shares'!$C:$FA,128)*100</f>
        <v>63.42</v>
      </c>
      <c r="F83" s="49">
        <f>VLOOKUP($A83,'Data shares'!$C:$FA,129)</f>
        <v>6656250</v>
      </c>
      <c r="G83" s="17"/>
    </row>
    <row r="84" spans="1:7" x14ac:dyDescent="0.25">
      <c r="A84" s="101" t="s">
        <v>528</v>
      </c>
      <c r="B84" s="17">
        <v>23485458</v>
      </c>
      <c r="C84" s="17">
        <v>4272800</v>
      </c>
      <c r="D84" s="17">
        <f t="shared" si="1"/>
        <v>4272800</v>
      </c>
      <c r="E84" s="49">
        <f>VLOOKUP($A84,'Data shares'!$C:$FA,128)*100</f>
        <v>62.11</v>
      </c>
      <c r="F84" s="49">
        <f>VLOOKUP($A84,'Data shares'!$C:$FA,129)</f>
        <v>2668400</v>
      </c>
      <c r="G84" s="17"/>
    </row>
    <row r="85" spans="1:7" x14ac:dyDescent="0.25">
      <c r="A85" s="101" t="s">
        <v>551</v>
      </c>
      <c r="B85" s="17">
        <v>39593365</v>
      </c>
      <c r="C85" s="17">
        <v>12215000</v>
      </c>
      <c r="D85" s="17">
        <f t="shared" si="1"/>
        <v>12215000</v>
      </c>
      <c r="E85" s="49">
        <f>VLOOKUP($A85,'Data shares'!$C:$FA,128)*100</f>
        <v>48.92</v>
      </c>
      <c r="F85" s="49">
        <f>VLOOKUP($A85,'Data shares'!$C:$FA,129)</f>
        <v>1047600</v>
      </c>
      <c r="G85" s="17"/>
    </row>
    <row r="86" spans="1:7" x14ac:dyDescent="0.25">
      <c r="A86" s="101" t="s">
        <v>292</v>
      </c>
      <c r="B86" s="17">
        <v>355933451</v>
      </c>
      <c r="C86" s="17">
        <v>204117000</v>
      </c>
      <c r="D86" s="17">
        <f t="shared" si="1"/>
        <v>204117000</v>
      </c>
      <c r="E86" s="49">
        <f>VLOOKUP($A86,'Data shares'!$C:$FA,128)*100</f>
        <v>57.89</v>
      </c>
      <c r="F86" s="49">
        <f>VLOOKUP($A86,'Data shares'!$C:$FA,129)</f>
        <v>431400</v>
      </c>
      <c r="G86" s="17"/>
    </row>
    <row r="87" spans="1:7" x14ac:dyDescent="0.25">
      <c r="A87" s="101" t="s">
        <v>239</v>
      </c>
      <c r="B87" s="17">
        <v>117569462</v>
      </c>
      <c r="C87" s="17">
        <v>39785400</v>
      </c>
      <c r="D87" s="17">
        <f t="shared" si="1"/>
        <v>39785400</v>
      </c>
      <c r="E87" s="49">
        <f>VLOOKUP($A87,'Data shares'!$C:$FA,128)*100</f>
        <v>49.58</v>
      </c>
      <c r="F87" s="49">
        <f>VLOOKUP($A87,'Data shares'!$C:$FA,129)</f>
        <v>12534900</v>
      </c>
      <c r="G87" s="17"/>
    </row>
    <row r="88" spans="1:7" x14ac:dyDescent="0.25">
      <c r="A88" s="101" t="s">
        <v>513</v>
      </c>
      <c r="B88" s="17">
        <v>16619018</v>
      </c>
      <c r="C88" s="17">
        <v>3155425</v>
      </c>
      <c r="D88" s="17">
        <f t="shared" si="1"/>
        <v>3155425</v>
      </c>
      <c r="E88" s="49">
        <f>VLOOKUP($A88,'Data shares'!$C:$FA,128)*100</f>
        <v>50.33</v>
      </c>
      <c r="F88" s="49">
        <f>VLOOKUP($A88,'Data shares'!$C:$FA,129)</f>
        <v>3138000</v>
      </c>
      <c r="G88" s="17"/>
    </row>
    <row r="89" spans="1:7" x14ac:dyDescent="0.25">
      <c r="A89" s="101" t="s">
        <v>224</v>
      </c>
      <c r="B89" s="17">
        <v>669931623</v>
      </c>
      <c r="C89" s="17">
        <v>82663350</v>
      </c>
      <c r="D89" s="17">
        <f t="shared" si="1"/>
        <v>82663350</v>
      </c>
      <c r="E89" s="49">
        <f>VLOOKUP($A89,'Data shares'!$C:$FA,128)*100</f>
        <v>60.309999999999995</v>
      </c>
      <c r="F89" s="49">
        <f>VLOOKUP($A89,'Data shares'!$C:$FA,129)</f>
        <v>104919100</v>
      </c>
      <c r="G89" s="17"/>
    </row>
    <row r="90" spans="1:7" x14ac:dyDescent="0.25">
      <c r="A90" s="101" t="s">
        <v>232</v>
      </c>
      <c r="B90" s="17">
        <v>1110506052</v>
      </c>
      <c r="C90" s="17">
        <v>174065375</v>
      </c>
      <c r="D90" s="17">
        <f t="shared" si="1"/>
        <v>174065375</v>
      </c>
      <c r="E90" s="49">
        <f>VLOOKUP($A90,'Data shares'!$C:$FA,128)*100</f>
        <v>60.309999999999995</v>
      </c>
      <c r="F90" s="49">
        <f>VLOOKUP($A90,'Data shares'!$C:$FA,129)</f>
        <v>55986700</v>
      </c>
      <c r="G90" s="17"/>
    </row>
    <row r="91" spans="1:7" x14ac:dyDescent="0.25">
      <c r="A91" s="101" t="s">
        <v>223</v>
      </c>
      <c r="B91" s="17">
        <v>362202362</v>
      </c>
      <c r="C91" s="17">
        <v>34249800</v>
      </c>
      <c r="D91" s="17">
        <f t="shared" si="1"/>
        <v>34249800</v>
      </c>
      <c r="E91" s="49">
        <f>VLOOKUP($A91,'Data shares'!$C:$FA,128)*100</f>
        <v>62.33</v>
      </c>
      <c r="F91" s="49">
        <f>VLOOKUP($A91,'Data shares'!$C:$FA,129)</f>
        <v>5903100</v>
      </c>
      <c r="G91" s="17"/>
    </row>
    <row r="92" spans="1:7" x14ac:dyDescent="0.25">
      <c r="A92" s="101" t="s">
        <v>218</v>
      </c>
      <c r="B92" s="17">
        <v>23110810</v>
      </c>
      <c r="C92" s="17">
        <v>6940375</v>
      </c>
      <c r="D92" s="17">
        <f t="shared" si="1"/>
        <v>6940375</v>
      </c>
      <c r="E92" s="49">
        <f>VLOOKUP($A92,'Data shares'!$C:$FA,128)*100</f>
        <v>60.209999999999994</v>
      </c>
      <c r="F92" s="49">
        <f>VLOOKUP($A92,'Data shares'!$C:$FA,129)</f>
        <v>3824425</v>
      </c>
      <c r="G92" s="17"/>
    </row>
    <row r="93" spans="1:7" x14ac:dyDescent="0.25">
      <c r="A93" s="101" t="s">
        <v>236</v>
      </c>
      <c r="B93" s="17">
        <v>77000080</v>
      </c>
      <c r="C93" s="17">
        <v>25785375</v>
      </c>
      <c r="D93" s="17">
        <f t="shared" si="1"/>
        <v>25785375</v>
      </c>
      <c r="E93" s="49">
        <f>VLOOKUP($A93,'Data shares'!$C:$FA,128)*100</f>
        <v>55.34</v>
      </c>
      <c r="F93" s="49">
        <f>VLOOKUP($A93,'Data shares'!$C:$FA,129)</f>
        <v>35036250</v>
      </c>
      <c r="G93" s="17"/>
    </row>
    <row r="94" spans="1:7" x14ac:dyDescent="0.25">
      <c r="A94" s="101" t="s">
        <v>246</v>
      </c>
      <c r="B94" s="17">
        <v>293666614</v>
      </c>
      <c r="C94" s="17">
        <v>30730800</v>
      </c>
      <c r="D94" s="17">
        <f t="shared" si="1"/>
        <v>30730800</v>
      </c>
      <c r="E94" s="49">
        <f>VLOOKUP($A94,'Data shares'!$C:$FA,128)*100</f>
        <v>65.86</v>
      </c>
      <c r="F94" s="49">
        <f>VLOOKUP($A94,'Data shares'!$C:$FA,129)</f>
        <v>86008000</v>
      </c>
      <c r="G94" s="17"/>
    </row>
    <row r="95" spans="1:7" x14ac:dyDescent="0.25">
      <c r="A95" s="101" t="s">
        <v>532</v>
      </c>
      <c r="B95" s="17">
        <v>32892110</v>
      </c>
      <c r="C95" s="17">
        <v>6216000</v>
      </c>
      <c r="D95" s="17">
        <f t="shared" si="1"/>
        <v>6216000</v>
      </c>
      <c r="E95" s="49">
        <f>VLOOKUP($A95,'Data shares'!$C:$FA,128)*100</f>
        <v>52.690000000000005</v>
      </c>
      <c r="F95" s="49">
        <f>VLOOKUP($A95,'Data shares'!$C:$FA,129)</f>
        <v>5282750</v>
      </c>
      <c r="G95" s="17"/>
    </row>
    <row r="96" spans="1:7" x14ac:dyDescent="0.25">
      <c r="A96" s="101" t="s">
        <v>242</v>
      </c>
      <c r="B96" s="17">
        <v>2461627231</v>
      </c>
      <c r="C96" s="17">
        <v>322832000</v>
      </c>
      <c r="D96" s="17">
        <f t="shared" si="1"/>
        <v>322832000</v>
      </c>
      <c r="E96" s="49">
        <f>VLOOKUP($A96,'Data shares'!$C:$FA,128)*100</f>
        <v>37.549999999999997</v>
      </c>
      <c r="F96" s="49">
        <f>VLOOKUP($A96,'Data shares'!$C:$FA,129)</f>
        <v>68905600</v>
      </c>
      <c r="G96" s="17"/>
    </row>
    <row r="97" spans="1:7" x14ac:dyDescent="0.25">
      <c r="A97" s="101" t="s">
        <v>165</v>
      </c>
      <c r="B97" s="17">
        <v>20321931</v>
      </c>
      <c r="C97" s="17">
        <v>3675125</v>
      </c>
      <c r="D97" s="17">
        <f t="shared" si="1"/>
        <v>3675125</v>
      </c>
      <c r="E97" s="49">
        <f>VLOOKUP($A97,'Data shares'!$C:$FA,128)*100</f>
        <v>48.92</v>
      </c>
      <c r="F97" s="49">
        <f>VLOOKUP($A97,'Data shares'!$C:$FA,129)</f>
        <v>860625</v>
      </c>
      <c r="G97" s="17"/>
    </row>
    <row r="98" spans="1:7" x14ac:dyDescent="0.25">
      <c r="A98" s="101" t="s">
        <v>503</v>
      </c>
      <c r="B98" s="17">
        <v>17788750</v>
      </c>
      <c r="C98" s="17">
        <v>925925</v>
      </c>
      <c r="D98" s="17">
        <f t="shared" si="1"/>
        <v>925925</v>
      </c>
      <c r="E98" s="49">
        <f>VLOOKUP($A98,'Data shares'!$C:$FA,128)*100</f>
        <v>71.489999999999995</v>
      </c>
      <c r="F98" s="49">
        <f>VLOOKUP($A98,'Data shares'!$C:$FA,129)</f>
        <v>3542375</v>
      </c>
      <c r="G98" s="17"/>
    </row>
    <row r="99" spans="1:7" x14ac:dyDescent="0.25">
      <c r="A99" s="101" t="s">
        <v>192</v>
      </c>
      <c r="B99" s="17">
        <v>1737683</v>
      </c>
      <c r="C99" s="17">
        <v>235900</v>
      </c>
      <c r="D99" s="17">
        <f t="shared" si="1"/>
        <v>235900</v>
      </c>
      <c r="E99" s="49">
        <f>VLOOKUP($A99,'Data shares'!$C:$FA,128)*100</f>
        <v>41.69</v>
      </c>
      <c r="F99" s="49">
        <f>VLOOKUP($A99,'Data shares'!$C:$FA,129)</f>
        <v>47375</v>
      </c>
      <c r="G99" s="17"/>
    </row>
    <row r="100" spans="1:7" x14ac:dyDescent="0.25">
      <c r="A100" s="101" t="s">
        <v>531</v>
      </c>
      <c r="B100" s="17">
        <v>33015657</v>
      </c>
      <c r="C100" s="17">
        <v>9033700</v>
      </c>
      <c r="D100" s="17">
        <f t="shared" si="1"/>
        <v>9033700</v>
      </c>
      <c r="E100" s="49">
        <f>VLOOKUP($A100,'Data shares'!$C:$FA,128)*100</f>
        <v>52.1</v>
      </c>
      <c r="F100" s="49">
        <f>VLOOKUP($A100,'Data shares'!$C:$FA,129)</f>
        <v>3901500</v>
      </c>
      <c r="G100" s="17"/>
    </row>
    <row r="101" spans="1:7" x14ac:dyDescent="0.25">
      <c r="A101" s="101" t="s">
        <v>494</v>
      </c>
      <c r="B101" s="17">
        <v>147873568</v>
      </c>
      <c r="C101" s="17">
        <v>20386400</v>
      </c>
      <c r="D101" s="17">
        <f t="shared" si="1"/>
        <v>20386400</v>
      </c>
      <c r="E101" s="49">
        <f>VLOOKUP($A101,'Data shares'!$C:$FA,128)*100</f>
        <v>51.99</v>
      </c>
      <c r="F101" s="49">
        <f>VLOOKUP($A101,'Data shares'!$C:$FA,129)</f>
        <v>14682600</v>
      </c>
      <c r="G101" s="17"/>
    </row>
    <row r="102" spans="1:7" x14ac:dyDescent="0.25">
      <c r="A102" s="101" t="s">
        <v>473</v>
      </c>
      <c r="B102" s="17">
        <v>162372116</v>
      </c>
      <c r="C102" s="17">
        <v>43206800</v>
      </c>
      <c r="D102" s="17">
        <f t="shared" si="1"/>
        <v>43206800</v>
      </c>
      <c r="E102" s="49">
        <f>VLOOKUP($A102,'Data shares'!$C:$FA,128)*100</f>
        <v>50.17</v>
      </c>
      <c r="F102" s="49">
        <f>VLOOKUP($A102,'Data shares'!$C:$FA,129)</f>
        <v>31101500</v>
      </c>
      <c r="G102" s="17"/>
    </row>
    <row r="103" spans="1:7" x14ac:dyDescent="0.25">
      <c r="A103" s="101" t="s">
        <v>225</v>
      </c>
      <c r="B103" s="17">
        <v>187118353</v>
      </c>
      <c r="C103" s="17">
        <v>49800300</v>
      </c>
      <c r="D103" s="17">
        <f t="shared" si="1"/>
        <v>49800300</v>
      </c>
      <c r="E103" s="49">
        <f>VLOOKUP($A103,'Data shares'!$C:$FA,128)*100</f>
        <v>58.4</v>
      </c>
      <c r="F103" s="49">
        <f>VLOOKUP($A103,'Data shares'!$C:$FA,129)</f>
        <v>11774400</v>
      </c>
      <c r="G103" s="17"/>
    </row>
    <row r="104" spans="1:7" x14ac:dyDescent="0.25">
      <c r="A104" s="101" t="s">
        <v>504</v>
      </c>
      <c r="B104" s="17">
        <v>12641694</v>
      </c>
      <c r="C104" s="17">
        <v>6728400</v>
      </c>
      <c r="D104" s="17">
        <f t="shared" si="1"/>
        <v>6728400</v>
      </c>
      <c r="E104" s="49">
        <f>VLOOKUP($A104,'Data shares'!$C:$FA,128)*100</f>
        <v>46.75</v>
      </c>
      <c r="F104" s="49">
        <f>VLOOKUP($A104,'Data shares'!$C:$FA,129)</f>
        <v>1097200</v>
      </c>
      <c r="G104" s="17"/>
    </row>
    <row r="105" spans="1:7" x14ac:dyDescent="0.25">
      <c r="A105" s="101" t="s">
        <v>537</v>
      </c>
      <c r="B105" s="17">
        <v>6343591</v>
      </c>
      <c r="C105" s="17">
        <v>1262250</v>
      </c>
      <c r="D105" s="17">
        <f t="shared" si="1"/>
        <v>1262250</v>
      </c>
      <c r="E105" s="49">
        <f>VLOOKUP($A105,'Data shares'!$C:$FA,128)*100</f>
        <v>60.589999999999996</v>
      </c>
      <c r="F105" s="49">
        <f>VLOOKUP($A105,'Data shares'!$C:$FA,129)</f>
        <v>1135750</v>
      </c>
      <c r="G105" s="17"/>
    </row>
    <row r="106" spans="1:7" x14ac:dyDescent="0.25">
      <c r="A106" s="101" t="s">
        <v>256</v>
      </c>
      <c r="B106" s="17">
        <v>62880735</v>
      </c>
      <c r="C106" s="17">
        <v>20391250</v>
      </c>
      <c r="D106" s="17">
        <f t="shared" si="1"/>
        <v>20391250</v>
      </c>
      <c r="E106" s="49">
        <f>VLOOKUP($A106,'Data shares'!$C:$FA,128)*100</f>
        <v>42.92</v>
      </c>
      <c r="F106" s="49">
        <f>VLOOKUP($A106,'Data shares'!$C:$FA,129)</f>
        <v>1257600</v>
      </c>
      <c r="G106" s="17"/>
    </row>
    <row r="107" spans="1:7" x14ac:dyDescent="0.25">
      <c r="A107" s="101" t="s">
        <v>514</v>
      </c>
      <c r="B107" s="17">
        <v>179174844</v>
      </c>
      <c r="C107" s="17">
        <v>67477500</v>
      </c>
      <c r="D107" s="17">
        <f t="shared" si="1"/>
        <v>67477500</v>
      </c>
      <c r="E107" s="49">
        <f>VLOOKUP($A107,'Data shares'!$C:$FA,128)*100</f>
        <v>55.34</v>
      </c>
      <c r="F107" s="49">
        <f>VLOOKUP($A107,'Data shares'!$C:$FA,129)</f>
        <v>35036250</v>
      </c>
      <c r="G107" s="17"/>
    </row>
    <row r="108" spans="1:7" x14ac:dyDescent="0.25">
      <c r="A108" s="101" t="s">
        <v>272</v>
      </c>
      <c r="B108" s="17">
        <v>150000017</v>
      </c>
      <c r="C108" s="17">
        <v>35217000</v>
      </c>
      <c r="D108" s="17">
        <f t="shared" si="1"/>
        <v>35217000</v>
      </c>
      <c r="E108" s="49">
        <f>VLOOKUP($A108,'Data shares'!$C:$FA,128)*100</f>
        <v>60.58</v>
      </c>
      <c r="F108" s="49">
        <f>VLOOKUP($A108,'Data shares'!$C:$FA,129)</f>
        <v>14687000</v>
      </c>
      <c r="G108" s="17"/>
    </row>
    <row r="109" spans="1:7" x14ac:dyDescent="0.25">
      <c r="A109" s="101" t="s">
        <v>470</v>
      </c>
      <c r="B109" s="17">
        <v>6091932</v>
      </c>
      <c r="C109" s="17">
        <v>1893300</v>
      </c>
      <c r="D109" s="17">
        <f t="shared" si="1"/>
        <v>1893300</v>
      </c>
      <c r="E109" s="49">
        <f>VLOOKUP($A109,'Data shares'!$C:$FA,128)*100</f>
        <v>54.21</v>
      </c>
      <c r="F109" s="49">
        <f>VLOOKUP($A109,'Data shares'!$C:$FA,129)</f>
        <v>3861375</v>
      </c>
      <c r="G109" s="17"/>
    </row>
    <row r="110" spans="1:7" x14ac:dyDescent="0.25">
      <c r="A110" s="101" t="s">
        <v>176</v>
      </c>
      <c r="B110" s="17">
        <v>12437219</v>
      </c>
      <c r="C110" s="17">
        <v>1155950</v>
      </c>
      <c r="D110" s="17">
        <f t="shared" si="1"/>
        <v>1155950</v>
      </c>
      <c r="E110" s="49">
        <f>VLOOKUP($A110,'Data shares'!$C:$FA,128)*100</f>
        <v>48.27</v>
      </c>
      <c r="F110" s="49">
        <f>VLOOKUP($A110,'Data shares'!$C:$FA,129)</f>
        <v>3891000</v>
      </c>
      <c r="G110" s="17"/>
    </row>
    <row r="111" spans="1:7" x14ac:dyDescent="0.25">
      <c r="A111" s="101" t="s">
        <v>524</v>
      </c>
      <c r="B111" s="17">
        <v>16479425</v>
      </c>
      <c r="C111" s="17">
        <v>1670750</v>
      </c>
      <c r="D111" s="17">
        <f t="shared" si="1"/>
        <v>1670750</v>
      </c>
      <c r="E111" s="49">
        <f>VLOOKUP($A111,'Data shares'!$C:$FA,128)*100</f>
        <v>48.28</v>
      </c>
      <c r="F111" s="49">
        <f>VLOOKUP($A111,'Data shares'!$C:$FA,129)</f>
        <v>671450</v>
      </c>
      <c r="G111" s="17"/>
    </row>
    <row r="112" spans="1:7" x14ac:dyDescent="0.25">
      <c r="A112" s="101" t="s">
        <v>487</v>
      </c>
      <c r="B112" s="17">
        <v>16533935</v>
      </c>
      <c r="C112" s="17">
        <v>1807050</v>
      </c>
      <c r="D112" s="17">
        <f t="shared" si="1"/>
        <v>1807050</v>
      </c>
      <c r="E112" s="49">
        <f>VLOOKUP($A112,'Data shares'!$C:$FA,128)*100</f>
        <v>64.62</v>
      </c>
      <c r="F112" s="49">
        <f>VLOOKUP($A112,'Data shares'!$C:$FA,129)</f>
        <v>1626350</v>
      </c>
      <c r="G112" s="17"/>
    </row>
    <row r="113" spans="1:7" x14ac:dyDescent="0.25">
      <c r="A113" s="101" t="s">
        <v>305</v>
      </c>
      <c r="B113" s="17">
        <v>46126252</v>
      </c>
      <c r="C113" s="17">
        <v>7513500</v>
      </c>
      <c r="D113" s="17">
        <f t="shared" si="1"/>
        <v>7513500</v>
      </c>
      <c r="E113" s="49">
        <f>VLOOKUP($A113,'Data shares'!$C:$FA,128)*100</f>
        <v>65.149999999999991</v>
      </c>
      <c r="F113" s="49">
        <f>VLOOKUP($A113,'Data shares'!$C:$FA,129)</f>
        <v>4653375</v>
      </c>
      <c r="G113" s="17"/>
    </row>
    <row r="114" spans="1:7" x14ac:dyDescent="0.25">
      <c r="A114" s="101" t="s">
        <v>238</v>
      </c>
      <c r="B114" s="17">
        <v>19428657</v>
      </c>
      <c r="C114" s="17">
        <v>5637750</v>
      </c>
      <c r="D114" s="17">
        <f t="shared" si="1"/>
        <v>5637750</v>
      </c>
      <c r="E114" s="49">
        <f>VLOOKUP($A114,'Data shares'!$C:$FA,128)*100</f>
        <v>51.33</v>
      </c>
      <c r="F114" s="49">
        <f>VLOOKUP($A114,'Data shares'!$C:$FA,129)</f>
        <v>2646600</v>
      </c>
      <c r="G114" s="17"/>
    </row>
    <row r="115" spans="1:7" x14ac:dyDescent="0.25">
      <c r="A115" s="101" t="s">
        <v>527</v>
      </c>
      <c r="B115" s="17">
        <v>7494363</v>
      </c>
      <c r="C115" s="17">
        <v>739375</v>
      </c>
      <c r="D115" s="17">
        <f t="shared" si="1"/>
        <v>739375</v>
      </c>
      <c r="E115" s="49">
        <f>VLOOKUP($A115,'Data shares'!$C:$FA,128)*100</f>
        <v>54.459999999999994</v>
      </c>
      <c r="F115" s="49">
        <f>VLOOKUP($A115,'Data shares'!$C:$FA,129)</f>
        <v>56251950</v>
      </c>
      <c r="G115" s="17"/>
    </row>
    <row r="116" spans="1:7" x14ac:dyDescent="0.25">
      <c r="A116" s="101" t="s">
        <v>489</v>
      </c>
      <c r="B116" s="17">
        <v>9087752</v>
      </c>
      <c r="C116" s="17">
        <v>1575750</v>
      </c>
      <c r="D116" s="17">
        <f t="shared" si="1"/>
        <v>1575750</v>
      </c>
      <c r="E116" s="49">
        <f>VLOOKUP($A116,'Data shares'!$C:$FA,128)*100</f>
        <v>61.860000000000007</v>
      </c>
      <c r="F116" s="49">
        <f>VLOOKUP($A116,'Data shares'!$C:$FA,129)</f>
        <v>18238500</v>
      </c>
      <c r="G116" s="17"/>
    </row>
    <row r="117" spans="1:7" x14ac:dyDescent="0.25">
      <c r="A117" s="101" t="s">
        <v>484</v>
      </c>
      <c r="B117" s="17">
        <v>3300938</v>
      </c>
      <c r="C117" s="17">
        <v>190125</v>
      </c>
      <c r="D117" s="17">
        <f t="shared" si="1"/>
        <v>190125</v>
      </c>
      <c r="E117" s="49">
        <f>VLOOKUP($A117,'Data shares'!$C:$FA,128)*100</f>
        <v>47.25</v>
      </c>
      <c r="F117" s="49">
        <f>VLOOKUP($A117,'Data shares'!$C:$FA,129)</f>
        <v>24255400</v>
      </c>
      <c r="G117" s="17"/>
    </row>
    <row r="118" spans="1:7" x14ac:dyDescent="0.25">
      <c r="A118" s="101" t="s">
        <v>285</v>
      </c>
      <c r="B118" s="17">
        <v>17806068</v>
      </c>
      <c r="C118" s="17">
        <v>1857900</v>
      </c>
      <c r="D118" s="17">
        <f t="shared" si="1"/>
        <v>1857900</v>
      </c>
      <c r="E118" s="49">
        <f>VLOOKUP($A118,'Data shares'!$C:$FA,128)*100</f>
        <v>48.26</v>
      </c>
      <c r="F118" s="49">
        <f>VLOOKUP($A118,'Data shares'!$C:$FA,129)</f>
        <v>839125</v>
      </c>
      <c r="G118" s="17"/>
    </row>
    <row r="119" spans="1:7" x14ac:dyDescent="0.25">
      <c r="A119" s="101" t="s">
        <v>554</v>
      </c>
      <c r="B119" s="17">
        <v>18562709</v>
      </c>
      <c r="C119" s="17">
        <v>2173500</v>
      </c>
      <c r="D119" s="17">
        <f t="shared" si="1"/>
        <v>2173500</v>
      </c>
      <c r="E119" s="49">
        <f>VLOOKUP($A119,'Data shares'!$C:$FA,128)*100</f>
        <v>44.21</v>
      </c>
      <c r="F119" s="49">
        <f>VLOOKUP($A119,'Data shares'!$C:$FA,129)</f>
        <v>26966225</v>
      </c>
      <c r="G119" s="17"/>
    </row>
    <row r="120" spans="1:7" x14ac:dyDescent="0.25">
      <c r="A120" s="101" t="s">
        <v>293</v>
      </c>
      <c r="B120" s="17">
        <v>339616396</v>
      </c>
      <c r="C120" s="17">
        <v>214528500</v>
      </c>
      <c r="D120" s="17">
        <f t="shared" si="1"/>
        <v>214528500</v>
      </c>
      <c r="E120" s="49">
        <f>VLOOKUP($A120,'Data shares'!$C:$FA,128)*100</f>
        <v>46.46</v>
      </c>
      <c r="F120" s="49">
        <f>VLOOKUP($A120,'Data shares'!$C:$FA,129)</f>
        <v>16409650</v>
      </c>
      <c r="G120" s="17"/>
    </row>
    <row r="121" spans="1:7" x14ac:dyDescent="0.25">
      <c r="A121" s="101" t="s">
        <v>282</v>
      </c>
      <c r="B121" s="17">
        <v>289139949</v>
      </c>
      <c r="C121" s="17">
        <v>230878500</v>
      </c>
      <c r="D121" s="17">
        <f t="shared" si="1"/>
        <v>230878500</v>
      </c>
      <c r="E121" s="49">
        <f>VLOOKUP($A121,'Data shares'!$C:$FA,128)*100</f>
        <v>72.67</v>
      </c>
      <c r="F121" s="49">
        <f>VLOOKUP($A121,'Data shares'!$C:$FA,129)</f>
        <v>9799500</v>
      </c>
      <c r="G121" s="17"/>
    </row>
    <row r="122" spans="1:7" x14ac:dyDescent="0.25">
      <c r="A122" s="101" t="s">
        <v>248</v>
      </c>
      <c r="B122" s="17">
        <v>60244101</v>
      </c>
      <c r="C122" s="17">
        <v>36578000</v>
      </c>
      <c r="D122" s="17">
        <f t="shared" si="1"/>
        <v>36578000</v>
      </c>
      <c r="E122" s="49">
        <f>VLOOKUP($A122,'Data shares'!$C:$FA,128)*100</f>
        <v>51.88</v>
      </c>
      <c r="F122" s="49">
        <f>VLOOKUP($A122,'Data shares'!$C:$FA,129)</f>
        <v>12054000</v>
      </c>
      <c r="G122" s="17"/>
    </row>
    <row r="123" spans="1:7" x14ac:dyDescent="0.25">
      <c r="A123" s="101" t="s">
        <v>189</v>
      </c>
      <c r="B123" s="17">
        <v>510707358</v>
      </c>
      <c r="C123" s="17">
        <v>94385350</v>
      </c>
      <c r="D123" s="17">
        <f t="shared" si="1"/>
        <v>94385350</v>
      </c>
      <c r="E123" s="49">
        <f>VLOOKUP($A123,'Data shares'!$C:$FA,128)*100</f>
        <v>62.239999999999995</v>
      </c>
      <c r="F123" s="49">
        <f>VLOOKUP($A123,'Data shares'!$C:$FA,129)</f>
        <v>16341425</v>
      </c>
      <c r="G123" s="17"/>
    </row>
    <row r="124" spans="1:7" x14ac:dyDescent="0.25">
      <c r="A124" s="101" t="s">
        <v>213</v>
      </c>
      <c r="B124" s="17">
        <v>425164259</v>
      </c>
      <c r="C124" s="17">
        <v>85375600</v>
      </c>
      <c r="D124" s="17">
        <f t="shared" si="1"/>
        <v>85375600</v>
      </c>
      <c r="E124" s="49">
        <f>VLOOKUP($A124,'Data shares'!$C:$FA,128)*100</f>
        <v>46.31</v>
      </c>
      <c r="F124" s="49">
        <f>VLOOKUP($A124,'Data shares'!$C:$FA,129)</f>
        <v>25990650</v>
      </c>
      <c r="G124" s="17"/>
    </row>
    <row r="125" spans="1:7" x14ac:dyDescent="0.25">
      <c r="A125" s="101" t="s">
        <v>295</v>
      </c>
      <c r="B125" s="17">
        <v>205769415</v>
      </c>
      <c r="C125" s="17">
        <v>21452100</v>
      </c>
      <c r="D125" s="17">
        <f t="shared" si="1"/>
        <v>21452100</v>
      </c>
      <c r="E125" s="49">
        <f>VLOOKUP($A125,'Data shares'!$C:$FA,128)*100</f>
        <v>69.05</v>
      </c>
      <c r="F125" s="49">
        <f>VLOOKUP($A125,'Data shares'!$C:$FA,129)</f>
        <v>11449025</v>
      </c>
      <c r="G125" s="17"/>
    </row>
    <row r="126" spans="1:7" x14ac:dyDescent="0.25">
      <c r="A126" s="101" t="s">
        <v>490</v>
      </c>
      <c r="B126" s="17">
        <v>52165566</v>
      </c>
      <c r="C126" s="17">
        <v>22212750</v>
      </c>
      <c r="D126" s="17">
        <f t="shared" si="1"/>
        <v>22212750</v>
      </c>
      <c r="E126" s="49">
        <f>VLOOKUP($A126,'Data shares'!$C:$FA,128)*100</f>
        <v>62.129999999999995</v>
      </c>
      <c r="F126" s="49">
        <f>VLOOKUP($A126,'Data shares'!$C:$FA,129)</f>
        <v>9666125</v>
      </c>
      <c r="G126" s="17"/>
    </row>
    <row r="127" spans="1:7" x14ac:dyDescent="0.25">
      <c r="A127" s="101" t="s">
        <v>260</v>
      </c>
      <c r="B127" s="17">
        <v>241729538</v>
      </c>
      <c r="C127" s="17">
        <v>65383500</v>
      </c>
      <c r="D127" s="17">
        <f t="shared" si="1"/>
        <v>65383500</v>
      </c>
      <c r="E127" s="49">
        <f>VLOOKUP($A127,'Data shares'!$C:$FA,128)*100</f>
        <v>57.85</v>
      </c>
      <c r="F127" s="49">
        <f>VLOOKUP($A127,'Data shares'!$C:$FA,129)</f>
        <v>52644000</v>
      </c>
      <c r="G127" s="17"/>
    </row>
    <row r="128" spans="1:7" x14ac:dyDescent="0.25">
      <c r="A128" s="101" t="s">
        <v>171</v>
      </c>
      <c r="B128" s="17">
        <v>56444627</v>
      </c>
      <c r="C128" s="17">
        <v>23336250</v>
      </c>
      <c r="D128" s="17">
        <f t="shared" si="1"/>
        <v>23336250</v>
      </c>
      <c r="E128" s="49">
        <f>VLOOKUP($A128,'Data shares'!$C:$FA,128)*100</f>
        <v>66.28</v>
      </c>
      <c r="F128" s="49">
        <f>VLOOKUP($A128,'Data shares'!$C:$FA,129)</f>
        <v>10334500</v>
      </c>
      <c r="G128" s="17"/>
    </row>
    <row r="129" spans="1:7" x14ac:dyDescent="0.25">
      <c r="A129" s="101" t="s">
        <v>462</v>
      </c>
      <c r="B129" s="17">
        <v>88648462</v>
      </c>
      <c r="C129" s="17">
        <v>11150250</v>
      </c>
      <c r="D129" s="17">
        <f t="shared" si="1"/>
        <v>11150250</v>
      </c>
      <c r="E129" s="49">
        <f>VLOOKUP($A129,'Data shares'!$C:$FA,128)*100</f>
        <v>61.650000000000006</v>
      </c>
      <c r="F129" s="49">
        <f>VLOOKUP($A129,'Data shares'!$C:$FA,129)</f>
        <v>2468625</v>
      </c>
      <c r="G129" s="17"/>
    </row>
    <row r="130" spans="1:7" x14ac:dyDescent="0.25">
      <c r="A130" s="101" t="s">
        <v>274</v>
      </c>
      <c r="B130" s="17">
        <v>30511703</v>
      </c>
      <c r="C130" s="17">
        <v>3556000</v>
      </c>
      <c r="D130" s="17">
        <f t="shared" si="1"/>
        <v>3556000</v>
      </c>
      <c r="E130" s="49">
        <f>VLOOKUP($A130,'Data shares'!$C:$FA,128)*100</f>
        <v>62.1</v>
      </c>
      <c r="F130" s="49">
        <f>VLOOKUP($A130,'Data shares'!$C:$FA,129)</f>
        <v>2238500</v>
      </c>
      <c r="G130" s="17"/>
    </row>
    <row r="131" spans="1:7" x14ac:dyDescent="0.25">
      <c r="A131" s="101" t="s">
        <v>279</v>
      </c>
      <c r="B131" s="17">
        <v>119890099</v>
      </c>
      <c r="C131" s="17">
        <v>77232800</v>
      </c>
      <c r="D131" s="17">
        <f t="shared" si="1"/>
        <v>77232800</v>
      </c>
      <c r="E131" s="49">
        <f>VLOOKUP($A131,'Data shares'!$C:$FA,128)*100</f>
        <v>47.79</v>
      </c>
      <c r="F131" s="49">
        <f>VLOOKUP($A131,'Data shares'!$C:$FA,129)</f>
        <v>26682700</v>
      </c>
      <c r="G131" s="17"/>
    </row>
    <row r="132" spans="1:7" x14ac:dyDescent="0.25">
      <c r="A132" s="101" t="s">
        <v>247</v>
      </c>
      <c r="B132" s="17">
        <v>180580821</v>
      </c>
      <c r="C132" s="17">
        <v>128041552</v>
      </c>
      <c r="D132" s="17">
        <f t="shared" si="1"/>
        <v>128041552</v>
      </c>
      <c r="E132" s="49">
        <f>VLOOKUP($A132,'Data shares'!$C:$FA,128)*100</f>
        <v>60.45</v>
      </c>
      <c r="F132" s="49">
        <f>VLOOKUP($A132,'Data shares'!$C:$FA,129)</f>
        <v>1722525</v>
      </c>
      <c r="G132" s="17"/>
    </row>
    <row r="133" spans="1:7" x14ac:dyDescent="0.25">
      <c r="A133" s="101" t="s">
        <v>291</v>
      </c>
      <c r="B133" s="17">
        <v>120211514</v>
      </c>
      <c r="C133" s="17">
        <v>18359325</v>
      </c>
      <c r="D133" s="17">
        <f t="shared" si="1"/>
        <v>18359325</v>
      </c>
      <c r="E133" s="49">
        <f>VLOOKUP($A133,'Data shares'!$C:$FA,128)*100</f>
        <v>66.77</v>
      </c>
      <c r="F133" s="49">
        <f>VLOOKUP($A133,'Data shares'!$C:$FA,129)</f>
        <v>3823050</v>
      </c>
      <c r="G133" s="17"/>
    </row>
    <row r="134" spans="1:7" x14ac:dyDescent="0.25">
      <c r="A134" s="101" t="s">
        <v>269</v>
      </c>
      <c r="B134" s="17">
        <v>996134149</v>
      </c>
      <c r="C134" s="17">
        <v>204565900</v>
      </c>
      <c r="D134" s="17">
        <f t="shared" si="1"/>
        <v>204565900</v>
      </c>
      <c r="E134" s="49">
        <f>VLOOKUP($A134,'Data shares'!$C:$FA,128)*100</f>
        <v>33.269999999999996</v>
      </c>
      <c r="F134" s="49">
        <f>VLOOKUP($A134,'Data shares'!$C:$FA,129)</f>
        <v>19541250</v>
      </c>
      <c r="G134" s="17"/>
    </row>
    <row r="135" spans="1:7" x14ac:dyDescent="0.25">
      <c r="A135" s="101" t="s">
        <v>217</v>
      </c>
      <c r="B135" s="17">
        <v>75218562</v>
      </c>
      <c r="C135" s="17">
        <v>11613000</v>
      </c>
      <c r="D135" s="17">
        <f t="shared" ref="D135:D161" si="2">C135</f>
        <v>11613000</v>
      </c>
      <c r="E135" s="49">
        <f>VLOOKUP($A135,'Data shares'!$C:$FA,128)*100</f>
        <v>60.099999999999994</v>
      </c>
      <c r="F135" s="49">
        <f>VLOOKUP($A135,'Data shares'!$C:$FA,129)</f>
        <v>2102000</v>
      </c>
      <c r="G135" s="17"/>
    </row>
    <row r="136" spans="1:7" x14ac:dyDescent="0.25">
      <c r="A136" s="101" t="s">
        <v>495</v>
      </c>
      <c r="B136" s="17">
        <v>44974045</v>
      </c>
      <c r="C136" s="17">
        <v>4232500</v>
      </c>
      <c r="D136" s="17">
        <f t="shared" si="2"/>
        <v>4232500</v>
      </c>
      <c r="E136" s="49">
        <f>VLOOKUP($A136,'Data shares'!$C:$FA,128)*100</f>
        <v>69.44</v>
      </c>
      <c r="F136" s="49">
        <f>VLOOKUP($A136,'Data shares'!$C:$FA,129)</f>
        <v>8556000</v>
      </c>
      <c r="G136" s="17"/>
    </row>
    <row r="137" spans="1:7" x14ac:dyDescent="0.25">
      <c r="A137" s="101" t="s">
        <v>250</v>
      </c>
      <c r="B137" s="17">
        <v>48318354</v>
      </c>
      <c r="C137" s="17">
        <v>18007250</v>
      </c>
      <c r="D137" s="17">
        <f t="shared" si="2"/>
        <v>18007250</v>
      </c>
      <c r="E137" s="49">
        <f>VLOOKUP($A137,'Data shares'!$C:$FA,128)*100</f>
        <v>49.480000000000004</v>
      </c>
      <c r="F137" s="49">
        <f>VLOOKUP($A137,'Data shares'!$C:$FA,129)</f>
        <v>1621375</v>
      </c>
      <c r="G137" s="17"/>
    </row>
    <row r="138" spans="1:7" x14ac:dyDescent="0.25">
      <c r="A138" s="101" t="s">
        <v>278</v>
      </c>
      <c r="B138" s="17">
        <v>27187764</v>
      </c>
      <c r="C138" s="17">
        <v>3521550</v>
      </c>
      <c r="D138" s="17">
        <f t="shared" si="2"/>
        <v>3521550</v>
      </c>
      <c r="E138" s="49">
        <f>VLOOKUP($A138,'Data shares'!$C:$FA,128)*100</f>
        <v>48.92</v>
      </c>
      <c r="F138" s="49">
        <f>VLOOKUP($A138,'Data shares'!$C:$FA,129)</f>
        <v>1047600</v>
      </c>
      <c r="G138" s="17"/>
    </row>
    <row r="139" spans="1:7" x14ac:dyDescent="0.25">
      <c r="A139" s="101" t="s">
        <v>163</v>
      </c>
      <c r="B139" s="17">
        <v>24576009</v>
      </c>
      <c r="C139" s="17">
        <v>11979000</v>
      </c>
      <c r="D139" s="17">
        <f t="shared" si="2"/>
        <v>11979000</v>
      </c>
      <c r="E139" s="49">
        <f>VLOOKUP($A139,'Data shares'!$C:$FA,128)*100</f>
        <v>50.07</v>
      </c>
      <c r="F139" s="49">
        <f>VLOOKUP($A139,'Data shares'!$C:$FA,129)</f>
        <v>255875</v>
      </c>
      <c r="G139" s="17"/>
    </row>
    <row r="140" spans="1:7" x14ac:dyDescent="0.25">
      <c r="A140" s="101" t="s">
        <v>289</v>
      </c>
      <c r="B140" s="17">
        <v>19704232</v>
      </c>
      <c r="C140" s="17">
        <v>15520500</v>
      </c>
      <c r="D140" s="17">
        <f t="shared" si="2"/>
        <v>15520500</v>
      </c>
      <c r="E140" s="49">
        <f>VLOOKUP($A140,'Data shares'!$C:$FA,128)*100</f>
        <v>51.739999999999995</v>
      </c>
      <c r="F140" s="49">
        <f>VLOOKUP($A140,'Data shares'!$C:$FA,129)</f>
        <v>5165300</v>
      </c>
      <c r="G140" s="17"/>
    </row>
    <row r="141" spans="1:7" x14ac:dyDescent="0.25">
      <c r="A141" s="101" t="s">
        <v>529</v>
      </c>
      <c r="B141" s="17">
        <v>10012679</v>
      </c>
      <c r="C141" s="17">
        <v>530550</v>
      </c>
      <c r="D141" s="17">
        <f t="shared" si="2"/>
        <v>530550</v>
      </c>
      <c r="E141" s="49">
        <f>VLOOKUP($A141,'Data shares'!$C:$FA,128)*100</f>
        <v>46.86</v>
      </c>
      <c r="F141" s="49">
        <f>VLOOKUP($A141,'Data shares'!$C:$FA,129)</f>
        <v>894300</v>
      </c>
      <c r="G141" s="17"/>
    </row>
    <row r="142" spans="1:7" x14ac:dyDescent="0.25">
      <c r="A142" s="101" t="s">
        <v>265</v>
      </c>
      <c r="B142" s="17">
        <v>7180127</v>
      </c>
      <c r="C142" s="17">
        <v>429550</v>
      </c>
      <c r="D142" s="17">
        <f t="shared" si="2"/>
        <v>429550</v>
      </c>
      <c r="E142" s="49">
        <f>VLOOKUP($A142,'Data shares'!$C:$FA,128)*100</f>
        <v>59.28</v>
      </c>
      <c r="F142" s="49">
        <f>VLOOKUP($A142,'Data shares'!$C:$FA,129)</f>
        <v>5098000</v>
      </c>
      <c r="G142" s="17"/>
    </row>
    <row r="143" spans="1:7" x14ac:dyDescent="0.25">
      <c r="A143" s="101" t="s">
        <v>486</v>
      </c>
      <c r="B143" s="17">
        <v>32559242</v>
      </c>
      <c r="C143" s="17">
        <v>4156800</v>
      </c>
      <c r="D143" s="17">
        <f t="shared" si="2"/>
        <v>4156800</v>
      </c>
      <c r="E143" s="49">
        <f>VLOOKUP($A143,'Data shares'!$C:$FA,128)*100</f>
        <v>67.210000000000008</v>
      </c>
      <c r="F143" s="49">
        <f>VLOOKUP($A143,'Data shares'!$C:$FA,129)</f>
        <v>1231450</v>
      </c>
      <c r="G143" s="17"/>
    </row>
    <row r="144" spans="1:7" x14ac:dyDescent="0.25">
      <c r="A144" s="101" t="s">
        <v>190</v>
      </c>
      <c r="B144" s="17">
        <v>256482590</v>
      </c>
      <c r="C144" s="17">
        <v>208761000</v>
      </c>
      <c r="D144" s="17">
        <f t="shared" si="2"/>
        <v>208761000</v>
      </c>
      <c r="E144" s="49">
        <f>VLOOKUP($A144,'Data shares'!$C:$FA,128)*100</f>
        <v>44.07</v>
      </c>
      <c r="F144" s="49">
        <f>VLOOKUP($A144,'Data shares'!$C:$FA,129)</f>
        <v>23428125</v>
      </c>
      <c r="G144" s="17"/>
    </row>
    <row r="145" spans="1:7" x14ac:dyDescent="0.25">
      <c r="A145" s="101" t="s">
        <v>303</v>
      </c>
      <c r="B145" s="17">
        <v>109653438</v>
      </c>
      <c r="C145" s="17">
        <v>37709100</v>
      </c>
      <c r="D145" s="17">
        <f t="shared" si="2"/>
        <v>37709100</v>
      </c>
      <c r="E145" s="49">
        <f>VLOOKUP($A145,'Data shares'!$C:$FA,128)*100</f>
        <v>41.510000000000005</v>
      </c>
      <c r="F145" s="49">
        <f>VLOOKUP($A145,'Data shares'!$C:$FA,129)</f>
        <v>9054110</v>
      </c>
      <c r="G145" s="17"/>
    </row>
    <row r="146" spans="1:7" x14ac:dyDescent="0.25">
      <c r="A146" s="101" t="s">
        <v>255</v>
      </c>
      <c r="B146" s="17">
        <v>26359259</v>
      </c>
      <c r="C146" s="17">
        <v>6916100</v>
      </c>
      <c r="D146" s="17">
        <f t="shared" si="2"/>
        <v>6916100</v>
      </c>
      <c r="E146" s="49">
        <f>VLOOKUP($A146,'Data shares'!$C:$FA,128)*100</f>
        <v>67.239999999999995</v>
      </c>
      <c r="F146" s="49">
        <f>VLOOKUP($A146,'Data shares'!$C:$FA,129)</f>
        <v>1174050</v>
      </c>
      <c r="G146" s="17"/>
    </row>
    <row r="147" spans="1:7" x14ac:dyDescent="0.25">
      <c r="A147" s="101" t="s">
        <v>180</v>
      </c>
      <c r="B147" s="17">
        <v>372635498</v>
      </c>
      <c r="C147" s="17">
        <v>233426700</v>
      </c>
      <c r="D147" s="17">
        <f t="shared" si="2"/>
        <v>233426700</v>
      </c>
      <c r="E147" s="49">
        <f>VLOOKUP($A147,'Data shares'!$C:$FA,128)*100</f>
        <v>62.660000000000004</v>
      </c>
      <c r="F147" s="49">
        <f>VLOOKUP($A147,'Data shares'!$C:$FA,129)</f>
        <v>26272350</v>
      </c>
      <c r="G147" s="17"/>
    </row>
    <row r="148" spans="1:7" x14ac:dyDescent="0.25">
      <c r="A148" s="101" t="s">
        <v>179</v>
      </c>
      <c r="B148" s="17">
        <v>193321473</v>
      </c>
      <c r="C148" s="17">
        <v>47098800</v>
      </c>
      <c r="D148" s="17">
        <f t="shared" si="2"/>
        <v>47098800</v>
      </c>
      <c r="E148" s="49">
        <f>VLOOKUP($A148,'Data shares'!$C:$FA,128)*100</f>
        <v>51.94</v>
      </c>
      <c r="F148" s="49">
        <f>VLOOKUP($A148,'Data shares'!$C:$FA,129)</f>
        <v>64555200</v>
      </c>
    </row>
    <row r="149" spans="1:7" x14ac:dyDescent="0.25">
      <c r="A149" s="101" t="s">
        <v>253</v>
      </c>
      <c r="B149" s="17">
        <v>109926618</v>
      </c>
      <c r="C149" s="17">
        <v>54285000</v>
      </c>
      <c r="D149" s="17">
        <f t="shared" si="2"/>
        <v>54285000</v>
      </c>
      <c r="E149" s="49">
        <f>VLOOKUP($A149,'Data shares'!$C:$FA,128)*100</f>
        <v>43.19</v>
      </c>
      <c r="F149" s="49">
        <f>VLOOKUP($A149,'Data shares'!$C:$FA,129)</f>
        <v>12156000</v>
      </c>
    </row>
    <row r="150" spans="1:7" x14ac:dyDescent="0.25">
      <c r="A150" s="101" t="s">
        <v>261</v>
      </c>
      <c r="B150" s="17">
        <v>611563</v>
      </c>
      <c r="C150" s="17">
        <v>120180</v>
      </c>
      <c r="D150" s="17">
        <f t="shared" si="2"/>
        <v>120180</v>
      </c>
      <c r="E150" s="49">
        <f>VLOOKUP($A150,'Data shares'!$C:$FA,128)*100</f>
        <v>64.62</v>
      </c>
      <c r="F150" s="49">
        <f>VLOOKUP($A150,'Data shares'!$C:$FA,129)</f>
        <v>1626350</v>
      </c>
    </row>
    <row r="151" spans="1:7" x14ac:dyDescent="0.25">
      <c r="A151" s="101" t="s">
        <v>164</v>
      </c>
      <c r="B151" s="17">
        <v>145854205</v>
      </c>
      <c r="C151" s="17">
        <v>46824000</v>
      </c>
      <c r="D151" s="17">
        <f t="shared" si="2"/>
        <v>46824000</v>
      </c>
      <c r="E151" s="49">
        <f>VLOOKUP($A151,'Data shares'!$C:$FA,128)*100</f>
        <v>51.93</v>
      </c>
      <c r="F151" s="49">
        <f>VLOOKUP($A151,'Data shares'!$C:$FA,129)</f>
        <v>16036650</v>
      </c>
    </row>
    <row r="152" spans="1:7" x14ac:dyDescent="0.25">
      <c r="A152" s="101" t="s">
        <v>526</v>
      </c>
      <c r="B152" s="17">
        <v>44365911</v>
      </c>
      <c r="C152" s="17">
        <v>20668300</v>
      </c>
      <c r="D152" s="17">
        <f t="shared" si="2"/>
        <v>20668300</v>
      </c>
      <c r="E152" s="49">
        <f>VLOOKUP($A152,'Data shares'!$C:$FA,128)*100</f>
        <v>51.49</v>
      </c>
      <c r="F152" s="49">
        <f>VLOOKUP($A152,'Data shares'!$C:$FA,129)</f>
        <v>6542000</v>
      </c>
    </row>
    <row r="153" spans="1:7" x14ac:dyDescent="0.25">
      <c r="A153" s="101" t="s">
        <v>515</v>
      </c>
      <c r="B153" s="17">
        <v>3083179</v>
      </c>
      <c r="C153" s="17">
        <v>492075</v>
      </c>
      <c r="D153" s="17">
        <f t="shared" si="2"/>
        <v>492075</v>
      </c>
      <c r="E153" s="49">
        <f>VLOOKUP($A153,'Data shares'!$C:$FA,128)*100</f>
        <v>51.49</v>
      </c>
      <c r="F153" s="49">
        <f>VLOOKUP($A153,'Data shares'!$C:$FA,129)</f>
        <v>6542000</v>
      </c>
    </row>
    <row r="154" spans="1:7" x14ac:dyDescent="0.25">
      <c r="A154" s="101" t="s">
        <v>226</v>
      </c>
      <c r="B154" s="17">
        <v>26072630</v>
      </c>
      <c r="C154" s="17">
        <v>9897900</v>
      </c>
      <c r="D154" s="17">
        <f t="shared" si="2"/>
        <v>9897900</v>
      </c>
      <c r="E154" s="49">
        <f>VLOOKUP($A154,'Data shares'!$C:$FA,128)*100</f>
        <v>52.180000000000007</v>
      </c>
      <c r="F154" s="49">
        <f>VLOOKUP($A154,'Data shares'!$C:$FA,129)</f>
        <v>1328100</v>
      </c>
    </row>
    <row r="155" spans="1:7" x14ac:dyDescent="0.25">
      <c r="A155" s="101" t="s">
        <v>544</v>
      </c>
      <c r="B155" s="17">
        <v>139989683</v>
      </c>
      <c r="C155" s="17">
        <v>28415200</v>
      </c>
      <c r="D155" s="17">
        <f t="shared" si="2"/>
        <v>28415200</v>
      </c>
      <c r="E155" s="49">
        <f>VLOOKUP($A155,'Data shares'!$C:$FA,128)*100</f>
        <v>66.67</v>
      </c>
      <c r="F155" s="49">
        <f>VLOOKUP($A155,'Data shares'!$C:$FA,129)</f>
        <v>21176100</v>
      </c>
    </row>
    <row r="156" spans="1:7" x14ac:dyDescent="0.25">
      <c r="A156" s="101" t="s">
        <v>547</v>
      </c>
      <c r="B156" s="17">
        <v>65482129</v>
      </c>
      <c r="C156" s="17">
        <v>33944200</v>
      </c>
      <c r="D156" s="17">
        <f t="shared" si="2"/>
        <v>33944200</v>
      </c>
      <c r="E156" s="49">
        <f>VLOOKUP($A156,'Data shares'!$C:$FA,128)*100</f>
        <v>64.990000000000009</v>
      </c>
      <c r="F156" s="49">
        <f>VLOOKUP($A156,'Data shares'!$C:$FA,129)</f>
        <v>18545100</v>
      </c>
    </row>
    <row r="157" spans="1:7" x14ac:dyDescent="0.25">
      <c r="A157" s="101" t="s">
        <v>499</v>
      </c>
      <c r="B157" s="17">
        <v>66687240</v>
      </c>
      <c r="C157" s="17">
        <v>16125200</v>
      </c>
      <c r="D157" s="17">
        <f t="shared" si="2"/>
        <v>16125200</v>
      </c>
      <c r="E157" s="49">
        <f>VLOOKUP($A157,'Data shares'!$C:$FA,128)*100</f>
        <v>66.67</v>
      </c>
      <c r="F157" s="49">
        <f>VLOOKUP($A157,'Data shares'!$C:$FA,129)</f>
        <v>21176100</v>
      </c>
    </row>
    <row r="158" spans="1:7" x14ac:dyDescent="0.25">
      <c r="A158" s="101" t="s">
        <v>483</v>
      </c>
      <c r="B158" s="17">
        <v>16146181</v>
      </c>
      <c r="C158" s="17">
        <v>1914250</v>
      </c>
      <c r="D158" s="17">
        <f t="shared" si="2"/>
        <v>1914250</v>
      </c>
      <c r="E158" s="49">
        <f>VLOOKUP($A158,'Data shares'!$C:$FA,128)*100</f>
        <v>67.900000000000006</v>
      </c>
      <c r="F158" s="49">
        <f>VLOOKUP($A158,'Data shares'!$C:$FA,129)</f>
        <v>1112125</v>
      </c>
    </row>
    <row r="159" spans="1:7" x14ac:dyDescent="0.25">
      <c r="A159" s="101" t="s">
        <v>546</v>
      </c>
      <c r="B159" s="17">
        <v>18282414</v>
      </c>
      <c r="C159" s="17">
        <v>13742300</v>
      </c>
      <c r="D159" s="17">
        <f t="shared" si="2"/>
        <v>13742300</v>
      </c>
      <c r="E159" s="49">
        <f>VLOOKUP($A159,'Data shares'!$C:$FA,128)*100</f>
        <v>43.59</v>
      </c>
      <c r="F159" s="49">
        <f>VLOOKUP($A159,'Data shares'!$C:$FA,129)</f>
        <v>46746450</v>
      </c>
    </row>
    <row r="160" spans="1:7" x14ac:dyDescent="0.25">
      <c r="A160" s="101" t="s">
        <v>220</v>
      </c>
      <c r="B160" s="17">
        <v>50687734</v>
      </c>
      <c r="C160" s="17">
        <v>6783500</v>
      </c>
      <c r="D160" s="17">
        <f t="shared" si="2"/>
        <v>6783500</v>
      </c>
      <c r="E160" s="49">
        <f>VLOOKUP($A160,'Data shares'!$C:$FA,128)*100</f>
        <v>53.280000000000008</v>
      </c>
      <c r="F160" s="49">
        <f>VLOOKUP($A160,'Data shares'!$C:$FA,129)</f>
        <v>2966000</v>
      </c>
    </row>
    <row r="161" spans="1:6" x14ac:dyDescent="0.25">
      <c r="A161" s="101" t="s">
        <v>472</v>
      </c>
      <c r="B161" s="17">
        <v>50993734</v>
      </c>
      <c r="C161" s="17">
        <v>3803750</v>
      </c>
      <c r="D161" s="17">
        <f t="shared" si="2"/>
        <v>3803750</v>
      </c>
      <c r="E161" s="49">
        <f>VLOOKUP($A161,'Data shares'!$C:$FA,128)*100</f>
        <v>56.81</v>
      </c>
      <c r="F161" s="49">
        <f>VLOOKUP($A161,'Data shares'!$C:$FA,129)</f>
        <v>2428400</v>
      </c>
    </row>
    <row r="162" spans="1:6" x14ac:dyDescent="0.25">
      <c r="A162" t="s">
        <v>535</v>
      </c>
      <c r="B162">
        <v>78168147</v>
      </c>
      <c r="C162">
        <v>9571500</v>
      </c>
      <c r="D162" s="17">
        <f t="shared" ref="D162:D204" si="3">C162</f>
        <v>9571500</v>
      </c>
      <c r="E162" s="49">
        <f>VLOOKUP($A162,'Data shares'!$C:$FA,128)*100</f>
        <v>56.95</v>
      </c>
      <c r="F162" s="49">
        <f>VLOOKUP($A162,'Data shares'!$C:$FA,129)</f>
        <v>7472350</v>
      </c>
    </row>
    <row r="163" spans="1:6" x14ac:dyDescent="0.25">
      <c r="A163" t="s">
        <v>492</v>
      </c>
      <c r="B163">
        <v>28779078</v>
      </c>
      <c r="C163">
        <v>14404150</v>
      </c>
      <c r="D163" s="17">
        <f t="shared" si="3"/>
        <v>14404150</v>
      </c>
      <c r="E163" s="49">
        <f>VLOOKUP($A163,'Data shares'!$C:$FA,128)*100</f>
        <v>60.209999999999994</v>
      </c>
      <c r="F163" s="49">
        <f>VLOOKUP($A163,'Data shares'!$C:$FA,129)</f>
        <v>3824425</v>
      </c>
    </row>
    <row r="164" spans="1:6" x14ac:dyDescent="0.25">
      <c r="A164" t="s">
        <v>298</v>
      </c>
      <c r="B164">
        <v>9731600</v>
      </c>
      <c r="C164">
        <v>863500</v>
      </c>
      <c r="D164" s="17">
        <f t="shared" si="3"/>
        <v>863500</v>
      </c>
      <c r="E164" s="49">
        <f>VLOOKUP($A164,'Data shares'!$C:$FA,128)*100</f>
        <v>56.64</v>
      </c>
      <c r="F164" s="49">
        <f>VLOOKUP($A164,'Data shares'!$C:$FA,129)</f>
        <v>829500</v>
      </c>
    </row>
    <row r="165" spans="1:6" x14ac:dyDescent="0.25">
      <c r="A165" t="s">
        <v>548</v>
      </c>
      <c r="B165">
        <v>442076</v>
      </c>
      <c r="C165">
        <v>9615</v>
      </c>
      <c r="D165" s="17">
        <f t="shared" si="3"/>
        <v>9615</v>
      </c>
      <c r="E165" s="49">
        <f>VLOOKUP($A165,'Data shares'!$C:$FA,128)*100</f>
        <v>67.08</v>
      </c>
      <c r="F165" s="49">
        <f>VLOOKUP($A165,'Data shares'!$C:$FA,129)</f>
        <v>17223500</v>
      </c>
    </row>
    <row r="166" spans="1:6" x14ac:dyDescent="0.25">
      <c r="A166" t="s">
        <v>530</v>
      </c>
      <c r="B166">
        <v>3258166</v>
      </c>
      <c r="C166">
        <v>219750</v>
      </c>
      <c r="D166" s="17">
        <f t="shared" si="3"/>
        <v>219750</v>
      </c>
      <c r="E166" s="49">
        <f>VLOOKUP($A166,'Data shares'!$C:$FA,128)*100</f>
        <v>71.489999999999995</v>
      </c>
      <c r="F166" s="49">
        <f>VLOOKUP($A166,'Data shares'!$C:$FA,129)</f>
        <v>3542375</v>
      </c>
    </row>
    <row r="167" spans="1:6" x14ac:dyDescent="0.25">
      <c r="A167" t="s">
        <v>249</v>
      </c>
      <c r="B167">
        <v>277168216</v>
      </c>
      <c r="C167">
        <v>21795375</v>
      </c>
      <c r="D167" s="17">
        <f t="shared" si="3"/>
        <v>21795375</v>
      </c>
      <c r="E167" s="49">
        <f>VLOOKUP($A167,'Data shares'!$C:$FA,128)*100</f>
        <v>55.24</v>
      </c>
      <c r="F167" s="49">
        <f>VLOOKUP($A167,'Data shares'!$C:$FA,129)</f>
        <v>4440450</v>
      </c>
    </row>
    <row r="168" spans="1:6" x14ac:dyDescent="0.25">
      <c r="A168" t="s">
        <v>216</v>
      </c>
      <c r="B168">
        <v>484955219</v>
      </c>
      <c r="C168">
        <v>230400000</v>
      </c>
      <c r="D168" s="17">
        <f t="shared" si="3"/>
        <v>230400000</v>
      </c>
      <c r="E168" s="49">
        <f>VLOOKUP($A168,'Data shares'!$C:$FA,128)*100</f>
        <v>43.59</v>
      </c>
      <c r="F168" s="49">
        <f>VLOOKUP($A168,'Data shares'!$C:$FA,129)</f>
        <v>46746450</v>
      </c>
    </row>
    <row r="169" spans="1:6" x14ac:dyDescent="0.25">
      <c r="A169" t="s">
        <v>252</v>
      </c>
      <c r="B169">
        <v>117640832</v>
      </c>
      <c r="C169">
        <v>52456000</v>
      </c>
      <c r="D169" s="17">
        <f t="shared" si="3"/>
        <v>52456000</v>
      </c>
      <c r="E169" s="49">
        <f>VLOOKUP($A169,'Data shares'!$C:$FA,128)*100</f>
        <v>67.69</v>
      </c>
      <c r="F169" s="49">
        <f>VLOOKUP($A169,'Data shares'!$C:$FA,129)</f>
        <v>4983400</v>
      </c>
    </row>
    <row r="170" spans="1:6" x14ac:dyDescent="0.25">
      <c r="A170" t="s">
        <v>205</v>
      </c>
      <c r="B170">
        <v>25513876</v>
      </c>
      <c r="C170">
        <v>3302300</v>
      </c>
      <c r="D170" s="17">
        <f t="shared" si="3"/>
        <v>3302300</v>
      </c>
      <c r="E170" s="49">
        <f>VLOOKUP($A170,'Data shares'!$C:$FA,128)*100</f>
        <v>63.01</v>
      </c>
      <c r="F170" s="49">
        <f>VLOOKUP($A170,'Data shares'!$C:$FA,129)</f>
        <v>1080200</v>
      </c>
    </row>
    <row r="171" spans="1:6" x14ac:dyDescent="0.25">
      <c r="A171" t="s">
        <v>194</v>
      </c>
      <c r="B171">
        <v>202646440</v>
      </c>
      <c r="C171">
        <v>52470000</v>
      </c>
      <c r="D171" s="17">
        <f t="shared" si="3"/>
        <v>52470000</v>
      </c>
      <c r="E171" s="49">
        <f>VLOOKUP($A171,'Data shares'!$C:$FA,128)*100</f>
        <v>41.410000000000004</v>
      </c>
      <c r="F171" s="49">
        <f>VLOOKUP($A171,'Data shares'!$C:$FA,129)</f>
        <v>8073800</v>
      </c>
    </row>
    <row r="172" spans="1:6" x14ac:dyDescent="0.25">
      <c r="A172" t="s">
        <v>263</v>
      </c>
      <c r="B172">
        <v>178967755</v>
      </c>
      <c r="C172">
        <v>142910500</v>
      </c>
      <c r="D172" s="17">
        <f t="shared" si="3"/>
        <v>142910500</v>
      </c>
      <c r="E172" s="49">
        <f>VLOOKUP($A172,'Data shares'!$C:$FA,128)*100</f>
        <v>60.589999999999996</v>
      </c>
      <c r="F172" s="49">
        <f>VLOOKUP($A172,'Data shares'!$C:$FA,129)</f>
        <v>17306250</v>
      </c>
    </row>
    <row r="173" spans="1:6" x14ac:dyDescent="0.25">
      <c r="A173" t="s">
        <v>476</v>
      </c>
      <c r="B173">
        <v>40446155</v>
      </c>
      <c r="C173">
        <v>4358800</v>
      </c>
      <c r="D173" s="17">
        <f t="shared" si="3"/>
        <v>4358800</v>
      </c>
      <c r="E173" s="49">
        <f>VLOOKUP($A173,'Data shares'!$C:$FA,128)*100</f>
        <v>50.32</v>
      </c>
      <c r="F173" s="49">
        <f>VLOOKUP($A173,'Data shares'!$C:$FA,129)</f>
        <v>986000</v>
      </c>
    </row>
    <row r="174" spans="1:6" x14ac:dyDescent="0.25">
      <c r="A174" t="s">
        <v>187</v>
      </c>
      <c r="B174">
        <v>51436398</v>
      </c>
      <c r="C174">
        <v>7413750</v>
      </c>
      <c r="D174" s="17">
        <f t="shared" si="3"/>
        <v>7413750</v>
      </c>
      <c r="E174" s="49">
        <f>VLOOKUP($A174,'Data shares'!$C:$FA,128)*100</f>
        <v>57.550000000000004</v>
      </c>
      <c r="F174" s="49">
        <f>VLOOKUP($A174,'Data shares'!$C:$FA,129)</f>
        <v>1712000</v>
      </c>
    </row>
    <row r="175" spans="1:6" x14ac:dyDescent="0.25">
      <c r="A175" t="s">
        <v>493</v>
      </c>
      <c r="B175">
        <v>14814614</v>
      </c>
      <c r="C175">
        <v>3344250</v>
      </c>
      <c r="D175" s="17">
        <f t="shared" si="3"/>
        <v>3344250</v>
      </c>
      <c r="E175" s="49">
        <f>VLOOKUP($A175,'Data shares'!$C:$FA,128)*100</f>
        <v>48.28</v>
      </c>
      <c r="F175" s="49">
        <f>VLOOKUP($A175,'Data shares'!$C:$FA,129)</f>
        <v>671450</v>
      </c>
    </row>
    <row r="176" spans="1:6" x14ac:dyDescent="0.25">
      <c r="A176" t="s">
        <v>525</v>
      </c>
      <c r="B176">
        <v>35635456</v>
      </c>
      <c r="C176">
        <v>28959300</v>
      </c>
      <c r="D176" s="17">
        <f t="shared" si="3"/>
        <v>28959300</v>
      </c>
      <c r="E176" s="49">
        <f>VLOOKUP($A176,'Data shares'!$C:$FA,128)*100</f>
        <v>54.49</v>
      </c>
      <c r="F176" s="49">
        <f>VLOOKUP($A176,'Data shares'!$C:$FA,129)</f>
        <v>5978075</v>
      </c>
    </row>
    <row r="177" spans="1:6" x14ac:dyDescent="0.25">
      <c r="A177" t="s">
        <v>512</v>
      </c>
      <c r="B177">
        <v>7771646</v>
      </c>
      <c r="C177">
        <v>1119375</v>
      </c>
      <c r="D177" s="17">
        <f t="shared" si="3"/>
        <v>1119375</v>
      </c>
      <c r="E177" s="49">
        <f>VLOOKUP($A177,'Data shares'!$C:$FA,128)*100</f>
        <v>45.48</v>
      </c>
      <c r="F177" s="49">
        <f>VLOOKUP($A177,'Data shares'!$C:$FA,129)</f>
        <v>1072150</v>
      </c>
    </row>
    <row r="178" spans="1:6" x14ac:dyDescent="0.25">
      <c r="A178" t="s">
        <v>233</v>
      </c>
      <c r="B178">
        <v>76432837</v>
      </c>
      <c r="C178">
        <v>9804000</v>
      </c>
      <c r="D178" s="17">
        <f t="shared" si="3"/>
        <v>9804000</v>
      </c>
      <c r="E178" s="49">
        <f>VLOOKUP($A178,'Data shares'!$C:$FA,128)*100</f>
        <v>61.82</v>
      </c>
      <c r="F178" s="49">
        <f>VLOOKUP($A178,'Data shares'!$C:$FA,129)</f>
        <v>3228250</v>
      </c>
    </row>
    <row r="179" spans="1:6" x14ac:dyDescent="0.25">
      <c r="A179" t="s">
        <v>183</v>
      </c>
      <c r="B179">
        <v>12092405</v>
      </c>
      <c r="C179">
        <v>2606450</v>
      </c>
      <c r="D179" s="17">
        <f t="shared" si="3"/>
        <v>2606450</v>
      </c>
      <c r="E179" s="49">
        <f>VLOOKUP($A179,'Data shares'!$C:$FA,128)*100</f>
        <v>41.38</v>
      </c>
      <c r="F179" s="49">
        <f>VLOOKUP($A179,'Data shares'!$C:$FA,129)</f>
        <v>466710</v>
      </c>
    </row>
    <row r="180" spans="1:6" x14ac:dyDescent="0.25">
      <c r="A180" t="s">
        <v>280</v>
      </c>
      <c r="B180">
        <v>187084550</v>
      </c>
      <c r="C180">
        <v>50568000</v>
      </c>
      <c r="D180" s="17">
        <f t="shared" si="3"/>
        <v>50568000</v>
      </c>
      <c r="E180" s="49">
        <f>VLOOKUP($A180,'Data shares'!$C:$FA,128)*100</f>
        <v>48.05</v>
      </c>
      <c r="F180" s="49">
        <f>VLOOKUP($A180,'Data shares'!$C:$FA,129)</f>
        <v>32638200</v>
      </c>
    </row>
    <row r="181" spans="1:6" x14ac:dyDescent="0.25">
      <c r="A181" t="s">
        <v>166</v>
      </c>
      <c r="B181">
        <v>79597108</v>
      </c>
      <c r="C181">
        <v>26630000</v>
      </c>
      <c r="D181" s="17">
        <f t="shared" si="3"/>
        <v>26630000</v>
      </c>
      <c r="E181" s="49">
        <f>VLOOKUP($A181,'Data shares'!$C:$FA,128)*100</f>
        <v>48.92</v>
      </c>
      <c r="F181" s="49">
        <f>VLOOKUP($A181,'Data shares'!$C:$FA,129)</f>
        <v>860625</v>
      </c>
    </row>
    <row r="182" spans="1:6" x14ac:dyDescent="0.25">
      <c r="A182" t="s">
        <v>241</v>
      </c>
      <c r="B182">
        <v>913205148</v>
      </c>
      <c r="C182">
        <v>118527500</v>
      </c>
      <c r="D182" s="17">
        <f t="shared" si="3"/>
        <v>118527500</v>
      </c>
      <c r="E182" s="49">
        <f>VLOOKUP($A182,'Data shares'!$C:$FA,128)*100</f>
        <v>52.09</v>
      </c>
      <c r="F182" s="49">
        <f>VLOOKUP($A182,'Data shares'!$C:$FA,129)</f>
        <v>25876500</v>
      </c>
    </row>
    <row r="183" spans="1:6" x14ac:dyDescent="0.25">
      <c r="A183" t="s">
        <v>517</v>
      </c>
      <c r="B183">
        <v>10180563</v>
      </c>
      <c r="C183">
        <v>3926650</v>
      </c>
      <c r="D183" s="17">
        <f t="shared" si="3"/>
        <v>3926650</v>
      </c>
      <c r="E183" s="49">
        <f>VLOOKUP($A183,'Data shares'!$C:$FA,128)*100</f>
        <v>65.95</v>
      </c>
      <c r="F183" s="49">
        <f>VLOOKUP($A183,'Data shares'!$C:$FA,129)</f>
        <v>4751875</v>
      </c>
    </row>
    <row r="184" spans="1:6" x14ac:dyDescent="0.25">
      <c r="A184" t="s">
        <v>211</v>
      </c>
      <c r="B184">
        <v>91809066</v>
      </c>
      <c r="C184">
        <v>33516000</v>
      </c>
      <c r="D184" s="17">
        <f t="shared" si="3"/>
        <v>33516000</v>
      </c>
      <c r="E184" s="49">
        <f>VLOOKUP($A184,'Data shares'!$C:$FA,128)*100</f>
        <v>48.480000000000004</v>
      </c>
      <c r="F184" s="49">
        <f>VLOOKUP($A184,'Data shares'!$C:$FA,129)</f>
        <v>10175400</v>
      </c>
    </row>
    <row r="185" spans="1:6" x14ac:dyDescent="0.25">
      <c r="A185" t="s">
        <v>518</v>
      </c>
      <c r="B185">
        <v>4636018</v>
      </c>
      <c r="C185">
        <v>608375</v>
      </c>
      <c r="D185" s="17">
        <f t="shared" si="3"/>
        <v>608375</v>
      </c>
      <c r="E185" s="49">
        <f>VLOOKUP($A185,'Data shares'!$C:$FA,128)*100</f>
        <v>61.240000000000009</v>
      </c>
      <c r="F185" s="49">
        <f>VLOOKUP($A185,'Data shares'!$C:$FA,129)</f>
        <v>762900</v>
      </c>
    </row>
    <row r="186" spans="1:6" x14ac:dyDescent="0.25">
      <c r="A186" t="s">
        <v>511</v>
      </c>
      <c r="B186">
        <v>18644752</v>
      </c>
      <c r="C186">
        <v>4227600</v>
      </c>
      <c r="D186" s="17">
        <f t="shared" si="3"/>
        <v>4227600</v>
      </c>
      <c r="E186" s="49">
        <f>VLOOKUP($A186,'Data shares'!$C:$FA,128)*100</f>
        <v>63.749999999999993</v>
      </c>
      <c r="F186" s="49">
        <f>VLOOKUP($A186,'Data shares'!$C:$FA,129)</f>
        <v>74121750</v>
      </c>
    </row>
    <row r="187" spans="1:6" x14ac:dyDescent="0.25">
      <c r="A187" t="s">
        <v>186</v>
      </c>
      <c r="B187">
        <v>48589957</v>
      </c>
      <c r="C187">
        <v>5942200</v>
      </c>
      <c r="D187" s="17">
        <f t="shared" si="3"/>
        <v>5942200</v>
      </c>
      <c r="E187" s="49">
        <f>VLOOKUP($A187,'Data shares'!$C:$FA,128)*100</f>
        <v>52.300000000000004</v>
      </c>
      <c r="F187" s="49">
        <f>VLOOKUP($A187,'Data shares'!$C:$FA,129)</f>
        <v>36599700</v>
      </c>
    </row>
    <row r="188" spans="1:6" x14ac:dyDescent="0.25">
      <c r="A188" t="s">
        <v>522</v>
      </c>
      <c r="B188">
        <v>1063050</v>
      </c>
      <c r="C188">
        <v>54050</v>
      </c>
      <c r="D188" s="17">
        <f t="shared" si="3"/>
        <v>54050</v>
      </c>
      <c r="E188" s="49">
        <f>VLOOKUP($A188,'Data shares'!$C:$FA,128)*100</f>
        <v>60.97</v>
      </c>
      <c r="F188" s="49">
        <f>VLOOKUP($A188,'Data shares'!$C:$FA,129)</f>
        <v>1002000</v>
      </c>
    </row>
    <row r="189" spans="1:6" x14ac:dyDescent="0.25">
      <c r="A189" t="s">
        <v>300</v>
      </c>
      <c r="B189">
        <v>45360865</v>
      </c>
      <c r="C189">
        <v>14277200</v>
      </c>
      <c r="D189" s="17">
        <f t="shared" si="3"/>
        <v>14277200</v>
      </c>
      <c r="E189" s="49">
        <f>VLOOKUP($A189,'Data shares'!$C:$FA,128)*100</f>
        <v>59.930000000000007</v>
      </c>
      <c r="F189" s="49">
        <f>VLOOKUP($A189,'Data shares'!$C:$FA,129)</f>
        <v>2537850</v>
      </c>
    </row>
    <row r="190" spans="1:6" x14ac:dyDescent="0.25">
      <c r="A190" t="s">
        <v>520</v>
      </c>
      <c r="B190">
        <v>23139622</v>
      </c>
      <c r="C190">
        <v>1555500</v>
      </c>
      <c r="D190" s="17">
        <f t="shared" si="3"/>
        <v>1555500</v>
      </c>
      <c r="E190" s="49">
        <f>VLOOKUP($A190,'Data shares'!$C:$FA,128)*100</f>
        <v>60.57</v>
      </c>
      <c r="F190" s="49">
        <f>VLOOKUP($A190,'Data shares'!$C:$FA,129)</f>
        <v>2101000</v>
      </c>
    </row>
    <row r="191" spans="1:6" x14ac:dyDescent="0.25">
      <c r="A191" t="s">
        <v>294</v>
      </c>
      <c r="B191">
        <v>161436977</v>
      </c>
      <c r="C191">
        <v>59382700</v>
      </c>
      <c r="D191" s="17">
        <f t="shared" si="3"/>
        <v>59382700</v>
      </c>
      <c r="E191" s="49">
        <f>VLOOKUP($A191,'Data shares'!$C:$FA,128)*100</f>
        <v>58.379999999999995</v>
      </c>
      <c r="F191" s="49">
        <f>VLOOKUP($A191,'Data shares'!$C:$FA,129)</f>
        <v>83798000</v>
      </c>
    </row>
    <row r="192" spans="1:6" x14ac:dyDescent="0.25">
      <c r="A192" t="s">
        <v>244</v>
      </c>
      <c r="B192">
        <v>265685393</v>
      </c>
      <c r="C192">
        <v>44023500</v>
      </c>
      <c r="D192" s="17">
        <f t="shared" si="3"/>
        <v>44023500</v>
      </c>
      <c r="E192" s="49">
        <f>VLOOKUP($A192,'Data shares'!$C:$FA,128)*100</f>
        <v>58.63</v>
      </c>
      <c r="F192" s="49">
        <f>VLOOKUP($A192,'Data shares'!$C:$FA,129)</f>
        <v>15809850</v>
      </c>
    </row>
    <row r="193" spans="1:6" x14ac:dyDescent="0.25">
      <c r="A193" t="s">
        <v>160</v>
      </c>
      <c r="B193">
        <v>145684825</v>
      </c>
      <c r="C193">
        <v>110820000</v>
      </c>
      <c r="D193" s="17">
        <f t="shared" si="3"/>
        <v>110820000</v>
      </c>
      <c r="E193" s="49">
        <f>VLOOKUP($A193,'Data shares'!$C:$FA,128)*100</f>
        <v>58.41</v>
      </c>
      <c r="F193" s="49">
        <f>VLOOKUP($A193,'Data shares'!$C:$FA,129)</f>
        <v>6305625</v>
      </c>
    </row>
    <row r="194" spans="1:6" x14ac:dyDescent="0.25">
      <c r="A194" t="s">
        <v>496</v>
      </c>
      <c r="B194">
        <v>11999202</v>
      </c>
      <c r="C194">
        <v>2345700</v>
      </c>
      <c r="D194" s="17">
        <f t="shared" si="3"/>
        <v>2345700</v>
      </c>
      <c r="E194" s="49">
        <f>VLOOKUP($A194,'Data shares'!$C:$FA,128)*100</f>
        <v>40.239999999999995</v>
      </c>
      <c r="F194" s="49">
        <f>VLOOKUP($A194,'Data shares'!$C:$FA,129)</f>
        <v>3473400</v>
      </c>
    </row>
    <row r="195" spans="1:6" x14ac:dyDescent="0.25">
      <c r="A195" t="s">
        <v>230</v>
      </c>
      <c r="B195">
        <v>179034270</v>
      </c>
      <c r="C195">
        <v>24257400</v>
      </c>
      <c r="D195" s="17">
        <f t="shared" si="3"/>
        <v>24257400</v>
      </c>
      <c r="E195" s="49">
        <f>VLOOKUP($A195,'Data shares'!$C:$FA,128)*100</f>
        <v>69.710000000000008</v>
      </c>
      <c r="F195" s="49">
        <f>VLOOKUP($A195,'Data shares'!$C:$FA,129)</f>
        <v>5283900</v>
      </c>
    </row>
    <row r="196" spans="1:6" x14ac:dyDescent="0.25">
      <c r="A196" t="s">
        <v>203</v>
      </c>
      <c r="B196">
        <v>27165463</v>
      </c>
      <c r="C196">
        <v>3318000</v>
      </c>
      <c r="D196" s="17">
        <f t="shared" si="3"/>
        <v>3318000</v>
      </c>
      <c r="E196" s="49">
        <f>VLOOKUP($A196,'Data shares'!$C:$FA,128)*100</f>
        <v>61.62</v>
      </c>
      <c r="F196" s="49">
        <f>VLOOKUP($A196,'Data shares'!$C:$FA,129)</f>
        <v>964600</v>
      </c>
    </row>
    <row r="197" spans="1:6" x14ac:dyDescent="0.25">
      <c r="A197" t="s">
        <v>251</v>
      </c>
      <c r="B197">
        <v>184464522</v>
      </c>
      <c r="C197">
        <v>32566800</v>
      </c>
      <c r="D197" s="17">
        <f t="shared" si="3"/>
        <v>32566800</v>
      </c>
      <c r="E197" s="49">
        <f>VLOOKUP($A197,'Data shares'!$C:$FA,128)*100</f>
        <v>67.69</v>
      </c>
      <c r="F197" s="49">
        <f>VLOOKUP($A197,'Data shares'!$C:$FA,129)</f>
        <v>4983400</v>
      </c>
    </row>
    <row r="198" spans="1:6" x14ac:dyDescent="0.25">
      <c r="A198" t="s">
        <v>254</v>
      </c>
      <c r="B198">
        <v>104419539</v>
      </c>
      <c r="C198">
        <v>12741000</v>
      </c>
      <c r="D198" s="17">
        <f t="shared" si="3"/>
        <v>12741000</v>
      </c>
      <c r="E198" s="49">
        <f>VLOOKUP($A198,'Data shares'!$C:$FA,128)*100</f>
        <v>61.73</v>
      </c>
      <c r="F198" s="49">
        <f>VLOOKUP($A198,'Data shares'!$C:$FA,129)</f>
        <v>8131200</v>
      </c>
    </row>
    <row r="199" spans="1:6" x14ac:dyDescent="0.25">
      <c r="A199" t="s">
        <v>159</v>
      </c>
      <c r="B199">
        <v>55169320</v>
      </c>
      <c r="C199">
        <v>29565500</v>
      </c>
      <c r="D199" s="17">
        <f t="shared" si="3"/>
        <v>29565500</v>
      </c>
      <c r="E199" s="49">
        <f>VLOOKUP($A199,'Data shares'!$C:$FA,128)*100</f>
        <v>52.910000000000004</v>
      </c>
      <c r="F199" s="49">
        <f>VLOOKUP($A199,'Data shares'!$C:$FA,129)</f>
        <v>7970346</v>
      </c>
    </row>
    <row r="200" spans="1:6" x14ac:dyDescent="0.25">
      <c r="A200" t="s">
        <v>201</v>
      </c>
      <c r="B200">
        <v>26654592</v>
      </c>
      <c r="C200">
        <v>3469200</v>
      </c>
      <c r="D200" s="17">
        <f t="shared" si="3"/>
        <v>3469200</v>
      </c>
      <c r="E200" s="49">
        <f>VLOOKUP($A200,'Data shares'!$C:$FA,128)*100</f>
        <v>54.47</v>
      </c>
      <c r="F200" s="49">
        <f>VLOOKUP($A200,'Data shares'!$C:$FA,129)</f>
        <v>2007900</v>
      </c>
    </row>
    <row r="201" spans="1:6" x14ac:dyDescent="0.25">
      <c r="A201" t="s">
        <v>199</v>
      </c>
      <c r="B201">
        <v>102562642</v>
      </c>
      <c r="C201">
        <v>20641400</v>
      </c>
      <c r="D201" s="17">
        <f t="shared" si="3"/>
        <v>20641400</v>
      </c>
      <c r="E201" s="49">
        <f>VLOOKUP($A201,'Data shares'!$C:$FA,128)*100</f>
        <v>57.75</v>
      </c>
      <c r="F201" s="49">
        <f>VLOOKUP($A201,'Data shares'!$C:$FA,129)</f>
        <v>4824000</v>
      </c>
    </row>
    <row r="202" spans="1:6" x14ac:dyDescent="0.25">
      <c r="A202" t="s">
        <v>296</v>
      </c>
      <c r="B202">
        <v>124861039</v>
      </c>
      <c r="C202">
        <v>20543400</v>
      </c>
      <c r="D202" s="17">
        <f t="shared" si="3"/>
        <v>20543400</v>
      </c>
      <c r="E202" s="49">
        <f>VLOOKUP($A202,'Data shares'!$C:$FA,128)*100</f>
        <v>58.620000000000005</v>
      </c>
      <c r="F202" s="49">
        <f>VLOOKUP($A202,'Data shares'!$C:$FA,129)</f>
        <v>4888200</v>
      </c>
    </row>
    <row r="203" spans="1:6" x14ac:dyDescent="0.25">
      <c r="A203" t="s">
        <v>229</v>
      </c>
      <c r="B203">
        <v>127940594</v>
      </c>
      <c r="C203">
        <v>33552900</v>
      </c>
      <c r="D203" s="17">
        <f t="shared" si="3"/>
        <v>33552900</v>
      </c>
      <c r="E203" s="49">
        <f>VLOOKUP($A203,'Data shares'!$C:$FA,128)*100</f>
        <v>42.04</v>
      </c>
      <c r="F203" s="49">
        <f>VLOOKUP($A203,'Data shares'!$C:$FA,129)</f>
        <v>7692975</v>
      </c>
    </row>
    <row r="204" spans="1:6" x14ac:dyDescent="0.25">
      <c r="A204" t="s">
        <v>497</v>
      </c>
      <c r="B204">
        <v>10251929</v>
      </c>
      <c r="C204">
        <v>266200</v>
      </c>
      <c r="D204" s="17">
        <f t="shared" si="3"/>
        <v>266200</v>
      </c>
      <c r="E204" s="49">
        <f>VLOOKUP($A204,'Data shares'!$C:$FA,128)*100</f>
        <v>50.07</v>
      </c>
      <c r="F204" s="49">
        <f>VLOOKUP($A204,'Data shares'!$C:$FA,129)</f>
        <v>255875</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D10" sqref="D10"/>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topLeftCell="A16" zoomScale="87" zoomScaleNormal="87" workbookViewId="0"/>
  </sheetViews>
  <sheetFormatPr defaultRowHeight="15" x14ac:dyDescent="0.25"/>
  <cols>
    <col min="1" max="1" width="11.85546875" bestFit="1" customWidth="1"/>
    <col min="2" max="2" width="16.42578125" bestFit="1" customWidth="1"/>
    <col min="3" max="3" width="16.710937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85546875"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4" bestFit="1" customWidth="1"/>
    <col min="82" max="82" width="11.42578125" bestFit="1" customWidth="1"/>
    <col min="83" max="83" width="14.28515625" bestFit="1" customWidth="1"/>
    <col min="84" max="84" width="14.42578125" bestFit="1" customWidth="1"/>
    <col min="85" max="85" width="14.28515625" bestFit="1" customWidth="1"/>
    <col min="86" max="86" width="11.42578125" bestFit="1" customWidth="1"/>
    <col min="87" max="88" width="13.140625" bestFit="1" customWidth="1"/>
    <col min="89" max="89" width="11.5703125" bestFit="1" customWidth="1"/>
    <col min="90" max="90" width="9.7109375" bestFit="1" customWidth="1"/>
    <col min="91" max="92" width="14.28515625" bestFit="1" customWidth="1"/>
    <col min="93" max="93" width="14" bestFit="1" customWidth="1"/>
    <col min="94" max="94" width="10.42578125" bestFit="1" customWidth="1"/>
    <col min="95" max="96" width="14.28515625" bestFit="1" customWidth="1"/>
    <col min="97" max="97" width="14" bestFit="1" customWidth="1"/>
    <col min="98" max="98" width="10.28515625" bestFit="1" customWidth="1"/>
    <col min="99" max="99" width="14.28515625" bestFit="1" customWidth="1"/>
    <col min="100" max="100" width="14.7109375" bestFit="1" customWidth="1"/>
    <col min="101" max="101" width="14" bestFit="1" customWidth="1"/>
    <col min="102" max="102" width="11.7109375" bestFit="1" customWidth="1"/>
    <col min="103" max="103" width="8.140625" bestFit="1" customWidth="1"/>
    <col min="104" max="104" width="8.85546875" bestFit="1" customWidth="1"/>
    <col min="105" max="106" width="9"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46044</v>
      </c>
      <c r="B2" s="227" t="s">
        <v>215</v>
      </c>
      <c r="C2" s="227" t="s">
        <v>159</v>
      </c>
      <c r="D2" s="231">
        <v>2087.1999999999998</v>
      </c>
      <c r="E2" s="231">
        <v>2035.1</v>
      </c>
      <c r="F2" s="228">
        <v>52.1</v>
      </c>
      <c r="G2" s="229">
        <v>2.5600000000000001E-2</v>
      </c>
      <c r="H2" s="231">
        <v>2086.4</v>
      </c>
      <c r="I2" s="231">
        <v>2032.2</v>
      </c>
      <c r="J2" s="228">
        <v>54.2</v>
      </c>
      <c r="K2" s="229">
        <v>2.6700000000000002E-2</v>
      </c>
      <c r="L2" s="231">
        <v>2087.1999999999998</v>
      </c>
      <c r="M2" s="231">
        <v>2035.1</v>
      </c>
      <c r="N2" s="228">
        <v>52.1</v>
      </c>
      <c r="O2" s="229">
        <v>2.5600000000000001E-2</v>
      </c>
      <c r="P2" s="231">
        <v>2088.3000000000002</v>
      </c>
      <c r="Q2" s="231">
        <v>2038.7</v>
      </c>
      <c r="R2" s="228">
        <v>49.6</v>
      </c>
      <c r="S2" s="229">
        <v>2.4299999999999999E-2</v>
      </c>
      <c r="T2" s="231">
        <v>2092.8000000000002</v>
      </c>
      <c r="U2" s="231">
        <v>2042.6</v>
      </c>
      <c r="V2" s="228">
        <v>50.2</v>
      </c>
      <c r="W2" s="229">
        <v>2.46E-2</v>
      </c>
      <c r="X2" s="228">
        <v>0.8</v>
      </c>
      <c r="Y2" s="228">
        <v>2.9</v>
      </c>
      <c r="Z2" s="228">
        <v>-2.1</v>
      </c>
      <c r="AA2" s="229">
        <v>4.0000000000000002E-4</v>
      </c>
      <c r="AB2" s="228">
        <v>0.8</v>
      </c>
      <c r="AC2" s="228">
        <v>2.9</v>
      </c>
      <c r="AD2" s="228">
        <v>-2.1</v>
      </c>
      <c r="AE2" s="229">
        <v>4.0000000000000002E-4</v>
      </c>
      <c r="AF2" s="228">
        <v>1.9</v>
      </c>
      <c r="AG2" s="228">
        <v>6.5</v>
      </c>
      <c r="AH2" s="228">
        <v>-4.5999999999999996</v>
      </c>
      <c r="AI2" s="229">
        <v>8.9999999999999998E-4</v>
      </c>
      <c r="AJ2" s="228">
        <v>6.4</v>
      </c>
      <c r="AK2" s="228">
        <v>10.4</v>
      </c>
      <c r="AL2" s="228">
        <v>-4</v>
      </c>
      <c r="AM2" s="229">
        <v>3.0999999999999999E-3</v>
      </c>
      <c r="AN2" s="231">
        <v>2080.86</v>
      </c>
      <c r="AO2" s="231">
        <v>2083.0500000000002</v>
      </c>
      <c r="AP2" s="228">
        <v>0</v>
      </c>
      <c r="AQ2" s="230">
        <v>33943</v>
      </c>
      <c r="AR2" s="230">
        <v>34572</v>
      </c>
      <c r="AS2" s="228">
        <v>-629</v>
      </c>
      <c r="AT2" s="229">
        <v>-1.8200000000000001E-2</v>
      </c>
      <c r="AU2" s="230">
        <v>18069</v>
      </c>
      <c r="AV2" s="230">
        <v>18153</v>
      </c>
      <c r="AW2" s="228">
        <v>-84</v>
      </c>
      <c r="AX2" s="229">
        <v>-4.5999999999999999E-3</v>
      </c>
      <c r="AY2" s="230">
        <v>15587</v>
      </c>
      <c r="AZ2" s="230">
        <v>16035</v>
      </c>
      <c r="BA2" s="228">
        <v>-448</v>
      </c>
      <c r="BB2" s="229">
        <v>-2.7900000000000001E-2</v>
      </c>
      <c r="BC2" s="228">
        <v>287</v>
      </c>
      <c r="BD2" s="228">
        <v>384</v>
      </c>
      <c r="BE2" s="228">
        <v>-97</v>
      </c>
      <c r="BF2" s="229">
        <v>-0.25259999999999999</v>
      </c>
      <c r="BG2" s="230">
        <v>63550</v>
      </c>
      <c r="BH2" s="230">
        <v>65031</v>
      </c>
      <c r="BI2" s="230">
        <v>-1481</v>
      </c>
      <c r="BJ2" s="229">
        <v>-2.2800000000000001E-2</v>
      </c>
      <c r="BK2" s="230">
        <v>29451</v>
      </c>
      <c r="BL2" s="230">
        <v>33797</v>
      </c>
      <c r="BM2" s="230">
        <v>-4346</v>
      </c>
      <c r="BN2" s="229">
        <v>-0.12859999999999999</v>
      </c>
      <c r="BO2" s="230">
        <v>126944</v>
      </c>
      <c r="BP2" s="230">
        <v>133400</v>
      </c>
      <c r="BQ2" s="230">
        <v>-6456</v>
      </c>
      <c r="BR2" s="229">
        <v>-4.8399999999999999E-2</v>
      </c>
      <c r="BS2" s="230">
        <v>1004035</v>
      </c>
      <c r="BT2" s="230">
        <v>1436422</v>
      </c>
      <c r="BU2" s="230">
        <v>-432387</v>
      </c>
      <c r="BV2" s="229">
        <v>-0.30099999999999999</v>
      </c>
      <c r="BW2" s="230">
        <v>21037029</v>
      </c>
      <c r="BX2" s="230">
        <v>21381564</v>
      </c>
      <c r="BY2" s="230">
        <v>-344535</v>
      </c>
      <c r="BZ2" s="229">
        <v>-1.61E-2</v>
      </c>
      <c r="CA2" s="230">
        <v>9905922</v>
      </c>
      <c r="CB2" s="230">
        <v>13411218</v>
      </c>
      <c r="CC2" s="230">
        <v>-3505296</v>
      </c>
      <c r="CD2" s="229">
        <v>-0.26140000000000002</v>
      </c>
      <c r="CE2" s="230">
        <v>10700361</v>
      </c>
      <c r="CF2" s="230">
        <v>7565865</v>
      </c>
      <c r="CG2" s="230">
        <v>3134496</v>
      </c>
      <c r="CH2" s="229">
        <v>0.4143</v>
      </c>
      <c r="CI2" s="230">
        <v>430746</v>
      </c>
      <c r="CJ2" s="230">
        <v>404481</v>
      </c>
      <c r="CK2" s="230">
        <v>26265</v>
      </c>
      <c r="CL2" s="229">
        <v>6.4899999999999999E-2</v>
      </c>
      <c r="CM2" s="230">
        <v>9751113</v>
      </c>
      <c r="CN2" s="230">
        <v>10229754</v>
      </c>
      <c r="CO2" s="230">
        <v>-478641</v>
      </c>
      <c r="CP2" s="229">
        <v>-4.6800000000000001E-2</v>
      </c>
      <c r="CQ2" s="230">
        <v>7586568</v>
      </c>
      <c r="CR2" s="230">
        <v>7477182</v>
      </c>
      <c r="CS2" s="230">
        <v>109386</v>
      </c>
      <c r="CT2" s="229">
        <v>1.46E-2</v>
      </c>
      <c r="CU2" s="230">
        <v>38374710</v>
      </c>
      <c r="CV2" s="230">
        <v>39088500</v>
      </c>
      <c r="CW2" s="230">
        <v>-713790</v>
      </c>
      <c r="CX2" s="229">
        <v>-1.83E-2</v>
      </c>
      <c r="CY2" s="228">
        <v>32.909999999999997</v>
      </c>
      <c r="CZ2" s="228">
        <v>34.479999999999997</v>
      </c>
      <c r="DA2" s="228">
        <v>-1.57</v>
      </c>
      <c r="DB2" s="228">
        <v>-1.57</v>
      </c>
      <c r="DC2" s="228">
        <v>44.98</v>
      </c>
      <c r="DD2" s="228">
        <v>44.96</v>
      </c>
      <c r="DE2" s="228">
        <v>-12.07</v>
      </c>
      <c r="DF2" s="228">
        <v>0.02</v>
      </c>
      <c r="DG2" s="228">
        <v>33.049999999999997</v>
      </c>
      <c r="DH2" s="228">
        <v>35.64</v>
      </c>
      <c r="DI2" s="228">
        <v>-2.59</v>
      </c>
      <c r="DJ2" s="228">
        <v>-2.59</v>
      </c>
      <c r="DK2" s="228">
        <v>32.659999999999997</v>
      </c>
      <c r="DL2" s="228">
        <v>32.24</v>
      </c>
      <c r="DM2" s="228">
        <v>0.42</v>
      </c>
      <c r="DN2" s="228">
        <v>0.42</v>
      </c>
      <c r="DO2" s="228">
        <v>0.78</v>
      </c>
      <c r="DP2" s="228">
        <v>0.73</v>
      </c>
      <c r="DQ2" s="228">
        <v>0.05</v>
      </c>
      <c r="DR2" s="229">
        <v>6.8500000000000005E-2</v>
      </c>
      <c r="DS2" s="231">
        <v>2200</v>
      </c>
      <c r="DT2" s="231">
        <v>2200</v>
      </c>
      <c r="DU2" s="228">
        <v>0.46</v>
      </c>
      <c r="DV2" s="228">
        <v>0.52</v>
      </c>
      <c r="DW2" s="228">
        <v>-0.06</v>
      </c>
      <c r="DX2" s="229">
        <v>-0.1154</v>
      </c>
      <c r="DY2" s="229">
        <v>0.52910000000000001</v>
      </c>
      <c r="DZ2" s="230">
        <v>7970346</v>
      </c>
      <c r="EA2" s="229">
        <v>5.0000000000000001E-4</v>
      </c>
      <c r="EB2" s="229">
        <v>0.52910000000000001</v>
      </c>
      <c r="EC2" s="228">
        <v>2.19</v>
      </c>
      <c r="ED2" s="229">
        <v>1.1000000000000001E-3</v>
      </c>
      <c r="EE2" s="230">
        <v>288182</v>
      </c>
      <c r="EF2" s="230">
        <v>375735</v>
      </c>
      <c r="EG2" s="229">
        <v>-0.23300000000000001</v>
      </c>
      <c r="EH2" s="229">
        <v>0.28699999999999998</v>
      </c>
      <c r="EI2" s="231">
        <v>425699.41</v>
      </c>
      <c r="EJ2" s="231">
        <v>189386.44</v>
      </c>
      <c r="EK2" s="231">
        <v>218360.5</v>
      </c>
      <c r="EL2" s="231">
        <v>19708</v>
      </c>
      <c r="EM2" s="231">
        <v>833446.35</v>
      </c>
      <c r="EN2" s="231">
        <v>867641.44</v>
      </c>
      <c r="EO2" s="231">
        <v>-34195.089999999997</v>
      </c>
      <c r="EP2" s="229">
        <v>-3.9399999999999998E-2</v>
      </c>
      <c r="EQ2" s="231">
        <v>219478</v>
      </c>
      <c r="ER2" s="231">
        <v>165246</v>
      </c>
      <c r="ES2" s="231">
        <v>439227</v>
      </c>
      <c r="ET2" s="231">
        <v>49117354</v>
      </c>
      <c r="EU2" s="231">
        <v>823951</v>
      </c>
      <c r="EV2" s="231">
        <v>828639</v>
      </c>
      <c r="EW2" s="231">
        <v>-4688</v>
      </c>
      <c r="EX2" s="229">
        <v>-5.7000000000000002E-3</v>
      </c>
      <c r="EY2" s="229">
        <v>0.78129999999999999</v>
      </c>
    </row>
    <row r="3" spans="1:155" ht="17.25" thickBot="1" x14ac:dyDescent="0.3">
      <c r="A3" s="226">
        <v>46044</v>
      </c>
      <c r="B3" s="227" t="s">
        <v>215</v>
      </c>
      <c r="C3" s="227" t="s">
        <v>160</v>
      </c>
      <c r="D3" s="231">
        <v>1416</v>
      </c>
      <c r="E3" s="231">
        <v>1377.4</v>
      </c>
      <c r="F3" s="228">
        <v>38.6</v>
      </c>
      <c r="G3" s="229">
        <v>2.8000000000000001E-2</v>
      </c>
      <c r="H3" s="231">
        <v>1414.2</v>
      </c>
      <c r="I3" s="231">
        <v>1378.6</v>
      </c>
      <c r="J3" s="228">
        <v>35.6</v>
      </c>
      <c r="K3" s="229">
        <v>2.58E-2</v>
      </c>
      <c r="L3" s="231">
        <v>1416</v>
      </c>
      <c r="M3" s="231">
        <v>1377.4</v>
      </c>
      <c r="N3" s="228">
        <v>38.6</v>
      </c>
      <c r="O3" s="229">
        <v>2.8000000000000001E-2</v>
      </c>
      <c r="P3" s="231">
        <v>1423.9</v>
      </c>
      <c r="Q3" s="231">
        <v>1384.8</v>
      </c>
      <c r="R3" s="228">
        <v>39.1</v>
      </c>
      <c r="S3" s="229">
        <v>2.8199999999999999E-2</v>
      </c>
      <c r="T3" s="231">
        <v>1435.4</v>
      </c>
      <c r="U3" s="231">
        <v>1394.6</v>
      </c>
      <c r="V3" s="228">
        <v>40.799999999999997</v>
      </c>
      <c r="W3" s="229">
        <v>2.93E-2</v>
      </c>
      <c r="X3" s="228">
        <v>1.8</v>
      </c>
      <c r="Y3" s="228">
        <v>-1.2</v>
      </c>
      <c r="Z3" s="228">
        <v>3</v>
      </c>
      <c r="AA3" s="229">
        <v>1.2999999999999999E-3</v>
      </c>
      <c r="AB3" s="228">
        <v>1.8</v>
      </c>
      <c r="AC3" s="228">
        <v>-1.2</v>
      </c>
      <c r="AD3" s="228">
        <v>3</v>
      </c>
      <c r="AE3" s="229">
        <v>1.2999999999999999E-3</v>
      </c>
      <c r="AF3" s="228">
        <v>9.6999999999999993</v>
      </c>
      <c r="AG3" s="228">
        <v>6.2</v>
      </c>
      <c r="AH3" s="228">
        <v>3.5</v>
      </c>
      <c r="AI3" s="229">
        <v>6.8999999999999999E-3</v>
      </c>
      <c r="AJ3" s="228">
        <v>21.2</v>
      </c>
      <c r="AK3" s="228">
        <v>16</v>
      </c>
      <c r="AL3" s="228">
        <v>5.2</v>
      </c>
      <c r="AM3" s="229">
        <v>1.4999999999999999E-2</v>
      </c>
      <c r="AN3" s="231">
        <v>1409.73</v>
      </c>
      <c r="AO3" s="231">
        <v>1417.19</v>
      </c>
      <c r="AP3" s="228">
        <v>0</v>
      </c>
      <c r="AQ3" s="230">
        <v>46260</v>
      </c>
      <c r="AR3" s="230">
        <v>22200</v>
      </c>
      <c r="AS3" s="230">
        <v>24060</v>
      </c>
      <c r="AT3" s="229">
        <v>1.0838000000000001</v>
      </c>
      <c r="AU3" s="230">
        <v>23211</v>
      </c>
      <c r="AV3" s="230">
        <v>12957</v>
      </c>
      <c r="AW3" s="230">
        <v>10254</v>
      </c>
      <c r="AX3" s="229">
        <v>0.79139999999999999</v>
      </c>
      <c r="AY3" s="230">
        <v>22825</v>
      </c>
      <c r="AZ3" s="230">
        <v>9100</v>
      </c>
      <c r="BA3" s="230">
        <v>13725</v>
      </c>
      <c r="BB3" s="229">
        <v>1.5082</v>
      </c>
      <c r="BC3" s="228">
        <v>224</v>
      </c>
      <c r="BD3" s="228">
        <v>143</v>
      </c>
      <c r="BE3" s="228">
        <v>81</v>
      </c>
      <c r="BF3" s="229">
        <v>0.56640000000000001</v>
      </c>
      <c r="BG3" s="230">
        <v>34447</v>
      </c>
      <c r="BH3" s="230">
        <v>29634</v>
      </c>
      <c r="BI3" s="230">
        <v>4813</v>
      </c>
      <c r="BJ3" s="229">
        <v>0.16239999999999999</v>
      </c>
      <c r="BK3" s="230">
        <v>22251</v>
      </c>
      <c r="BL3" s="230">
        <v>22775</v>
      </c>
      <c r="BM3" s="228">
        <v>-524</v>
      </c>
      <c r="BN3" s="229">
        <v>-2.3E-2</v>
      </c>
      <c r="BO3" s="230">
        <v>102958</v>
      </c>
      <c r="BP3" s="230">
        <v>74609</v>
      </c>
      <c r="BQ3" s="230">
        <v>28349</v>
      </c>
      <c r="BR3" s="229">
        <v>0.38</v>
      </c>
      <c r="BS3" s="230">
        <v>1783614</v>
      </c>
      <c r="BT3" s="230">
        <v>2234310</v>
      </c>
      <c r="BU3" s="230">
        <v>-450696</v>
      </c>
      <c r="BV3" s="229">
        <v>-0.20169999999999999</v>
      </c>
      <c r="BW3" s="230">
        <v>26789050</v>
      </c>
      <c r="BX3" s="230">
        <v>26253725</v>
      </c>
      <c r="BY3" s="230">
        <v>535325</v>
      </c>
      <c r="BZ3" s="229">
        <v>2.0400000000000001E-2</v>
      </c>
      <c r="CA3" s="230">
        <v>11141125</v>
      </c>
      <c r="CB3" s="230">
        <v>19948100</v>
      </c>
      <c r="CC3" s="230">
        <v>-8806975</v>
      </c>
      <c r="CD3" s="229">
        <v>-0.4415</v>
      </c>
      <c r="CE3" s="230">
        <v>15314475</v>
      </c>
      <c r="CF3" s="230">
        <v>6029175</v>
      </c>
      <c r="CG3" s="230">
        <v>9285300</v>
      </c>
      <c r="CH3" s="229">
        <v>1.5401</v>
      </c>
      <c r="CI3" s="230">
        <v>333450</v>
      </c>
      <c r="CJ3" s="230">
        <v>276450</v>
      </c>
      <c r="CK3" s="230">
        <v>57000</v>
      </c>
      <c r="CL3" s="229">
        <v>0.20619999999999999</v>
      </c>
      <c r="CM3" s="230">
        <v>8788450</v>
      </c>
      <c r="CN3" s="230">
        <v>9361775</v>
      </c>
      <c r="CO3" s="230">
        <v>-573325</v>
      </c>
      <c r="CP3" s="229">
        <v>-6.1199999999999997E-2</v>
      </c>
      <c r="CQ3" s="230">
        <v>6004475</v>
      </c>
      <c r="CR3" s="230">
        <v>5903300</v>
      </c>
      <c r="CS3" s="230">
        <v>101175</v>
      </c>
      <c r="CT3" s="229">
        <v>1.7100000000000001E-2</v>
      </c>
      <c r="CU3" s="230">
        <v>41581975</v>
      </c>
      <c r="CV3" s="230">
        <v>41518800</v>
      </c>
      <c r="CW3" s="230">
        <v>63175</v>
      </c>
      <c r="CX3" s="229">
        <v>1.5E-3</v>
      </c>
      <c r="CY3" s="228">
        <v>26.75</v>
      </c>
      <c r="CZ3" s="228">
        <v>25.29</v>
      </c>
      <c r="DA3" s="228">
        <v>1.46</v>
      </c>
      <c r="DB3" s="228">
        <v>1.46</v>
      </c>
      <c r="DC3" s="228">
        <v>34.85</v>
      </c>
      <c r="DD3" s="228">
        <v>34.729999999999997</v>
      </c>
      <c r="DE3" s="228">
        <v>-8.1</v>
      </c>
      <c r="DF3" s="228">
        <v>0.12</v>
      </c>
      <c r="DG3" s="228">
        <v>26.57</v>
      </c>
      <c r="DH3" s="228">
        <v>26.19</v>
      </c>
      <c r="DI3" s="228">
        <v>0.38</v>
      </c>
      <c r="DJ3" s="228">
        <v>0.38</v>
      </c>
      <c r="DK3" s="228">
        <v>27.07</v>
      </c>
      <c r="DL3" s="228">
        <v>24.13</v>
      </c>
      <c r="DM3" s="228">
        <v>2.94</v>
      </c>
      <c r="DN3" s="228">
        <v>2.94</v>
      </c>
      <c r="DO3" s="228">
        <v>0.68</v>
      </c>
      <c r="DP3" s="228">
        <v>0.63</v>
      </c>
      <c r="DQ3" s="228">
        <v>0.05</v>
      </c>
      <c r="DR3" s="229">
        <v>7.9399999999999998E-2</v>
      </c>
      <c r="DS3" s="231">
        <v>1500</v>
      </c>
      <c r="DT3" s="231">
        <v>1400</v>
      </c>
      <c r="DU3" s="228">
        <v>0.65</v>
      </c>
      <c r="DV3" s="228">
        <v>0.77</v>
      </c>
      <c r="DW3" s="228">
        <v>-0.12</v>
      </c>
      <c r="DX3" s="229">
        <v>-0.15579999999999999</v>
      </c>
      <c r="DY3" s="229">
        <v>0.58409999999999995</v>
      </c>
      <c r="DZ3" s="230">
        <v>6305625</v>
      </c>
      <c r="EA3" s="229">
        <v>5.5999999999999999E-3</v>
      </c>
      <c r="EB3" s="229">
        <v>0.58409999999999995</v>
      </c>
      <c r="EC3" s="228">
        <v>7.46</v>
      </c>
      <c r="ED3" s="229">
        <v>5.3E-3</v>
      </c>
      <c r="EE3" s="230">
        <v>870843</v>
      </c>
      <c r="EF3" s="230">
        <v>1089368</v>
      </c>
      <c r="EG3" s="229">
        <v>-0.2006</v>
      </c>
      <c r="EH3" s="229">
        <v>0.48820000000000002</v>
      </c>
      <c r="EI3" s="231">
        <v>239539.43</v>
      </c>
      <c r="EJ3" s="231">
        <v>147142.57</v>
      </c>
      <c r="EK3" s="231">
        <v>310593.96000000002</v>
      </c>
      <c r="EL3" s="231">
        <v>10520</v>
      </c>
      <c r="EM3" s="231">
        <v>697275.96</v>
      </c>
      <c r="EN3" s="231">
        <v>496049.68</v>
      </c>
      <c r="EO3" s="231">
        <v>201226.28</v>
      </c>
      <c r="EP3" s="229">
        <v>0.40570000000000001</v>
      </c>
      <c r="EQ3" s="231">
        <v>131115</v>
      </c>
      <c r="ER3" s="231">
        <v>84151</v>
      </c>
      <c r="ES3" s="231">
        <v>380607</v>
      </c>
      <c r="ET3" s="231">
        <v>84394936</v>
      </c>
      <c r="EU3" s="231">
        <v>595873</v>
      </c>
      <c r="EV3" s="231">
        <v>584257</v>
      </c>
      <c r="EW3" s="231">
        <v>11616</v>
      </c>
      <c r="EX3" s="229">
        <v>1.9900000000000001E-2</v>
      </c>
      <c r="EY3" s="229">
        <v>0.49270000000000003</v>
      </c>
    </row>
    <row r="4" spans="1:155" ht="17.25" thickBot="1" x14ac:dyDescent="0.3">
      <c r="A4" s="226">
        <v>46044</v>
      </c>
      <c r="B4" s="227" t="s">
        <v>170</v>
      </c>
      <c r="C4" s="227" t="s">
        <v>165</v>
      </c>
      <c r="D4" s="231">
        <v>6812.5</v>
      </c>
      <c r="E4" s="231">
        <v>6835</v>
      </c>
      <c r="F4" s="228">
        <v>-22.5</v>
      </c>
      <c r="G4" s="229">
        <v>-3.3E-3</v>
      </c>
      <c r="H4" s="231">
        <v>6797</v>
      </c>
      <c r="I4" s="231">
        <v>6826.5</v>
      </c>
      <c r="J4" s="228">
        <v>-29.5</v>
      </c>
      <c r="K4" s="229">
        <v>-4.3E-3</v>
      </c>
      <c r="L4" s="231">
        <v>6812.5</v>
      </c>
      <c r="M4" s="231">
        <v>6835</v>
      </c>
      <c r="N4" s="228">
        <v>-22.5</v>
      </c>
      <c r="O4" s="229">
        <v>-3.3E-3</v>
      </c>
      <c r="P4" s="231">
        <v>6841.5</v>
      </c>
      <c r="Q4" s="231">
        <v>6862.5</v>
      </c>
      <c r="R4" s="228">
        <v>-21</v>
      </c>
      <c r="S4" s="229">
        <v>-3.0999999999999999E-3</v>
      </c>
      <c r="T4" s="231">
        <v>6890.5</v>
      </c>
      <c r="U4" s="231">
        <v>6912</v>
      </c>
      <c r="V4" s="228">
        <v>-21.5</v>
      </c>
      <c r="W4" s="229">
        <v>-3.0999999999999999E-3</v>
      </c>
      <c r="X4" s="228">
        <v>15.5</v>
      </c>
      <c r="Y4" s="228">
        <v>8.5</v>
      </c>
      <c r="Z4" s="228">
        <v>7</v>
      </c>
      <c r="AA4" s="229">
        <v>2.3E-3</v>
      </c>
      <c r="AB4" s="228">
        <v>15.5</v>
      </c>
      <c r="AC4" s="228">
        <v>8.5</v>
      </c>
      <c r="AD4" s="228">
        <v>7</v>
      </c>
      <c r="AE4" s="229">
        <v>2.3E-3</v>
      </c>
      <c r="AF4" s="228">
        <v>44.5</v>
      </c>
      <c r="AG4" s="228">
        <v>36</v>
      </c>
      <c r="AH4" s="228">
        <v>8.5</v>
      </c>
      <c r="AI4" s="229">
        <v>6.4999999999999997E-3</v>
      </c>
      <c r="AJ4" s="228">
        <v>93.5</v>
      </c>
      <c r="AK4" s="228">
        <v>85.5</v>
      </c>
      <c r="AL4" s="228">
        <v>8</v>
      </c>
      <c r="AM4" s="229">
        <v>1.38E-2</v>
      </c>
      <c r="AN4" s="231">
        <v>6844.6</v>
      </c>
      <c r="AO4" s="231">
        <v>6872.18</v>
      </c>
      <c r="AP4" s="228">
        <v>0</v>
      </c>
      <c r="AQ4" s="230">
        <v>19829</v>
      </c>
      <c r="AR4" s="230">
        <v>14776</v>
      </c>
      <c r="AS4" s="230">
        <v>5053</v>
      </c>
      <c r="AT4" s="229">
        <v>0.34200000000000003</v>
      </c>
      <c r="AU4" s="230">
        <v>9159</v>
      </c>
      <c r="AV4" s="230">
        <v>8142</v>
      </c>
      <c r="AW4" s="230">
        <v>1017</v>
      </c>
      <c r="AX4" s="229">
        <v>0.1249</v>
      </c>
      <c r="AY4" s="230">
        <v>10579</v>
      </c>
      <c r="AZ4" s="230">
        <v>6567</v>
      </c>
      <c r="BA4" s="230">
        <v>4012</v>
      </c>
      <c r="BB4" s="229">
        <v>0.6109</v>
      </c>
      <c r="BC4" s="228">
        <v>91</v>
      </c>
      <c r="BD4" s="228">
        <v>67</v>
      </c>
      <c r="BE4" s="228">
        <v>24</v>
      </c>
      <c r="BF4" s="229">
        <v>0.35820000000000002</v>
      </c>
      <c r="BG4" s="230">
        <v>35732</v>
      </c>
      <c r="BH4" s="230">
        <v>38806</v>
      </c>
      <c r="BI4" s="230">
        <v>-3074</v>
      </c>
      <c r="BJ4" s="229">
        <v>-7.9200000000000007E-2</v>
      </c>
      <c r="BK4" s="230">
        <v>12985</v>
      </c>
      <c r="BL4" s="230">
        <v>19094</v>
      </c>
      <c r="BM4" s="230">
        <v>-6109</v>
      </c>
      <c r="BN4" s="229">
        <v>-0.31990000000000002</v>
      </c>
      <c r="BO4" s="230">
        <v>68546</v>
      </c>
      <c r="BP4" s="230">
        <v>72676</v>
      </c>
      <c r="BQ4" s="230">
        <v>-4130</v>
      </c>
      <c r="BR4" s="229">
        <v>-5.6800000000000003E-2</v>
      </c>
      <c r="BS4" s="230">
        <v>719841</v>
      </c>
      <c r="BT4" s="230">
        <v>637769</v>
      </c>
      <c r="BU4" s="230">
        <v>82072</v>
      </c>
      <c r="BV4" s="229">
        <v>0.12870000000000001</v>
      </c>
      <c r="BW4" s="230">
        <v>3984500</v>
      </c>
      <c r="BX4" s="230">
        <v>3558750</v>
      </c>
      <c r="BY4" s="230">
        <v>425750</v>
      </c>
      <c r="BZ4" s="229">
        <v>0.1196</v>
      </c>
      <c r="CA4" s="230">
        <v>2035125</v>
      </c>
      <c r="CB4" s="230">
        <v>2698125</v>
      </c>
      <c r="CC4" s="230">
        <v>-663000</v>
      </c>
      <c r="CD4" s="229">
        <v>-0.2457</v>
      </c>
      <c r="CE4" s="230">
        <v>1914375</v>
      </c>
      <c r="CF4" s="230">
        <v>831625</v>
      </c>
      <c r="CG4" s="230">
        <v>1082750</v>
      </c>
      <c r="CH4" s="229">
        <v>1.302</v>
      </c>
      <c r="CI4" s="230">
        <v>35000</v>
      </c>
      <c r="CJ4" s="230">
        <v>29000</v>
      </c>
      <c r="CK4" s="230">
        <v>6000</v>
      </c>
      <c r="CL4" s="229">
        <v>0.2069</v>
      </c>
      <c r="CM4" s="230">
        <v>2007875</v>
      </c>
      <c r="CN4" s="230">
        <v>1855125</v>
      </c>
      <c r="CO4" s="230">
        <v>152750</v>
      </c>
      <c r="CP4" s="229">
        <v>8.2299999999999998E-2</v>
      </c>
      <c r="CQ4" s="230">
        <v>1095375</v>
      </c>
      <c r="CR4" s="230">
        <v>1080500</v>
      </c>
      <c r="CS4" s="230">
        <v>14875</v>
      </c>
      <c r="CT4" s="229">
        <v>1.38E-2</v>
      </c>
      <c r="CU4" s="230">
        <v>7087750</v>
      </c>
      <c r="CV4" s="230">
        <v>6494375</v>
      </c>
      <c r="CW4" s="230">
        <v>593375</v>
      </c>
      <c r="CX4" s="229">
        <v>9.1399999999999995E-2</v>
      </c>
      <c r="CY4" s="228">
        <v>24.25</v>
      </c>
      <c r="CZ4" s="228">
        <v>22.49</v>
      </c>
      <c r="DA4" s="228">
        <v>1.76</v>
      </c>
      <c r="DB4" s="228">
        <v>1.76</v>
      </c>
      <c r="DC4" s="228">
        <v>25.03</v>
      </c>
      <c r="DD4" s="228">
        <v>25.09</v>
      </c>
      <c r="DE4" s="228">
        <v>-0.78</v>
      </c>
      <c r="DF4" s="228">
        <v>-0.06</v>
      </c>
      <c r="DG4" s="228">
        <v>24.29</v>
      </c>
      <c r="DH4" s="228">
        <v>23.81</v>
      </c>
      <c r="DI4" s="228">
        <v>0.48</v>
      </c>
      <c r="DJ4" s="228">
        <v>0.48</v>
      </c>
      <c r="DK4" s="228">
        <v>24.16</v>
      </c>
      <c r="DL4" s="228">
        <v>19.82</v>
      </c>
      <c r="DM4" s="228">
        <v>4.34</v>
      </c>
      <c r="DN4" s="228">
        <v>4.34</v>
      </c>
      <c r="DO4" s="228">
        <v>0.55000000000000004</v>
      </c>
      <c r="DP4" s="228">
        <v>0.57999999999999996</v>
      </c>
      <c r="DQ4" s="228">
        <v>-0.03</v>
      </c>
      <c r="DR4" s="229">
        <v>-5.1700000000000003E-2</v>
      </c>
      <c r="DS4" s="231">
        <v>7000</v>
      </c>
      <c r="DT4" s="231">
        <v>6700</v>
      </c>
      <c r="DU4" s="228">
        <v>0.36</v>
      </c>
      <c r="DV4" s="228">
        <v>0.49</v>
      </c>
      <c r="DW4" s="228">
        <v>-0.13</v>
      </c>
      <c r="DX4" s="229">
        <v>-0.26529999999999998</v>
      </c>
      <c r="DY4" s="229">
        <v>0.48920000000000002</v>
      </c>
      <c r="DZ4" s="230">
        <v>860625</v>
      </c>
      <c r="EA4" s="229">
        <v>4.3E-3</v>
      </c>
      <c r="EB4" s="229">
        <v>0.48920000000000002</v>
      </c>
      <c r="EC4" s="228">
        <v>27.58</v>
      </c>
      <c r="ED4" s="229">
        <v>4.0000000000000001E-3</v>
      </c>
      <c r="EE4" s="230">
        <v>545121</v>
      </c>
      <c r="EF4" s="230">
        <v>377155</v>
      </c>
      <c r="EG4" s="229">
        <v>0.44540000000000002</v>
      </c>
      <c r="EH4" s="229">
        <v>0.75729999999999997</v>
      </c>
      <c r="EI4" s="231">
        <v>317323.78000000003</v>
      </c>
      <c r="EJ4" s="231">
        <v>110565.96</v>
      </c>
      <c r="EK4" s="231">
        <v>170024.24</v>
      </c>
      <c r="EL4" s="231">
        <v>6880</v>
      </c>
      <c r="EM4" s="231">
        <v>597913.98</v>
      </c>
      <c r="EN4" s="231">
        <v>634973.28</v>
      </c>
      <c r="EO4" s="231">
        <v>-37059.300000000003</v>
      </c>
      <c r="EP4" s="229">
        <v>-5.8400000000000001E-2</v>
      </c>
      <c r="EQ4" s="231">
        <v>146766</v>
      </c>
      <c r="ER4" s="231">
        <v>76015</v>
      </c>
      <c r="ES4" s="231">
        <v>272027</v>
      </c>
      <c r="ET4" s="231">
        <v>15524629</v>
      </c>
      <c r="EU4" s="231">
        <v>494808</v>
      </c>
      <c r="EV4" s="231">
        <v>454927</v>
      </c>
      <c r="EW4" s="231">
        <v>39881</v>
      </c>
      <c r="EX4" s="229">
        <v>8.77E-2</v>
      </c>
      <c r="EY4" s="229">
        <v>0.45650000000000002</v>
      </c>
    </row>
    <row r="5" spans="1:155" ht="17.25" thickBot="1" x14ac:dyDescent="0.3">
      <c r="A5" s="226">
        <v>46044</v>
      </c>
      <c r="B5" s="227" t="s">
        <v>168</v>
      </c>
      <c r="C5" s="227" t="s">
        <v>169</v>
      </c>
      <c r="D5" s="231">
        <v>2705.2</v>
      </c>
      <c r="E5" s="231">
        <v>2664.5</v>
      </c>
      <c r="F5" s="228">
        <v>40.700000000000003</v>
      </c>
      <c r="G5" s="229">
        <v>1.5299999999999999E-2</v>
      </c>
      <c r="H5" s="231">
        <v>2703.8</v>
      </c>
      <c r="I5" s="231">
        <v>2661.1</v>
      </c>
      <c r="J5" s="228">
        <v>42.7</v>
      </c>
      <c r="K5" s="229">
        <v>1.6E-2</v>
      </c>
      <c r="L5" s="231">
        <v>2705.2</v>
      </c>
      <c r="M5" s="231">
        <v>2664.5</v>
      </c>
      <c r="N5" s="228">
        <v>40.700000000000003</v>
      </c>
      <c r="O5" s="229">
        <v>1.5299999999999999E-2</v>
      </c>
      <c r="P5" s="231">
        <v>2712.2</v>
      </c>
      <c r="Q5" s="231">
        <v>2674.6</v>
      </c>
      <c r="R5" s="228">
        <v>37.6</v>
      </c>
      <c r="S5" s="229">
        <v>1.41E-2</v>
      </c>
      <c r="T5" s="231">
        <v>2727.3</v>
      </c>
      <c r="U5" s="231">
        <v>2694.6</v>
      </c>
      <c r="V5" s="228">
        <v>32.700000000000003</v>
      </c>
      <c r="W5" s="229">
        <v>1.21E-2</v>
      </c>
      <c r="X5" s="228">
        <v>1.4</v>
      </c>
      <c r="Y5" s="228">
        <v>3.4</v>
      </c>
      <c r="Z5" s="228">
        <v>-2</v>
      </c>
      <c r="AA5" s="229">
        <v>5.0000000000000001E-4</v>
      </c>
      <c r="AB5" s="228">
        <v>1.4</v>
      </c>
      <c r="AC5" s="228">
        <v>3.4</v>
      </c>
      <c r="AD5" s="228">
        <v>-2</v>
      </c>
      <c r="AE5" s="229">
        <v>5.0000000000000001E-4</v>
      </c>
      <c r="AF5" s="228">
        <v>8.4</v>
      </c>
      <c r="AG5" s="228">
        <v>13.5</v>
      </c>
      <c r="AH5" s="228">
        <v>-5.0999999999999996</v>
      </c>
      <c r="AI5" s="229">
        <v>3.0999999999999999E-3</v>
      </c>
      <c r="AJ5" s="228">
        <v>23.5</v>
      </c>
      <c r="AK5" s="228">
        <v>33.5</v>
      </c>
      <c r="AL5" s="228">
        <v>-10</v>
      </c>
      <c r="AM5" s="229">
        <v>8.6999999999999994E-3</v>
      </c>
      <c r="AN5" s="231">
        <v>2702.95</v>
      </c>
      <c r="AO5" s="231">
        <v>2710.95</v>
      </c>
      <c r="AP5" s="228">
        <v>0</v>
      </c>
      <c r="AQ5" s="230">
        <v>45422</v>
      </c>
      <c r="AR5" s="230">
        <v>34134</v>
      </c>
      <c r="AS5" s="230">
        <v>11288</v>
      </c>
      <c r="AT5" s="229">
        <v>0.33069999999999999</v>
      </c>
      <c r="AU5" s="230">
        <v>22780</v>
      </c>
      <c r="AV5" s="230">
        <v>17796</v>
      </c>
      <c r="AW5" s="230">
        <v>4984</v>
      </c>
      <c r="AX5" s="229">
        <v>0.28010000000000002</v>
      </c>
      <c r="AY5" s="230">
        <v>22565</v>
      </c>
      <c r="AZ5" s="230">
        <v>16267</v>
      </c>
      <c r="BA5" s="230">
        <v>6298</v>
      </c>
      <c r="BB5" s="229">
        <v>0.38719999999999999</v>
      </c>
      <c r="BC5" s="228">
        <v>77</v>
      </c>
      <c r="BD5" s="228">
        <v>71</v>
      </c>
      <c r="BE5" s="228">
        <v>6</v>
      </c>
      <c r="BF5" s="229">
        <v>8.4500000000000006E-2</v>
      </c>
      <c r="BG5" s="230">
        <v>36748</v>
      </c>
      <c r="BH5" s="230">
        <v>30055</v>
      </c>
      <c r="BI5" s="230">
        <v>6693</v>
      </c>
      <c r="BJ5" s="229">
        <v>0.22270000000000001</v>
      </c>
      <c r="BK5" s="230">
        <v>29362</v>
      </c>
      <c r="BL5" s="230">
        <v>25076</v>
      </c>
      <c r="BM5" s="230">
        <v>4286</v>
      </c>
      <c r="BN5" s="229">
        <v>0.1709</v>
      </c>
      <c r="BO5" s="230">
        <v>111532</v>
      </c>
      <c r="BP5" s="230">
        <v>89265</v>
      </c>
      <c r="BQ5" s="230">
        <v>22267</v>
      </c>
      <c r="BR5" s="229">
        <v>0.24940000000000001</v>
      </c>
      <c r="BS5" s="230">
        <v>1362267</v>
      </c>
      <c r="BT5" s="230">
        <v>932206</v>
      </c>
      <c r="BU5" s="230">
        <v>430061</v>
      </c>
      <c r="BV5" s="229">
        <v>0.46129999999999999</v>
      </c>
      <c r="BW5" s="230">
        <v>13099250</v>
      </c>
      <c r="BX5" s="230">
        <v>12858000</v>
      </c>
      <c r="BY5" s="230">
        <v>241250</v>
      </c>
      <c r="BZ5" s="229">
        <v>1.8800000000000001E-2</v>
      </c>
      <c r="CA5" s="230">
        <v>4758250</v>
      </c>
      <c r="CB5" s="230">
        <v>9068500</v>
      </c>
      <c r="CC5" s="230">
        <v>-4310250</v>
      </c>
      <c r="CD5" s="229">
        <v>-0.4753</v>
      </c>
      <c r="CE5" s="230">
        <v>8252000</v>
      </c>
      <c r="CF5" s="230">
        <v>3704000</v>
      </c>
      <c r="CG5" s="230">
        <v>4548000</v>
      </c>
      <c r="CH5" s="229">
        <v>1.2279</v>
      </c>
      <c r="CI5" s="230">
        <v>89000</v>
      </c>
      <c r="CJ5" s="230">
        <v>85500</v>
      </c>
      <c r="CK5" s="230">
        <v>3500</v>
      </c>
      <c r="CL5" s="229">
        <v>4.0899999999999999E-2</v>
      </c>
      <c r="CM5" s="230">
        <v>4993750</v>
      </c>
      <c r="CN5" s="230">
        <v>5204000</v>
      </c>
      <c r="CO5" s="230">
        <v>-210250</v>
      </c>
      <c r="CP5" s="229">
        <v>-4.0399999999999998E-2</v>
      </c>
      <c r="CQ5" s="230">
        <v>3526500</v>
      </c>
      <c r="CR5" s="230">
        <v>3460750</v>
      </c>
      <c r="CS5" s="230">
        <v>65750</v>
      </c>
      <c r="CT5" s="229">
        <v>1.9E-2</v>
      </c>
      <c r="CU5" s="230">
        <v>21619500</v>
      </c>
      <c r="CV5" s="230">
        <v>21522750</v>
      </c>
      <c r="CW5" s="230">
        <v>96750</v>
      </c>
      <c r="CX5" s="229">
        <v>4.4999999999999997E-3</v>
      </c>
      <c r="CY5" s="228">
        <v>25.95</v>
      </c>
      <c r="CZ5" s="228">
        <v>23.52</v>
      </c>
      <c r="DA5" s="228">
        <v>2.4300000000000002</v>
      </c>
      <c r="DB5" s="228">
        <v>2.4300000000000002</v>
      </c>
      <c r="DC5" s="228">
        <v>25.3</v>
      </c>
      <c r="DD5" s="228">
        <v>25.27</v>
      </c>
      <c r="DE5" s="228">
        <v>0.65</v>
      </c>
      <c r="DF5" s="228">
        <v>0.03</v>
      </c>
      <c r="DG5" s="228">
        <v>25.96</v>
      </c>
      <c r="DH5" s="228">
        <v>24.93</v>
      </c>
      <c r="DI5" s="228">
        <v>1.03</v>
      </c>
      <c r="DJ5" s="228">
        <v>1.03</v>
      </c>
      <c r="DK5" s="228">
        <v>25.92</v>
      </c>
      <c r="DL5" s="228">
        <v>21.84</v>
      </c>
      <c r="DM5" s="228">
        <v>4.08</v>
      </c>
      <c r="DN5" s="228">
        <v>4.08</v>
      </c>
      <c r="DO5" s="228">
        <v>0.71</v>
      </c>
      <c r="DP5" s="228">
        <v>0.67</v>
      </c>
      <c r="DQ5" s="228">
        <v>0.04</v>
      </c>
      <c r="DR5" s="229">
        <v>5.9700000000000003E-2</v>
      </c>
      <c r="DS5" s="231">
        <v>2800</v>
      </c>
      <c r="DT5" s="231">
        <v>2600</v>
      </c>
      <c r="DU5" s="228">
        <v>0.8</v>
      </c>
      <c r="DV5" s="228">
        <v>0.83</v>
      </c>
      <c r="DW5" s="228">
        <v>-0.03</v>
      </c>
      <c r="DX5" s="229">
        <v>-3.61E-2</v>
      </c>
      <c r="DY5" s="229">
        <v>0.63680000000000003</v>
      </c>
      <c r="DZ5" s="230">
        <v>3789500</v>
      </c>
      <c r="EA5" s="229">
        <v>2.5999999999999999E-3</v>
      </c>
      <c r="EB5" s="229">
        <v>0.63680000000000003</v>
      </c>
      <c r="EC5" s="228">
        <v>8</v>
      </c>
      <c r="ED5" s="229">
        <v>3.0000000000000001E-3</v>
      </c>
      <c r="EE5" s="230">
        <v>779808</v>
      </c>
      <c r="EF5" s="230">
        <v>546765</v>
      </c>
      <c r="EG5" s="229">
        <v>0.42620000000000002</v>
      </c>
      <c r="EH5" s="229">
        <v>0.57240000000000002</v>
      </c>
      <c r="EI5" s="231">
        <v>255986.74</v>
      </c>
      <c r="EJ5" s="231">
        <v>197098.67</v>
      </c>
      <c r="EK5" s="231">
        <v>307390.3</v>
      </c>
      <c r="EL5" s="231">
        <v>13845</v>
      </c>
      <c r="EM5" s="231">
        <v>760475.71</v>
      </c>
      <c r="EN5" s="231">
        <v>605560.59</v>
      </c>
      <c r="EO5" s="231">
        <v>154915.12</v>
      </c>
      <c r="EP5" s="229">
        <v>0.25580000000000003</v>
      </c>
      <c r="EQ5" s="231">
        <v>143595</v>
      </c>
      <c r="ER5" s="231">
        <v>94936</v>
      </c>
      <c r="ES5" s="231">
        <v>354958</v>
      </c>
      <c r="ET5" s="231">
        <v>49389162</v>
      </c>
      <c r="EU5" s="231">
        <v>593490</v>
      </c>
      <c r="EV5" s="231">
        <v>585781</v>
      </c>
      <c r="EW5" s="231">
        <v>7709</v>
      </c>
      <c r="EX5" s="229">
        <v>1.32E-2</v>
      </c>
      <c r="EY5" s="229">
        <v>0.43769999999999998</v>
      </c>
    </row>
    <row r="6" spans="1:155" ht="17.25" thickBot="1" x14ac:dyDescent="0.3">
      <c r="A6" s="226">
        <v>46044</v>
      </c>
      <c r="B6" s="227" t="s">
        <v>172</v>
      </c>
      <c r="C6" s="227" t="s">
        <v>173</v>
      </c>
      <c r="D6" s="231">
        <v>1297</v>
      </c>
      <c r="E6" s="231">
        <v>1283.5</v>
      </c>
      <c r="F6" s="228">
        <v>13.5</v>
      </c>
      <c r="G6" s="229">
        <v>1.0500000000000001E-2</v>
      </c>
      <c r="H6" s="231">
        <v>1294.8</v>
      </c>
      <c r="I6" s="231">
        <v>1284.9000000000001</v>
      </c>
      <c r="J6" s="228">
        <v>9.9</v>
      </c>
      <c r="K6" s="229">
        <v>7.7000000000000002E-3</v>
      </c>
      <c r="L6" s="231">
        <v>1297</v>
      </c>
      <c r="M6" s="231">
        <v>1283.5</v>
      </c>
      <c r="N6" s="228">
        <v>13.5</v>
      </c>
      <c r="O6" s="229">
        <v>1.0500000000000001E-2</v>
      </c>
      <c r="P6" s="231">
        <v>1304.0999999999999</v>
      </c>
      <c r="Q6" s="231">
        <v>1290.7</v>
      </c>
      <c r="R6" s="228">
        <v>13.4</v>
      </c>
      <c r="S6" s="229">
        <v>1.04E-2</v>
      </c>
      <c r="T6" s="231">
        <v>1312.6</v>
      </c>
      <c r="U6" s="231">
        <v>1298.0999999999999</v>
      </c>
      <c r="V6" s="228">
        <v>14.5</v>
      </c>
      <c r="W6" s="229">
        <v>1.12E-2</v>
      </c>
      <c r="X6" s="228">
        <v>2.2000000000000002</v>
      </c>
      <c r="Y6" s="228">
        <v>-1.4</v>
      </c>
      <c r="Z6" s="228">
        <v>3.6</v>
      </c>
      <c r="AA6" s="229">
        <v>1.6999999999999999E-3</v>
      </c>
      <c r="AB6" s="228">
        <v>2.2000000000000002</v>
      </c>
      <c r="AC6" s="228">
        <v>-1.4</v>
      </c>
      <c r="AD6" s="228">
        <v>3.6</v>
      </c>
      <c r="AE6" s="229">
        <v>1.6999999999999999E-3</v>
      </c>
      <c r="AF6" s="228">
        <v>9.3000000000000007</v>
      </c>
      <c r="AG6" s="228">
        <v>5.8</v>
      </c>
      <c r="AH6" s="228">
        <v>3.5</v>
      </c>
      <c r="AI6" s="229">
        <v>7.1999999999999998E-3</v>
      </c>
      <c r="AJ6" s="228">
        <v>17.8</v>
      </c>
      <c r="AK6" s="228">
        <v>13.2</v>
      </c>
      <c r="AL6" s="228">
        <v>4.5999999999999996</v>
      </c>
      <c r="AM6" s="229">
        <v>1.37E-2</v>
      </c>
      <c r="AN6" s="231">
        <v>1291.77</v>
      </c>
      <c r="AO6" s="231">
        <v>1298.49</v>
      </c>
      <c r="AP6" s="228">
        <v>0</v>
      </c>
      <c r="AQ6" s="230">
        <v>81169</v>
      </c>
      <c r="AR6" s="230">
        <v>82466</v>
      </c>
      <c r="AS6" s="230">
        <v>-1297</v>
      </c>
      <c r="AT6" s="229">
        <v>-1.5699999999999999E-2</v>
      </c>
      <c r="AU6" s="230">
        <v>41432</v>
      </c>
      <c r="AV6" s="230">
        <v>44679</v>
      </c>
      <c r="AW6" s="230">
        <v>-3247</v>
      </c>
      <c r="AX6" s="229">
        <v>-7.2700000000000001E-2</v>
      </c>
      <c r="AY6" s="230">
        <v>39527</v>
      </c>
      <c r="AZ6" s="230">
        <v>37532</v>
      </c>
      <c r="BA6" s="230">
        <v>1995</v>
      </c>
      <c r="BB6" s="229">
        <v>5.3199999999999997E-2</v>
      </c>
      <c r="BC6" s="228">
        <v>210</v>
      </c>
      <c r="BD6" s="228">
        <v>255</v>
      </c>
      <c r="BE6" s="228">
        <v>-45</v>
      </c>
      <c r="BF6" s="229">
        <v>-0.17649999999999999</v>
      </c>
      <c r="BG6" s="230">
        <v>65874</v>
      </c>
      <c r="BH6" s="230">
        <v>82328</v>
      </c>
      <c r="BI6" s="230">
        <v>-16454</v>
      </c>
      <c r="BJ6" s="229">
        <v>-0.19989999999999999</v>
      </c>
      <c r="BK6" s="230">
        <v>42791</v>
      </c>
      <c r="BL6" s="230">
        <v>56692</v>
      </c>
      <c r="BM6" s="230">
        <v>-13901</v>
      </c>
      <c r="BN6" s="229">
        <v>-0.2452</v>
      </c>
      <c r="BO6" s="230">
        <v>189834</v>
      </c>
      <c r="BP6" s="230">
        <v>221486</v>
      </c>
      <c r="BQ6" s="230">
        <v>-31652</v>
      </c>
      <c r="BR6" s="229">
        <v>-0.1429</v>
      </c>
      <c r="BS6" s="230">
        <v>6185098</v>
      </c>
      <c r="BT6" s="230">
        <v>3936042</v>
      </c>
      <c r="BU6" s="230">
        <v>2249056</v>
      </c>
      <c r="BV6" s="229">
        <v>0.57140000000000002</v>
      </c>
      <c r="BW6" s="230">
        <v>82404375</v>
      </c>
      <c r="BX6" s="230">
        <v>80818750</v>
      </c>
      <c r="BY6" s="230">
        <v>1585625</v>
      </c>
      <c r="BZ6" s="229">
        <v>1.9599999999999999E-2</v>
      </c>
      <c r="CA6" s="230">
        <v>31993750</v>
      </c>
      <c r="CB6" s="230">
        <v>51898125</v>
      </c>
      <c r="CC6" s="230">
        <v>-19904375</v>
      </c>
      <c r="CD6" s="229">
        <v>-0.38350000000000001</v>
      </c>
      <c r="CE6" s="230">
        <v>48223750</v>
      </c>
      <c r="CF6" s="230">
        <v>26808750</v>
      </c>
      <c r="CG6" s="230">
        <v>21415000</v>
      </c>
      <c r="CH6" s="229">
        <v>0.79879999999999995</v>
      </c>
      <c r="CI6" s="230">
        <v>2186875</v>
      </c>
      <c r="CJ6" s="230">
        <v>2111875</v>
      </c>
      <c r="CK6" s="230">
        <v>75000</v>
      </c>
      <c r="CL6" s="229">
        <v>3.5499999999999997E-2</v>
      </c>
      <c r="CM6" s="230">
        <v>36246250</v>
      </c>
      <c r="CN6" s="230">
        <v>36136875</v>
      </c>
      <c r="CO6" s="230">
        <v>109375</v>
      </c>
      <c r="CP6" s="229">
        <v>3.0000000000000001E-3</v>
      </c>
      <c r="CQ6" s="230">
        <v>14944375</v>
      </c>
      <c r="CR6" s="230">
        <v>14738750</v>
      </c>
      <c r="CS6" s="230">
        <v>205625</v>
      </c>
      <c r="CT6" s="229">
        <v>1.4E-2</v>
      </c>
      <c r="CU6" s="230">
        <v>133595000</v>
      </c>
      <c r="CV6" s="230">
        <v>131694375</v>
      </c>
      <c r="CW6" s="230">
        <v>1900625</v>
      </c>
      <c r="CX6" s="229">
        <v>1.44E-2</v>
      </c>
      <c r="CY6" s="228">
        <v>22.96</v>
      </c>
      <c r="CZ6" s="228">
        <v>22.97</v>
      </c>
      <c r="DA6" s="228">
        <v>-0.01</v>
      </c>
      <c r="DB6" s="228">
        <v>-0.01</v>
      </c>
      <c r="DC6" s="228">
        <v>25.48</v>
      </c>
      <c r="DD6" s="228">
        <v>25.52</v>
      </c>
      <c r="DE6" s="228">
        <v>-2.52</v>
      </c>
      <c r="DF6" s="228">
        <v>-0.04</v>
      </c>
      <c r="DG6" s="228">
        <v>22.18</v>
      </c>
      <c r="DH6" s="228">
        <v>22.43</v>
      </c>
      <c r="DI6" s="228">
        <v>-0.25</v>
      </c>
      <c r="DJ6" s="228">
        <v>-0.25</v>
      </c>
      <c r="DK6" s="228">
        <v>23.84</v>
      </c>
      <c r="DL6" s="228">
        <v>23.76</v>
      </c>
      <c r="DM6" s="228">
        <v>0.08</v>
      </c>
      <c r="DN6" s="228">
        <v>0.08</v>
      </c>
      <c r="DO6" s="228">
        <v>0.41</v>
      </c>
      <c r="DP6" s="228">
        <v>0.41</v>
      </c>
      <c r="DQ6" s="228">
        <v>0</v>
      </c>
      <c r="DR6" s="229">
        <v>0</v>
      </c>
      <c r="DS6" s="231">
        <v>1300</v>
      </c>
      <c r="DT6" s="231">
        <v>1300</v>
      </c>
      <c r="DU6" s="228">
        <v>0.65</v>
      </c>
      <c r="DV6" s="228">
        <v>0.69</v>
      </c>
      <c r="DW6" s="228">
        <v>-0.04</v>
      </c>
      <c r="DX6" s="229">
        <v>-5.8000000000000003E-2</v>
      </c>
      <c r="DY6" s="229">
        <v>0.61170000000000002</v>
      </c>
      <c r="DZ6" s="230">
        <v>28920625</v>
      </c>
      <c r="EA6" s="229">
        <v>5.4999999999999997E-3</v>
      </c>
      <c r="EB6" s="229">
        <v>0.61170000000000002</v>
      </c>
      <c r="EC6" s="228">
        <v>6.72</v>
      </c>
      <c r="ED6" s="229">
        <v>5.1999999999999998E-3</v>
      </c>
      <c r="EE6" s="230">
        <v>4214262</v>
      </c>
      <c r="EF6" s="230">
        <v>2255880</v>
      </c>
      <c r="EG6" s="229">
        <v>0.86809999999999998</v>
      </c>
      <c r="EH6" s="229">
        <v>0.68140000000000001</v>
      </c>
      <c r="EI6" s="231">
        <v>545518.06000000006</v>
      </c>
      <c r="EJ6" s="231">
        <v>342630.43</v>
      </c>
      <c r="EK6" s="231">
        <v>657001.57999999996</v>
      </c>
      <c r="EL6" s="231">
        <v>34073</v>
      </c>
      <c r="EM6" s="231">
        <v>1545150.07</v>
      </c>
      <c r="EN6" s="231">
        <v>1794836.67</v>
      </c>
      <c r="EO6" s="231">
        <v>-249686.6</v>
      </c>
      <c r="EP6" s="229">
        <v>-0.1391</v>
      </c>
      <c r="EQ6" s="231">
        <v>477193</v>
      </c>
      <c r="ER6" s="231">
        <v>187220</v>
      </c>
      <c r="ES6" s="231">
        <v>1072550</v>
      </c>
      <c r="ET6" s="231">
        <v>296371456</v>
      </c>
      <c r="EU6" s="231">
        <v>1736963</v>
      </c>
      <c r="EV6" s="231">
        <v>1699298</v>
      </c>
      <c r="EW6" s="231">
        <v>37665</v>
      </c>
      <c r="EX6" s="229">
        <v>2.2200000000000001E-2</v>
      </c>
      <c r="EY6" s="229">
        <v>0.45079999999999998</v>
      </c>
    </row>
    <row r="7" spans="1:155" ht="17.25" thickBot="1" x14ac:dyDescent="0.3">
      <c r="A7" s="226">
        <v>46044</v>
      </c>
      <c r="B7" s="227" t="s">
        <v>162</v>
      </c>
      <c r="C7" s="227" t="s">
        <v>174</v>
      </c>
      <c r="D7" s="231">
        <v>9383</v>
      </c>
      <c r="E7" s="231">
        <v>9193</v>
      </c>
      <c r="F7" s="228">
        <v>190</v>
      </c>
      <c r="G7" s="229">
        <v>2.07E-2</v>
      </c>
      <c r="H7" s="231">
        <v>9370</v>
      </c>
      <c r="I7" s="231">
        <v>9179</v>
      </c>
      <c r="J7" s="228">
        <v>191</v>
      </c>
      <c r="K7" s="229">
        <v>2.0799999999999999E-2</v>
      </c>
      <c r="L7" s="231">
        <v>9383</v>
      </c>
      <c r="M7" s="231">
        <v>9193</v>
      </c>
      <c r="N7" s="228">
        <v>190</v>
      </c>
      <c r="O7" s="229">
        <v>2.07E-2</v>
      </c>
      <c r="P7" s="231">
        <v>9403.5</v>
      </c>
      <c r="Q7" s="231">
        <v>9223.5</v>
      </c>
      <c r="R7" s="228">
        <v>180</v>
      </c>
      <c r="S7" s="229">
        <v>1.95E-2</v>
      </c>
      <c r="T7" s="231">
        <v>9438.5</v>
      </c>
      <c r="U7" s="231">
        <v>9253</v>
      </c>
      <c r="V7" s="228">
        <v>185.5</v>
      </c>
      <c r="W7" s="229">
        <v>0.02</v>
      </c>
      <c r="X7" s="228">
        <v>13</v>
      </c>
      <c r="Y7" s="228">
        <v>14</v>
      </c>
      <c r="Z7" s="228">
        <v>-1</v>
      </c>
      <c r="AA7" s="229">
        <v>1.4E-3</v>
      </c>
      <c r="AB7" s="228">
        <v>13</v>
      </c>
      <c r="AC7" s="228">
        <v>14</v>
      </c>
      <c r="AD7" s="228">
        <v>-1</v>
      </c>
      <c r="AE7" s="229">
        <v>1.4E-3</v>
      </c>
      <c r="AF7" s="228">
        <v>33.5</v>
      </c>
      <c r="AG7" s="228">
        <v>44.5</v>
      </c>
      <c r="AH7" s="228">
        <v>-11</v>
      </c>
      <c r="AI7" s="229">
        <v>3.5999999999999999E-3</v>
      </c>
      <c r="AJ7" s="228">
        <v>68.5</v>
      </c>
      <c r="AK7" s="228">
        <v>74</v>
      </c>
      <c r="AL7" s="228">
        <v>-5.5</v>
      </c>
      <c r="AM7" s="229">
        <v>7.3000000000000001E-3</v>
      </c>
      <c r="AN7" s="231">
        <v>9284.7199999999993</v>
      </c>
      <c r="AO7" s="231">
        <v>9305.9</v>
      </c>
      <c r="AP7" s="228">
        <v>0</v>
      </c>
      <c r="AQ7" s="230">
        <v>42513</v>
      </c>
      <c r="AR7" s="230">
        <v>50295</v>
      </c>
      <c r="AS7" s="230">
        <v>-7782</v>
      </c>
      <c r="AT7" s="229">
        <v>-0.1547</v>
      </c>
      <c r="AU7" s="230">
        <v>22559</v>
      </c>
      <c r="AV7" s="230">
        <v>26473</v>
      </c>
      <c r="AW7" s="230">
        <v>-3914</v>
      </c>
      <c r="AX7" s="229">
        <v>-0.14779999999999999</v>
      </c>
      <c r="AY7" s="230">
        <v>19636</v>
      </c>
      <c r="AZ7" s="230">
        <v>23737</v>
      </c>
      <c r="BA7" s="230">
        <v>-4101</v>
      </c>
      <c r="BB7" s="229">
        <v>-0.17280000000000001</v>
      </c>
      <c r="BC7" s="228">
        <v>318</v>
      </c>
      <c r="BD7" s="228">
        <v>85</v>
      </c>
      <c r="BE7" s="228">
        <v>233</v>
      </c>
      <c r="BF7" s="229">
        <v>2.7412000000000001</v>
      </c>
      <c r="BG7" s="230">
        <v>42560</v>
      </c>
      <c r="BH7" s="230">
        <v>38477</v>
      </c>
      <c r="BI7" s="230">
        <v>4083</v>
      </c>
      <c r="BJ7" s="229">
        <v>0.1061</v>
      </c>
      <c r="BK7" s="230">
        <v>20803</v>
      </c>
      <c r="BL7" s="230">
        <v>20905</v>
      </c>
      <c r="BM7" s="228">
        <v>-102</v>
      </c>
      <c r="BN7" s="229">
        <v>-4.8999999999999998E-3</v>
      </c>
      <c r="BO7" s="230">
        <v>105876</v>
      </c>
      <c r="BP7" s="230">
        <v>109677</v>
      </c>
      <c r="BQ7" s="230">
        <v>-3801</v>
      </c>
      <c r="BR7" s="229">
        <v>-3.4700000000000002E-2</v>
      </c>
      <c r="BS7" s="230">
        <v>200593</v>
      </c>
      <c r="BT7" s="230">
        <v>328585</v>
      </c>
      <c r="BU7" s="230">
        <v>-127992</v>
      </c>
      <c r="BV7" s="229">
        <v>-0.38950000000000001</v>
      </c>
      <c r="BW7" s="230">
        <v>3699675</v>
      </c>
      <c r="BX7" s="230">
        <v>3952125</v>
      </c>
      <c r="BY7" s="230">
        <v>-252450</v>
      </c>
      <c r="BZ7" s="229">
        <v>-6.3899999999999998E-2</v>
      </c>
      <c r="CA7" s="230">
        <v>1027575</v>
      </c>
      <c r="CB7" s="230">
        <v>2288325</v>
      </c>
      <c r="CC7" s="230">
        <v>-1260750</v>
      </c>
      <c r="CD7" s="229">
        <v>-0.55089999999999995</v>
      </c>
      <c r="CE7" s="230">
        <v>2626275</v>
      </c>
      <c r="CF7" s="230">
        <v>1634700</v>
      </c>
      <c r="CG7" s="230">
        <v>991575</v>
      </c>
      <c r="CH7" s="229">
        <v>0.60660000000000003</v>
      </c>
      <c r="CI7" s="230">
        <v>45825</v>
      </c>
      <c r="CJ7" s="230">
        <v>29100</v>
      </c>
      <c r="CK7" s="230">
        <v>16725</v>
      </c>
      <c r="CL7" s="229">
        <v>0.57469999999999999</v>
      </c>
      <c r="CM7" s="230">
        <v>1473975</v>
      </c>
      <c r="CN7" s="230">
        <v>1702425</v>
      </c>
      <c r="CO7" s="230">
        <v>-228450</v>
      </c>
      <c r="CP7" s="229">
        <v>-0.13420000000000001</v>
      </c>
      <c r="CQ7" s="230">
        <v>879375</v>
      </c>
      <c r="CR7" s="230">
        <v>931050</v>
      </c>
      <c r="CS7" s="230">
        <v>-51675</v>
      </c>
      <c r="CT7" s="229">
        <v>-5.5500000000000001E-2</v>
      </c>
      <c r="CU7" s="230">
        <v>6053025</v>
      </c>
      <c r="CV7" s="230">
        <v>6585600</v>
      </c>
      <c r="CW7" s="230">
        <v>-532575</v>
      </c>
      <c r="CX7" s="229">
        <v>-8.09E-2</v>
      </c>
      <c r="CY7" s="228">
        <v>25.25</v>
      </c>
      <c r="CZ7" s="228">
        <v>24.24</v>
      </c>
      <c r="DA7" s="228">
        <v>1.01</v>
      </c>
      <c r="DB7" s="228">
        <v>1.01</v>
      </c>
      <c r="DC7" s="228">
        <v>27.97</v>
      </c>
      <c r="DD7" s="228">
        <v>27.9</v>
      </c>
      <c r="DE7" s="228">
        <v>-2.72</v>
      </c>
      <c r="DF7" s="228">
        <v>7.0000000000000007E-2</v>
      </c>
      <c r="DG7" s="228">
        <v>25.19</v>
      </c>
      <c r="DH7" s="228">
        <v>25.31</v>
      </c>
      <c r="DI7" s="228">
        <v>-0.12</v>
      </c>
      <c r="DJ7" s="228">
        <v>-0.12</v>
      </c>
      <c r="DK7" s="228">
        <v>25.39</v>
      </c>
      <c r="DL7" s="228">
        <v>22.29</v>
      </c>
      <c r="DM7" s="228">
        <v>3.1</v>
      </c>
      <c r="DN7" s="228">
        <v>3.1</v>
      </c>
      <c r="DO7" s="228">
        <v>0.6</v>
      </c>
      <c r="DP7" s="228">
        <v>0.55000000000000004</v>
      </c>
      <c r="DQ7" s="228">
        <v>0.05</v>
      </c>
      <c r="DR7" s="229">
        <v>9.0899999999999995E-2</v>
      </c>
      <c r="DS7" s="231">
        <v>10000</v>
      </c>
      <c r="DT7" s="231">
        <v>9100</v>
      </c>
      <c r="DU7" s="228">
        <v>0.49</v>
      </c>
      <c r="DV7" s="228">
        <v>0.54</v>
      </c>
      <c r="DW7" s="228">
        <v>-0.05</v>
      </c>
      <c r="DX7" s="229">
        <v>-9.2600000000000002E-2</v>
      </c>
      <c r="DY7" s="229">
        <v>0.72230000000000005</v>
      </c>
      <c r="DZ7" s="230">
        <v>1663800</v>
      </c>
      <c r="EA7" s="229">
        <v>2.2000000000000001E-3</v>
      </c>
      <c r="EB7" s="229">
        <v>0.72230000000000005</v>
      </c>
      <c r="EC7" s="228">
        <v>21.18</v>
      </c>
      <c r="ED7" s="229">
        <v>2.3E-3</v>
      </c>
      <c r="EE7" s="230">
        <v>80234</v>
      </c>
      <c r="EF7" s="230">
        <v>160682</v>
      </c>
      <c r="EG7" s="229">
        <v>-0.50070000000000003</v>
      </c>
      <c r="EH7" s="229">
        <v>0.4</v>
      </c>
      <c r="EI7" s="231">
        <v>305451.26</v>
      </c>
      <c r="EJ7" s="231">
        <v>143198.48000000001</v>
      </c>
      <c r="EK7" s="231">
        <v>296364.75</v>
      </c>
      <c r="EL7" s="231">
        <v>17759</v>
      </c>
      <c r="EM7" s="231">
        <v>745014.49</v>
      </c>
      <c r="EN7" s="231">
        <v>766013.21</v>
      </c>
      <c r="EO7" s="231">
        <v>-20998.720000000001</v>
      </c>
      <c r="EP7" s="229">
        <v>-2.7400000000000001E-2</v>
      </c>
      <c r="EQ7" s="231">
        <v>144846</v>
      </c>
      <c r="ER7" s="231">
        <v>79871</v>
      </c>
      <c r="ES7" s="231">
        <v>347704</v>
      </c>
      <c r="ET7" s="231">
        <v>15906526</v>
      </c>
      <c r="EU7" s="231">
        <v>572422</v>
      </c>
      <c r="EV7" s="231">
        <v>615231</v>
      </c>
      <c r="EW7" s="231">
        <v>-42809</v>
      </c>
      <c r="EX7" s="229">
        <v>-6.9599999999999995E-2</v>
      </c>
      <c r="EY7" s="229">
        <v>0.3805</v>
      </c>
    </row>
    <row r="8" spans="1:155" ht="17.25" thickBot="1" x14ac:dyDescent="0.3">
      <c r="A8" s="226">
        <v>46044</v>
      </c>
      <c r="B8" s="227" t="s">
        <v>175</v>
      </c>
      <c r="C8" s="227" t="s">
        <v>176</v>
      </c>
      <c r="D8" s="231">
        <v>1991.3</v>
      </c>
      <c r="E8" s="231">
        <v>1958.4</v>
      </c>
      <c r="F8" s="228">
        <v>32.9</v>
      </c>
      <c r="G8" s="229">
        <v>1.6799999999999999E-2</v>
      </c>
      <c r="H8" s="231">
        <v>1993.1</v>
      </c>
      <c r="I8" s="231">
        <v>1959.9</v>
      </c>
      <c r="J8" s="228">
        <v>33.200000000000003</v>
      </c>
      <c r="K8" s="229">
        <v>1.6899999999999998E-2</v>
      </c>
      <c r="L8" s="231">
        <v>1991.3</v>
      </c>
      <c r="M8" s="231">
        <v>1958.4</v>
      </c>
      <c r="N8" s="228">
        <v>32.9</v>
      </c>
      <c r="O8" s="229">
        <v>1.6799999999999999E-2</v>
      </c>
      <c r="P8" s="231">
        <v>2002</v>
      </c>
      <c r="Q8" s="231">
        <v>1969.1</v>
      </c>
      <c r="R8" s="228">
        <v>32.9</v>
      </c>
      <c r="S8" s="229">
        <v>1.67E-2</v>
      </c>
      <c r="T8" s="231">
        <v>2018.3</v>
      </c>
      <c r="U8" s="231">
        <v>1983.3</v>
      </c>
      <c r="V8" s="228">
        <v>35</v>
      </c>
      <c r="W8" s="229">
        <v>1.7600000000000001E-2</v>
      </c>
      <c r="X8" s="228">
        <v>-1.8</v>
      </c>
      <c r="Y8" s="228">
        <v>-1.5</v>
      </c>
      <c r="Z8" s="228">
        <v>-0.3</v>
      </c>
      <c r="AA8" s="229">
        <v>-8.9999999999999998E-4</v>
      </c>
      <c r="AB8" s="228">
        <v>-1.8</v>
      </c>
      <c r="AC8" s="228">
        <v>-1.5</v>
      </c>
      <c r="AD8" s="228">
        <v>-0.3</v>
      </c>
      <c r="AE8" s="229">
        <v>-8.9999999999999998E-4</v>
      </c>
      <c r="AF8" s="228">
        <v>8.9</v>
      </c>
      <c r="AG8" s="228">
        <v>9.1999999999999993</v>
      </c>
      <c r="AH8" s="228">
        <v>-0.3</v>
      </c>
      <c r="AI8" s="229">
        <v>4.4999999999999997E-3</v>
      </c>
      <c r="AJ8" s="228">
        <v>25.2</v>
      </c>
      <c r="AK8" s="228">
        <v>23.4</v>
      </c>
      <c r="AL8" s="228">
        <v>1.8</v>
      </c>
      <c r="AM8" s="229">
        <v>1.26E-2</v>
      </c>
      <c r="AN8" s="231">
        <v>1981.1</v>
      </c>
      <c r="AO8" s="231">
        <v>1991.7</v>
      </c>
      <c r="AP8" s="228">
        <v>0</v>
      </c>
      <c r="AQ8" s="230">
        <v>38967</v>
      </c>
      <c r="AR8" s="230">
        <v>27457</v>
      </c>
      <c r="AS8" s="230">
        <v>11510</v>
      </c>
      <c r="AT8" s="229">
        <v>0.41920000000000002</v>
      </c>
      <c r="AU8" s="230">
        <v>20641</v>
      </c>
      <c r="AV8" s="230">
        <v>14580</v>
      </c>
      <c r="AW8" s="230">
        <v>6061</v>
      </c>
      <c r="AX8" s="229">
        <v>0.41570000000000001</v>
      </c>
      <c r="AY8" s="230">
        <v>18238</v>
      </c>
      <c r="AZ8" s="230">
        <v>12794</v>
      </c>
      <c r="BA8" s="230">
        <v>5444</v>
      </c>
      <c r="BB8" s="229">
        <v>0.42549999999999999</v>
      </c>
      <c r="BC8" s="228">
        <v>88</v>
      </c>
      <c r="BD8" s="228">
        <v>83</v>
      </c>
      <c r="BE8" s="228">
        <v>5</v>
      </c>
      <c r="BF8" s="229">
        <v>6.0199999999999997E-2</v>
      </c>
      <c r="BG8" s="230">
        <v>16682</v>
      </c>
      <c r="BH8" s="230">
        <v>22911</v>
      </c>
      <c r="BI8" s="230">
        <v>-6229</v>
      </c>
      <c r="BJ8" s="229">
        <v>-0.27189999999999998</v>
      </c>
      <c r="BK8" s="230">
        <v>7748</v>
      </c>
      <c r="BL8" s="230">
        <v>15059</v>
      </c>
      <c r="BM8" s="230">
        <v>-7311</v>
      </c>
      <c r="BN8" s="229">
        <v>-0.48549999999999999</v>
      </c>
      <c r="BO8" s="230">
        <v>63397</v>
      </c>
      <c r="BP8" s="230">
        <v>65427</v>
      </c>
      <c r="BQ8" s="230">
        <v>-2030</v>
      </c>
      <c r="BR8" s="229">
        <v>-3.1E-2</v>
      </c>
      <c r="BS8" s="230">
        <v>1129265</v>
      </c>
      <c r="BT8" s="230">
        <v>1160621</v>
      </c>
      <c r="BU8" s="230">
        <v>-31356</v>
      </c>
      <c r="BV8" s="229">
        <v>-2.7E-2</v>
      </c>
      <c r="BW8" s="230">
        <v>16104250</v>
      </c>
      <c r="BX8" s="230">
        <v>16463250</v>
      </c>
      <c r="BY8" s="230">
        <v>-359000</v>
      </c>
      <c r="BZ8" s="229">
        <v>-2.18E-2</v>
      </c>
      <c r="CA8" s="230">
        <v>8331500</v>
      </c>
      <c r="CB8" s="230">
        <v>12572250</v>
      </c>
      <c r="CC8" s="230">
        <v>-4240750</v>
      </c>
      <c r="CD8" s="229">
        <v>-0.33729999999999999</v>
      </c>
      <c r="CE8" s="230">
        <v>7584500</v>
      </c>
      <c r="CF8" s="230">
        <v>3708000</v>
      </c>
      <c r="CG8" s="230">
        <v>3876500</v>
      </c>
      <c r="CH8" s="229">
        <v>1.0454000000000001</v>
      </c>
      <c r="CI8" s="230">
        <v>188250</v>
      </c>
      <c r="CJ8" s="230">
        <v>183000</v>
      </c>
      <c r="CK8" s="230">
        <v>5250</v>
      </c>
      <c r="CL8" s="229">
        <v>2.87E-2</v>
      </c>
      <c r="CM8" s="230">
        <v>5674750</v>
      </c>
      <c r="CN8" s="230">
        <v>5889250</v>
      </c>
      <c r="CO8" s="230">
        <v>-214500</v>
      </c>
      <c r="CP8" s="229">
        <v>-3.6400000000000002E-2</v>
      </c>
      <c r="CQ8" s="230">
        <v>3326500</v>
      </c>
      <c r="CR8" s="230">
        <v>3238250</v>
      </c>
      <c r="CS8" s="230">
        <v>88250</v>
      </c>
      <c r="CT8" s="229">
        <v>2.7300000000000001E-2</v>
      </c>
      <c r="CU8" s="230">
        <v>25105500</v>
      </c>
      <c r="CV8" s="230">
        <v>25590750</v>
      </c>
      <c r="CW8" s="230">
        <v>-485250</v>
      </c>
      <c r="CX8" s="229">
        <v>-1.9E-2</v>
      </c>
      <c r="CY8" s="228">
        <v>26.5</v>
      </c>
      <c r="CZ8" s="228">
        <v>22.41</v>
      </c>
      <c r="DA8" s="228">
        <v>4.09</v>
      </c>
      <c r="DB8" s="228">
        <v>4.09</v>
      </c>
      <c r="DC8" s="228">
        <v>27.71</v>
      </c>
      <c r="DD8" s="228">
        <v>27.68</v>
      </c>
      <c r="DE8" s="228">
        <v>-1.21</v>
      </c>
      <c r="DF8" s="228">
        <v>0.03</v>
      </c>
      <c r="DG8" s="228">
        <v>25.88</v>
      </c>
      <c r="DH8" s="228">
        <v>22.52</v>
      </c>
      <c r="DI8" s="228">
        <v>3.36</v>
      </c>
      <c r="DJ8" s="228">
        <v>3.36</v>
      </c>
      <c r="DK8" s="228">
        <v>27.18</v>
      </c>
      <c r="DL8" s="228">
        <v>22.23</v>
      </c>
      <c r="DM8" s="228">
        <v>4.95</v>
      </c>
      <c r="DN8" s="228">
        <v>4.95</v>
      </c>
      <c r="DO8" s="228">
        <v>0.59</v>
      </c>
      <c r="DP8" s="228">
        <v>0.55000000000000004</v>
      </c>
      <c r="DQ8" s="228">
        <v>0.04</v>
      </c>
      <c r="DR8" s="229">
        <v>7.2700000000000001E-2</v>
      </c>
      <c r="DS8" s="231">
        <v>2080</v>
      </c>
      <c r="DT8" s="231">
        <v>2000</v>
      </c>
      <c r="DU8" s="228">
        <v>0.46</v>
      </c>
      <c r="DV8" s="228">
        <v>0.66</v>
      </c>
      <c r="DW8" s="228">
        <v>-0.2</v>
      </c>
      <c r="DX8" s="229">
        <v>-0.30299999999999999</v>
      </c>
      <c r="DY8" s="229">
        <v>0.48270000000000002</v>
      </c>
      <c r="DZ8" s="230">
        <v>3891000</v>
      </c>
      <c r="EA8" s="229">
        <v>5.4000000000000003E-3</v>
      </c>
      <c r="EB8" s="229">
        <v>0.48270000000000002</v>
      </c>
      <c r="EC8" s="228">
        <v>10.6</v>
      </c>
      <c r="ED8" s="229">
        <v>5.4000000000000003E-3</v>
      </c>
      <c r="EE8" s="230">
        <v>746804</v>
      </c>
      <c r="EF8" s="230">
        <v>738467</v>
      </c>
      <c r="EG8" s="229">
        <v>1.1299999999999999E-2</v>
      </c>
      <c r="EH8" s="229">
        <v>0.6613</v>
      </c>
      <c r="EI8" s="231">
        <v>84985.67</v>
      </c>
      <c r="EJ8" s="231">
        <v>38496.29</v>
      </c>
      <c r="EK8" s="231">
        <v>193482.51</v>
      </c>
      <c r="EL8" s="231">
        <v>12039</v>
      </c>
      <c r="EM8" s="231">
        <v>316964.46999999997</v>
      </c>
      <c r="EN8" s="231">
        <v>324709.36</v>
      </c>
      <c r="EO8" s="231">
        <v>-7744.89</v>
      </c>
      <c r="EP8" s="229">
        <v>-2.3900000000000001E-2</v>
      </c>
      <c r="EQ8" s="231">
        <v>117831</v>
      </c>
      <c r="ER8" s="231">
        <v>65485</v>
      </c>
      <c r="ES8" s="231">
        <v>321546</v>
      </c>
      <c r="ET8" s="231">
        <v>65701623</v>
      </c>
      <c r="EU8" s="231">
        <v>504863</v>
      </c>
      <c r="EV8" s="231">
        <v>508787</v>
      </c>
      <c r="EW8" s="231">
        <v>-3924</v>
      </c>
      <c r="EX8" s="229">
        <v>-7.7000000000000002E-3</v>
      </c>
      <c r="EY8" s="229">
        <v>0.3821</v>
      </c>
    </row>
    <row r="9" spans="1:155" ht="17.25" thickBot="1" x14ac:dyDescent="0.3">
      <c r="A9" s="226">
        <v>46044</v>
      </c>
      <c r="B9" s="227" t="s">
        <v>175</v>
      </c>
      <c r="C9" s="227" t="s">
        <v>177</v>
      </c>
      <c r="D9" s="228">
        <v>943.15</v>
      </c>
      <c r="E9" s="228">
        <v>936.65</v>
      </c>
      <c r="F9" s="228">
        <v>6.5</v>
      </c>
      <c r="G9" s="229">
        <v>6.8999999999999999E-3</v>
      </c>
      <c r="H9" s="228">
        <v>942.85</v>
      </c>
      <c r="I9" s="228">
        <v>936.25</v>
      </c>
      <c r="J9" s="228">
        <v>6.6</v>
      </c>
      <c r="K9" s="229">
        <v>7.0000000000000001E-3</v>
      </c>
      <c r="L9" s="228">
        <v>943.15</v>
      </c>
      <c r="M9" s="228">
        <v>936.65</v>
      </c>
      <c r="N9" s="228">
        <v>6.5</v>
      </c>
      <c r="O9" s="229">
        <v>6.8999999999999999E-3</v>
      </c>
      <c r="P9" s="228">
        <v>948.4</v>
      </c>
      <c r="Q9" s="228">
        <v>941.8</v>
      </c>
      <c r="R9" s="228">
        <v>6.6</v>
      </c>
      <c r="S9" s="229">
        <v>7.0000000000000001E-3</v>
      </c>
      <c r="T9" s="228">
        <v>957.25</v>
      </c>
      <c r="U9" s="228">
        <v>947.95</v>
      </c>
      <c r="V9" s="228">
        <v>9.3000000000000007</v>
      </c>
      <c r="W9" s="229">
        <v>9.7999999999999997E-3</v>
      </c>
      <c r="X9" s="228">
        <v>0.3</v>
      </c>
      <c r="Y9" s="228">
        <v>0.4</v>
      </c>
      <c r="Z9" s="228">
        <v>-0.1</v>
      </c>
      <c r="AA9" s="229">
        <v>2.9999999999999997E-4</v>
      </c>
      <c r="AB9" s="228">
        <v>0.3</v>
      </c>
      <c r="AC9" s="228">
        <v>0.4</v>
      </c>
      <c r="AD9" s="228">
        <v>-0.1</v>
      </c>
      <c r="AE9" s="229">
        <v>2.9999999999999997E-4</v>
      </c>
      <c r="AF9" s="228">
        <v>5.55</v>
      </c>
      <c r="AG9" s="228">
        <v>5.55</v>
      </c>
      <c r="AH9" s="228">
        <v>0</v>
      </c>
      <c r="AI9" s="229">
        <v>5.8999999999999999E-3</v>
      </c>
      <c r="AJ9" s="228">
        <v>14.4</v>
      </c>
      <c r="AK9" s="228">
        <v>11.7</v>
      </c>
      <c r="AL9" s="228">
        <v>2.7</v>
      </c>
      <c r="AM9" s="229">
        <v>1.5299999999999999E-2</v>
      </c>
      <c r="AN9" s="228">
        <v>940.76</v>
      </c>
      <c r="AO9" s="228">
        <v>945.77</v>
      </c>
      <c r="AP9" s="228">
        <v>0</v>
      </c>
      <c r="AQ9" s="230">
        <v>87063</v>
      </c>
      <c r="AR9" s="230">
        <v>69543</v>
      </c>
      <c r="AS9" s="230">
        <v>17520</v>
      </c>
      <c r="AT9" s="229">
        <v>0.25190000000000001</v>
      </c>
      <c r="AU9" s="230">
        <v>44058</v>
      </c>
      <c r="AV9" s="230">
        <v>36222</v>
      </c>
      <c r="AW9" s="230">
        <v>7836</v>
      </c>
      <c r="AX9" s="229">
        <v>0.21629999999999999</v>
      </c>
      <c r="AY9" s="230">
        <v>42754</v>
      </c>
      <c r="AZ9" s="230">
        <v>33104</v>
      </c>
      <c r="BA9" s="230">
        <v>9650</v>
      </c>
      <c r="BB9" s="229">
        <v>0.29149999999999998</v>
      </c>
      <c r="BC9" s="228">
        <v>251</v>
      </c>
      <c r="BD9" s="228">
        <v>217</v>
      </c>
      <c r="BE9" s="228">
        <v>34</v>
      </c>
      <c r="BF9" s="229">
        <v>0.15670000000000001</v>
      </c>
      <c r="BG9" s="230">
        <v>46597</v>
      </c>
      <c r="BH9" s="230">
        <v>62267</v>
      </c>
      <c r="BI9" s="230">
        <v>-15670</v>
      </c>
      <c r="BJ9" s="229">
        <v>-0.25169999999999998</v>
      </c>
      <c r="BK9" s="230">
        <v>24470</v>
      </c>
      <c r="BL9" s="230">
        <v>39502</v>
      </c>
      <c r="BM9" s="230">
        <v>-15032</v>
      </c>
      <c r="BN9" s="229">
        <v>-0.3805</v>
      </c>
      <c r="BO9" s="230">
        <v>158130</v>
      </c>
      <c r="BP9" s="230">
        <v>171312</v>
      </c>
      <c r="BQ9" s="230">
        <v>-13182</v>
      </c>
      <c r="BR9" s="229">
        <v>-7.6899999999999996E-2</v>
      </c>
      <c r="BS9" s="230">
        <v>6227692</v>
      </c>
      <c r="BT9" s="230">
        <v>5940817</v>
      </c>
      <c r="BU9" s="230">
        <v>286875</v>
      </c>
      <c r="BV9" s="229">
        <v>4.8300000000000003E-2</v>
      </c>
      <c r="BW9" s="230">
        <v>94620750</v>
      </c>
      <c r="BX9" s="230">
        <v>94552500</v>
      </c>
      <c r="BY9" s="230">
        <v>68250</v>
      </c>
      <c r="BZ9" s="229">
        <v>6.9999999999999999E-4</v>
      </c>
      <c r="CA9" s="230">
        <v>30568500</v>
      </c>
      <c r="CB9" s="230">
        <v>58916250</v>
      </c>
      <c r="CC9" s="230">
        <v>-28347750</v>
      </c>
      <c r="CD9" s="229">
        <v>-0.48120000000000002</v>
      </c>
      <c r="CE9" s="230">
        <v>61119000</v>
      </c>
      <c r="CF9" s="230">
        <v>32814000</v>
      </c>
      <c r="CG9" s="230">
        <v>28305000</v>
      </c>
      <c r="CH9" s="229">
        <v>0.86260000000000003</v>
      </c>
      <c r="CI9" s="230">
        <v>2933250</v>
      </c>
      <c r="CJ9" s="230">
        <v>2822250</v>
      </c>
      <c r="CK9" s="230">
        <v>111000</v>
      </c>
      <c r="CL9" s="229">
        <v>3.9300000000000002E-2</v>
      </c>
      <c r="CM9" s="230">
        <v>30802500</v>
      </c>
      <c r="CN9" s="230">
        <v>32124000</v>
      </c>
      <c r="CO9" s="230">
        <v>-1321500</v>
      </c>
      <c r="CP9" s="229">
        <v>-4.1099999999999998E-2</v>
      </c>
      <c r="CQ9" s="230">
        <v>18943500</v>
      </c>
      <c r="CR9" s="230">
        <v>19220250</v>
      </c>
      <c r="CS9" s="230">
        <v>-276750</v>
      </c>
      <c r="CT9" s="229">
        <v>-1.44E-2</v>
      </c>
      <c r="CU9" s="230">
        <v>144366750</v>
      </c>
      <c r="CV9" s="230">
        <v>145896750</v>
      </c>
      <c r="CW9" s="230">
        <v>-1530000</v>
      </c>
      <c r="CX9" s="229">
        <v>-1.0500000000000001E-2</v>
      </c>
      <c r="CY9" s="228">
        <v>28.85</v>
      </c>
      <c r="CZ9" s="228">
        <v>26.83</v>
      </c>
      <c r="DA9" s="228">
        <v>2.02</v>
      </c>
      <c r="DB9" s="228">
        <v>2.02</v>
      </c>
      <c r="DC9" s="228">
        <v>30.7</v>
      </c>
      <c r="DD9" s="228">
        <v>30.76</v>
      </c>
      <c r="DE9" s="228">
        <v>-1.85</v>
      </c>
      <c r="DF9" s="228">
        <v>-0.06</v>
      </c>
      <c r="DG9" s="228">
        <v>29.32</v>
      </c>
      <c r="DH9" s="228">
        <v>26.68</v>
      </c>
      <c r="DI9" s="228">
        <v>2.64</v>
      </c>
      <c r="DJ9" s="228">
        <v>2.64</v>
      </c>
      <c r="DK9" s="228">
        <v>28.19</v>
      </c>
      <c r="DL9" s="228">
        <v>27.08</v>
      </c>
      <c r="DM9" s="228">
        <v>1.1100000000000001</v>
      </c>
      <c r="DN9" s="228">
        <v>1.1100000000000001</v>
      </c>
      <c r="DO9" s="228">
        <v>0.61</v>
      </c>
      <c r="DP9" s="228">
        <v>0.6</v>
      </c>
      <c r="DQ9" s="228">
        <v>0.01</v>
      </c>
      <c r="DR9" s="229">
        <v>1.67E-2</v>
      </c>
      <c r="DS9" s="231">
        <v>1000</v>
      </c>
      <c r="DT9" s="231">
        <v>1000</v>
      </c>
      <c r="DU9" s="228">
        <v>0.53</v>
      </c>
      <c r="DV9" s="228">
        <v>0.63</v>
      </c>
      <c r="DW9" s="228">
        <v>-0.1</v>
      </c>
      <c r="DX9" s="229">
        <v>-0.15870000000000001</v>
      </c>
      <c r="DY9" s="229">
        <v>0.67689999999999995</v>
      </c>
      <c r="DZ9" s="230">
        <v>35636250</v>
      </c>
      <c r="EA9" s="229">
        <v>5.5999999999999999E-3</v>
      </c>
      <c r="EB9" s="229">
        <v>0.67689999999999995</v>
      </c>
      <c r="EC9" s="228">
        <v>5.01</v>
      </c>
      <c r="ED9" s="229">
        <v>5.3E-3</v>
      </c>
      <c r="EE9" s="230">
        <v>3711897</v>
      </c>
      <c r="EF9" s="230">
        <v>3179399</v>
      </c>
      <c r="EG9" s="229">
        <v>0.16750000000000001</v>
      </c>
      <c r="EH9" s="229">
        <v>0.59599999999999997</v>
      </c>
      <c r="EI9" s="231">
        <v>342019.88</v>
      </c>
      <c r="EJ9" s="231">
        <v>174868.7</v>
      </c>
      <c r="EK9" s="231">
        <v>615921.84</v>
      </c>
      <c r="EL9" s="231">
        <v>33257</v>
      </c>
      <c r="EM9" s="231">
        <v>1132810.42</v>
      </c>
      <c r="EN9" s="231">
        <v>1221592.44</v>
      </c>
      <c r="EO9" s="231">
        <v>-88782.02</v>
      </c>
      <c r="EP9" s="229">
        <v>-7.2700000000000001E-2</v>
      </c>
      <c r="EQ9" s="231">
        <v>311169</v>
      </c>
      <c r="ER9" s="231">
        <v>182619</v>
      </c>
      <c r="ES9" s="231">
        <v>896038</v>
      </c>
      <c r="ET9" s="231">
        <v>317526833</v>
      </c>
      <c r="EU9" s="231">
        <v>1389826</v>
      </c>
      <c r="EV9" s="231">
        <v>1397921</v>
      </c>
      <c r="EW9" s="231">
        <v>-8095</v>
      </c>
      <c r="EX9" s="229">
        <v>-5.7999999999999996E-3</v>
      </c>
      <c r="EY9" s="229">
        <v>0.45469999999999999</v>
      </c>
    </row>
    <row r="10" spans="1:155" ht="17.25" thickBot="1" x14ac:dyDescent="0.3">
      <c r="A10" s="226">
        <v>46044</v>
      </c>
      <c r="B10" s="227" t="s">
        <v>184</v>
      </c>
      <c r="C10" s="227" t="s">
        <v>185</v>
      </c>
      <c r="D10" s="228">
        <v>417.15</v>
      </c>
      <c r="E10" s="228">
        <v>402.5</v>
      </c>
      <c r="F10" s="228">
        <v>14.65</v>
      </c>
      <c r="G10" s="229">
        <v>3.6400000000000002E-2</v>
      </c>
      <c r="H10" s="228">
        <v>417.3</v>
      </c>
      <c r="I10" s="228">
        <v>402.65</v>
      </c>
      <c r="J10" s="228">
        <v>14.65</v>
      </c>
      <c r="K10" s="229">
        <v>3.6400000000000002E-2</v>
      </c>
      <c r="L10" s="228">
        <v>417.15</v>
      </c>
      <c r="M10" s="228">
        <v>402.5</v>
      </c>
      <c r="N10" s="228">
        <v>14.65</v>
      </c>
      <c r="O10" s="229">
        <v>3.6400000000000002E-2</v>
      </c>
      <c r="P10" s="228">
        <v>419.1</v>
      </c>
      <c r="Q10" s="228">
        <v>404.6</v>
      </c>
      <c r="R10" s="228">
        <v>14.5</v>
      </c>
      <c r="S10" s="229">
        <v>3.5799999999999998E-2</v>
      </c>
      <c r="T10" s="228">
        <v>420.3</v>
      </c>
      <c r="U10" s="228">
        <v>405.95</v>
      </c>
      <c r="V10" s="228">
        <v>14.35</v>
      </c>
      <c r="W10" s="229">
        <v>3.5299999999999998E-2</v>
      </c>
      <c r="X10" s="228">
        <v>-0.15</v>
      </c>
      <c r="Y10" s="228">
        <v>-0.15</v>
      </c>
      <c r="Z10" s="228">
        <v>0</v>
      </c>
      <c r="AA10" s="229">
        <v>-4.0000000000000002E-4</v>
      </c>
      <c r="AB10" s="228">
        <v>-0.15</v>
      </c>
      <c r="AC10" s="228">
        <v>-0.15</v>
      </c>
      <c r="AD10" s="228">
        <v>0</v>
      </c>
      <c r="AE10" s="229">
        <v>-4.0000000000000002E-4</v>
      </c>
      <c r="AF10" s="228">
        <v>1.8</v>
      </c>
      <c r="AG10" s="228">
        <v>1.95</v>
      </c>
      <c r="AH10" s="228">
        <v>-0.15</v>
      </c>
      <c r="AI10" s="229">
        <v>4.3E-3</v>
      </c>
      <c r="AJ10" s="228">
        <v>3</v>
      </c>
      <c r="AK10" s="228">
        <v>3.3</v>
      </c>
      <c r="AL10" s="228">
        <v>-0.3</v>
      </c>
      <c r="AM10" s="229">
        <v>7.1999999999999998E-3</v>
      </c>
      <c r="AN10" s="228">
        <v>413.44</v>
      </c>
      <c r="AO10" s="228">
        <v>415.59</v>
      </c>
      <c r="AP10" s="228">
        <v>0</v>
      </c>
      <c r="AQ10" s="230">
        <v>56291</v>
      </c>
      <c r="AR10" s="230">
        <v>37352</v>
      </c>
      <c r="AS10" s="230">
        <v>18939</v>
      </c>
      <c r="AT10" s="229">
        <v>0.50700000000000001</v>
      </c>
      <c r="AU10" s="230">
        <v>29527</v>
      </c>
      <c r="AV10" s="230">
        <v>19994</v>
      </c>
      <c r="AW10" s="230">
        <v>9533</v>
      </c>
      <c r="AX10" s="229">
        <v>0.4768</v>
      </c>
      <c r="AY10" s="230">
        <v>26280</v>
      </c>
      <c r="AZ10" s="230">
        <v>16837</v>
      </c>
      <c r="BA10" s="230">
        <v>9443</v>
      </c>
      <c r="BB10" s="229">
        <v>0.56079999999999997</v>
      </c>
      <c r="BC10" s="228">
        <v>484</v>
      </c>
      <c r="BD10" s="228">
        <v>521</v>
      </c>
      <c r="BE10" s="228">
        <v>-37</v>
      </c>
      <c r="BF10" s="229">
        <v>-7.0999999999999994E-2</v>
      </c>
      <c r="BG10" s="230">
        <v>116529</v>
      </c>
      <c r="BH10" s="230">
        <v>114167</v>
      </c>
      <c r="BI10" s="230">
        <v>2362</v>
      </c>
      <c r="BJ10" s="229">
        <v>2.07E-2</v>
      </c>
      <c r="BK10" s="230">
        <v>58538</v>
      </c>
      <c r="BL10" s="230">
        <v>79199</v>
      </c>
      <c r="BM10" s="230">
        <v>-20661</v>
      </c>
      <c r="BN10" s="229">
        <v>-0.26090000000000002</v>
      </c>
      <c r="BO10" s="230">
        <v>231358</v>
      </c>
      <c r="BP10" s="230">
        <v>230718</v>
      </c>
      <c r="BQ10" s="228">
        <v>640</v>
      </c>
      <c r="BR10" s="229">
        <v>2.8E-3</v>
      </c>
      <c r="BS10" s="230">
        <v>20541979</v>
      </c>
      <c r="BT10" s="230">
        <v>20128972</v>
      </c>
      <c r="BU10" s="230">
        <v>413007</v>
      </c>
      <c r="BV10" s="229">
        <v>2.0500000000000001E-2</v>
      </c>
      <c r="BW10" s="230">
        <v>122501550</v>
      </c>
      <c r="BX10" s="230">
        <v>126728100</v>
      </c>
      <c r="BY10" s="230">
        <v>-4226550</v>
      </c>
      <c r="BZ10" s="229">
        <v>-3.3399999999999999E-2</v>
      </c>
      <c r="CA10" s="230">
        <v>58439250</v>
      </c>
      <c r="CB10" s="230">
        <v>90128400</v>
      </c>
      <c r="CC10" s="230">
        <v>-31689150</v>
      </c>
      <c r="CD10" s="229">
        <v>-0.35160000000000002</v>
      </c>
      <c r="CE10" s="230">
        <v>61510125</v>
      </c>
      <c r="CF10" s="230">
        <v>34084575</v>
      </c>
      <c r="CG10" s="230">
        <v>27425550</v>
      </c>
      <c r="CH10" s="229">
        <v>0.80459999999999998</v>
      </c>
      <c r="CI10" s="230">
        <v>2552175</v>
      </c>
      <c r="CJ10" s="230">
        <v>2515125</v>
      </c>
      <c r="CK10" s="230">
        <v>37050</v>
      </c>
      <c r="CL10" s="229">
        <v>1.47E-2</v>
      </c>
      <c r="CM10" s="230">
        <v>57252225</v>
      </c>
      <c r="CN10" s="230">
        <v>61481625</v>
      </c>
      <c r="CO10" s="230">
        <v>-4229400</v>
      </c>
      <c r="CP10" s="229">
        <v>-6.88E-2</v>
      </c>
      <c r="CQ10" s="230">
        <v>35508150</v>
      </c>
      <c r="CR10" s="230">
        <v>35055000</v>
      </c>
      <c r="CS10" s="230">
        <v>453150</v>
      </c>
      <c r="CT10" s="229">
        <v>1.29E-2</v>
      </c>
      <c r="CU10" s="230">
        <v>215261925</v>
      </c>
      <c r="CV10" s="230">
        <v>223264725</v>
      </c>
      <c r="CW10" s="230">
        <v>-8002800</v>
      </c>
      <c r="CX10" s="229">
        <v>-3.5799999999999998E-2</v>
      </c>
      <c r="CY10" s="228">
        <v>33.880000000000003</v>
      </c>
      <c r="CZ10" s="228">
        <v>29.04</v>
      </c>
      <c r="DA10" s="228">
        <v>4.84</v>
      </c>
      <c r="DB10" s="228">
        <v>4.84</v>
      </c>
      <c r="DC10" s="228">
        <v>35.18</v>
      </c>
      <c r="DD10" s="228">
        <v>34.93</v>
      </c>
      <c r="DE10" s="228">
        <v>-1.3</v>
      </c>
      <c r="DF10" s="228">
        <v>0.25</v>
      </c>
      <c r="DG10" s="228">
        <v>33.82</v>
      </c>
      <c r="DH10" s="228">
        <v>29.62</v>
      </c>
      <c r="DI10" s="228">
        <v>4.2</v>
      </c>
      <c r="DJ10" s="228">
        <v>4.2</v>
      </c>
      <c r="DK10" s="228">
        <v>34.04</v>
      </c>
      <c r="DL10" s="228">
        <v>28.2</v>
      </c>
      <c r="DM10" s="228">
        <v>5.84</v>
      </c>
      <c r="DN10" s="228">
        <v>5.84</v>
      </c>
      <c r="DO10" s="228">
        <v>0.62</v>
      </c>
      <c r="DP10" s="228">
        <v>0.56999999999999995</v>
      </c>
      <c r="DQ10" s="228">
        <v>0.05</v>
      </c>
      <c r="DR10" s="229">
        <v>8.77E-2</v>
      </c>
      <c r="DS10" s="228">
        <v>420</v>
      </c>
      <c r="DT10" s="228">
        <v>400</v>
      </c>
      <c r="DU10" s="228">
        <v>0.5</v>
      </c>
      <c r="DV10" s="228">
        <v>0.69</v>
      </c>
      <c r="DW10" s="228">
        <v>-0.19</v>
      </c>
      <c r="DX10" s="229">
        <v>-0.27539999999999998</v>
      </c>
      <c r="DY10" s="229">
        <v>0.52300000000000002</v>
      </c>
      <c r="DZ10" s="230">
        <v>36599700</v>
      </c>
      <c r="EA10" s="229">
        <v>4.7000000000000002E-3</v>
      </c>
      <c r="EB10" s="229">
        <v>0.52300000000000002</v>
      </c>
      <c r="EC10" s="228">
        <v>2.15</v>
      </c>
      <c r="ED10" s="229">
        <v>5.1999999999999998E-3</v>
      </c>
      <c r="EE10" s="230">
        <v>11822657</v>
      </c>
      <c r="EF10" s="230">
        <v>8356275</v>
      </c>
      <c r="EG10" s="229">
        <v>0.4148</v>
      </c>
      <c r="EH10" s="229">
        <v>0.57550000000000001</v>
      </c>
      <c r="EI10" s="231">
        <v>706878.21</v>
      </c>
      <c r="EJ10" s="231">
        <v>340193.64</v>
      </c>
      <c r="EK10" s="231">
        <v>332464.26</v>
      </c>
      <c r="EL10" s="231">
        <v>22375</v>
      </c>
      <c r="EM10" s="231">
        <v>1379536.11</v>
      </c>
      <c r="EN10" s="231">
        <v>1351515.99</v>
      </c>
      <c r="EO10" s="231">
        <v>28020.12</v>
      </c>
      <c r="EP10" s="229">
        <v>2.07E-2</v>
      </c>
      <c r="EQ10" s="231">
        <v>244187</v>
      </c>
      <c r="ER10" s="231">
        <v>141631</v>
      </c>
      <c r="ES10" s="231">
        <v>512295</v>
      </c>
      <c r="ET10" s="231">
        <v>535778534</v>
      </c>
      <c r="EU10" s="231">
        <v>898113</v>
      </c>
      <c r="EV10" s="231">
        <v>911383</v>
      </c>
      <c r="EW10" s="231">
        <v>-13270</v>
      </c>
      <c r="EX10" s="229">
        <v>-1.46E-2</v>
      </c>
      <c r="EY10" s="229">
        <v>0.40179999999999999</v>
      </c>
    </row>
    <row r="11" spans="1:155" ht="17.25" thickBot="1" x14ac:dyDescent="0.3">
      <c r="A11" s="226">
        <v>46044</v>
      </c>
      <c r="B11" s="227" t="s">
        <v>188</v>
      </c>
      <c r="C11" s="227" t="s">
        <v>189</v>
      </c>
      <c r="D11" s="231">
        <v>2006</v>
      </c>
      <c r="E11" s="231">
        <v>1995.5</v>
      </c>
      <c r="F11" s="228">
        <v>10.5</v>
      </c>
      <c r="G11" s="229">
        <v>5.3E-3</v>
      </c>
      <c r="H11" s="231">
        <v>2002.2</v>
      </c>
      <c r="I11" s="231">
        <v>1996.1</v>
      </c>
      <c r="J11" s="228">
        <v>6.1</v>
      </c>
      <c r="K11" s="229">
        <v>3.0999999999999999E-3</v>
      </c>
      <c r="L11" s="231">
        <v>2006</v>
      </c>
      <c r="M11" s="231">
        <v>1995.5</v>
      </c>
      <c r="N11" s="228">
        <v>10.5</v>
      </c>
      <c r="O11" s="229">
        <v>5.3E-3</v>
      </c>
      <c r="P11" s="231">
        <v>2017</v>
      </c>
      <c r="Q11" s="231">
        <v>2006.2</v>
      </c>
      <c r="R11" s="228">
        <v>10.8</v>
      </c>
      <c r="S11" s="229">
        <v>5.4000000000000003E-3</v>
      </c>
      <c r="T11" s="231">
        <v>2025.2</v>
      </c>
      <c r="U11" s="231">
        <v>2014.7</v>
      </c>
      <c r="V11" s="228">
        <v>10.5</v>
      </c>
      <c r="W11" s="229">
        <v>5.1999999999999998E-3</v>
      </c>
      <c r="X11" s="228">
        <v>3.8</v>
      </c>
      <c r="Y11" s="228">
        <v>-0.6</v>
      </c>
      <c r="Z11" s="228">
        <v>4.4000000000000004</v>
      </c>
      <c r="AA11" s="229">
        <v>1.9E-3</v>
      </c>
      <c r="AB11" s="228">
        <v>3.8</v>
      </c>
      <c r="AC11" s="228">
        <v>-0.6</v>
      </c>
      <c r="AD11" s="228">
        <v>4.4000000000000004</v>
      </c>
      <c r="AE11" s="229">
        <v>1.9E-3</v>
      </c>
      <c r="AF11" s="228">
        <v>14.8</v>
      </c>
      <c r="AG11" s="228">
        <v>10.1</v>
      </c>
      <c r="AH11" s="228">
        <v>4.7</v>
      </c>
      <c r="AI11" s="229">
        <v>7.4000000000000003E-3</v>
      </c>
      <c r="AJ11" s="228">
        <v>23</v>
      </c>
      <c r="AK11" s="228">
        <v>18.600000000000001</v>
      </c>
      <c r="AL11" s="228">
        <v>4.4000000000000004</v>
      </c>
      <c r="AM11" s="229">
        <v>1.15E-2</v>
      </c>
      <c r="AN11" s="231">
        <v>2003.64</v>
      </c>
      <c r="AO11" s="231">
        <v>2014.3</v>
      </c>
      <c r="AP11" s="228">
        <v>0</v>
      </c>
      <c r="AQ11" s="230">
        <v>82669</v>
      </c>
      <c r="AR11" s="230">
        <v>52164</v>
      </c>
      <c r="AS11" s="230">
        <v>30505</v>
      </c>
      <c r="AT11" s="229">
        <v>0.58479999999999999</v>
      </c>
      <c r="AU11" s="230">
        <v>42082</v>
      </c>
      <c r="AV11" s="230">
        <v>27749</v>
      </c>
      <c r="AW11" s="230">
        <v>14333</v>
      </c>
      <c r="AX11" s="229">
        <v>0.51649999999999996</v>
      </c>
      <c r="AY11" s="230">
        <v>39713</v>
      </c>
      <c r="AZ11" s="230">
        <v>24027</v>
      </c>
      <c r="BA11" s="230">
        <v>15686</v>
      </c>
      <c r="BB11" s="229">
        <v>0.65280000000000005</v>
      </c>
      <c r="BC11" s="228">
        <v>874</v>
      </c>
      <c r="BD11" s="228">
        <v>388</v>
      </c>
      <c r="BE11" s="228">
        <v>486</v>
      </c>
      <c r="BF11" s="229">
        <v>1.2525999999999999</v>
      </c>
      <c r="BG11" s="230">
        <v>62183</v>
      </c>
      <c r="BH11" s="230">
        <v>65793</v>
      </c>
      <c r="BI11" s="230">
        <v>-3610</v>
      </c>
      <c r="BJ11" s="229">
        <v>-5.4899999999999997E-2</v>
      </c>
      <c r="BK11" s="230">
        <v>31895</v>
      </c>
      <c r="BL11" s="230">
        <v>40510</v>
      </c>
      <c r="BM11" s="230">
        <v>-8615</v>
      </c>
      <c r="BN11" s="229">
        <v>-0.2127</v>
      </c>
      <c r="BO11" s="230">
        <v>176747</v>
      </c>
      <c r="BP11" s="230">
        <v>158467</v>
      </c>
      <c r="BQ11" s="230">
        <v>18280</v>
      </c>
      <c r="BR11" s="229">
        <v>0.1154</v>
      </c>
      <c r="BS11" s="230">
        <v>7416968</v>
      </c>
      <c r="BT11" s="230">
        <v>8262799</v>
      </c>
      <c r="BU11" s="230">
        <v>-845831</v>
      </c>
      <c r="BV11" s="229">
        <v>-0.1024</v>
      </c>
      <c r="BW11" s="230">
        <v>53711100</v>
      </c>
      <c r="BX11" s="230">
        <v>53041350</v>
      </c>
      <c r="BY11" s="230">
        <v>669750</v>
      </c>
      <c r="BZ11" s="229">
        <v>1.26E-2</v>
      </c>
      <c r="CA11" s="230">
        <v>20281075</v>
      </c>
      <c r="CB11" s="230">
        <v>36699925</v>
      </c>
      <c r="CC11" s="230">
        <v>-16418850</v>
      </c>
      <c r="CD11" s="229">
        <v>-0.44740000000000002</v>
      </c>
      <c r="CE11" s="230">
        <v>31828325</v>
      </c>
      <c r="CF11" s="230">
        <v>15013325</v>
      </c>
      <c r="CG11" s="230">
        <v>16815000</v>
      </c>
      <c r="CH11" s="229">
        <v>1.1200000000000001</v>
      </c>
      <c r="CI11" s="230">
        <v>1601700</v>
      </c>
      <c r="CJ11" s="230">
        <v>1328100</v>
      </c>
      <c r="CK11" s="230">
        <v>273600</v>
      </c>
      <c r="CL11" s="229">
        <v>0.20599999999999999</v>
      </c>
      <c r="CM11" s="230">
        <v>15474550</v>
      </c>
      <c r="CN11" s="230">
        <v>16611700</v>
      </c>
      <c r="CO11" s="230">
        <v>-1137150</v>
      </c>
      <c r="CP11" s="229">
        <v>-6.8500000000000005E-2</v>
      </c>
      <c r="CQ11" s="230">
        <v>7233775</v>
      </c>
      <c r="CR11" s="230">
        <v>7486000</v>
      </c>
      <c r="CS11" s="230">
        <v>-252225</v>
      </c>
      <c r="CT11" s="229">
        <v>-3.3700000000000001E-2</v>
      </c>
      <c r="CU11" s="230">
        <v>76419425</v>
      </c>
      <c r="CV11" s="230">
        <v>77139050</v>
      </c>
      <c r="CW11" s="230">
        <v>-719625</v>
      </c>
      <c r="CX11" s="229">
        <v>-9.2999999999999992E-3</v>
      </c>
      <c r="CY11" s="228">
        <v>21.58</v>
      </c>
      <c r="CZ11" s="228">
        <v>19.88</v>
      </c>
      <c r="DA11" s="228">
        <v>1.7</v>
      </c>
      <c r="DB11" s="228">
        <v>1.7</v>
      </c>
      <c r="DC11" s="228">
        <v>23.81</v>
      </c>
      <c r="DD11" s="228">
        <v>23.87</v>
      </c>
      <c r="DE11" s="228">
        <v>-2.23</v>
      </c>
      <c r="DF11" s="228">
        <v>-0.06</v>
      </c>
      <c r="DG11" s="228">
        <v>21.26</v>
      </c>
      <c r="DH11" s="228">
        <v>19.54</v>
      </c>
      <c r="DI11" s="228">
        <v>1.72</v>
      </c>
      <c r="DJ11" s="228">
        <v>1.72</v>
      </c>
      <c r="DK11" s="228">
        <v>22.04</v>
      </c>
      <c r="DL11" s="228">
        <v>20.440000000000001</v>
      </c>
      <c r="DM11" s="228">
        <v>1.6</v>
      </c>
      <c r="DN11" s="228">
        <v>1.6</v>
      </c>
      <c r="DO11" s="228">
        <v>0.47</v>
      </c>
      <c r="DP11" s="228">
        <v>0.45</v>
      </c>
      <c r="DQ11" s="228">
        <v>0.02</v>
      </c>
      <c r="DR11" s="229">
        <v>4.4400000000000002E-2</v>
      </c>
      <c r="DS11" s="231">
        <v>2100</v>
      </c>
      <c r="DT11" s="231">
        <v>2000</v>
      </c>
      <c r="DU11" s="228">
        <v>0.51</v>
      </c>
      <c r="DV11" s="228">
        <v>0.62</v>
      </c>
      <c r="DW11" s="228">
        <v>-0.11</v>
      </c>
      <c r="DX11" s="229">
        <v>-0.1774</v>
      </c>
      <c r="DY11" s="229">
        <v>0.62239999999999995</v>
      </c>
      <c r="DZ11" s="230">
        <v>16341425</v>
      </c>
      <c r="EA11" s="229">
        <v>5.4999999999999997E-3</v>
      </c>
      <c r="EB11" s="229">
        <v>0.62239999999999995</v>
      </c>
      <c r="EC11" s="228">
        <v>10.66</v>
      </c>
      <c r="ED11" s="229">
        <v>5.3E-3</v>
      </c>
      <c r="EE11" s="230">
        <v>4391282</v>
      </c>
      <c r="EF11" s="230">
        <v>4784310</v>
      </c>
      <c r="EG11" s="229">
        <v>-8.2100000000000006E-2</v>
      </c>
      <c r="EH11" s="229">
        <v>0.59209999999999996</v>
      </c>
      <c r="EI11" s="231">
        <v>608608.54</v>
      </c>
      <c r="EJ11" s="231">
        <v>302182.28000000003</v>
      </c>
      <c r="EK11" s="231">
        <v>788882.73</v>
      </c>
      <c r="EL11" s="231">
        <v>22857</v>
      </c>
      <c r="EM11" s="231">
        <v>1699673.55</v>
      </c>
      <c r="EN11" s="231">
        <v>1517536.11</v>
      </c>
      <c r="EO11" s="231">
        <v>182137.44</v>
      </c>
      <c r="EP11" s="229">
        <v>0.12</v>
      </c>
      <c r="EQ11" s="231">
        <v>328537</v>
      </c>
      <c r="ER11" s="231">
        <v>144821</v>
      </c>
      <c r="ES11" s="231">
        <v>1081253</v>
      </c>
      <c r="ET11" s="231">
        <v>367085962</v>
      </c>
      <c r="EU11" s="231">
        <v>1554611</v>
      </c>
      <c r="EV11" s="231">
        <v>1562711</v>
      </c>
      <c r="EW11" s="231">
        <v>-8100</v>
      </c>
      <c r="EX11" s="229">
        <v>-5.1999999999999998E-3</v>
      </c>
      <c r="EY11" s="229">
        <v>0.2082</v>
      </c>
    </row>
    <row r="12" spans="1:155" ht="17.25" thickBot="1" x14ac:dyDescent="0.3">
      <c r="A12" s="226">
        <v>46044</v>
      </c>
      <c r="B12" s="227" t="s">
        <v>170</v>
      </c>
      <c r="C12" s="227" t="s">
        <v>199</v>
      </c>
      <c r="D12" s="231">
        <v>1373.3</v>
      </c>
      <c r="E12" s="231">
        <v>1368.2</v>
      </c>
      <c r="F12" s="228">
        <v>5.0999999999999996</v>
      </c>
      <c r="G12" s="229">
        <v>3.7000000000000002E-3</v>
      </c>
      <c r="H12" s="231">
        <v>1370.4</v>
      </c>
      <c r="I12" s="231">
        <v>1369.6</v>
      </c>
      <c r="J12" s="228">
        <v>0.8</v>
      </c>
      <c r="K12" s="229">
        <v>5.9999999999999995E-4</v>
      </c>
      <c r="L12" s="231">
        <v>1373.3</v>
      </c>
      <c r="M12" s="231">
        <v>1368.2</v>
      </c>
      <c r="N12" s="228">
        <v>5.0999999999999996</v>
      </c>
      <c r="O12" s="229">
        <v>3.7000000000000002E-3</v>
      </c>
      <c r="P12" s="231">
        <v>1379.7</v>
      </c>
      <c r="Q12" s="231">
        <v>1374.8</v>
      </c>
      <c r="R12" s="228">
        <v>4.9000000000000004</v>
      </c>
      <c r="S12" s="229">
        <v>3.5999999999999999E-3</v>
      </c>
      <c r="T12" s="231">
        <v>1389.4</v>
      </c>
      <c r="U12" s="231">
        <v>1383.5</v>
      </c>
      <c r="V12" s="228">
        <v>5.9</v>
      </c>
      <c r="W12" s="229">
        <v>4.3E-3</v>
      </c>
      <c r="X12" s="228">
        <v>2.9</v>
      </c>
      <c r="Y12" s="228">
        <v>-1.4</v>
      </c>
      <c r="Z12" s="228">
        <v>4.3</v>
      </c>
      <c r="AA12" s="229">
        <v>2.0999999999999999E-3</v>
      </c>
      <c r="AB12" s="228">
        <v>2.9</v>
      </c>
      <c r="AC12" s="228">
        <v>-1.4</v>
      </c>
      <c r="AD12" s="228">
        <v>4.3</v>
      </c>
      <c r="AE12" s="229">
        <v>2.0999999999999999E-3</v>
      </c>
      <c r="AF12" s="228">
        <v>9.3000000000000007</v>
      </c>
      <c r="AG12" s="228">
        <v>5.2</v>
      </c>
      <c r="AH12" s="228">
        <v>4.0999999999999996</v>
      </c>
      <c r="AI12" s="229">
        <v>6.7999999999999996E-3</v>
      </c>
      <c r="AJ12" s="228">
        <v>19</v>
      </c>
      <c r="AK12" s="228">
        <v>13.9</v>
      </c>
      <c r="AL12" s="228">
        <v>5.0999999999999996</v>
      </c>
      <c r="AM12" s="229">
        <v>1.3899999999999999E-2</v>
      </c>
      <c r="AN12" s="231">
        <v>1375.24</v>
      </c>
      <c r="AO12" s="231">
        <v>1381.68</v>
      </c>
      <c r="AP12" s="228">
        <v>0</v>
      </c>
      <c r="AQ12" s="230">
        <v>26012</v>
      </c>
      <c r="AR12" s="230">
        <v>24409</v>
      </c>
      <c r="AS12" s="230">
        <v>1603</v>
      </c>
      <c r="AT12" s="229">
        <v>6.5699999999999995E-2</v>
      </c>
      <c r="AU12" s="230">
        <v>13382</v>
      </c>
      <c r="AV12" s="230">
        <v>12912</v>
      </c>
      <c r="AW12" s="228">
        <v>470</v>
      </c>
      <c r="AX12" s="229">
        <v>3.6400000000000002E-2</v>
      </c>
      <c r="AY12" s="230">
        <v>12566</v>
      </c>
      <c r="AZ12" s="230">
        <v>11418</v>
      </c>
      <c r="BA12" s="230">
        <v>1148</v>
      </c>
      <c r="BB12" s="229">
        <v>0.10050000000000001</v>
      </c>
      <c r="BC12" s="228">
        <v>64</v>
      </c>
      <c r="BD12" s="228">
        <v>79</v>
      </c>
      <c r="BE12" s="228">
        <v>-15</v>
      </c>
      <c r="BF12" s="229">
        <v>-0.18990000000000001</v>
      </c>
      <c r="BG12" s="230">
        <v>22004</v>
      </c>
      <c r="BH12" s="230">
        <v>24374</v>
      </c>
      <c r="BI12" s="230">
        <v>-2370</v>
      </c>
      <c r="BJ12" s="229">
        <v>-9.7199999999999995E-2</v>
      </c>
      <c r="BK12" s="230">
        <v>13228</v>
      </c>
      <c r="BL12" s="230">
        <v>18226</v>
      </c>
      <c r="BM12" s="230">
        <v>-4998</v>
      </c>
      <c r="BN12" s="229">
        <v>-0.2742</v>
      </c>
      <c r="BO12" s="230">
        <v>61244</v>
      </c>
      <c r="BP12" s="230">
        <v>67009</v>
      </c>
      <c r="BQ12" s="230">
        <v>-5765</v>
      </c>
      <c r="BR12" s="229">
        <v>-8.5999999999999993E-2</v>
      </c>
      <c r="BS12" s="230">
        <v>1619714</v>
      </c>
      <c r="BT12" s="230">
        <v>2345885</v>
      </c>
      <c r="BU12" s="230">
        <v>-726171</v>
      </c>
      <c r="BV12" s="229">
        <v>-0.30959999999999999</v>
      </c>
      <c r="BW12" s="230">
        <v>14762250</v>
      </c>
      <c r="BX12" s="230">
        <v>14506500</v>
      </c>
      <c r="BY12" s="230">
        <v>255750</v>
      </c>
      <c r="BZ12" s="229">
        <v>1.7600000000000001E-2</v>
      </c>
      <c r="CA12" s="230">
        <v>6237750</v>
      </c>
      <c r="CB12" s="230">
        <v>9682500</v>
      </c>
      <c r="CC12" s="230">
        <v>-3444750</v>
      </c>
      <c r="CD12" s="229">
        <v>-0.35580000000000001</v>
      </c>
      <c r="CE12" s="230">
        <v>8294250</v>
      </c>
      <c r="CF12" s="230">
        <v>4602375</v>
      </c>
      <c r="CG12" s="230">
        <v>3691875</v>
      </c>
      <c r="CH12" s="229">
        <v>0.80220000000000002</v>
      </c>
      <c r="CI12" s="230">
        <v>230250</v>
      </c>
      <c r="CJ12" s="230">
        <v>221625</v>
      </c>
      <c r="CK12" s="230">
        <v>8625</v>
      </c>
      <c r="CL12" s="229">
        <v>3.8899999999999997E-2</v>
      </c>
      <c r="CM12" s="230">
        <v>7841250</v>
      </c>
      <c r="CN12" s="230">
        <v>7925250</v>
      </c>
      <c r="CO12" s="230">
        <v>-84000</v>
      </c>
      <c r="CP12" s="229">
        <v>-1.06E-2</v>
      </c>
      <c r="CQ12" s="230">
        <v>5990250</v>
      </c>
      <c r="CR12" s="230">
        <v>6069750</v>
      </c>
      <c r="CS12" s="230">
        <v>-79500</v>
      </c>
      <c r="CT12" s="229">
        <v>-1.3100000000000001E-2</v>
      </c>
      <c r="CU12" s="230">
        <v>28593750</v>
      </c>
      <c r="CV12" s="230">
        <v>28501500</v>
      </c>
      <c r="CW12" s="230">
        <v>92250</v>
      </c>
      <c r="CX12" s="229">
        <v>3.2000000000000002E-3</v>
      </c>
      <c r="CY12" s="228">
        <v>25.02</v>
      </c>
      <c r="CZ12" s="228">
        <v>29.37</v>
      </c>
      <c r="DA12" s="228">
        <v>-4.3499999999999996</v>
      </c>
      <c r="DB12" s="228">
        <v>-4.3499999999999996</v>
      </c>
      <c r="DC12" s="228">
        <v>25.49</v>
      </c>
      <c r="DD12" s="228">
        <v>25.54</v>
      </c>
      <c r="DE12" s="228">
        <v>-0.47</v>
      </c>
      <c r="DF12" s="228">
        <v>-0.05</v>
      </c>
      <c r="DG12" s="228">
        <v>25.31</v>
      </c>
      <c r="DH12" s="228">
        <v>29.67</v>
      </c>
      <c r="DI12" s="228">
        <v>-4.3600000000000003</v>
      </c>
      <c r="DJ12" s="228">
        <v>-4.3600000000000003</v>
      </c>
      <c r="DK12" s="228">
        <v>24.46</v>
      </c>
      <c r="DL12" s="228">
        <v>28.96</v>
      </c>
      <c r="DM12" s="228">
        <v>-4.5</v>
      </c>
      <c r="DN12" s="228">
        <v>-4.5</v>
      </c>
      <c r="DO12" s="228">
        <v>0.76</v>
      </c>
      <c r="DP12" s="228">
        <v>0.77</v>
      </c>
      <c r="DQ12" s="228">
        <v>-0.01</v>
      </c>
      <c r="DR12" s="229">
        <v>-1.2999999999999999E-2</v>
      </c>
      <c r="DS12" s="231">
        <v>1540</v>
      </c>
      <c r="DT12" s="231">
        <v>1500</v>
      </c>
      <c r="DU12" s="228">
        <v>0.6</v>
      </c>
      <c r="DV12" s="228">
        <v>0.75</v>
      </c>
      <c r="DW12" s="228">
        <v>-0.15</v>
      </c>
      <c r="DX12" s="229">
        <v>-0.2</v>
      </c>
      <c r="DY12" s="229">
        <v>0.57750000000000001</v>
      </c>
      <c r="DZ12" s="230">
        <v>4824000</v>
      </c>
      <c r="EA12" s="229">
        <v>4.7000000000000002E-3</v>
      </c>
      <c r="EB12" s="229">
        <v>0.57750000000000001</v>
      </c>
      <c r="EC12" s="228">
        <v>6.44</v>
      </c>
      <c r="ED12" s="229">
        <v>4.7000000000000002E-3</v>
      </c>
      <c r="EE12" s="230">
        <v>848697</v>
      </c>
      <c r="EF12" s="230">
        <v>1156086</v>
      </c>
      <c r="EG12" s="229">
        <v>-0.26590000000000003</v>
      </c>
      <c r="EH12" s="229">
        <v>0.52400000000000002</v>
      </c>
      <c r="EI12" s="231">
        <v>117927.28</v>
      </c>
      <c r="EJ12" s="231">
        <v>69102.39</v>
      </c>
      <c r="EK12" s="231">
        <v>134454.96</v>
      </c>
      <c r="EL12" s="231">
        <v>12596</v>
      </c>
      <c r="EM12" s="231">
        <v>321484.63</v>
      </c>
      <c r="EN12" s="231">
        <v>352007.71</v>
      </c>
      <c r="EO12" s="231">
        <v>-30523.08</v>
      </c>
      <c r="EP12" s="229">
        <v>-8.6699999999999999E-2</v>
      </c>
      <c r="EQ12" s="231">
        <v>117114</v>
      </c>
      <c r="ER12" s="231">
        <v>84213</v>
      </c>
      <c r="ES12" s="231">
        <v>203298</v>
      </c>
      <c r="ET12" s="231">
        <v>59297360</v>
      </c>
      <c r="EU12" s="231">
        <v>404624</v>
      </c>
      <c r="EV12" s="231">
        <v>402674</v>
      </c>
      <c r="EW12" s="231">
        <v>1950</v>
      </c>
      <c r="EX12" s="229">
        <v>4.7999999999999996E-3</v>
      </c>
      <c r="EY12" s="229">
        <v>0.48220000000000002</v>
      </c>
    </row>
    <row r="13" spans="1:155" ht="17.25" thickBot="1" x14ac:dyDescent="0.3">
      <c r="A13" s="226">
        <v>46044</v>
      </c>
      <c r="B13" s="227" t="s">
        <v>227</v>
      </c>
      <c r="C13" s="227" t="s">
        <v>200</v>
      </c>
      <c r="D13" s="228">
        <v>422.95</v>
      </c>
      <c r="E13" s="228">
        <v>414.1</v>
      </c>
      <c r="F13" s="228">
        <v>8.85</v>
      </c>
      <c r="G13" s="229">
        <v>2.1399999999999999E-2</v>
      </c>
      <c r="H13" s="228">
        <v>423.2</v>
      </c>
      <c r="I13" s="228">
        <v>414.05</v>
      </c>
      <c r="J13" s="228">
        <v>9.15</v>
      </c>
      <c r="K13" s="229">
        <v>2.2100000000000002E-2</v>
      </c>
      <c r="L13" s="228">
        <v>422.95</v>
      </c>
      <c r="M13" s="228">
        <v>414.1</v>
      </c>
      <c r="N13" s="228">
        <v>8.85</v>
      </c>
      <c r="O13" s="229">
        <v>2.1399999999999999E-2</v>
      </c>
      <c r="P13" s="228">
        <v>419</v>
      </c>
      <c r="Q13" s="228">
        <v>410.05</v>
      </c>
      <c r="R13" s="228">
        <v>8.9499999999999993</v>
      </c>
      <c r="S13" s="229">
        <v>2.18E-2</v>
      </c>
      <c r="T13" s="228">
        <v>421.85</v>
      </c>
      <c r="U13" s="228">
        <v>412.4</v>
      </c>
      <c r="V13" s="228">
        <v>9.4499999999999993</v>
      </c>
      <c r="W13" s="229">
        <v>2.29E-2</v>
      </c>
      <c r="X13" s="228">
        <v>-0.25</v>
      </c>
      <c r="Y13" s="228">
        <v>0.05</v>
      </c>
      <c r="Z13" s="228">
        <v>-0.3</v>
      </c>
      <c r="AA13" s="229">
        <v>-5.9999999999999995E-4</v>
      </c>
      <c r="AB13" s="228">
        <v>-0.25</v>
      </c>
      <c r="AC13" s="228">
        <v>0.05</v>
      </c>
      <c r="AD13" s="228">
        <v>-0.3</v>
      </c>
      <c r="AE13" s="229">
        <v>-5.9999999999999995E-4</v>
      </c>
      <c r="AF13" s="228">
        <v>-4.2</v>
      </c>
      <c r="AG13" s="228">
        <v>-4</v>
      </c>
      <c r="AH13" s="228">
        <v>-0.2</v>
      </c>
      <c r="AI13" s="229">
        <v>-9.9000000000000008E-3</v>
      </c>
      <c r="AJ13" s="228">
        <v>-1.35</v>
      </c>
      <c r="AK13" s="228">
        <v>-1.65</v>
      </c>
      <c r="AL13" s="228">
        <v>0.3</v>
      </c>
      <c r="AM13" s="229">
        <v>-3.2000000000000002E-3</v>
      </c>
      <c r="AN13" s="228">
        <v>422.04</v>
      </c>
      <c r="AO13" s="228">
        <v>417.95</v>
      </c>
      <c r="AP13" s="228">
        <v>0</v>
      </c>
      <c r="AQ13" s="230">
        <v>24375</v>
      </c>
      <c r="AR13" s="230">
        <v>25246</v>
      </c>
      <c r="AS13" s="228">
        <v>-871</v>
      </c>
      <c r="AT13" s="229">
        <v>-3.4500000000000003E-2</v>
      </c>
      <c r="AU13" s="230">
        <v>13113</v>
      </c>
      <c r="AV13" s="230">
        <v>14494</v>
      </c>
      <c r="AW13" s="230">
        <v>-1381</v>
      </c>
      <c r="AX13" s="229">
        <v>-9.5299999999999996E-2</v>
      </c>
      <c r="AY13" s="230">
        <v>11129</v>
      </c>
      <c r="AZ13" s="230">
        <v>10557</v>
      </c>
      <c r="BA13" s="228">
        <v>572</v>
      </c>
      <c r="BB13" s="229">
        <v>5.4199999999999998E-2</v>
      </c>
      <c r="BC13" s="228">
        <v>133</v>
      </c>
      <c r="BD13" s="228">
        <v>195</v>
      </c>
      <c r="BE13" s="228">
        <v>-62</v>
      </c>
      <c r="BF13" s="229">
        <v>-0.31790000000000002</v>
      </c>
      <c r="BG13" s="230">
        <v>67047</v>
      </c>
      <c r="BH13" s="230">
        <v>57503</v>
      </c>
      <c r="BI13" s="230">
        <v>9544</v>
      </c>
      <c r="BJ13" s="229">
        <v>0.16600000000000001</v>
      </c>
      <c r="BK13" s="230">
        <v>28751</v>
      </c>
      <c r="BL13" s="230">
        <v>27268</v>
      </c>
      <c r="BM13" s="230">
        <v>1483</v>
      </c>
      <c r="BN13" s="229">
        <v>5.4399999999999997E-2</v>
      </c>
      <c r="BO13" s="230">
        <v>120173</v>
      </c>
      <c r="BP13" s="230">
        <v>110017</v>
      </c>
      <c r="BQ13" s="230">
        <v>10156</v>
      </c>
      <c r="BR13" s="229">
        <v>9.2299999999999993E-2</v>
      </c>
      <c r="BS13" s="230">
        <v>12041981</v>
      </c>
      <c r="BT13" s="230">
        <v>7677466</v>
      </c>
      <c r="BU13" s="230">
        <v>4364515</v>
      </c>
      <c r="BV13" s="229">
        <v>0.56850000000000001</v>
      </c>
      <c r="BW13" s="230">
        <v>57202200</v>
      </c>
      <c r="BX13" s="230">
        <v>56872800</v>
      </c>
      <c r="BY13" s="230">
        <v>329400</v>
      </c>
      <c r="BZ13" s="229">
        <v>5.7999999999999996E-3</v>
      </c>
      <c r="CA13" s="230">
        <v>32651100</v>
      </c>
      <c r="CB13" s="230">
        <v>41053500</v>
      </c>
      <c r="CC13" s="230">
        <v>-8402400</v>
      </c>
      <c r="CD13" s="229">
        <v>-0.20469999999999999</v>
      </c>
      <c r="CE13" s="230">
        <v>23766750</v>
      </c>
      <c r="CF13" s="230">
        <v>15068700</v>
      </c>
      <c r="CG13" s="230">
        <v>8698050</v>
      </c>
      <c r="CH13" s="229">
        <v>0.57720000000000005</v>
      </c>
      <c r="CI13" s="230">
        <v>784350</v>
      </c>
      <c r="CJ13" s="230">
        <v>750600</v>
      </c>
      <c r="CK13" s="230">
        <v>33750</v>
      </c>
      <c r="CL13" s="229">
        <v>4.4999999999999998E-2</v>
      </c>
      <c r="CM13" s="230">
        <v>52323300</v>
      </c>
      <c r="CN13" s="230">
        <v>56548800</v>
      </c>
      <c r="CO13" s="230">
        <v>-4225500</v>
      </c>
      <c r="CP13" s="229">
        <v>-7.4700000000000003E-2</v>
      </c>
      <c r="CQ13" s="230">
        <v>26190000</v>
      </c>
      <c r="CR13" s="230">
        <v>26254800</v>
      </c>
      <c r="CS13" s="230">
        <v>-64800</v>
      </c>
      <c r="CT13" s="229">
        <v>-2.5000000000000001E-3</v>
      </c>
      <c r="CU13" s="230">
        <v>135715500</v>
      </c>
      <c r="CV13" s="230">
        <v>139676400</v>
      </c>
      <c r="CW13" s="230">
        <v>-3960900</v>
      </c>
      <c r="CX13" s="229">
        <v>-2.8400000000000002E-2</v>
      </c>
      <c r="CY13" s="228">
        <v>24.28</v>
      </c>
      <c r="CZ13" s="228">
        <v>21.11</v>
      </c>
      <c r="DA13" s="228">
        <v>3.17</v>
      </c>
      <c r="DB13" s="228">
        <v>3.17</v>
      </c>
      <c r="DC13" s="228">
        <v>28.32</v>
      </c>
      <c r="DD13" s="228">
        <v>28.25</v>
      </c>
      <c r="DE13" s="228">
        <v>-4.04</v>
      </c>
      <c r="DF13" s="228">
        <v>7.0000000000000007E-2</v>
      </c>
      <c r="DG13" s="228">
        <v>24.31</v>
      </c>
      <c r="DH13" s="228">
        <v>21.77</v>
      </c>
      <c r="DI13" s="228">
        <v>2.54</v>
      </c>
      <c r="DJ13" s="228">
        <v>2.54</v>
      </c>
      <c r="DK13" s="228">
        <v>24.23</v>
      </c>
      <c r="DL13" s="228">
        <v>19.73</v>
      </c>
      <c r="DM13" s="228">
        <v>4.5</v>
      </c>
      <c r="DN13" s="228">
        <v>4.5</v>
      </c>
      <c r="DO13" s="228">
        <v>0.5</v>
      </c>
      <c r="DP13" s="228">
        <v>0.46</v>
      </c>
      <c r="DQ13" s="228">
        <v>0.04</v>
      </c>
      <c r="DR13" s="229">
        <v>8.6999999999999994E-2</v>
      </c>
      <c r="DS13" s="228">
        <v>440</v>
      </c>
      <c r="DT13" s="228">
        <v>400</v>
      </c>
      <c r="DU13" s="228">
        <v>0.43</v>
      </c>
      <c r="DV13" s="228">
        <v>0.47</v>
      </c>
      <c r="DW13" s="228">
        <v>-0.04</v>
      </c>
      <c r="DX13" s="229">
        <v>-8.5099999999999995E-2</v>
      </c>
      <c r="DY13" s="229">
        <v>0.42920000000000003</v>
      </c>
      <c r="DZ13" s="230">
        <v>15819300</v>
      </c>
      <c r="EA13" s="229">
        <v>-9.2999999999999992E-3</v>
      </c>
      <c r="EB13" s="229">
        <v>0.42920000000000003</v>
      </c>
      <c r="EC13" s="228">
        <v>-4.09</v>
      </c>
      <c r="ED13" s="229">
        <v>-9.7000000000000003E-3</v>
      </c>
      <c r="EE13" s="230">
        <v>6938172</v>
      </c>
      <c r="EF13" s="230">
        <v>4105819</v>
      </c>
      <c r="EG13" s="229">
        <v>0.68979999999999997</v>
      </c>
      <c r="EH13" s="229">
        <v>0.57620000000000005</v>
      </c>
      <c r="EI13" s="231">
        <v>391763.5</v>
      </c>
      <c r="EJ13" s="231">
        <v>161787.94</v>
      </c>
      <c r="EK13" s="231">
        <v>138260.37</v>
      </c>
      <c r="EL13" s="231">
        <v>13497</v>
      </c>
      <c r="EM13" s="231">
        <v>691811.81</v>
      </c>
      <c r="EN13" s="231">
        <v>625920.59</v>
      </c>
      <c r="EO13" s="231">
        <v>65891.22</v>
      </c>
      <c r="EP13" s="229">
        <v>0.1053</v>
      </c>
      <c r="EQ13" s="231">
        <v>230261</v>
      </c>
      <c r="ER13" s="231">
        <v>107082</v>
      </c>
      <c r="ES13" s="231">
        <v>240989</v>
      </c>
      <c r="ET13" s="231">
        <v>278206904</v>
      </c>
      <c r="EU13" s="231">
        <v>578332</v>
      </c>
      <c r="EV13" s="231">
        <v>590479</v>
      </c>
      <c r="EW13" s="231">
        <v>-12147</v>
      </c>
      <c r="EX13" s="229">
        <v>-2.06E-2</v>
      </c>
      <c r="EY13" s="229">
        <v>0.48780000000000001</v>
      </c>
    </row>
    <row r="14" spans="1:155" ht="17.25" thickBot="1" x14ac:dyDescent="0.3">
      <c r="A14" s="226">
        <v>46044</v>
      </c>
      <c r="B14" s="227" t="s">
        <v>170</v>
      </c>
      <c r="C14" s="227" t="s">
        <v>208</v>
      </c>
      <c r="D14" s="231">
        <v>1221.3</v>
      </c>
      <c r="E14" s="231">
        <v>1160.2</v>
      </c>
      <c r="F14" s="228">
        <v>61.1</v>
      </c>
      <c r="G14" s="229">
        <v>5.2699999999999997E-2</v>
      </c>
      <c r="H14" s="231">
        <v>1217.5</v>
      </c>
      <c r="I14" s="231">
        <v>1157.2</v>
      </c>
      <c r="J14" s="228">
        <v>60.3</v>
      </c>
      <c r="K14" s="229">
        <v>5.21E-2</v>
      </c>
      <c r="L14" s="231">
        <v>1221.3</v>
      </c>
      <c r="M14" s="231">
        <v>1160.2</v>
      </c>
      <c r="N14" s="228">
        <v>61.1</v>
      </c>
      <c r="O14" s="229">
        <v>5.2699999999999997E-2</v>
      </c>
      <c r="P14" s="231">
        <v>1225.9000000000001</v>
      </c>
      <c r="Q14" s="231">
        <v>1164.4000000000001</v>
      </c>
      <c r="R14" s="228">
        <v>61.5</v>
      </c>
      <c r="S14" s="229">
        <v>5.28E-2</v>
      </c>
      <c r="T14" s="231">
        <v>1233.2</v>
      </c>
      <c r="U14" s="231">
        <v>1170.0999999999999</v>
      </c>
      <c r="V14" s="228">
        <v>63.1</v>
      </c>
      <c r="W14" s="229">
        <v>5.3900000000000003E-2</v>
      </c>
      <c r="X14" s="228">
        <v>3.8</v>
      </c>
      <c r="Y14" s="228">
        <v>3</v>
      </c>
      <c r="Z14" s="228">
        <v>0.8</v>
      </c>
      <c r="AA14" s="229">
        <v>3.0999999999999999E-3</v>
      </c>
      <c r="AB14" s="228">
        <v>3.8</v>
      </c>
      <c r="AC14" s="228">
        <v>3</v>
      </c>
      <c r="AD14" s="228">
        <v>0.8</v>
      </c>
      <c r="AE14" s="229">
        <v>3.0999999999999999E-3</v>
      </c>
      <c r="AF14" s="228">
        <v>8.4</v>
      </c>
      <c r="AG14" s="228">
        <v>7.2</v>
      </c>
      <c r="AH14" s="228">
        <v>1.2</v>
      </c>
      <c r="AI14" s="229">
        <v>6.8999999999999999E-3</v>
      </c>
      <c r="AJ14" s="228">
        <v>15.7</v>
      </c>
      <c r="AK14" s="228">
        <v>12.9</v>
      </c>
      <c r="AL14" s="228">
        <v>2.8</v>
      </c>
      <c r="AM14" s="229">
        <v>1.29E-2</v>
      </c>
      <c r="AN14" s="231">
        <v>1218.07</v>
      </c>
      <c r="AO14" s="231">
        <v>1224.1099999999999</v>
      </c>
      <c r="AP14" s="228">
        <v>0</v>
      </c>
      <c r="AQ14" s="230">
        <v>28641</v>
      </c>
      <c r="AR14" s="230">
        <v>16048</v>
      </c>
      <c r="AS14" s="230">
        <v>12593</v>
      </c>
      <c r="AT14" s="229">
        <v>0.78469999999999995</v>
      </c>
      <c r="AU14" s="230">
        <v>15908</v>
      </c>
      <c r="AV14" s="230">
        <v>9851</v>
      </c>
      <c r="AW14" s="230">
        <v>6057</v>
      </c>
      <c r="AX14" s="229">
        <v>0.6149</v>
      </c>
      <c r="AY14" s="230">
        <v>12639</v>
      </c>
      <c r="AZ14" s="230">
        <v>6159</v>
      </c>
      <c r="BA14" s="230">
        <v>6480</v>
      </c>
      <c r="BB14" s="229">
        <v>1.0521</v>
      </c>
      <c r="BC14" s="228">
        <v>94</v>
      </c>
      <c r="BD14" s="228">
        <v>38</v>
      </c>
      <c r="BE14" s="228">
        <v>56</v>
      </c>
      <c r="BF14" s="229">
        <v>1.4737</v>
      </c>
      <c r="BG14" s="230">
        <v>114956</v>
      </c>
      <c r="BH14" s="230">
        <v>54182</v>
      </c>
      <c r="BI14" s="230">
        <v>60774</v>
      </c>
      <c r="BJ14" s="229">
        <v>1.1216999999999999</v>
      </c>
      <c r="BK14" s="230">
        <v>56253</v>
      </c>
      <c r="BL14" s="230">
        <v>39306</v>
      </c>
      <c r="BM14" s="230">
        <v>16947</v>
      </c>
      <c r="BN14" s="229">
        <v>0.43120000000000003</v>
      </c>
      <c r="BO14" s="230">
        <v>199850</v>
      </c>
      <c r="BP14" s="230">
        <v>109536</v>
      </c>
      <c r="BQ14" s="230">
        <v>90314</v>
      </c>
      <c r="BR14" s="229">
        <v>0.82450000000000001</v>
      </c>
      <c r="BS14" s="230">
        <v>7212357</v>
      </c>
      <c r="BT14" s="230">
        <v>2710120</v>
      </c>
      <c r="BU14" s="230">
        <v>4502237</v>
      </c>
      <c r="BV14" s="229">
        <v>1.6613</v>
      </c>
      <c r="BW14" s="230">
        <v>15102500</v>
      </c>
      <c r="BX14" s="230">
        <v>14961875</v>
      </c>
      <c r="BY14" s="230">
        <v>140625</v>
      </c>
      <c r="BZ14" s="229">
        <v>9.4000000000000004E-3</v>
      </c>
      <c r="CA14" s="230">
        <v>7557500</v>
      </c>
      <c r="CB14" s="230">
        <v>11795000</v>
      </c>
      <c r="CC14" s="230">
        <v>-4237500</v>
      </c>
      <c r="CD14" s="229">
        <v>-0.35930000000000001</v>
      </c>
      <c r="CE14" s="230">
        <v>7410625</v>
      </c>
      <c r="CF14" s="230">
        <v>3023750</v>
      </c>
      <c r="CG14" s="230">
        <v>4386875</v>
      </c>
      <c r="CH14" s="229">
        <v>1.4508000000000001</v>
      </c>
      <c r="CI14" s="230">
        <v>134375</v>
      </c>
      <c r="CJ14" s="230">
        <v>143125</v>
      </c>
      <c r="CK14" s="230">
        <v>-8750</v>
      </c>
      <c r="CL14" s="229">
        <v>-6.1100000000000002E-2</v>
      </c>
      <c r="CM14" s="230">
        <v>11327500</v>
      </c>
      <c r="CN14" s="230">
        <v>11758125</v>
      </c>
      <c r="CO14" s="230">
        <v>-430625</v>
      </c>
      <c r="CP14" s="229">
        <v>-3.6600000000000001E-2</v>
      </c>
      <c r="CQ14" s="230">
        <v>6790000</v>
      </c>
      <c r="CR14" s="230">
        <v>7261875</v>
      </c>
      <c r="CS14" s="230">
        <v>-471875</v>
      </c>
      <c r="CT14" s="229">
        <v>-6.5000000000000002E-2</v>
      </c>
      <c r="CU14" s="230">
        <v>33220000</v>
      </c>
      <c r="CV14" s="230">
        <v>33981875</v>
      </c>
      <c r="CW14" s="230">
        <v>-761875</v>
      </c>
      <c r="CX14" s="229">
        <v>-2.24E-2</v>
      </c>
      <c r="CY14" s="228">
        <v>24.39</v>
      </c>
      <c r="CZ14" s="228">
        <v>41.11</v>
      </c>
      <c r="DA14" s="228">
        <v>-16.72</v>
      </c>
      <c r="DB14" s="228">
        <v>-16.72</v>
      </c>
      <c r="DC14" s="228">
        <v>24.54</v>
      </c>
      <c r="DD14" s="228">
        <v>23.59</v>
      </c>
      <c r="DE14" s="228">
        <v>-0.15</v>
      </c>
      <c r="DF14" s="228">
        <v>0.95</v>
      </c>
      <c r="DG14" s="228">
        <v>23.82</v>
      </c>
      <c r="DH14" s="228">
        <v>39.18</v>
      </c>
      <c r="DI14" s="228">
        <v>-15.36</v>
      </c>
      <c r="DJ14" s="228">
        <v>-15.36</v>
      </c>
      <c r="DK14" s="228">
        <v>25.28</v>
      </c>
      <c r="DL14" s="228">
        <v>43.76</v>
      </c>
      <c r="DM14" s="228">
        <v>-18.48</v>
      </c>
      <c r="DN14" s="228">
        <v>-18.48</v>
      </c>
      <c r="DO14" s="228">
        <v>0.6</v>
      </c>
      <c r="DP14" s="228">
        <v>0.62</v>
      </c>
      <c r="DQ14" s="228">
        <v>-0.02</v>
      </c>
      <c r="DR14" s="229">
        <v>-3.2300000000000002E-2</v>
      </c>
      <c r="DS14" s="231">
        <v>1260</v>
      </c>
      <c r="DT14" s="231">
        <v>1100</v>
      </c>
      <c r="DU14" s="228">
        <v>0.49</v>
      </c>
      <c r="DV14" s="228">
        <v>0.73</v>
      </c>
      <c r="DW14" s="228">
        <v>-0.24</v>
      </c>
      <c r="DX14" s="229">
        <v>-0.32879999999999998</v>
      </c>
      <c r="DY14" s="229">
        <v>0.49959999999999999</v>
      </c>
      <c r="DZ14" s="230">
        <v>3166875</v>
      </c>
      <c r="EA14" s="229">
        <v>3.8E-3</v>
      </c>
      <c r="EB14" s="229">
        <v>0.49959999999999999</v>
      </c>
      <c r="EC14" s="228">
        <v>6.04</v>
      </c>
      <c r="ED14" s="229">
        <v>5.0000000000000001E-3</v>
      </c>
      <c r="EE14" s="230">
        <v>3427083</v>
      </c>
      <c r="EF14" s="230">
        <v>1184012</v>
      </c>
      <c r="EG14" s="229">
        <v>1.8945000000000001</v>
      </c>
      <c r="EH14" s="229">
        <v>0.47520000000000001</v>
      </c>
      <c r="EI14" s="231">
        <v>894110.53</v>
      </c>
      <c r="EJ14" s="231">
        <v>415994.1</v>
      </c>
      <c r="EK14" s="231">
        <v>218524.17</v>
      </c>
      <c r="EL14" s="231">
        <v>7767</v>
      </c>
      <c r="EM14" s="231">
        <v>1528628.8</v>
      </c>
      <c r="EN14" s="231">
        <v>812985.43</v>
      </c>
      <c r="EO14" s="231">
        <v>715643.37</v>
      </c>
      <c r="EP14" s="229">
        <v>0.88029999999999997</v>
      </c>
      <c r="EQ14" s="231">
        <v>143057</v>
      </c>
      <c r="ER14" s="231">
        <v>79318</v>
      </c>
      <c r="ES14" s="231">
        <v>184804</v>
      </c>
      <c r="ET14" s="231">
        <v>91531454</v>
      </c>
      <c r="EU14" s="231">
        <v>407178</v>
      </c>
      <c r="EV14" s="231">
        <v>403948</v>
      </c>
      <c r="EW14" s="231">
        <v>3230</v>
      </c>
      <c r="EX14" s="229">
        <v>8.0000000000000002E-3</v>
      </c>
      <c r="EY14" s="229">
        <v>0.3629</v>
      </c>
    </row>
    <row r="15" spans="1:155" ht="17.25" thickBot="1" x14ac:dyDescent="0.3">
      <c r="A15" s="226">
        <v>46044</v>
      </c>
      <c r="B15" s="227" t="s">
        <v>162</v>
      </c>
      <c r="C15" s="227" t="s">
        <v>209</v>
      </c>
      <c r="D15" s="231">
        <v>7040</v>
      </c>
      <c r="E15" s="231">
        <v>7137</v>
      </c>
      <c r="F15" s="228">
        <v>-97</v>
      </c>
      <c r="G15" s="229">
        <v>-1.3599999999999999E-2</v>
      </c>
      <c r="H15" s="231">
        <v>7049</v>
      </c>
      <c r="I15" s="231">
        <v>7140</v>
      </c>
      <c r="J15" s="228">
        <v>-91</v>
      </c>
      <c r="K15" s="229">
        <v>-1.2699999999999999E-2</v>
      </c>
      <c r="L15" s="231">
        <v>7040</v>
      </c>
      <c r="M15" s="231">
        <v>7137</v>
      </c>
      <c r="N15" s="228">
        <v>-97</v>
      </c>
      <c r="O15" s="229">
        <v>-1.3599999999999999E-2</v>
      </c>
      <c r="P15" s="231">
        <v>7083</v>
      </c>
      <c r="Q15" s="231">
        <v>7177.5</v>
      </c>
      <c r="R15" s="228">
        <v>-94.5</v>
      </c>
      <c r="S15" s="229">
        <v>-1.32E-2</v>
      </c>
      <c r="T15" s="231">
        <v>7132</v>
      </c>
      <c r="U15" s="231">
        <v>7225</v>
      </c>
      <c r="V15" s="228">
        <v>-93</v>
      </c>
      <c r="W15" s="229">
        <v>-1.29E-2</v>
      </c>
      <c r="X15" s="228">
        <v>-9</v>
      </c>
      <c r="Y15" s="228">
        <v>-3</v>
      </c>
      <c r="Z15" s="228">
        <v>-6</v>
      </c>
      <c r="AA15" s="229">
        <v>-1.2999999999999999E-3</v>
      </c>
      <c r="AB15" s="228">
        <v>-9</v>
      </c>
      <c r="AC15" s="228">
        <v>-3</v>
      </c>
      <c r="AD15" s="228">
        <v>-6</v>
      </c>
      <c r="AE15" s="229">
        <v>-1.2999999999999999E-3</v>
      </c>
      <c r="AF15" s="228">
        <v>34</v>
      </c>
      <c r="AG15" s="228">
        <v>37.5</v>
      </c>
      <c r="AH15" s="228">
        <v>-3.5</v>
      </c>
      <c r="AI15" s="229">
        <v>4.7999999999999996E-3</v>
      </c>
      <c r="AJ15" s="228">
        <v>83</v>
      </c>
      <c r="AK15" s="228">
        <v>85</v>
      </c>
      <c r="AL15" s="228">
        <v>-2</v>
      </c>
      <c r="AM15" s="229">
        <v>1.18E-2</v>
      </c>
      <c r="AN15" s="231">
        <v>7135.33</v>
      </c>
      <c r="AO15" s="231">
        <v>7173.98</v>
      </c>
      <c r="AP15" s="228">
        <v>0</v>
      </c>
      <c r="AQ15" s="230">
        <v>26406</v>
      </c>
      <c r="AR15" s="230">
        <v>18460</v>
      </c>
      <c r="AS15" s="230">
        <v>7946</v>
      </c>
      <c r="AT15" s="229">
        <v>0.4304</v>
      </c>
      <c r="AU15" s="230">
        <v>13599</v>
      </c>
      <c r="AV15" s="230">
        <v>9847</v>
      </c>
      <c r="AW15" s="230">
        <v>3752</v>
      </c>
      <c r="AX15" s="229">
        <v>0.38100000000000001</v>
      </c>
      <c r="AY15" s="230">
        <v>12600</v>
      </c>
      <c r="AZ15" s="230">
        <v>8507</v>
      </c>
      <c r="BA15" s="230">
        <v>4093</v>
      </c>
      <c r="BB15" s="229">
        <v>0.48110000000000003</v>
      </c>
      <c r="BC15" s="228">
        <v>207</v>
      </c>
      <c r="BD15" s="228">
        <v>106</v>
      </c>
      <c r="BE15" s="228">
        <v>101</v>
      </c>
      <c r="BF15" s="229">
        <v>0.95279999999999998</v>
      </c>
      <c r="BG15" s="230">
        <v>50109</v>
      </c>
      <c r="BH15" s="230">
        <v>48406</v>
      </c>
      <c r="BI15" s="230">
        <v>1703</v>
      </c>
      <c r="BJ15" s="229">
        <v>3.5200000000000002E-2</v>
      </c>
      <c r="BK15" s="230">
        <v>21673</v>
      </c>
      <c r="BL15" s="230">
        <v>24784</v>
      </c>
      <c r="BM15" s="230">
        <v>-3111</v>
      </c>
      <c r="BN15" s="229">
        <v>-0.1255</v>
      </c>
      <c r="BO15" s="230">
        <v>98188</v>
      </c>
      <c r="BP15" s="230">
        <v>91650</v>
      </c>
      <c r="BQ15" s="230">
        <v>6538</v>
      </c>
      <c r="BR15" s="229">
        <v>7.1300000000000002E-2</v>
      </c>
      <c r="BS15" s="230">
        <v>372678</v>
      </c>
      <c r="BT15" s="230">
        <v>490200</v>
      </c>
      <c r="BU15" s="230">
        <v>-117522</v>
      </c>
      <c r="BV15" s="229">
        <v>-0.2397</v>
      </c>
      <c r="BW15" s="230">
        <v>3046900</v>
      </c>
      <c r="BX15" s="230">
        <v>3030500</v>
      </c>
      <c r="BY15" s="230">
        <v>16400</v>
      </c>
      <c r="BZ15" s="229">
        <v>5.4000000000000003E-3</v>
      </c>
      <c r="CA15" s="230">
        <v>1433000</v>
      </c>
      <c r="CB15" s="230">
        <v>2249100</v>
      </c>
      <c r="CC15" s="230">
        <v>-816100</v>
      </c>
      <c r="CD15" s="229">
        <v>-0.3629</v>
      </c>
      <c r="CE15" s="230">
        <v>1564100</v>
      </c>
      <c r="CF15" s="230">
        <v>740600</v>
      </c>
      <c r="CG15" s="230">
        <v>823500</v>
      </c>
      <c r="CH15" s="229">
        <v>1.1119000000000001</v>
      </c>
      <c r="CI15" s="230">
        <v>49800</v>
      </c>
      <c r="CJ15" s="230">
        <v>40800</v>
      </c>
      <c r="CK15" s="230">
        <v>9000</v>
      </c>
      <c r="CL15" s="229">
        <v>0.22059999999999999</v>
      </c>
      <c r="CM15" s="230">
        <v>1931100</v>
      </c>
      <c r="CN15" s="230">
        <v>1848300</v>
      </c>
      <c r="CO15" s="230">
        <v>82800</v>
      </c>
      <c r="CP15" s="229">
        <v>4.48E-2</v>
      </c>
      <c r="CQ15" s="230">
        <v>947600</v>
      </c>
      <c r="CR15" s="230">
        <v>944100</v>
      </c>
      <c r="CS15" s="230">
        <v>3500</v>
      </c>
      <c r="CT15" s="229">
        <v>3.7000000000000002E-3</v>
      </c>
      <c r="CU15" s="230">
        <v>5925600</v>
      </c>
      <c r="CV15" s="230">
        <v>5822900</v>
      </c>
      <c r="CW15" s="230">
        <v>102700</v>
      </c>
      <c r="CX15" s="229">
        <v>1.7600000000000001E-2</v>
      </c>
      <c r="CY15" s="228">
        <v>26.75</v>
      </c>
      <c r="CZ15" s="228">
        <v>24.39</v>
      </c>
      <c r="DA15" s="228">
        <v>2.36</v>
      </c>
      <c r="DB15" s="228">
        <v>2.36</v>
      </c>
      <c r="DC15" s="228">
        <v>26.29</v>
      </c>
      <c r="DD15" s="228">
        <v>26.3</v>
      </c>
      <c r="DE15" s="228">
        <v>0.46</v>
      </c>
      <c r="DF15" s="228">
        <v>-0.01</v>
      </c>
      <c r="DG15" s="228">
        <v>27.09</v>
      </c>
      <c r="DH15" s="228">
        <v>25.62</v>
      </c>
      <c r="DI15" s="228">
        <v>1.47</v>
      </c>
      <c r="DJ15" s="228">
        <v>1.47</v>
      </c>
      <c r="DK15" s="228">
        <v>26.24</v>
      </c>
      <c r="DL15" s="228">
        <v>21.99</v>
      </c>
      <c r="DM15" s="228">
        <v>4.25</v>
      </c>
      <c r="DN15" s="228">
        <v>4.25</v>
      </c>
      <c r="DO15" s="228">
        <v>0.49</v>
      </c>
      <c r="DP15" s="228">
        <v>0.51</v>
      </c>
      <c r="DQ15" s="228">
        <v>-0.02</v>
      </c>
      <c r="DR15" s="229">
        <v>-3.9199999999999999E-2</v>
      </c>
      <c r="DS15" s="231">
        <v>7800</v>
      </c>
      <c r="DT15" s="231">
        <v>7000</v>
      </c>
      <c r="DU15" s="228">
        <v>0.43</v>
      </c>
      <c r="DV15" s="228">
        <v>0.51</v>
      </c>
      <c r="DW15" s="228">
        <v>-0.08</v>
      </c>
      <c r="DX15" s="229">
        <v>-0.15690000000000001</v>
      </c>
      <c r="DY15" s="229">
        <v>0.52969999999999995</v>
      </c>
      <c r="DZ15" s="230">
        <v>781400</v>
      </c>
      <c r="EA15" s="229">
        <v>6.1000000000000004E-3</v>
      </c>
      <c r="EB15" s="229">
        <v>0.52969999999999995</v>
      </c>
      <c r="EC15" s="228">
        <v>38.65</v>
      </c>
      <c r="ED15" s="229">
        <v>5.4000000000000003E-3</v>
      </c>
      <c r="EE15" s="230">
        <v>205195</v>
      </c>
      <c r="EF15" s="230">
        <v>281658</v>
      </c>
      <c r="EG15" s="229">
        <v>-0.27150000000000002</v>
      </c>
      <c r="EH15" s="229">
        <v>0.55059999999999998</v>
      </c>
      <c r="EI15" s="231">
        <v>373093.15</v>
      </c>
      <c r="EJ15" s="231">
        <v>154540.69</v>
      </c>
      <c r="EK15" s="231">
        <v>188917.68</v>
      </c>
      <c r="EL15" s="231">
        <v>8325</v>
      </c>
      <c r="EM15" s="231">
        <v>716551.52</v>
      </c>
      <c r="EN15" s="231">
        <v>668830.66</v>
      </c>
      <c r="EO15" s="231">
        <v>47720.86</v>
      </c>
      <c r="EP15" s="229">
        <v>7.1300000000000002E-2</v>
      </c>
      <c r="EQ15" s="231">
        <v>147026</v>
      </c>
      <c r="ER15" s="231">
        <v>67469</v>
      </c>
      <c r="ES15" s="231">
        <v>215220</v>
      </c>
      <c r="ET15" s="231">
        <v>19199175</v>
      </c>
      <c r="EU15" s="231">
        <v>429715</v>
      </c>
      <c r="EV15" s="231">
        <v>424962</v>
      </c>
      <c r="EW15" s="231">
        <v>4753</v>
      </c>
      <c r="EX15" s="229">
        <v>1.12E-2</v>
      </c>
      <c r="EY15" s="229">
        <v>0.30859999999999999</v>
      </c>
    </row>
    <row r="16" spans="1:155" ht="17.25" thickBot="1" x14ac:dyDescent="0.3">
      <c r="A16" s="226">
        <v>46044</v>
      </c>
      <c r="B16" s="227" t="s">
        <v>615</v>
      </c>
      <c r="C16" s="227" t="s">
        <v>667</v>
      </c>
      <c r="D16" s="228">
        <v>276.39999999999998</v>
      </c>
      <c r="E16" s="228">
        <v>283.85000000000002</v>
      </c>
      <c r="F16" s="228">
        <v>-7.45</v>
      </c>
      <c r="G16" s="229">
        <v>-2.6200000000000001E-2</v>
      </c>
      <c r="H16" s="228">
        <v>275.89999999999998</v>
      </c>
      <c r="I16" s="228">
        <v>283.5</v>
      </c>
      <c r="J16" s="228">
        <v>-7.6</v>
      </c>
      <c r="K16" s="229">
        <v>-2.6800000000000001E-2</v>
      </c>
      <c r="L16" s="228">
        <v>276.39999999999998</v>
      </c>
      <c r="M16" s="228">
        <v>283.85000000000002</v>
      </c>
      <c r="N16" s="228">
        <v>-7.45</v>
      </c>
      <c r="O16" s="229">
        <v>-2.6200000000000001E-2</v>
      </c>
      <c r="P16" s="228">
        <v>277.85000000000002</v>
      </c>
      <c r="Q16" s="228">
        <v>285.45</v>
      </c>
      <c r="R16" s="228">
        <v>-7.6</v>
      </c>
      <c r="S16" s="229">
        <v>-2.6599999999999999E-2</v>
      </c>
      <c r="T16" s="228">
        <v>279.3</v>
      </c>
      <c r="U16" s="228">
        <v>286.10000000000002</v>
      </c>
      <c r="V16" s="228">
        <v>-6.8</v>
      </c>
      <c r="W16" s="229">
        <v>-2.3800000000000002E-2</v>
      </c>
      <c r="X16" s="228">
        <v>0.5</v>
      </c>
      <c r="Y16" s="228">
        <v>0.35</v>
      </c>
      <c r="Z16" s="228">
        <v>0.15</v>
      </c>
      <c r="AA16" s="229">
        <v>1.8E-3</v>
      </c>
      <c r="AB16" s="228">
        <v>0.5</v>
      </c>
      <c r="AC16" s="228">
        <v>0.35</v>
      </c>
      <c r="AD16" s="228">
        <v>0.15</v>
      </c>
      <c r="AE16" s="229">
        <v>1.8E-3</v>
      </c>
      <c r="AF16" s="228">
        <v>1.95</v>
      </c>
      <c r="AG16" s="228">
        <v>1.95</v>
      </c>
      <c r="AH16" s="228">
        <v>0</v>
      </c>
      <c r="AI16" s="229">
        <v>7.1000000000000004E-3</v>
      </c>
      <c r="AJ16" s="228">
        <v>3.4</v>
      </c>
      <c r="AK16" s="228">
        <v>2.6</v>
      </c>
      <c r="AL16" s="228">
        <v>0.8</v>
      </c>
      <c r="AM16" s="229">
        <v>1.23E-2</v>
      </c>
      <c r="AN16" s="228">
        <v>285.62</v>
      </c>
      <c r="AO16" s="228">
        <v>284.76</v>
      </c>
      <c r="AP16" s="228">
        <v>0</v>
      </c>
      <c r="AQ16" s="230">
        <v>146695</v>
      </c>
      <c r="AR16" s="230">
        <v>120217</v>
      </c>
      <c r="AS16" s="230">
        <v>26478</v>
      </c>
      <c r="AT16" s="229">
        <v>0.2203</v>
      </c>
      <c r="AU16" s="230">
        <v>79826</v>
      </c>
      <c r="AV16" s="230">
        <v>67459</v>
      </c>
      <c r="AW16" s="230">
        <v>12367</v>
      </c>
      <c r="AX16" s="229">
        <v>0.18329999999999999</v>
      </c>
      <c r="AY16" s="230">
        <v>65752</v>
      </c>
      <c r="AZ16" s="230">
        <v>52376</v>
      </c>
      <c r="BA16" s="230">
        <v>13376</v>
      </c>
      <c r="BB16" s="229">
        <v>0.25540000000000002</v>
      </c>
      <c r="BC16" s="230">
        <v>1117</v>
      </c>
      <c r="BD16" s="228">
        <v>382</v>
      </c>
      <c r="BE16" s="228">
        <v>735</v>
      </c>
      <c r="BF16" s="229">
        <v>1.9240999999999999</v>
      </c>
      <c r="BG16" s="230">
        <v>266917</v>
      </c>
      <c r="BH16" s="230">
        <v>187231</v>
      </c>
      <c r="BI16" s="230">
        <v>79686</v>
      </c>
      <c r="BJ16" s="229">
        <v>0.42559999999999998</v>
      </c>
      <c r="BK16" s="230">
        <v>217269</v>
      </c>
      <c r="BL16" s="230">
        <v>116091</v>
      </c>
      <c r="BM16" s="230">
        <v>101178</v>
      </c>
      <c r="BN16" s="229">
        <v>0.87150000000000005</v>
      </c>
      <c r="BO16" s="230">
        <v>630881</v>
      </c>
      <c r="BP16" s="230">
        <v>423539</v>
      </c>
      <c r="BQ16" s="230">
        <v>207342</v>
      </c>
      <c r="BR16" s="229">
        <v>0.48949999999999999</v>
      </c>
      <c r="BS16" s="230">
        <v>162774847</v>
      </c>
      <c r="BT16" s="230">
        <v>75902744</v>
      </c>
      <c r="BU16" s="230">
        <v>86872103</v>
      </c>
      <c r="BV16" s="229">
        <v>1.1445000000000001</v>
      </c>
      <c r="BW16" s="230">
        <v>344599775</v>
      </c>
      <c r="BX16" s="230">
        <v>332278350</v>
      </c>
      <c r="BY16" s="230">
        <v>12321425</v>
      </c>
      <c r="BZ16" s="229">
        <v>3.7100000000000001E-2</v>
      </c>
      <c r="CA16" s="230">
        <v>106675750</v>
      </c>
      <c r="CB16" s="230">
        <v>199611450</v>
      </c>
      <c r="CC16" s="230">
        <v>-92935700</v>
      </c>
      <c r="CD16" s="229">
        <v>-0.46560000000000001</v>
      </c>
      <c r="CE16" s="230">
        <v>233200125</v>
      </c>
      <c r="CF16" s="230">
        <v>129434375</v>
      </c>
      <c r="CG16" s="230">
        <v>103765750</v>
      </c>
      <c r="CH16" s="229">
        <v>0.80169999999999997</v>
      </c>
      <c r="CI16" s="230">
        <v>4723900</v>
      </c>
      <c r="CJ16" s="230">
        <v>3232525</v>
      </c>
      <c r="CK16" s="230">
        <v>1491375</v>
      </c>
      <c r="CL16" s="229">
        <v>0.46139999999999998</v>
      </c>
      <c r="CM16" s="230">
        <v>109629400</v>
      </c>
      <c r="CN16" s="230">
        <v>102495050</v>
      </c>
      <c r="CO16" s="230">
        <v>7134350</v>
      </c>
      <c r="CP16" s="229">
        <v>6.9599999999999995E-2</v>
      </c>
      <c r="CQ16" s="230">
        <v>60365525</v>
      </c>
      <c r="CR16" s="230">
        <v>78482700</v>
      </c>
      <c r="CS16" s="230">
        <v>-18117175</v>
      </c>
      <c r="CT16" s="229">
        <v>-0.23080000000000001</v>
      </c>
      <c r="CU16" s="230">
        <v>514594700</v>
      </c>
      <c r="CV16" s="230">
        <v>513256100</v>
      </c>
      <c r="CW16" s="230">
        <v>1338600</v>
      </c>
      <c r="CX16" s="229">
        <v>2.5999999999999999E-3</v>
      </c>
      <c r="CY16" s="228">
        <v>41.59</v>
      </c>
      <c r="CZ16" s="228">
        <v>73.98</v>
      </c>
      <c r="DA16" s="228">
        <v>-32.39</v>
      </c>
      <c r="DB16" s="228">
        <v>-32.39</v>
      </c>
      <c r="DC16" s="228">
        <v>43.44</v>
      </c>
      <c r="DD16" s="228">
        <v>43.4</v>
      </c>
      <c r="DE16" s="228">
        <v>-1.85</v>
      </c>
      <c r="DF16" s="228">
        <v>0.04</v>
      </c>
      <c r="DG16" s="228">
        <v>41.61</v>
      </c>
      <c r="DH16" s="228">
        <v>71.88</v>
      </c>
      <c r="DI16" s="228">
        <v>-30.27</v>
      </c>
      <c r="DJ16" s="228">
        <v>-30.27</v>
      </c>
      <c r="DK16" s="228">
        <v>41.55</v>
      </c>
      <c r="DL16" s="228">
        <v>77.349999999999994</v>
      </c>
      <c r="DM16" s="228">
        <v>-35.799999999999997</v>
      </c>
      <c r="DN16" s="228">
        <v>-35.799999999999997</v>
      </c>
      <c r="DO16" s="228">
        <v>0.55000000000000004</v>
      </c>
      <c r="DP16" s="228">
        <v>0.77</v>
      </c>
      <c r="DQ16" s="228">
        <v>-0.22</v>
      </c>
      <c r="DR16" s="229">
        <v>-0.28570000000000001</v>
      </c>
      <c r="DS16" s="228">
        <v>300</v>
      </c>
      <c r="DT16" s="228">
        <v>265</v>
      </c>
      <c r="DU16" s="228">
        <v>0.81</v>
      </c>
      <c r="DV16" s="228">
        <v>0.62</v>
      </c>
      <c r="DW16" s="228">
        <v>0.19</v>
      </c>
      <c r="DX16" s="229">
        <v>0.30649999999999999</v>
      </c>
      <c r="DY16" s="229">
        <v>0.69040000000000001</v>
      </c>
      <c r="DZ16" s="230">
        <v>132666900</v>
      </c>
      <c r="EA16" s="229">
        <v>5.1999999999999998E-3</v>
      </c>
      <c r="EB16" s="229">
        <v>0.69040000000000001</v>
      </c>
      <c r="EC16" s="228">
        <v>-0.86</v>
      </c>
      <c r="ED16" s="229">
        <v>-3.0000000000000001E-3</v>
      </c>
      <c r="EE16" s="230">
        <v>65857674</v>
      </c>
      <c r="EF16" s="230">
        <v>27928735</v>
      </c>
      <c r="EG16" s="229">
        <v>1.3581000000000001</v>
      </c>
      <c r="EH16" s="229">
        <v>0.40460000000000002</v>
      </c>
      <c r="EI16" s="231">
        <v>1956004.08</v>
      </c>
      <c r="EJ16" s="231">
        <v>1458361.44</v>
      </c>
      <c r="EK16" s="231">
        <v>1014675.88</v>
      </c>
      <c r="EL16" s="231">
        <v>54746</v>
      </c>
      <c r="EM16" s="231">
        <v>4429041.4000000004</v>
      </c>
      <c r="EN16" s="231">
        <v>2953641.79</v>
      </c>
      <c r="EO16" s="231">
        <v>1475399.61</v>
      </c>
      <c r="EP16" s="229">
        <v>0.4995</v>
      </c>
      <c r="EQ16" s="231">
        <v>329037</v>
      </c>
      <c r="ER16" s="231">
        <v>164645</v>
      </c>
      <c r="ES16" s="231">
        <v>955992</v>
      </c>
      <c r="ET16" s="231">
        <v>1251309857</v>
      </c>
      <c r="EU16" s="231">
        <v>1449674</v>
      </c>
      <c r="EV16" s="231">
        <v>1465794</v>
      </c>
      <c r="EW16" s="231">
        <v>-16120</v>
      </c>
      <c r="EX16" s="229">
        <v>-1.0999999999999999E-2</v>
      </c>
      <c r="EY16" s="229">
        <v>0.41120000000000001</v>
      </c>
    </row>
    <row r="17" spans="1:155" ht="17.25" thickBot="1" x14ac:dyDescent="0.3">
      <c r="A17" s="226">
        <v>46044</v>
      </c>
      <c r="B17" s="227" t="s">
        <v>157</v>
      </c>
      <c r="C17" s="227" t="s">
        <v>219</v>
      </c>
      <c r="D17" s="231">
        <v>2793</v>
      </c>
      <c r="E17" s="231">
        <v>2737.7</v>
      </c>
      <c r="F17" s="228">
        <v>55.3</v>
      </c>
      <c r="G17" s="229">
        <v>2.0199999999999999E-2</v>
      </c>
      <c r="H17" s="231">
        <v>2787.6</v>
      </c>
      <c r="I17" s="231">
        <v>2735.6</v>
      </c>
      <c r="J17" s="228">
        <v>52</v>
      </c>
      <c r="K17" s="229">
        <v>1.9E-2</v>
      </c>
      <c r="L17" s="231">
        <v>2793</v>
      </c>
      <c r="M17" s="231">
        <v>2737.7</v>
      </c>
      <c r="N17" s="228">
        <v>55.3</v>
      </c>
      <c r="O17" s="229">
        <v>2.0199999999999999E-2</v>
      </c>
      <c r="P17" s="231">
        <v>2808.6</v>
      </c>
      <c r="Q17" s="231">
        <v>2752.8</v>
      </c>
      <c r="R17" s="228">
        <v>55.8</v>
      </c>
      <c r="S17" s="229">
        <v>2.0299999999999999E-2</v>
      </c>
      <c r="T17" s="231">
        <v>2816.3</v>
      </c>
      <c r="U17" s="231">
        <v>2761.8</v>
      </c>
      <c r="V17" s="228">
        <v>54.5</v>
      </c>
      <c r="W17" s="229">
        <v>1.9699999999999999E-2</v>
      </c>
      <c r="X17" s="228">
        <v>5.4</v>
      </c>
      <c r="Y17" s="228">
        <v>2.1</v>
      </c>
      <c r="Z17" s="228">
        <v>3.3</v>
      </c>
      <c r="AA17" s="229">
        <v>1.9E-3</v>
      </c>
      <c r="AB17" s="228">
        <v>5.4</v>
      </c>
      <c r="AC17" s="228">
        <v>2.1</v>
      </c>
      <c r="AD17" s="228">
        <v>3.3</v>
      </c>
      <c r="AE17" s="229">
        <v>1.9E-3</v>
      </c>
      <c r="AF17" s="228">
        <v>21</v>
      </c>
      <c r="AG17" s="228">
        <v>17.2</v>
      </c>
      <c r="AH17" s="228">
        <v>3.8</v>
      </c>
      <c r="AI17" s="229">
        <v>7.4999999999999997E-3</v>
      </c>
      <c r="AJ17" s="228">
        <v>28.7</v>
      </c>
      <c r="AK17" s="228">
        <v>26.2</v>
      </c>
      <c r="AL17" s="228">
        <v>2.5</v>
      </c>
      <c r="AM17" s="229">
        <v>1.03E-2</v>
      </c>
      <c r="AN17" s="231">
        <v>2780.06</v>
      </c>
      <c r="AO17" s="231">
        <v>2795.66</v>
      </c>
      <c r="AP17" s="228">
        <v>0</v>
      </c>
      <c r="AQ17" s="230">
        <v>47404</v>
      </c>
      <c r="AR17" s="230">
        <v>30748</v>
      </c>
      <c r="AS17" s="230">
        <v>16656</v>
      </c>
      <c r="AT17" s="229">
        <v>0.54169999999999996</v>
      </c>
      <c r="AU17" s="230">
        <v>23560</v>
      </c>
      <c r="AV17" s="230">
        <v>16460</v>
      </c>
      <c r="AW17" s="230">
        <v>7100</v>
      </c>
      <c r="AX17" s="229">
        <v>0.43130000000000002</v>
      </c>
      <c r="AY17" s="230">
        <v>23831</v>
      </c>
      <c r="AZ17" s="230">
        <v>14254</v>
      </c>
      <c r="BA17" s="230">
        <v>9577</v>
      </c>
      <c r="BB17" s="229">
        <v>0.67190000000000005</v>
      </c>
      <c r="BC17" s="228">
        <v>13</v>
      </c>
      <c r="BD17" s="228">
        <v>34</v>
      </c>
      <c r="BE17" s="228">
        <v>-21</v>
      </c>
      <c r="BF17" s="229">
        <v>-0.61760000000000004</v>
      </c>
      <c r="BG17" s="230">
        <v>8928</v>
      </c>
      <c r="BH17" s="230">
        <v>10602</v>
      </c>
      <c r="BI17" s="230">
        <v>-1674</v>
      </c>
      <c r="BJ17" s="229">
        <v>-0.15790000000000001</v>
      </c>
      <c r="BK17" s="230">
        <v>6489</v>
      </c>
      <c r="BL17" s="230">
        <v>6481</v>
      </c>
      <c r="BM17" s="228">
        <v>8</v>
      </c>
      <c r="BN17" s="229">
        <v>1.1999999999999999E-3</v>
      </c>
      <c r="BO17" s="230">
        <v>62821</v>
      </c>
      <c r="BP17" s="230">
        <v>47831</v>
      </c>
      <c r="BQ17" s="230">
        <v>14990</v>
      </c>
      <c r="BR17" s="229">
        <v>0.31340000000000001</v>
      </c>
      <c r="BS17" s="230">
        <v>907051</v>
      </c>
      <c r="BT17" s="230">
        <v>948988</v>
      </c>
      <c r="BU17" s="230">
        <v>-41937</v>
      </c>
      <c r="BV17" s="229">
        <v>-4.4200000000000003E-2</v>
      </c>
      <c r="BW17" s="230">
        <v>16800250</v>
      </c>
      <c r="BX17" s="230">
        <v>16902500</v>
      </c>
      <c r="BY17" s="230">
        <v>-102250</v>
      </c>
      <c r="BZ17" s="229">
        <v>-6.0000000000000001E-3</v>
      </c>
      <c r="CA17" s="230">
        <v>5055750</v>
      </c>
      <c r="CB17" s="230">
        <v>10325250</v>
      </c>
      <c r="CC17" s="230">
        <v>-5269500</v>
      </c>
      <c r="CD17" s="229">
        <v>-0.51039999999999996</v>
      </c>
      <c r="CE17" s="230">
        <v>11684500</v>
      </c>
      <c r="CF17" s="230">
        <v>6519000</v>
      </c>
      <c r="CG17" s="230">
        <v>5165500</v>
      </c>
      <c r="CH17" s="229">
        <v>0.79239999999999999</v>
      </c>
      <c r="CI17" s="230">
        <v>60000</v>
      </c>
      <c r="CJ17" s="230">
        <v>58250</v>
      </c>
      <c r="CK17" s="230">
        <v>1750</v>
      </c>
      <c r="CL17" s="229">
        <v>0.03</v>
      </c>
      <c r="CM17" s="230">
        <v>1528000</v>
      </c>
      <c r="CN17" s="230">
        <v>1658000</v>
      </c>
      <c r="CO17" s="230">
        <v>-130000</v>
      </c>
      <c r="CP17" s="229">
        <v>-7.8399999999999997E-2</v>
      </c>
      <c r="CQ17" s="230">
        <v>1550250</v>
      </c>
      <c r="CR17" s="230">
        <v>1607000</v>
      </c>
      <c r="CS17" s="230">
        <v>-56750</v>
      </c>
      <c r="CT17" s="229">
        <v>-3.5299999999999998E-2</v>
      </c>
      <c r="CU17" s="230">
        <v>19878500</v>
      </c>
      <c r="CV17" s="230">
        <v>20167500</v>
      </c>
      <c r="CW17" s="230">
        <v>-289000</v>
      </c>
      <c r="CX17" s="229">
        <v>-1.43E-2</v>
      </c>
      <c r="CY17" s="228">
        <v>21.11</v>
      </c>
      <c r="CZ17" s="228">
        <v>18.32</v>
      </c>
      <c r="DA17" s="228">
        <v>2.79</v>
      </c>
      <c r="DB17" s="228">
        <v>2.79</v>
      </c>
      <c r="DC17" s="228">
        <v>24.9</v>
      </c>
      <c r="DD17" s="228">
        <v>24.82</v>
      </c>
      <c r="DE17" s="228">
        <v>-3.79</v>
      </c>
      <c r="DF17" s="228">
        <v>0.08</v>
      </c>
      <c r="DG17" s="228">
        <v>20.94</v>
      </c>
      <c r="DH17" s="228">
        <v>18.809999999999999</v>
      </c>
      <c r="DI17" s="228">
        <v>2.13</v>
      </c>
      <c r="DJ17" s="228">
        <v>2.13</v>
      </c>
      <c r="DK17" s="228">
        <v>21.28</v>
      </c>
      <c r="DL17" s="228">
        <v>17.52</v>
      </c>
      <c r="DM17" s="228">
        <v>3.76</v>
      </c>
      <c r="DN17" s="228">
        <v>3.76</v>
      </c>
      <c r="DO17" s="228">
        <v>1.01</v>
      </c>
      <c r="DP17" s="228">
        <v>0.97</v>
      </c>
      <c r="DQ17" s="228">
        <v>0.04</v>
      </c>
      <c r="DR17" s="229">
        <v>4.1200000000000001E-2</v>
      </c>
      <c r="DS17" s="231">
        <v>2900</v>
      </c>
      <c r="DT17" s="231">
        <v>2600</v>
      </c>
      <c r="DU17" s="228">
        <v>0.73</v>
      </c>
      <c r="DV17" s="228">
        <v>0.61</v>
      </c>
      <c r="DW17" s="228">
        <v>0.12</v>
      </c>
      <c r="DX17" s="229">
        <v>0.19670000000000001</v>
      </c>
      <c r="DY17" s="229">
        <v>0.69910000000000005</v>
      </c>
      <c r="DZ17" s="230">
        <v>6577250</v>
      </c>
      <c r="EA17" s="229">
        <v>5.5999999999999999E-3</v>
      </c>
      <c r="EB17" s="229">
        <v>0.69910000000000005</v>
      </c>
      <c r="EC17" s="228">
        <v>15.6</v>
      </c>
      <c r="ED17" s="229">
        <v>5.5999999999999999E-3</v>
      </c>
      <c r="EE17" s="230">
        <v>531285</v>
      </c>
      <c r="EF17" s="230">
        <v>478564</v>
      </c>
      <c r="EG17" s="229">
        <v>0.11020000000000001</v>
      </c>
      <c r="EH17" s="229">
        <v>0.5857</v>
      </c>
      <c r="EI17" s="231">
        <v>63473.31</v>
      </c>
      <c r="EJ17" s="231">
        <v>44717.85</v>
      </c>
      <c r="EK17" s="231">
        <v>330395.69</v>
      </c>
      <c r="EL17" s="231">
        <v>16554</v>
      </c>
      <c r="EM17" s="231">
        <v>438586.85</v>
      </c>
      <c r="EN17" s="231">
        <v>329285.93</v>
      </c>
      <c r="EO17" s="231">
        <v>109300.92</v>
      </c>
      <c r="EP17" s="229">
        <v>0.33189999999999997</v>
      </c>
      <c r="EQ17" s="231">
        <v>44500</v>
      </c>
      <c r="ER17" s="231">
        <v>42382</v>
      </c>
      <c r="ES17" s="231">
        <v>471068</v>
      </c>
      <c r="ET17" s="231">
        <v>38505832</v>
      </c>
      <c r="EU17" s="231">
        <v>557950</v>
      </c>
      <c r="EV17" s="231">
        <v>555849</v>
      </c>
      <c r="EW17" s="231">
        <v>2101</v>
      </c>
      <c r="EX17" s="229">
        <v>3.8E-3</v>
      </c>
      <c r="EY17" s="229">
        <v>0.51619999999999999</v>
      </c>
    </row>
    <row r="18" spans="1:155" ht="17.25" thickBot="1" x14ac:dyDescent="0.3">
      <c r="A18" s="226">
        <v>46044</v>
      </c>
      <c r="B18" s="227" t="s">
        <v>221</v>
      </c>
      <c r="C18" s="227" t="s">
        <v>222</v>
      </c>
      <c r="D18" s="231">
        <v>1702.6</v>
      </c>
      <c r="E18" s="231">
        <v>1683.5</v>
      </c>
      <c r="F18" s="228">
        <v>19.100000000000001</v>
      </c>
      <c r="G18" s="229">
        <v>1.1299999999999999E-2</v>
      </c>
      <c r="H18" s="231">
        <v>1703.1</v>
      </c>
      <c r="I18" s="231">
        <v>1682.5</v>
      </c>
      <c r="J18" s="228">
        <v>20.6</v>
      </c>
      <c r="K18" s="229">
        <v>1.2200000000000001E-2</v>
      </c>
      <c r="L18" s="231">
        <v>1702.6</v>
      </c>
      <c r="M18" s="231">
        <v>1683.5</v>
      </c>
      <c r="N18" s="228">
        <v>19.100000000000001</v>
      </c>
      <c r="O18" s="229">
        <v>1.1299999999999999E-2</v>
      </c>
      <c r="P18" s="231">
        <v>1711.2</v>
      </c>
      <c r="Q18" s="231">
        <v>1692.8</v>
      </c>
      <c r="R18" s="228">
        <v>18.399999999999999</v>
      </c>
      <c r="S18" s="229">
        <v>1.09E-2</v>
      </c>
      <c r="T18" s="231">
        <v>1723.7</v>
      </c>
      <c r="U18" s="231">
        <v>1703.4</v>
      </c>
      <c r="V18" s="228">
        <v>20.3</v>
      </c>
      <c r="W18" s="229">
        <v>1.1900000000000001E-2</v>
      </c>
      <c r="X18" s="228">
        <v>-0.5</v>
      </c>
      <c r="Y18" s="228">
        <v>1</v>
      </c>
      <c r="Z18" s="228">
        <v>-1.5</v>
      </c>
      <c r="AA18" s="229">
        <v>-2.9999999999999997E-4</v>
      </c>
      <c r="AB18" s="228">
        <v>-0.5</v>
      </c>
      <c r="AC18" s="228">
        <v>1</v>
      </c>
      <c r="AD18" s="228">
        <v>-1.5</v>
      </c>
      <c r="AE18" s="229">
        <v>-2.9999999999999997E-4</v>
      </c>
      <c r="AF18" s="228">
        <v>8.1</v>
      </c>
      <c r="AG18" s="228">
        <v>10.3</v>
      </c>
      <c r="AH18" s="228">
        <v>-2.2000000000000002</v>
      </c>
      <c r="AI18" s="229">
        <v>4.7999999999999996E-3</v>
      </c>
      <c r="AJ18" s="228">
        <v>20.6</v>
      </c>
      <c r="AK18" s="228">
        <v>20.9</v>
      </c>
      <c r="AL18" s="228">
        <v>-0.3</v>
      </c>
      <c r="AM18" s="229">
        <v>1.21E-2</v>
      </c>
      <c r="AN18" s="231">
        <v>1696.27</v>
      </c>
      <c r="AO18" s="231">
        <v>1704.7</v>
      </c>
      <c r="AP18" s="228">
        <v>0</v>
      </c>
      <c r="AQ18" s="230">
        <v>38217</v>
      </c>
      <c r="AR18" s="230">
        <v>31182</v>
      </c>
      <c r="AS18" s="230">
        <v>7035</v>
      </c>
      <c r="AT18" s="229">
        <v>0.22559999999999999</v>
      </c>
      <c r="AU18" s="230">
        <v>18886</v>
      </c>
      <c r="AV18" s="230">
        <v>16743</v>
      </c>
      <c r="AW18" s="230">
        <v>2143</v>
      </c>
      <c r="AX18" s="229">
        <v>0.128</v>
      </c>
      <c r="AY18" s="230">
        <v>19122</v>
      </c>
      <c r="AZ18" s="230">
        <v>14368</v>
      </c>
      <c r="BA18" s="230">
        <v>4754</v>
      </c>
      <c r="BB18" s="229">
        <v>0.33090000000000003</v>
      </c>
      <c r="BC18" s="228">
        <v>209</v>
      </c>
      <c r="BD18" s="228">
        <v>71</v>
      </c>
      <c r="BE18" s="228">
        <v>138</v>
      </c>
      <c r="BF18" s="229">
        <v>1.9437</v>
      </c>
      <c r="BG18" s="230">
        <v>32428</v>
      </c>
      <c r="BH18" s="230">
        <v>35752</v>
      </c>
      <c r="BI18" s="230">
        <v>-3324</v>
      </c>
      <c r="BJ18" s="229">
        <v>-9.2999999999999999E-2</v>
      </c>
      <c r="BK18" s="230">
        <v>19737</v>
      </c>
      <c r="BL18" s="230">
        <v>25970</v>
      </c>
      <c r="BM18" s="230">
        <v>-6233</v>
      </c>
      <c r="BN18" s="229">
        <v>-0.24</v>
      </c>
      <c r="BO18" s="230">
        <v>90382</v>
      </c>
      <c r="BP18" s="230">
        <v>92904</v>
      </c>
      <c r="BQ18" s="230">
        <v>-2522</v>
      </c>
      <c r="BR18" s="229">
        <v>-2.7099999999999999E-2</v>
      </c>
      <c r="BS18" s="230">
        <v>1928248</v>
      </c>
      <c r="BT18" s="230">
        <v>1802567</v>
      </c>
      <c r="BU18" s="230">
        <v>125681</v>
      </c>
      <c r="BV18" s="229">
        <v>6.9699999999999998E-2</v>
      </c>
      <c r="BW18" s="230">
        <v>17749200</v>
      </c>
      <c r="BX18" s="230">
        <v>17348450</v>
      </c>
      <c r="BY18" s="230">
        <v>400750</v>
      </c>
      <c r="BZ18" s="229">
        <v>2.3099999999999999E-2</v>
      </c>
      <c r="CA18" s="230">
        <v>6685700</v>
      </c>
      <c r="CB18" s="230">
        <v>11445350</v>
      </c>
      <c r="CC18" s="230">
        <v>-4759650</v>
      </c>
      <c r="CD18" s="229">
        <v>-0.41589999999999999</v>
      </c>
      <c r="CE18" s="230">
        <v>10738000</v>
      </c>
      <c r="CF18" s="230">
        <v>5635000</v>
      </c>
      <c r="CG18" s="230">
        <v>5103000</v>
      </c>
      <c r="CH18" s="229">
        <v>0.90559999999999996</v>
      </c>
      <c r="CI18" s="230">
        <v>325500</v>
      </c>
      <c r="CJ18" s="230">
        <v>268100</v>
      </c>
      <c r="CK18" s="230">
        <v>57400</v>
      </c>
      <c r="CL18" s="229">
        <v>0.21410000000000001</v>
      </c>
      <c r="CM18" s="230">
        <v>7841050</v>
      </c>
      <c r="CN18" s="230">
        <v>8245650</v>
      </c>
      <c r="CO18" s="230">
        <v>-404600</v>
      </c>
      <c r="CP18" s="229">
        <v>-4.9099999999999998E-2</v>
      </c>
      <c r="CQ18" s="230">
        <v>4664450</v>
      </c>
      <c r="CR18" s="230">
        <v>4690350</v>
      </c>
      <c r="CS18" s="230">
        <v>-25900</v>
      </c>
      <c r="CT18" s="229">
        <v>-5.4999999999999997E-3</v>
      </c>
      <c r="CU18" s="230">
        <v>30254700</v>
      </c>
      <c r="CV18" s="230">
        <v>30284450</v>
      </c>
      <c r="CW18" s="230">
        <v>-29750</v>
      </c>
      <c r="CX18" s="229">
        <v>-1E-3</v>
      </c>
      <c r="CY18" s="228">
        <v>21.39</v>
      </c>
      <c r="CZ18" s="228">
        <v>18.18</v>
      </c>
      <c r="DA18" s="228">
        <v>3.21</v>
      </c>
      <c r="DB18" s="228">
        <v>3.21</v>
      </c>
      <c r="DC18" s="228">
        <v>27.42</v>
      </c>
      <c r="DD18" s="228">
        <v>27.44</v>
      </c>
      <c r="DE18" s="228">
        <v>-6.03</v>
      </c>
      <c r="DF18" s="228">
        <v>-0.02</v>
      </c>
      <c r="DG18" s="228">
        <v>21.11</v>
      </c>
      <c r="DH18" s="228">
        <v>16.89</v>
      </c>
      <c r="DI18" s="228">
        <v>4.22</v>
      </c>
      <c r="DJ18" s="228">
        <v>4.22</v>
      </c>
      <c r="DK18" s="228">
        <v>21.88</v>
      </c>
      <c r="DL18" s="228">
        <v>19.940000000000001</v>
      </c>
      <c r="DM18" s="228">
        <v>1.94</v>
      </c>
      <c r="DN18" s="228">
        <v>1.94</v>
      </c>
      <c r="DO18" s="228">
        <v>0.59</v>
      </c>
      <c r="DP18" s="228">
        <v>0.56999999999999995</v>
      </c>
      <c r="DQ18" s="228">
        <v>0.02</v>
      </c>
      <c r="DR18" s="229">
        <v>3.5099999999999999E-2</v>
      </c>
      <c r="DS18" s="231">
        <v>1680</v>
      </c>
      <c r="DT18" s="231">
        <v>1680</v>
      </c>
      <c r="DU18" s="228">
        <v>0.61</v>
      </c>
      <c r="DV18" s="228">
        <v>0.73</v>
      </c>
      <c r="DW18" s="228">
        <v>-0.12</v>
      </c>
      <c r="DX18" s="229">
        <v>-0.16439999999999999</v>
      </c>
      <c r="DY18" s="229">
        <v>0.62329999999999997</v>
      </c>
      <c r="DZ18" s="230">
        <v>5903100</v>
      </c>
      <c r="EA18" s="229">
        <v>5.1000000000000004E-3</v>
      </c>
      <c r="EB18" s="229">
        <v>0.62329999999999997</v>
      </c>
      <c r="EC18" s="228">
        <v>8.43</v>
      </c>
      <c r="ED18" s="229">
        <v>5.0000000000000001E-3</v>
      </c>
      <c r="EE18" s="230">
        <v>1137150</v>
      </c>
      <c r="EF18" s="230">
        <v>995847</v>
      </c>
      <c r="EG18" s="229">
        <v>0.1419</v>
      </c>
      <c r="EH18" s="229">
        <v>0.5897</v>
      </c>
      <c r="EI18" s="231">
        <v>195958.5</v>
      </c>
      <c r="EJ18" s="231">
        <v>115081.17</v>
      </c>
      <c r="EK18" s="231">
        <v>227471.11</v>
      </c>
      <c r="EL18" s="231">
        <v>17052</v>
      </c>
      <c r="EM18" s="231">
        <v>538510.78</v>
      </c>
      <c r="EN18" s="231">
        <v>549956.02</v>
      </c>
      <c r="EO18" s="231">
        <v>-11445.24</v>
      </c>
      <c r="EP18" s="229">
        <v>-2.0799999999999999E-2</v>
      </c>
      <c r="EQ18" s="231">
        <v>135126</v>
      </c>
      <c r="ER18" s="231">
        <v>75085</v>
      </c>
      <c r="ES18" s="231">
        <v>303190</v>
      </c>
      <c r="ET18" s="231">
        <v>106857976</v>
      </c>
      <c r="EU18" s="231">
        <v>513400</v>
      </c>
      <c r="EV18" s="231">
        <v>509888</v>
      </c>
      <c r="EW18" s="231">
        <v>3512</v>
      </c>
      <c r="EX18" s="229">
        <v>6.8999999999999999E-3</v>
      </c>
      <c r="EY18" s="229">
        <v>0.28310000000000002</v>
      </c>
    </row>
    <row r="19" spans="1:155" ht="17.25" thickBot="1" x14ac:dyDescent="0.3">
      <c r="A19" s="226">
        <v>46044</v>
      </c>
      <c r="B19" s="227" t="s">
        <v>172</v>
      </c>
      <c r="C19" s="227" t="s">
        <v>224</v>
      </c>
      <c r="D19" s="228">
        <v>921.55</v>
      </c>
      <c r="E19" s="228">
        <v>922.45</v>
      </c>
      <c r="F19" s="228">
        <v>-0.9</v>
      </c>
      <c r="G19" s="229">
        <v>-1E-3</v>
      </c>
      <c r="H19" s="228">
        <v>918.7</v>
      </c>
      <c r="I19" s="228">
        <v>920.35</v>
      </c>
      <c r="J19" s="228">
        <v>-1.65</v>
      </c>
      <c r="K19" s="229">
        <v>-1.8E-3</v>
      </c>
      <c r="L19" s="228">
        <v>921.55</v>
      </c>
      <c r="M19" s="228">
        <v>922.45</v>
      </c>
      <c r="N19" s="228">
        <v>-0.9</v>
      </c>
      <c r="O19" s="229">
        <v>-1E-3</v>
      </c>
      <c r="P19" s="228">
        <v>926.35</v>
      </c>
      <c r="Q19" s="228">
        <v>927.4</v>
      </c>
      <c r="R19" s="228">
        <v>-1.05</v>
      </c>
      <c r="S19" s="229">
        <v>-1.1000000000000001E-3</v>
      </c>
      <c r="T19" s="228">
        <v>932.85</v>
      </c>
      <c r="U19" s="228">
        <v>933.35</v>
      </c>
      <c r="V19" s="228">
        <v>-0.5</v>
      </c>
      <c r="W19" s="229">
        <v>-5.0000000000000001E-4</v>
      </c>
      <c r="X19" s="228">
        <v>2.85</v>
      </c>
      <c r="Y19" s="228">
        <v>2.1</v>
      </c>
      <c r="Z19" s="228">
        <v>0.75</v>
      </c>
      <c r="AA19" s="229">
        <v>3.0999999999999999E-3</v>
      </c>
      <c r="AB19" s="228">
        <v>2.85</v>
      </c>
      <c r="AC19" s="228">
        <v>2.1</v>
      </c>
      <c r="AD19" s="228">
        <v>0.75</v>
      </c>
      <c r="AE19" s="229">
        <v>3.0999999999999999E-3</v>
      </c>
      <c r="AF19" s="228">
        <v>7.65</v>
      </c>
      <c r="AG19" s="228">
        <v>7.05</v>
      </c>
      <c r="AH19" s="228">
        <v>0.6</v>
      </c>
      <c r="AI19" s="229">
        <v>8.3000000000000001E-3</v>
      </c>
      <c r="AJ19" s="228">
        <v>14.15</v>
      </c>
      <c r="AK19" s="228">
        <v>13</v>
      </c>
      <c r="AL19" s="228">
        <v>1.1499999999999999</v>
      </c>
      <c r="AM19" s="229">
        <v>1.54E-2</v>
      </c>
      <c r="AN19" s="228">
        <v>920.89</v>
      </c>
      <c r="AO19" s="228">
        <v>925.71</v>
      </c>
      <c r="AP19" s="228">
        <v>0</v>
      </c>
      <c r="AQ19" s="230">
        <v>237640</v>
      </c>
      <c r="AR19" s="230">
        <v>224981</v>
      </c>
      <c r="AS19" s="230">
        <v>12659</v>
      </c>
      <c r="AT19" s="229">
        <v>5.6300000000000003E-2</v>
      </c>
      <c r="AU19" s="230">
        <v>115525</v>
      </c>
      <c r="AV19" s="230">
        <v>117910</v>
      </c>
      <c r="AW19" s="230">
        <v>-2385</v>
      </c>
      <c r="AX19" s="229">
        <v>-2.0199999999999999E-2</v>
      </c>
      <c r="AY19" s="230">
        <v>116341</v>
      </c>
      <c r="AZ19" s="230">
        <v>105751</v>
      </c>
      <c r="BA19" s="230">
        <v>10590</v>
      </c>
      <c r="BB19" s="229">
        <v>0.10009999999999999</v>
      </c>
      <c r="BC19" s="230">
        <v>5774</v>
      </c>
      <c r="BD19" s="230">
        <v>1320</v>
      </c>
      <c r="BE19" s="230">
        <v>4454</v>
      </c>
      <c r="BF19" s="229">
        <v>3.3742000000000001</v>
      </c>
      <c r="BG19" s="230">
        <v>278732</v>
      </c>
      <c r="BH19" s="230">
        <v>306416</v>
      </c>
      <c r="BI19" s="230">
        <v>-27684</v>
      </c>
      <c r="BJ19" s="229">
        <v>-9.0300000000000005E-2</v>
      </c>
      <c r="BK19" s="230">
        <v>169304</v>
      </c>
      <c r="BL19" s="230">
        <v>240082</v>
      </c>
      <c r="BM19" s="230">
        <v>-70778</v>
      </c>
      <c r="BN19" s="229">
        <v>-0.29480000000000001</v>
      </c>
      <c r="BO19" s="230">
        <v>685676</v>
      </c>
      <c r="BP19" s="230">
        <v>771479</v>
      </c>
      <c r="BQ19" s="230">
        <v>-85803</v>
      </c>
      <c r="BR19" s="229">
        <v>-0.11119999999999999</v>
      </c>
      <c r="BS19" s="230">
        <v>46417429</v>
      </c>
      <c r="BT19" s="230">
        <v>33451862</v>
      </c>
      <c r="BU19" s="230">
        <v>12965567</v>
      </c>
      <c r="BV19" s="229">
        <v>0.3876</v>
      </c>
      <c r="BW19" s="230">
        <v>266649350</v>
      </c>
      <c r="BX19" s="230">
        <v>254168750</v>
      </c>
      <c r="BY19" s="230">
        <v>12480600</v>
      </c>
      <c r="BZ19" s="229">
        <v>4.9099999999999998E-2</v>
      </c>
      <c r="CA19" s="230">
        <v>105827700</v>
      </c>
      <c r="CB19" s="230">
        <v>149249650</v>
      </c>
      <c r="CC19" s="230">
        <v>-43421950</v>
      </c>
      <c r="CD19" s="229">
        <v>-0.29089999999999999</v>
      </c>
      <c r="CE19" s="230">
        <v>137055050</v>
      </c>
      <c r="CF19" s="230">
        <v>84113700</v>
      </c>
      <c r="CG19" s="230">
        <v>52941350</v>
      </c>
      <c r="CH19" s="229">
        <v>0.62939999999999996</v>
      </c>
      <c r="CI19" s="230">
        <v>23766600</v>
      </c>
      <c r="CJ19" s="230">
        <v>20805400</v>
      </c>
      <c r="CK19" s="230">
        <v>2961200</v>
      </c>
      <c r="CL19" s="229">
        <v>0.14230000000000001</v>
      </c>
      <c r="CM19" s="230">
        <v>95184100</v>
      </c>
      <c r="CN19" s="230">
        <v>98478050</v>
      </c>
      <c r="CO19" s="230">
        <v>-3293950</v>
      </c>
      <c r="CP19" s="229">
        <v>-3.3399999999999999E-2</v>
      </c>
      <c r="CQ19" s="230">
        <v>46325950</v>
      </c>
      <c r="CR19" s="230">
        <v>47135550</v>
      </c>
      <c r="CS19" s="230">
        <v>-809600</v>
      </c>
      <c r="CT19" s="229">
        <v>-1.72E-2</v>
      </c>
      <c r="CU19" s="230">
        <v>408159400</v>
      </c>
      <c r="CV19" s="230">
        <v>399782350</v>
      </c>
      <c r="CW19" s="230">
        <v>8377050</v>
      </c>
      <c r="CX19" s="229">
        <v>2.1000000000000001E-2</v>
      </c>
      <c r="CY19" s="228">
        <v>20.48</v>
      </c>
      <c r="CZ19" s="228">
        <v>19.399999999999999</v>
      </c>
      <c r="DA19" s="228">
        <v>1.08</v>
      </c>
      <c r="DB19" s="228">
        <v>1.08</v>
      </c>
      <c r="DC19" s="228">
        <v>19.62</v>
      </c>
      <c r="DD19" s="228">
        <v>19.670000000000002</v>
      </c>
      <c r="DE19" s="228">
        <v>0.86</v>
      </c>
      <c r="DF19" s="228">
        <v>-0.05</v>
      </c>
      <c r="DG19" s="228">
        <v>20.7</v>
      </c>
      <c r="DH19" s="228">
        <v>20</v>
      </c>
      <c r="DI19" s="228">
        <v>0.7</v>
      </c>
      <c r="DJ19" s="228">
        <v>0.7</v>
      </c>
      <c r="DK19" s="228">
        <v>19.899999999999999</v>
      </c>
      <c r="DL19" s="228">
        <v>18.64</v>
      </c>
      <c r="DM19" s="228">
        <v>1.26</v>
      </c>
      <c r="DN19" s="228">
        <v>1.26</v>
      </c>
      <c r="DO19" s="228">
        <v>0.49</v>
      </c>
      <c r="DP19" s="228">
        <v>0.48</v>
      </c>
      <c r="DQ19" s="228">
        <v>0.01</v>
      </c>
      <c r="DR19" s="229">
        <v>2.0799999999999999E-2</v>
      </c>
      <c r="DS19" s="228">
        <v>950</v>
      </c>
      <c r="DT19" s="228">
        <v>900</v>
      </c>
      <c r="DU19" s="228">
        <v>0.61</v>
      </c>
      <c r="DV19" s="228">
        <v>0.78</v>
      </c>
      <c r="DW19" s="228">
        <v>-0.17</v>
      </c>
      <c r="DX19" s="229">
        <v>-0.21790000000000001</v>
      </c>
      <c r="DY19" s="229">
        <v>0.60309999999999997</v>
      </c>
      <c r="DZ19" s="230">
        <v>104919100</v>
      </c>
      <c r="EA19" s="229">
        <v>5.1999999999999998E-3</v>
      </c>
      <c r="EB19" s="229">
        <v>0.60309999999999997</v>
      </c>
      <c r="EC19" s="228">
        <v>4.82</v>
      </c>
      <c r="ED19" s="229">
        <v>5.1999999999999998E-3</v>
      </c>
      <c r="EE19" s="230">
        <v>29470143</v>
      </c>
      <c r="EF19" s="230">
        <v>18843469</v>
      </c>
      <c r="EG19" s="229">
        <v>0.56389999999999996</v>
      </c>
      <c r="EH19" s="229">
        <v>0.63490000000000002</v>
      </c>
      <c r="EI19" s="231">
        <v>1449349.95</v>
      </c>
      <c r="EJ19" s="231">
        <v>857352.35</v>
      </c>
      <c r="EK19" s="231">
        <v>1206991.6399999999</v>
      </c>
      <c r="EL19" s="231">
        <v>123511</v>
      </c>
      <c r="EM19" s="231">
        <v>3513693.94</v>
      </c>
      <c r="EN19" s="231">
        <v>3970855.23</v>
      </c>
      <c r="EO19" s="231">
        <v>-457161.29</v>
      </c>
      <c r="EP19" s="229">
        <v>-0.11509999999999999</v>
      </c>
      <c r="EQ19" s="231">
        <v>923909</v>
      </c>
      <c r="ER19" s="231">
        <v>433347</v>
      </c>
      <c r="ES19" s="231">
        <v>2466571</v>
      </c>
      <c r="ET19" s="231">
        <v>1330694977</v>
      </c>
      <c r="EU19" s="231">
        <v>3823828</v>
      </c>
      <c r="EV19" s="231">
        <v>3749077</v>
      </c>
      <c r="EW19" s="231">
        <v>74751</v>
      </c>
      <c r="EX19" s="229">
        <v>1.9900000000000001E-2</v>
      </c>
      <c r="EY19" s="229">
        <v>0.30669999999999997</v>
      </c>
    </row>
    <row r="20" spans="1:155" ht="17.25" thickBot="1" x14ac:dyDescent="0.3">
      <c r="A20" s="226">
        <v>46044</v>
      </c>
      <c r="B20" s="227" t="s">
        <v>175</v>
      </c>
      <c r="C20" s="227" t="s">
        <v>225</v>
      </c>
      <c r="D20" s="228">
        <v>725.4</v>
      </c>
      <c r="E20" s="228">
        <v>725.6</v>
      </c>
      <c r="F20" s="228">
        <v>-0.2</v>
      </c>
      <c r="G20" s="229">
        <v>-2.9999999999999997E-4</v>
      </c>
      <c r="H20" s="228">
        <v>725.1</v>
      </c>
      <c r="I20" s="228">
        <v>724.35</v>
      </c>
      <c r="J20" s="228">
        <v>0.75</v>
      </c>
      <c r="K20" s="229">
        <v>1E-3</v>
      </c>
      <c r="L20" s="228">
        <v>725.4</v>
      </c>
      <c r="M20" s="228">
        <v>725.6</v>
      </c>
      <c r="N20" s="228">
        <v>-0.2</v>
      </c>
      <c r="O20" s="229">
        <v>-2.9999999999999997E-4</v>
      </c>
      <c r="P20" s="228">
        <v>728.8</v>
      </c>
      <c r="Q20" s="228">
        <v>729.6</v>
      </c>
      <c r="R20" s="228">
        <v>-0.8</v>
      </c>
      <c r="S20" s="229">
        <v>-1.1000000000000001E-3</v>
      </c>
      <c r="T20" s="228">
        <v>733</v>
      </c>
      <c r="U20" s="228">
        <v>735.1</v>
      </c>
      <c r="V20" s="228">
        <v>-2.1</v>
      </c>
      <c r="W20" s="229">
        <v>-2.8999999999999998E-3</v>
      </c>
      <c r="X20" s="228">
        <v>0.3</v>
      </c>
      <c r="Y20" s="228">
        <v>1.25</v>
      </c>
      <c r="Z20" s="228">
        <v>-0.95</v>
      </c>
      <c r="AA20" s="229">
        <v>4.0000000000000002E-4</v>
      </c>
      <c r="AB20" s="228">
        <v>0.3</v>
      </c>
      <c r="AC20" s="228">
        <v>1.25</v>
      </c>
      <c r="AD20" s="228">
        <v>-0.95</v>
      </c>
      <c r="AE20" s="229">
        <v>4.0000000000000002E-4</v>
      </c>
      <c r="AF20" s="228">
        <v>3.7</v>
      </c>
      <c r="AG20" s="228">
        <v>5.25</v>
      </c>
      <c r="AH20" s="228">
        <v>-1.55</v>
      </c>
      <c r="AI20" s="229">
        <v>5.1000000000000004E-3</v>
      </c>
      <c r="AJ20" s="228">
        <v>7.9</v>
      </c>
      <c r="AK20" s="228">
        <v>10.75</v>
      </c>
      <c r="AL20" s="228">
        <v>-2.85</v>
      </c>
      <c r="AM20" s="229">
        <v>1.09E-2</v>
      </c>
      <c r="AN20" s="228">
        <v>724.02</v>
      </c>
      <c r="AO20" s="228">
        <v>727.54</v>
      </c>
      <c r="AP20" s="228">
        <v>0</v>
      </c>
      <c r="AQ20" s="230">
        <v>24375</v>
      </c>
      <c r="AR20" s="230">
        <v>22825</v>
      </c>
      <c r="AS20" s="230">
        <v>1550</v>
      </c>
      <c r="AT20" s="229">
        <v>6.7900000000000002E-2</v>
      </c>
      <c r="AU20" s="230">
        <v>12498</v>
      </c>
      <c r="AV20" s="230">
        <v>12423</v>
      </c>
      <c r="AW20" s="228">
        <v>75</v>
      </c>
      <c r="AX20" s="229">
        <v>6.0000000000000001E-3</v>
      </c>
      <c r="AY20" s="230">
        <v>11853</v>
      </c>
      <c r="AZ20" s="230">
        <v>10360</v>
      </c>
      <c r="BA20" s="230">
        <v>1493</v>
      </c>
      <c r="BB20" s="229">
        <v>0.14410000000000001</v>
      </c>
      <c r="BC20" s="228">
        <v>24</v>
      </c>
      <c r="BD20" s="228">
        <v>42</v>
      </c>
      <c r="BE20" s="228">
        <v>-18</v>
      </c>
      <c r="BF20" s="229">
        <v>-0.42859999999999998</v>
      </c>
      <c r="BG20" s="230">
        <v>13678</v>
      </c>
      <c r="BH20" s="230">
        <v>20237</v>
      </c>
      <c r="BI20" s="230">
        <v>-6559</v>
      </c>
      <c r="BJ20" s="229">
        <v>-0.3241</v>
      </c>
      <c r="BK20" s="230">
        <v>9178</v>
      </c>
      <c r="BL20" s="230">
        <v>11794</v>
      </c>
      <c r="BM20" s="230">
        <v>-2616</v>
      </c>
      <c r="BN20" s="229">
        <v>-0.2218</v>
      </c>
      <c r="BO20" s="230">
        <v>47231</v>
      </c>
      <c r="BP20" s="230">
        <v>54856</v>
      </c>
      <c r="BQ20" s="230">
        <v>-7625</v>
      </c>
      <c r="BR20" s="229">
        <v>-0.13900000000000001</v>
      </c>
      <c r="BS20" s="230">
        <v>4392615</v>
      </c>
      <c r="BT20" s="230">
        <v>3523061</v>
      </c>
      <c r="BU20" s="230">
        <v>869554</v>
      </c>
      <c r="BV20" s="229">
        <v>0.24679999999999999</v>
      </c>
      <c r="BW20" s="230">
        <v>39074200</v>
      </c>
      <c r="BX20" s="230">
        <v>38969700</v>
      </c>
      <c r="BY20" s="230">
        <v>104500</v>
      </c>
      <c r="BZ20" s="229">
        <v>2.7000000000000001E-3</v>
      </c>
      <c r="CA20" s="230">
        <v>16253600</v>
      </c>
      <c r="CB20" s="230">
        <v>27195300</v>
      </c>
      <c r="CC20" s="230">
        <v>-10941700</v>
      </c>
      <c r="CD20" s="229">
        <v>-0.40229999999999999</v>
      </c>
      <c r="CE20" s="230">
        <v>22585200</v>
      </c>
      <c r="CF20" s="230">
        <v>11554400</v>
      </c>
      <c r="CG20" s="230">
        <v>11030800</v>
      </c>
      <c r="CH20" s="229">
        <v>0.95469999999999999</v>
      </c>
      <c r="CI20" s="230">
        <v>235400</v>
      </c>
      <c r="CJ20" s="230">
        <v>220000</v>
      </c>
      <c r="CK20" s="230">
        <v>15400</v>
      </c>
      <c r="CL20" s="229">
        <v>7.0000000000000007E-2</v>
      </c>
      <c r="CM20" s="230">
        <v>15304300</v>
      </c>
      <c r="CN20" s="230">
        <v>15041400</v>
      </c>
      <c r="CO20" s="230">
        <v>262900</v>
      </c>
      <c r="CP20" s="229">
        <v>1.7500000000000002E-2</v>
      </c>
      <c r="CQ20" s="230">
        <v>6871700</v>
      </c>
      <c r="CR20" s="230">
        <v>7143400</v>
      </c>
      <c r="CS20" s="230">
        <v>-271700</v>
      </c>
      <c r="CT20" s="229">
        <v>-3.7999999999999999E-2</v>
      </c>
      <c r="CU20" s="230">
        <v>61250200</v>
      </c>
      <c r="CV20" s="230">
        <v>61154500</v>
      </c>
      <c r="CW20" s="230">
        <v>95700</v>
      </c>
      <c r="CX20" s="229">
        <v>1.6000000000000001E-3</v>
      </c>
      <c r="CY20" s="228">
        <v>22.07</v>
      </c>
      <c r="CZ20" s="228">
        <v>20.41</v>
      </c>
      <c r="DA20" s="228">
        <v>1.66</v>
      </c>
      <c r="DB20" s="228">
        <v>1.66</v>
      </c>
      <c r="DC20" s="228">
        <v>24.65</v>
      </c>
      <c r="DD20" s="228">
        <v>24.71</v>
      </c>
      <c r="DE20" s="228">
        <v>-2.58</v>
      </c>
      <c r="DF20" s="228">
        <v>-0.06</v>
      </c>
      <c r="DG20" s="228">
        <v>22.21</v>
      </c>
      <c r="DH20" s="228">
        <v>21.06</v>
      </c>
      <c r="DI20" s="228">
        <v>1.1499999999999999</v>
      </c>
      <c r="DJ20" s="228">
        <v>1.1499999999999999</v>
      </c>
      <c r="DK20" s="228">
        <v>21.94</v>
      </c>
      <c r="DL20" s="228">
        <v>19.29</v>
      </c>
      <c r="DM20" s="228">
        <v>2.65</v>
      </c>
      <c r="DN20" s="228">
        <v>2.65</v>
      </c>
      <c r="DO20" s="228">
        <v>0.45</v>
      </c>
      <c r="DP20" s="228">
        <v>0.47</v>
      </c>
      <c r="DQ20" s="228">
        <v>-0.02</v>
      </c>
      <c r="DR20" s="229">
        <v>-4.2599999999999999E-2</v>
      </c>
      <c r="DS20" s="228">
        <v>780</v>
      </c>
      <c r="DT20" s="228">
        <v>720</v>
      </c>
      <c r="DU20" s="228">
        <v>0.67</v>
      </c>
      <c r="DV20" s="228">
        <v>0.57999999999999996</v>
      </c>
      <c r="DW20" s="228">
        <v>0.09</v>
      </c>
      <c r="DX20" s="229">
        <v>0.1552</v>
      </c>
      <c r="DY20" s="229">
        <v>0.58399999999999996</v>
      </c>
      <c r="DZ20" s="230">
        <v>11774400</v>
      </c>
      <c r="EA20" s="229">
        <v>4.7000000000000002E-3</v>
      </c>
      <c r="EB20" s="229">
        <v>0.58399999999999996</v>
      </c>
      <c r="EC20" s="228">
        <v>3.52</v>
      </c>
      <c r="ED20" s="229">
        <v>4.8999999999999998E-3</v>
      </c>
      <c r="EE20" s="230">
        <v>3414522</v>
      </c>
      <c r="EF20" s="230">
        <v>2123080</v>
      </c>
      <c r="EG20" s="229">
        <v>0.60829999999999995</v>
      </c>
      <c r="EH20" s="229">
        <v>0.77729999999999999</v>
      </c>
      <c r="EI20" s="231">
        <v>112599.6</v>
      </c>
      <c r="EJ20" s="231">
        <v>73257.119999999995</v>
      </c>
      <c r="EK20" s="231">
        <v>194589.23</v>
      </c>
      <c r="EL20" s="231">
        <v>11459</v>
      </c>
      <c r="EM20" s="231">
        <v>380445.95</v>
      </c>
      <c r="EN20" s="231">
        <v>446577.4</v>
      </c>
      <c r="EO20" s="231">
        <v>-66131.45</v>
      </c>
      <c r="EP20" s="229">
        <v>-0.14810000000000001</v>
      </c>
      <c r="EQ20" s="231">
        <v>118539</v>
      </c>
      <c r="ER20" s="231">
        <v>49738</v>
      </c>
      <c r="ES20" s="231">
        <v>284230</v>
      </c>
      <c r="ET20" s="231">
        <v>128849634</v>
      </c>
      <c r="EU20" s="231">
        <v>452507</v>
      </c>
      <c r="EV20" s="231">
        <v>451719</v>
      </c>
      <c r="EW20" s="228">
        <v>788</v>
      </c>
      <c r="EX20" s="229">
        <v>1.6999999999999999E-3</v>
      </c>
      <c r="EY20" s="229">
        <v>0.47539999999999999</v>
      </c>
    </row>
    <row r="21" spans="1:155" ht="17.25" thickBot="1" x14ac:dyDescent="0.3">
      <c r="A21" s="226">
        <v>46044</v>
      </c>
      <c r="B21" s="227" t="s">
        <v>227</v>
      </c>
      <c r="C21" s="227" t="s">
        <v>228</v>
      </c>
      <c r="D21" s="228">
        <v>941.15</v>
      </c>
      <c r="E21" s="228">
        <v>937.6</v>
      </c>
      <c r="F21" s="228">
        <v>3.55</v>
      </c>
      <c r="G21" s="229">
        <v>3.8E-3</v>
      </c>
      <c r="H21" s="228">
        <v>944.45</v>
      </c>
      <c r="I21" s="228">
        <v>939.2</v>
      </c>
      <c r="J21" s="228">
        <v>5.25</v>
      </c>
      <c r="K21" s="229">
        <v>5.5999999999999999E-3</v>
      </c>
      <c r="L21" s="228">
        <v>941.15</v>
      </c>
      <c r="M21" s="228">
        <v>937.6</v>
      </c>
      <c r="N21" s="228">
        <v>3.55</v>
      </c>
      <c r="O21" s="229">
        <v>3.8E-3</v>
      </c>
      <c r="P21" s="228">
        <v>946.55</v>
      </c>
      <c r="Q21" s="228">
        <v>943.1</v>
      </c>
      <c r="R21" s="228">
        <v>3.45</v>
      </c>
      <c r="S21" s="229">
        <v>3.7000000000000002E-3</v>
      </c>
      <c r="T21" s="228">
        <v>953.75</v>
      </c>
      <c r="U21" s="228">
        <v>949.05</v>
      </c>
      <c r="V21" s="228">
        <v>4.7</v>
      </c>
      <c r="W21" s="229">
        <v>5.0000000000000001E-3</v>
      </c>
      <c r="X21" s="228">
        <v>-3.3</v>
      </c>
      <c r="Y21" s="228">
        <v>-1.6</v>
      </c>
      <c r="Z21" s="228">
        <v>-1.7</v>
      </c>
      <c r="AA21" s="229">
        <v>-3.5000000000000001E-3</v>
      </c>
      <c r="AB21" s="228">
        <v>-3.3</v>
      </c>
      <c r="AC21" s="228">
        <v>-1.6</v>
      </c>
      <c r="AD21" s="228">
        <v>-1.7</v>
      </c>
      <c r="AE21" s="229">
        <v>-3.5000000000000001E-3</v>
      </c>
      <c r="AF21" s="228">
        <v>2.1</v>
      </c>
      <c r="AG21" s="228">
        <v>3.9</v>
      </c>
      <c r="AH21" s="228">
        <v>-1.8</v>
      </c>
      <c r="AI21" s="229">
        <v>2.2000000000000001E-3</v>
      </c>
      <c r="AJ21" s="228">
        <v>9.3000000000000007</v>
      </c>
      <c r="AK21" s="228">
        <v>9.85</v>
      </c>
      <c r="AL21" s="228">
        <v>-0.55000000000000004</v>
      </c>
      <c r="AM21" s="229">
        <v>9.7999999999999997E-3</v>
      </c>
      <c r="AN21" s="228">
        <v>940.61</v>
      </c>
      <c r="AO21" s="228">
        <v>945.82</v>
      </c>
      <c r="AP21" s="228">
        <v>0</v>
      </c>
      <c r="AQ21" s="230">
        <v>59564</v>
      </c>
      <c r="AR21" s="230">
        <v>41190</v>
      </c>
      <c r="AS21" s="230">
        <v>18374</v>
      </c>
      <c r="AT21" s="229">
        <v>0.4461</v>
      </c>
      <c r="AU21" s="230">
        <v>32009</v>
      </c>
      <c r="AV21" s="230">
        <v>23780</v>
      </c>
      <c r="AW21" s="230">
        <v>8229</v>
      </c>
      <c r="AX21" s="229">
        <v>0.34599999999999997</v>
      </c>
      <c r="AY21" s="230">
        <v>27252</v>
      </c>
      <c r="AZ21" s="230">
        <v>17284</v>
      </c>
      <c r="BA21" s="230">
        <v>9968</v>
      </c>
      <c r="BB21" s="229">
        <v>0.57669999999999999</v>
      </c>
      <c r="BC21" s="228">
        <v>303</v>
      </c>
      <c r="BD21" s="228">
        <v>126</v>
      </c>
      <c r="BE21" s="228">
        <v>177</v>
      </c>
      <c r="BF21" s="229">
        <v>1.4048</v>
      </c>
      <c r="BG21" s="230">
        <v>46047</v>
      </c>
      <c r="BH21" s="230">
        <v>56226</v>
      </c>
      <c r="BI21" s="230">
        <v>-10179</v>
      </c>
      <c r="BJ21" s="229">
        <v>-0.18099999999999999</v>
      </c>
      <c r="BK21" s="230">
        <v>29263</v>
      </c>
      <c r="BL21" s="230">
        <v>30525</v>
      </c>
      <c r="BM21" s="230">
        <v>-1262</v>
      </c>
      <c r="BN21" s="229">
        <v>-4.1300000000000003E-2</v>
      </c>
      <c r="BO21" s="230">
        <v>134874</v>
      </c>
      <c r="BP21" s="230">
        <v>127941</v>
      </c>
      <c r="BQ21" s="230">
        <v>6933</v>
      </c>
      <c r="BR21" s="229">
        <v>5.4199999999999998E-2</v>
      </c>
      <c r="BS21" s="230">
        <v>6272221</v>
      </c>
      <c r="BT21" s="230">
        <v>5707158</v>
      </c>
      <c r="BU21" s="230">
        <v>565063</v>
      </c>
      <c r="BV21" s="229">
        <v>9.9000000000000005E-2</v>
      </c>
      <c r="BW21" s="230">
        <v>50845900</v>
      </c>
      <c r="BX21" s="230">
        <v>51117500</v>
      </c>
      <c r="BY21" s="230">
        <v>-271600</v>
      </c>
      <c r="BZ21" s="229">
        <v>-5.3E-3</v>
      </c>
      <c r="CA21" s="230">
        <v>17799600</v>
      </c>
      <c r="CB21" s="230">
        <v>32572400</v>
      </c>
      <c r="CC21" s="230">
        <v>-14772800</v>
      </c>
      <c r="CD21" s="229">
        <v>-0.45350000000000001</v>
      </c>
      <c r="CE21" s="230">
        <v>31909500</v>
      </c>
      <c r="CF21" s="230">
        <v>17529400</v>
      </c>
      <c r="CG21" s="230">
        <v>14380100</v>
      </c>
      <c r="CH21" s="229">
        <v>0.82030000000000003</v>
      </c>
      <c r="CI21" s="230">
        <v>1136800</v>
      </c>
      <c r="CJ21" s="230">
        <v>1015700</v>
      </c>
      <c r="CK21" s="230">
        <v>121100</v>
      </c>
      <c r="CL21" s="229">
        <v>0.1192</v>
      </c>
      <c r="CM21" s="230">
        <v>16547300</v>
      </c>
      <c r="CN21" s="230">
        <v>18578700</v>
      </c>
      <c r="CO21" s="230">
        <v>-2031400</v>
      </c>
      <c r="CP21" s="229">
        <v>-0.10929999999999999</v>
      </c>
      <c r="CQ21" s="230">
        <v>12645500</v>
      </c>
      <c r="CR21" s="230">
        <v>13222300</v>
      </c>
      <c r="CS21" s="230">
        <v>-576800</v>
      </c>
      <c r="CT21" s="229">
        <v>-4.36E-2</v>
      </c>
      <c r="CU21" s="230">
        <v>80038700</v>
      </c>
      <c r="CV21" s="230">
        <v>82918500</v>
      </c>
      <c r="CW21" s="230">
        <v>-2879800</v>
      </c>
      <c r="CX21" s="229">
        <v>-3.4700000000000002E-2</v>
      </c>
      <c r="CY21" s="228">
        <v>29.43</v>
      </c>
      <c r="CZ21" s="228">
        <v>26.29</v>
      </c>
      <c r="DA21" s="228">
        <v>3.14</v>
      </c>
      <c r="DB21" s="228">
        <v>3.14</v>
      </c>
      <c r="DC21" s="228">
        <v>32.29</v>
      </c>
      <c r="DD21" s="228">
        <v>32.369999999999997</v>
      </c>
      <c r="DE21" s="228">
        <v>-2.86</v>
      </c>
      <c r="DF21" s="228">
        <v>-0.08</v>
      </c>
      <c r="DG21" s="228">
        <v>29.47</v>
      </c>
      <c r="DH21" s="228">
        <v>25.68</v>
      </c>
      <c r="DI21" s="228">
        <v>3.79</v>
      </c>
      <c r="DJ21" s="228">
        <v>3.79</v>
      </c>
      <c r="DK21" s="228">
        <v>29.39</v>
      </c>
      <c r="DL21" s="228">
        <v>27.42</v>
      </c>
      <c r="DM21" s="228">
        <v>1.97</v>
      </c>
      <c r="DN21" s="228">
        <v>1.97</v>
      </c>
      <c r="DO21" s="228">
        <v>0.76</v>
      </c>
      <c r="DP21" s="228">
        <v>0.71</v>
      </c>
      <c r="DQ21" s="228">
        <v>0.05</v>
      </c>
      <c r="DR21" s="229">
        <v>7.0400000000000004E-2</v>
      </c>
      <c r="DS21" s="228">
        <v>960</v>
      </c>
      <c r="DT21" s="228">
        <v>900</v>
      </c>
      <c r="DU21" s="228">
        <v>0.64</v>
      </c>
      <c r="DV21" s="228">
        <v>0.54</v>
      </c>
      <c r="DW21" s="228">
        <v>0.1</v>
      </c>
      <c r="DX21" s="229">
        <v>0.1852</v>
      </c>
      <c r="DY21" s="229">
        <v>0.64990000000000003</v>
      </c>
      <c r="DZ21" s="230">
        <v>18545100</v>
      </c>
      <c r="EA21" s="229">
        <v>5.7000000000000002E-3</v>
      </c>
      <c r="EB21" s="229">
        <v>0.64990000000000003</v>
      </c>
      <c r="EC21" s="228">
        <v>5.21</v>
      </c>
      <c r="ED21" s="229">
        <v>5.4999999999999997E-3</v>
      </c>
      <c r="EE21" s="230">
        <v>4077255</v>
      </c>
      <c r="EF21" s="230">
        <v>3551106</v>
      </c>
      <c r="EG21" s="229">
        <v>0.1482</v>
      </c>
      <c r="EH21" s="229">
        <v>0.65</v>
      </c>
      <c r="EI21" s="231">
        <v>311783.28999999998</v>
      </c>
      <c r="EJ21" s="231">
        <v>190367.49</v>
      </c>
      <c r="EK21" s="231">
        <v>393206.86</v>
      </c>
      <c r="EL21" s="231">
        <v>24797</v>
      </c>
      <c r="EM21" s="231">
        <v>895357.64</v>
      </c>
      <c r="EN21" s="231">
        <v>846501.69</v>
      </c>
      <c r="EO21" s="231">
        <v>48855.95</v>
      </c>
      <c r="EP21" s="229">
        <v>5.7700000000000001E-2</v>
      </c>
      <c r="EQ21" s="231">
        <v>158621</v>
      </c>
      <c r="ER21" s="231">
        <v>111719</v>
      </c>
      <c r="ES21" s="231">
        <v>480403</v>
      </c>
      <c r="ET21" s="231">
        <v>212176873</v>
      </c>
      <c r="EU21" s="231">
        <v>750742</v>
      </c>
      <c r="EV21" s="231">
        <v>775185</v>
      </c>
      <c r="EW21" s="231">
        <v>-24443</v>
      </c>
      <c r="EX21" s="229">
        <v>-3.15E-2</v>
      </c>
      <c r="EY21" s="229">
        <v>0.37719999999999998</v>
      </c>
    </row>
    <row r="22" spans="1:155" ht="17.25" thickBot="1" x14ac:dyDescent="0.3">
      <c r="A22" s="226">
        <v>46044</v>
      </c>
      <c r="B22" s="227" t="s">
        <v>168</v>
      </c>
      <c r="C22" s="227" t="s">
        <v>230</v>
      </c>
      <c r="D22" s="231">
        <v>2395.6</v>
      </c>
      <c r="E22" s="231">
        <v>2368.4</v>
      </c>
      <c r="F22" s="228">
        <v>27.2</v>
      </c>
      <c r="G22" s="229">
        <v>1.15E-2</v>
      </c>
      <c r="H22" s="231">
        <v>2390.6</v>
      </c>
      <c r="I22" s="231">
        <v>2368</v>
      </c>
      <c r="J22" s="228">
        <v>22.6</v>
      </c>
      <c r="K22" s="229">
        <v>9.4999999999999998E-3</v>
      </c>
      <c r="L22" s="231">
        <v>2395.6</v>
      </c>
      <c r="M22" s="231">
        <v>2368.4</v>
      </c>
      <c r="N22" s="228">
        <v>27.2</v>
      </c>
      <c r="O22" s="229">
        <v>1.15E-2</v>
      </c>
      <c r="P22" s="231">
        <v>2405.5</v>
      </c>
      <c r="Q22" s="231">
        <v>2378.1</v>
      </c>
      <c r="R22" s="228">
        <v>27.4</v>
      </c>
      <c r="S22" s="229">
        <v>1.15E-2</v>
      </c>
      <c r="T22" s="231">
        <v>2417.4</v>
      </c>
      <c r="U22" s="231">
        <v>2392.5</v>
      </c>
      <c r="V22" s="228">
        <v>24.9</v>
      </c>
      <c r="W22" s="229">
        <v>1.04E-2</v>
      </c>
      <c r="X22" s="228">
        <v>5</v>
      </c>
      <c r="Y22" s="228">
        <v>0.4</v>
      </c>
      <c r="Z22" s="228">
        <v>4.5999999999999996</v>
      </c>
      <c r="AA22" s="229">
        <v>2.0999999999999999E-3</v>
      </c>
      <c r="AB22" s="228">
        <v>5</v>
      </c>
      <c r="AC22" s="228">
        <v>0.4</v>
      </c>
      <c r="AD22" s="228">
        <v>4.5999999999999996</v>
      </c>
      <c r="AE22" s="229">
        <v>2.0999999999999999E-3</v>
      </c>
      <c r="AF22" s="228">
        <v>14.9</v>
      </c>
      <c r="AG22" s="228">
        <v>10.1</v>
      </c>
      <c r="AH22" s="228">
        <v>4.8</v>
      </c>
      <c r="AI22" s="229">
        <v>6.1999999999999998E-3</v>
      </c>
      <c r="AJ22" s="228">
        <v>26.8</v>
      </c>
      <c r="AK22" s="228">
        <v>24.5</v>
      </c>
      <c r="AL22" s="228">
        <v>2.2999999999999998</v>
      </c>
      <c r="AM22" s="229">
        <v>1.12E-2</v>
      </c>
      <c r="AN22" s="231">
        <v>2379.5700000000002</v>
      </c>
      <c r="AO22" s="231">
        <v>2389.09</v>
      </c>
      <c r="AP22" s="228">
        <v>0</v>
      </c>
      <c r="AQ22" s="230">
        <v>43719</v>
      </c>
      <c r="AR22" s="230">
        <v>38614</v>
      </c>
      <c r="AS22" s="230">
        <v>5105</v>
      </c>
      <c r="AT22" s="229">
        <v>0.13220000000000001</v>
      </c>
      <c r="AU22" s="230">
        <v>23312</v>
      </c>
      <c r="AV22" s="230">
        <v>20143</v>
      </c>
      <c r="AW22" s="230">
        <v>3169</v>
      </c>
      <c r="AX22" s="229">
        <v>0.1573</v>
      </c>
      <c r="AY22" s="230">
        <v>20245</v>
      </c>
      <c r="AZ22" s="230">
        <v>18401</v>
      </c>
      <c r="BA22" s="230">
        <v>1844</v>
      </c>
      <c r="BB22" s="229">
        <v>0.1002</v>
      </c>
      <c r="BC22" s="228">
        <v>162</v>
      </c>
      <c r="BD22" s="228">
        <v>70</v>
      </c>
      <c r="BE22" s="228">
        <v>92</v>
      </c>
      <c r="BF22" s="229">
        <v>1.3143</v>
      </c>
      <c r="BG22" s="230">
        <v>48507</v>
      </c>
      <c r="BH22" s="230">
        <v>48123</v>
      </c>
      <c r="BI22" s="228">
        <v>384</v>
      </c>
      <c r="BJ22" s="229">
        <v>8.0000000000000002E-3</v>
      </c>
      <c r="BK22" s="230">
        <v>24397</v>
      </c>
      <c r="BL22" s="230">
        <v>28923</v>
      </c>
      <c r="BM22" s="230">
        <v>-4526</v>
      </c>
      <c r="BN22" s="229">
        <v>-0.1565</v>
      </c>
      <c r="BO22" s="230">
        <v>116623</v>
      </c>
      <c r="BP22" s="230">
        <v>115660</v>
      </c>
      <c r="BQ22" s="228">
        <v>963</v>
      </c>
      <c r="BR22" s="229">
        <v>8.3000000000000001E-3</v>
      </c>
      <c r="BS22" s="230">
        <v>1930976</v>
      </c>
      <c r="BT22" s="230">
        <v>1108267</v>
      </c>
      <c r="BU22" s="230">
        <v>822709</v>
      </c>
      <c r="BV22" s="229">
        <v>0.74229999999999996</v>
      </c>
      <c r="BW22" s="230">
        <v>13515300</v>
      </c>
      <c r="BX22" s="230">
        <v>14341500</v>
      </c>
      <c r="BY22" s="230">
        <v>-826200</v>
      </c>
      <c r="BZ22" s="229">
        <v>-5.7599999999999998E-2</v>
      </c>
      <c r="CA22" s="230">
        <v>4094100</v>
      </c>
      <c r="CB22" s="230">
        <v>9057600</v>
      </c>
      <c r="CC22" s="230">
        <v>-4963500</v>
      </c>
      <c r="CD22" s="229">
        <v>-0.54800000000000004</v>
      </c>
      <c r="CE22" s="230">
        <v>9261600</v>
      </c>
      <c r="CF22" s="230">
        <v>5132400</v>
      </c>
      <c r="CG22" s="230">
        <v>4129200</v>
      </c>
      <c r="CH22" s="229">
        <v>0.80449999999999999</v>
      </c>
      <c r="CI22" s="230">
        <v>159600</v>
      </c>
      <c r="CJ22" s="230">
        <v>151500</v>
      </c>
      <c r="CK22" s="230">
        <v>8100</v>
      </c>
      <c r="CL22" s="229">
        <v>5.3499999999999999E-2</v>
      </c>
      <c r="CM22" s="230">
        <v>7157700</v>
      </c>
      <c r="CN22" s="230">
        <v>7392600</v>
      </c>
      <c r="CO22" s="230">
        <v>-234900</v>
      </c>
      <c r="CP22" s="229">
        <v>-3.1800000000000002E-2</v>
      </c>
      <c r="CQ22" s="230">
        <v>3759300</v>
      </c>
      <c r="CR22" s="230">
        <v>3535500</v>
      </c>
      <c r="CS22" s="230">
        <v>223800</v>
      </c>
      <c r="CT22" s="229">
        <v>6.3299999999999995E-2</v>
      </c>
      <c r="CU22" s="230">
        <v>24432300</v>
      </c>
      <c r="CV22" s="230">
        <v>25269600</v>
      </c>
      <c r="CW22" s="230">
        <v>-837300</v>
      </c>
      <c r="CX22" s="229">
        <v>-3.3099999999999997E-2</v>
      </c>
      <c r="CY22" s="228">
        <v>21.73</v>
      </c>
      <c r="CZ22" s="228">
        <v>16.66</v>
      </c>
      <c r="DA22" s="228">
        <v>5.07</v>
      </c>
      <c r="DB22" s="228">
        <v>5.07</v>
      </c>
      <c r="DC22" s="228">
        <v>21.87</v>
      </c>
      <c r="DD22" s="228">
        <v>21.88</v>
      </c>
      <c r="DE22" s="228">
        <v>-0.14000000000000001</v>
      </c>
      <c r="DF22" s="228">
        <v>-0.01</v>
      </c>
      <c r="DG22" s="228">
        <v>21.72</v>
      </c>
      <c r="DH22" s="228">
        <v>16.87</v>
      </c>
      <c r="DI22" s="228">
        <v>4.8499999999999996</v>
      </c>
      <c r="DJ22" s="228">
        <v>4.8499999999999996</v>
      </c>
      <c r="DK22" s="228">
        <v>21.74</v>
      </c>
      <c r="DL22" s="228">
        <v>16.3</v>
      </c>
      <c r="DM22" s="228">
        <v>5.44</v>
      </c>
      <c r="DN22" s="228">
        <v>5.44</v>
      </c>
      <c r="DO22" s="228">
        <v>0.53</v>
      </c>
      <c r="DP22" s="228">
        <v>0.48</v>
      </c>
      <c r="DQ22" s="228">
        <v>0.05</v>
      </c>
      <c r="DR22" s="229">
        <v>0.1042</v>
      </c>
      <c r="DS22" s="231">
        <v>2440</v>
      </c>
      <c r="DT22" s="231">
        <v>2300</v>
      </c>
      <c r="DU22" s="228">
        <v>0.5</v>
      </c>
      <c r="DV22" s="228">
        <v>0.6</v>
      </c>
      <c r="DW22" s="228">
        <v>-0.1</v>
      </c>
      <c r="DX22" s="229">
        <v>-0.16669999999999999</v>
      </c>
      <c r="DY22" s="229">
        <v>0.69710000000000005</v>
      </c>
      <c r="DZ22" s="230">
        <v>5283900</v>
      </c>
      <c r="EA22" s="229">
        <v>4.1000000000000003E-3</v>
      </c>
      <c r="EB22" s="229">
        <v>0.69710000000000005</v>
      </c>
      <c r="EC22" s="228">
        <v>9.52</v>
      </c>
      <c r="ED22" s="229">
        <v>4.0000000000000001E-3</v>
      </c>
      <c r="EE22" s="230">
        <v>1081253</v>
      </c>
      <c r="EF22" s="230">
        <v>572241</v>
      </c>
      <c r="EG22" s="229">
        <v>0.88949999999999996</v>
      </c>
      <c r="EH22" s="229">
        <v>0.56000000000000005</v>
      </c>
      <c r="EI22" s="231">
        <v>353325.92</v>
      </c>
      <c r="EJ22" s="231">
        <v>173322.6</v>
      </c>
      <c r="EK22" s="231">
        <v>312688.09000000003</v>
      </c>
      <c r="EL22" s="231">
        <v>16548</v>
      </c>
      <c r="EM22" s="231">
        <v>839336.61</v>
      </c>
      <c r="EN22" s="231">
        <v>833278.53</v>
      </c>
      <c r="EO22" s="231">
        <v>6058.08</v>
      </c>
      <c r="EP22" s="229">
        <v>7.3000000000000001E-3</v>
      </c>
      <c r="EQ22" s="231">
        <v>174382</v>
      </c>
      <c r="ER22" s="231">
        <v>87071</v>
      </c>
      <c r="ES22" s="231">
        <v>324724</v>
      </c>
      <c r="ET22" s="231">
        <v>91001773</v>
      </c>
      <c r="EU22" s="231">
        <v>586177</v>
      </c>
      <c r="EV22" s="231">
        <v>601982</v>
      </c>
      <c r="EW22" s="231">
        <v>-15805</v>
      </c>
      <c r="EX22" s="229">
        <v>-2.63E-2</v>
      </c>
      <c r="EY22" s="229">
        <v>0.26850000000000002</v>
      </c>
    </row>
    <row r="23" spans="1:155" ht="17.25" thickBot="1" x14ac:dyDescent="0.3">
      <c r="A23" s="226">
        <v>46044</v>
      </c>
      <c r="B23" s="227" t="s">
        <v>172</v>
      </c>
      <c r="C23" s="227" t="s">
        <v>232</v>
      </c>
      <c r="D23" s="231">
        <v>1348.6</v>
      </c>
      <c r="E23" s="231">
        <v>1347.2</v>
      </c>
      <c r="F23" s="228">
        <v>1.4</v>
      </c>
      <c r="G23" s="229">
        <v>1E-3</v>
      </c>
      <c r="H23" s="231">
        <v>1345.5</v>
      </c>
      <c r="I23" s="231">
        <v>1349</v>
      </c>
      <c r="J23" s="228">
        <v>-3.5</v>
      </c>
      <c r="K23" s="229">
        <v>-2.5999999999999999E-3</v>
      </c>
      <c r="L23" s="231">
        <v>1348.6</v>
      </c>
      <c r="M23" s="231">
        <v>1347.2</v>
      </c>
      <c r="N23" s="228">
        <v>1.4</v>
      </c>
      <c r="O23" s="229">
        <v>1E-3</v>
      </c>
      <c r="P23" s="231">
        <v>1355.6</v>
      </c>
      <c r="Q23" s="231">
        <v>1354.3</v>
      </c>
      <c r="R23" s="228">
        <v>1.3</v>
      </c>
      <c r="S23" s="229">
        <v>1E-3</v>
      </c>
      <c r="T23" s="231">
        <v>1365.5</v>
      </c>
      <c r="U23" s="231">
        <v>1362.4</v>
      </c>
      <c r="V23" s="228">
        <v>3.1</v>
      </c>
      <c r="W23" s="229">
        <v>2.3E-3</v>
      </c>
      <c r="X23" s="228">
        <v>3.1</v>
      </c>
      <c r="Y23" s="228">
        <v>-1.8</v>
      </c>
      <c r="Z23" s="228">
        <v>4.9000000000000004</v>
      </c>
      <c r="AA23" s="229">
        <v>2.3E-3</v>
      </c>
      <c r="AB23" s="228">
        <v>3.1</v>
      </c>
      <c r="AC23" s="228">
        <v>-1.8</v>
      </c>
      <c r="AD23" s="228">
        <v>4.9000000000000004</v>
      </c>
      <c r="AE23" s="229">
        <v>2.3E-3</v>
      </c>
      <c r="AF23" s="228">
        <v>10.1</v>
      </c>
      <c r="AG23" s="228">
        <v>5.3</v>
      </c>
      <c r="AH23" s="228">
        <v>4.8</v>
      </c>
      <c r="AI23" s="229">
        <v>7.4999999999999997E-3</v>
      </c>
      <c r="AJ23" s="228">
        <v>20</v>
      </c>
      <c r="AK23" s="228">
        <v>13.4</v>
      </c>
      <c r="AL23" s="228">
        <v>6.6</v>
      </c>
      <c r="AM23" s="229">
        <v>1.49E-2</v>
      </c>
      <c r="AN23" s="231">
        <v>1347.17</v>
      </c>
      <c r="AO23" s="231">
        <v>1354.11</v>
      </c>
      <c r="AP23" s="228">
        <v>0</v>
      </c>
      <c r="AQ23" s="230">
        <v>92267</v>
      </c>
      <c r="AR23" s="230">
        <v>91406</v>
      </c>
      <c r="AS23" s="228">
        <v>861</v>
      </c>
      <c r="AT23" s="229">
        <v>9.4000000000000004E-3</v>
      </c>
      <c r="AU23" s="230">
        <v>47356</v>
      </c>
      <c r="AV23" s="230">
        <v>52595</v>
      </c>
      <c r="AW23" s="230">
        <v>-5239</v>
      </c>
      <c r="AX23" s="229">
        <v>-9.9599999999999994E-2</v>
      </c>
      <c r="AY23" s="230">
        <v>44656</v>
      </c>
      <c r="AZ23" s="230">
        <v>38148</v>
      </c>
      <c r="BA23" s="230">
        <v>6508</v>
      </c>
      <c r="BB23" s="229">
        <v>0.1706</v>
      </c>
      <c r="BC23" s="228">
        <v>255</v>
      </c>
      <c r="BD23" s="228">
        <v>663</v>
      </c>
      <c r="BE23" s="228">
        <v>-408</v>
      </c>
      <c r="BF23" s="229">
        <v>-0.61539999999999995</v>
      </c>
      <c r="BG23" s="230">
        <v>112098</v>
      </c>
      <c r="BH23" s="230">
        <v>197865</v>
      </c>
      <c r="BI23" s="230">
        <v>-85767</v>
      </c>
      <c r="BJ23" s="229">
        <v>-0.4335</v>
      </c>
      <c r="BK23" s="230">
        <v>86575</v>
      </c>
      <c r="BL23" s="230">
        <v>149633</v>
      </c>
      <c r="BM23" s="230">
        <v>-63058</v>
      </c>
      <c r="BN23" s="229">
        <v>-0.4214</v>
      </c>
      <c r="BO23" s="230">
        <v>290940</v>
      </c>
      <c r="BP23" s="230">
        <v>438904</v>
      </c>
      <c r="BQ23" s="230">
        <v>-147964</v>
      </c>
      <c r="BR23" s="229">
        <v>-0.33710000000000001</v>
      </c>
      <c r="BS23" s="230">
        <v>17630577</v>
      </c>
      <c r="BT23" s="230">
        <v>22081180</v>
      </c>
      <c r="BU23" s="230">
        <v>-4450603</v>
      </c>
      <c r="BV23" s="229">
        <v>-0.2016</v>
      </c>
      <c r="BW23" s="230">
        <v>133422100</v>
      </c>
      <c r="BX23" s="230">
        <v>132836900</v>
      </c>
      <c r="BY23" s="230">
        <v>585200</v>
      </c>
      <c r="BZ23" s="229">
        <v>4.4000000000000003E-3</v>
      </c>
      <c r="CA23" s="230">
        <v>52949400</v>
      </c>
      <c r="CB23" s="230">
        <v>76850200</v>
      </c>
      <c r="CC23" s="230">
        <v>-23900800</v>
      </c>
      <c r="CD23" s="229">
        <v>-0.311</v>
      </c>
      <c r="CE23" s="230">
        <v>69391000</v>
      </c>
      <c r="CF23" s="230">
        <v>45001600</v>
      </c>
      <c r="CG23" s="230">
        <v>24389400</v>
      </c>
      <c r="CH23" s="229">
        <v>0.54200000000000004</v>
      </c>
      <c r="CI23" s="230">
        <v>11081700</v>
      </c>
      <c r="CJ23" s="230">
        <v>10985100</v>
      </c>
      <c r="CK23" s="230">
        <v>96600</v>
      </c>
      <c r="CL23" s="229">
        <v>8.8000000000000005E-3</v>
      </c>
      <c r="CM23" s="230">
        <v>51892400</v>
      </c>
      <c r="CN23" s="230">
        <v>53008200</v>
      </c>
      <c r="CO23" s="230">
        <v>-1115800</v>
      </c>
      <c r="CP23" s="229">
        <v>-2.1000000000000001E-2</v>
      </c>
      <c r="CQ23" s="230">
        <v>24416700</v>
      </c>
      <c r="CR23" s="230">
        <v>25251800</v>
      </c>
      <c r="CS23" s="230">
        <v>-835100</v>
      </c>
      <c r="CT23" s="229">
        <v>-3.3099999999999997E-2</v>
      </c>
      <c r="CU23" s="230">
        <v>209731200</v>
      </c>
      <c r="CV23" s="230">
        <v>211096900</v>
      </c>
      <c r="CW23" s="230">
        <v>-1365700</v>
      </c>
      <c r="CX23" s="229">
        <v>-6.4999999999999997E-3</v>
      </c>
      <c r="CY23" s="228">
        <v>16.93</v>
      </c>
      <c r="CZ23" s="228">
        <v>17.010000000000002</v>
      </c>
      <c r="DA23" s="228">
        <v>-0.08</v>
      </c>
      <c r="DB23" s="228">
        <v>-0.08</v>
      </c>
      <c r="DC23" s="228">
        <v>20.78</v>
      </c>
      <c r="DD23" s="228">
        <v>20.83</v>
      </c>
      <c r="DE23" s="228">
        <v>-3.85</v>
      </c>
      <c r="DF23" s="228">
        <v>-0.05</v>
      </c>
      <c r="DG23" s="228">
        <v>16.809999999999999</v>
      </c>
      <c r="DH23" s="228">
        <v>17.96</v>
      </c>
      <c r="DI23" s="228">
        <v>-1.1499999999999999</v>
      </c>
      <c r="DJ23" s="228">
        <v>-1.1499999999999999</v>
      </c>
      <c r="DK23" s="228">
        <v>17.16</v>
      </c>
      <c r="DL23" s="228">
        <v>15.75</v>
      </c>
      <c r="DM23" s="228">
        <v>1.41</v>
      </c>
      <c r="DN23" s="228">
        <v>1.41</v>
      </c>
      <c r="DO23" s="228">
        <v>0.47</v>
      </c>
      <c r="DP23" s="228">
        <v>0.48</v>
      </c>
      <c r="DQ23" s="228">
        <v>-0.01</v>
      </c>
      <c r="DR23" s="229">
        <v>-2.0799999999999999E-2</v>
      </c>
      <c r="DS23" s="231">
        <v>1450</v>
      </c>
      <c r="DT23" s="231">
        <v>1400</v>
      </c>
      <c r="DU23" s="228">
        <v>0.77</v>
      </c>
      <c r="DV23" s="228">
        <v>0.76</v>
      </c>
      <c r="DW23" s="228">
        <v>0.01</v>
      </c>
      <c r="DX23" s="229">
        <v>1.32E-2</v>
      </c>
      <c r="DY23" s="229">
        <v>0.60309999999999997</v>
      </c>
      <c r="DZ23" s="230">
        <v>55986700</v>
      </c>
      <c r="EA23" s="229">
        <v>5.1999999999999998E-3</v>
      </c>
      <c r="EB23" s="229">
        <v>0.60309999999999997</v>
      </c>
      <c r="EC23" s="228">
        <v>6.94</v>
      </c>
      <c r="ED23" s="229">
        <v>5.1999999999999998E-3</v>
      </c>
      <c r="EE23" s="230">
        <v>9837356</v>
      </c>
      <c r="EF23" s="230">
        <v>12609514</v>
      </c>
      <c r="EG23" s="229">
        <v>-0.2198</v>
      </c>
      <c r="EH23" s="229">
        <v>0.55800000000000005</v>
      </c>
      <c r="EI23" s="231">
        <v>1086547.7</v>
      </c>
      <c r="EJ23" s="231">
        <v>813261.58</v>
      </c>
      <c r="EK23" s="231">
        <v>872292.62</v>
      </c>
      <c r="EL23" s="231">
        <v>68136</v>
      </c>
      <c r="EM23" s="231">
        <v>2772101.9</v>
      </c>
      <c r="EN23" s="231">
        <v>4206284.6500000004</v>
      </c>
      <c r="EO23" s="231">
        <v>-1434182.75</v>
      </c>
      <c r="EP23" s="229">
        <v>-0.34100000000000003</v>
      </c>
      <c r="EQ23" s="231">
        <v>737078</v>
      </c>
      <c r="ER23" s="231">
        <v>333557</v>
      </c>
      <c r="ES23" s="231">
        <v>1806061</v>
      </c>
      <c r="ET23" s="231">
        <v>580601807</v>
      </c>
      <c r="EU23" s="231">
        <v>2876695</v>
      </c>
      <c r="EV23" s="231">
        <v>2893535</v>
      </c>
      <c r="EW23" s="231">
        <v>-16840</v>
      </c>
      <c r="EX23" s="229">
        <v>-5.7999999999999996E-3</v>
      </c>
      <c r="EY23" s="229">
        <v>0.36120000000000002</v>
      </c>
    </row>
    <row r="24" spans="1:155" ht="17.25" thickBot="1" x14ac:dyDescent="0.3">
      <c r="A24" s="226">
        <v>46044</v>
      </c>
      <c r="B24" s="227" t="s">
        <v>215</v>
      </c>
      <c r="C24" s="227" t="s">
        <v>238</v>
      </c>
      <c r="D24" s="231">
        <v>4916.5</v>
      </c>
      <c r="E24" s="231">
        <v>4873.5</v>
      </c>
      <c r="F24" s="228">
        <v>43</v>
      </c>
      <c r="G24" s="229">
        <v>8.8000000000000005E-3</v>
      </c>
      <c r="H24" s="231">
        <v>4909</v>
      </c>
      <c r="I24" s="231">
        <v>4857.5</v>
      </c>
      <c r="J24" s="228">
        <v>51.5</v>
      </c>
      <c r="K24" s="229">
        <v>1.06E-2</v>
      </c>
      <c r="L24" s="231">
        <v>4916.5</v>
      </c>
      <c r="M24" s="231">
        <v>4873.5</v>
      </c>
      <c r="N24" s="228">
        <v>43</v>
      </c>
      <c r="O24" s="229">
        <v>8.8000000000000005E-3</v>
      </c>
      <c r="P24" s="231">
        <v>4938.5</v>
      </c>
      <c r="Q24" s="231">
        <v>4894.5</v>
      </c>
      <c r="R24" s="228">
        <v>44</v>
      </c>
      <c r="S24" s="229">
        <v>8.9999999999999993E-3</v>
      </c>
      <c r="T24" s="231">
        <v>4966.5</v>
      </c>
      <c r="U24" s="231">
        <v>4918.5</v>
      </c>
      <c r="V24" s="228">
        <v>48</v>
      </c>
      <c r="W24" s="229">
        <v>9.7999999999999997E-3</v>
      </c>
      <c r="X24" s="228">
        <v>7.5</v>
      </c>
      <c r="Y24" s="228">
        <v>16</v>
      </c>
      <c r="Z24" s="228">
        <v>-8.5</v>
      </c>
      <c r="AA24" s="229">
        <v>1.5E-3</v>
      </c>
      <c r="AB24" s="228">
        <v>7.5</v>
      </c>
      <c r="AC24" s="228">
        <v>16</v>
      </c>
      <c r="AD24" s="228">
        <v>-8.5</v>
      </c>
      <c r="AE24" s="229">
        <v>1.5E-3</v>
      </c>
      <c r="AF24" s="228">
        <v>29.5</v>
      </c>
      <c r="AG24" s="228">
        <v>37</v>
      </c>
      <c r="AH24" s="228">
        <v>-7.5</v>
      </c>
      <c r="AI24" s="229">
        <v>6.0000000000000001E-3</v>
      </c>
      <c r="AJ24" s="228">
        <v>57.5</v>
      </c>
      <c r="AK24" s="228">
        <v>61</v>
      </c>
      <c r="AL24" s="228">
        <v>-3.5</v>
      </c>
      <c r="AM24" s="229">
        <v>1.17E-2</v>
      </c>
      <c r="AN24" s="231">
        <v>4910.3599999999997</v>
      </c>
      <c r="AO24" s="231">
        <v>4934.1499999999996</v>
      </c>
      <c r="AP24" s="228">
        <v>0</v>
      </c>
      <c r="AQ24" s="230">
        <v>37495</v>
      </c>
      <c r="AR24" s="230">
        <v>41025</v>
      </c>
      <c r="AS24" s="230">
        <v>-3530</v>
      </c>
      <c r="AT24" s="229">
        <v>-8.5999999999999993E-2</v>
      </c>
      <c r="AU24" s="230">
        <v>19384</v>
      </c>
      <c r="AV24" s="230">
        <v>23160</v>
      </c>
      <c r="AW24" s="230">
        <v>-3776</v>
      </c>
      <c r="AX24" s="229">
        <v>-0.16300000000000001</v>
      </c>
      <c r="AY24" s="230">
        <v>17997</v>
      </c>
      <c r="AZ24" s="230">
        <v>17662</v>
      </c>
      <c r="BA24" s="228">
        <v>335</v>
      </c>
      <c r="BB24" s="229">
        <v>1.9E-2</v>
      </c>
      <c r="BC24" s="228">
        <v>114</v>
      </c>
      <c r="BD24" s="228">
        <v>203</v>
      </c>
      <c r="BE24" s="228">
        <v>-89</v>
      </c>
      <c r="BF24" s="229">
        <v>-0.43840000000000001</v>
      </c>
      <c r="BG24" s="230">
        <v>57577</v>
      </c>
      <c r="BH24" s="230">
        <v>93181</v>
      </c>
      <c r="BI24" s="230">
        <v>-35604</v>
      </c>
      <c r="BJ24" s="229">
        <v>-0.3821</v>
      </c>
      <c r="BK24" s="230">
        <v>50890</v>
      </c>
      <c r="BL24" s="230">
        <v>61730</v>
      </c>
      <c r="BM24" s="230">
        <v>-10840</v>
      </c>
      <c r="BN24" s="229">
        <v>-0.17560000000000001</v>
      </c>
      <c r="BO24" s="230">
        <v>145962</v>
      </c>
      <c r="BP24" s="230">
        <v>195936</v>
      </c>
      <c r="BQ24" s="230">
        <v>-49974</v>
      </c>
      <c r="BR24" s="229">
        <v>-0.25509999999999999</v>
      </c>
      <c r="BS24" s="230">
        <v>1316949</v>
      </c>
      <c r="BT24" s="230">
        <v>1836401</v>
      </c>
      <c r="BU24" s="230">
        <v>-519452</v>
      </c>
      <c r="BV24" s="229">
        <v>-0.28289999999999998</v>
      </c>
      <c r="BW24" s="230">
        <v>8992200</v>
      </c>
      <c r="BX24" s="230">
        <v>8802900</v>
      </c>
      <c r="BY24" s="230">
        <v>189300</v>
      </c>
      <c r="BZ24" s="229">
        <v>2.1499999999999998E-2</v>
      </c>
      <c r="CA24" s="230">
        <v>4376100</v>
      </c>
      <c r="CB24" s="230">
        <v>6156300</v>
      </c>
      <c r="CC24" s="230">
        <v>-1780200</v>
      </c>
      <c r="CD24" s="229">
        <v>-0.28920000000000001</v>
      </c>
      <c r="CE24" s="230">
        <v>4542600</v>
      </c>
      <c r="CF24" s="230">
        <v>2577300</v>
      </c>
      <c r="CG24" s="230">
        <v>1965300</v>
      </c>
      <c r="CH24" s="229">
        <v>0.76249999999999996</v>
      </c>
      <c r="CI24" s="230">
        <v>73500</v>
      </c>
      <c r="CJ24" s="230">
        <v>69300</v>
      </c>
      <c r="CK24" s="230">
        <v>4200</v>
      </c>
      <c r="CL24" s="229">
        <v>6.0600000000000001E-2</v>
      </c>
      <c r="CM24" s="230">
        <v>5932650</v>
      </c>
      <c r="CN24" s="230">
        <v>5756550</v>
      </c>
      <c r="CO24" s="230">
        <v>176100</v>
      </c>
      <c r="CP24" s="229">
        <v>3.0599999999999999E-2</v>
      </c>
      <c r="CQ24" s="230">
        <v>4072650</v>
      </c>
      <c r="CR24" s="230">
        <v>3919800</v>
      </c>
      <c r="CS24" s="230">
        <v>152850</v>
      </c>
      <c r="CT24" s="229">
        <v>3.9E-2</v>
      </c>
      <c r="CU24" s="230">
        <v>18997500</v>
      </c>
      <c r="CV24" s="230">
        <v>18479250</v>
      </c>
      <c r="CW24" s="230">
        <v>518250</v>
      </c>
      <c r="CX24" s="229">
        <v>2.8000000000000001E-2</v>
      </c>
      <c r="CY24" s="228">
        <v>29.92</v>
      </c>
      <c r="CZ24" s="228">
        <v>35.07</v>
      </c>
      <c r="DA24" s="228">
        <v>-5.15</v>
      </c>
      <c r="DB24" s="228">
        <v>-5.15</v>
      </c>
      <c r="DC24" s="228">
        <v>33.31</v>
      </c>
      <c r="DD24" s="228">
        <v>33.36</v>
      </c>
      <c r="DE24" s="228">
        <v>-3.39</v>
      </c>
      <c r="DF24" s="228">
        <v>-0.05</v>
      </c>
      <c r="DG24" s="228">
        <v>29.07</v>
      </c>
      <c r="DH24" s="228">
        <v>33.630000000000003</v>
      </c>
      <c r="DI24" s="228">
        <v>-4.5599999999999996</v>
      </c>
      <c r="DJ24" s="228">
        <v>-4.5599999999999996</v>
      </c>
      <c r="DK24" s="228">
        <v>30.96</v>
      </c>
      <c r="DL24" s="228">
        <v>37.24</v>
      </c>
      <c r="DM24" s="228">
        <v>-6.28</v>
      </c>
      <c r="DN24" s="228">
        <v>-6.28</v>
      </c>
      <c r="DO24" s="228">
        <v>0.69</v>
      </c>
      <c r="DP24" s="228">
        <v>0.68</v>
      </c>
      <c r="DQ24" s="228">
        <v>0.01</v>
      </c>
      <c r="DR24" s="229">
        <v>1.47E-2</v>
      </c>
      <c r="DS24" s="231">
        <v>5100</v>
      </c>
      <c r="DT24" s="231">
        <v>4700</v>
      </c>
      <c r="DU24" s="228">
        <v>0.88</v>
      </c>
      <c r="DV24" s="228">
        <v>0.66</v>
      </c>
      <c r="DW24" s="228">
        <v>0.22</v>
      </c>
      <c r="DX24" s="229">
        <v>0.33329999999999999</v>
      </c>
      <c r="DY24" s="229">
        <v>0.51329999999999998</v>
      </c>
      <c r="DZ24" s="230">
        <v>2646600</v>
      </c>
      <c r="EA24" s="229">
        <v>4.4999999999999997E-3</v>
      </c>
      <c r="EB24" s="229">
        <v>0.51329999999999998</v>
      </c>
      <c r="EC24" s="228">
        <v>23.79</v>
      </c>
      <c r="ED24" s="229">
        <v>4.7999999999999996E-3</v>
      </c>
      <c r="EE24" s="230">
        <v>834832</v>
      </c>
      <c r="EF24" s="230">
        <v>800156</v>
      </c>
      <c r="EG24" s="229">
        <v>4.3299999999999998E-2</v>
      </c>
      <c r="EH24" s="229">
        <v>0.63390000000000002</v>
      </c>
      <c r="EI24" s="231">
        <v>443792.38</v>
      </c>
      <c r="EJ24" s="231">
        <v>367607.61</v>
      </c>
      <c r="EK24" s="231">
        <v>276822.33</v>
      </c>
      <c r="EL24" s="231">
        <v>20707</v>
      </c>
      <c r="EM24" s="231">
        <v>1088222.32</v>
      </c>
      <c r="EN24" s="231">
        <v>1450308.79</v>
      </c>
      <c r="EO24" s="231">
        <v>-362086.47</v>
      </c>
      <c r="EP24" s="229">
        <v>-0.24970000000000001</v>
      </c>
      <c r="EQ24" s="231">
        <v>308766</v>
      </c>
      <c r="ER24" s="231">
        <v>196049</v>
      </c>
      <c r="ES24" s="231">
        <v>443138</v>
      </c>
      <c r="ET24" s="231">
        <v>33874835</v>
      </c>
      <c r="EU24" s="231">
        <v>947953</v>
      </c>
      <c r="EV24" s="231">
        <v>916477</v>
      </c>
      <c r="EW24" s="231">
        <v>31476</v>
      </c>
      <c r="EX24" s="229">
        <v>3.4299999999999997E-2</v>
      </c>
      <c r="EY24" s="229">
        <v>0.56079999999999997</v>
      </c>
    </row>
    <row r="25" spans="1:155" ht="17.25" thickBot="1" x14ac:dyDescent="0.3">
      <c r="A25" s="226">
        <v>46044</v>
      </c>
      <c r="B25" s="227" t="s">
        <v>221</v>
      </c>
      <c r="C25" s="227" t="s">
        <v>240</v>
      </c>
      <c r="D25" s="231">
        <v>1667.4</v>
      </c>
      <c r="E25" s="231">
        <v>1656.5</v>
      </c>
      <c r="F25" s="228">
        <v>10.9</v>
      </c>
      <c r="G25" s="229">
        <v>6.6E-3</v>
      </c>
      <c r="H25" s="231">
        <v>1663.5</v>
      </c>
      <c r="I25" s="231">
        <v>1654.4</v>
      </c>
      <c r="J25" s="228">
        <v>9.1</v>
      </c>
      <c r="K25" s="229">
        <v>5.4999999999999997E-3</v>
      </c>
      <c r="L25" s="231">
        <v>1667.4</v>
      </c>
      <c r="M25" s="231">
        <v>1656.5</v>
      </c>
      <c r="N25" s="228">
        <v>10.9</v>
      </c>
      <c r="O25" s="229">
        <v>6.6E-3</v>
      </c>
      <c r="P25" s="231">
        <v>1675.2</v>
      </c>
      <c r="Q25" s="231">
        <v>1664.6</v>
      </c>
      <c r="R25" s="228">
        <v>10.6</v>
      </c>
      <c r="S25" s="229">
        <v>6.4000000000000003E-3</v>
      </c>
      <c r="T25" s="231">
        <v>1686.1</v>
      </c>
      <c r="U25" s="231">
        <v>1675.8</v>
      </c>
      <c r="V25" s="228">
        <v>10.3</v>
      </c>
      <c r="W25" s="229">
        <v>6.1000000000000004E-3</v>
      </c>
      <c r="X25" s="228">
        <v>3.9</v>
      </c>
      <c r="Y25" s="228">
        <v>2.1</v>
      </c>
      <c r="Z25" s="228">
        <v>1.8</v>
      </c>
      <c r="AA25" s="229">
        <v>2.3E-3</v>
      </c>
      <c r="AB25" s="228">
        <v>3.9</v>
      </c>
      <c r="AC25" s="228">
        <v>2.1</v>
      </c>
      <c r="AD25" s="228">
        <v>1.8</v>
      </c>
      <c r="AE25" s="229">
        <v>2.3E-3</v>
      </c>
      <c r="AF25" s="228">
        <v>11.7</v>
      </c>
      <c r="AG25" s="228">
        <v>10.199999999999999</v>
      </c>
      <c r="AH25" s="228">
        <v>1.5</v>
      </c>
      <c r="AI25" s="229">
        <v>7.0000000000000001E-3</v>
      </c>
      <c r="AJ25" s="228">
        <v>22.6</v>
      </c>
      <c r="AK25" s="228">
        <v>21.4</v>
      </c>
      <c r="AL25" s="228">
        <v>1.2</v>
      </c>
      <c r="AM25" s="229">
        <v>1.3599999999999999E-2</v>
      </c>
      <c r="AN25" s="231">
        <v>1663.09</v>
      </c>
      <c r="AO25" s="231">
        <v>1670.74</v>
      </c>
      <c r="AP25" s="228">
        <v>0</v>
      </c>
      <c r="AQ25" s="230">
        <v>114550</v>
      </c>
      <c r="AR25" s="230">
        <v>131650</v>
      </c>
      <c r="AS25" s="230">
        <v>-17100</v>
      </c>
      <c r="AT25" s="229">
        <v>-0.12989999999999999</v>
      </c>
      <c r="AU25" s="230">
        <v>58015</v>
      </c>
      <c r="AV25" s="230">
        <v>70307</v>
      </c>
      <c r="AW25" s="230">
        <v>-12292</v>
      </c>
      <c r="AX25" s="229">
        <v>-0.17480000000000001</v>
      </c>
      <c r="AY25" s="230">
        <v>56015</v>
      </c>
      <c r="AZ25" s="230">
        <v>61151</v>
      </c>
      <c r="BA25" s="230">
        <v>-5136</v>
      </c>
      <c r="BB25" s="229">
        <v>-8.4000000000000005E-2</v>
      </c>
      <c r="BC25" s="228">
        <v>520</v>
      </c>
      <c r="BD25" s="228">
        <v>192</v>
      </c>
      <c r="BE25" s="228">
        <v>328</v>
      </c>
      <c r="BF25" s="229">
        <v>1.7082999999999999</v>
      </c>
      <c r="BG25" s="230">
        <v>158876</v>
      </c>
      <c r="BH25" s="230">
        <v>115948</v>
      </c>
      <c r="BI25" s="230">
        <v>42928</v>
      </c>
      <c r="BJ25" s="229">
        <v>0.37019999999999997</v>
      </c>
      <c r="BK25" s="230">
        <v>91080</v>
      </c>
      <c r="BL25" s="230">
        <v>102828</v>
      </c>
      <c r="BM25" s="230">
        <v>-11748</v>
      </c>
      <c r="BN25" s="229">
        <v>-0.1142</v>
      </c>
      <c r="BO25" s="230">
        <v>364506</v>
      </c>
      <c r="BP25" s="230">
        <v>350426</v>
      </c>
      <c r="BQ25" s="230">
        <v>14080</v>
      </c>
      <c r="BR25" s="229">
        <v>4.02E-2</v>
      </c>
      <c r="BS25" s="230">
        <v>6492800</v>
      </c>
      <c r="BT25" s="230">
        <v>6453448</v>
      </c>
      <c r="BU25" s="230">
        <v>39352</v>
      </c>
      <c r="BV25" s="229">
        <v>6.1000000000000004E-3</v>
      </c>
      <c r="BW25" s="230">
        <v>71394000</v>
      </c>
      <c r="BX25" s="230">
        <v>70315600</v>
      </c>
      <c r="BY25" s="230">
        <v>1078400</v>
      </c>
      <c r="BZ25" s="229">
        <v>1.5299999999999999E-2</v>
      </c>
      <c r="CA25" s="230">
        <v>25454000</v>
      </c>
      <c r="CB25" s="230">
        <v>43315200</v>
      </c>
      <c r="CC25" s="230">
        <v>-17861200</v>
      </c>
      <c r="CD25" s="229">
        <v>-0.41239999999999999</v>
      </c>
      <c r="CE25" s="230">
        <v>45259600</v>
      </c>
      <c r="CF25" s="230">
        <v>26446800</v>
      </c>
      <c r="CG25" s="230">
        <v>18812800</v>
      </c>
      <c r="CH25" s="229">
        <v>0.71130000000000004</v>
      </c>
      <c r="CI25" s="230">
        <v>680400</v>
      </c>
      <c r="CJ25" s="230">
        <v>553600</v>
      </c>
      <c r="CK25" s="230">
        <v>126800</v>
      </c>
      <c r="CL25" s="229">
        <v>0.22900000000000001</v>
      </c>
      <c r="CM25" s="230">
        <v>30394800</v>
      </c>
      <c r="CN25" s="230">
        <v>30731200</v>
      </c>
      <c r="CO25" s="230">
        <v>-336400</v>
      </c>
      <c r="CP25" s="229">
        <v>-1.09E-2</v>
      </c>
      <c r="CQ25" s="230">
        <v>18228400</v>
      </c>
      <c r="CR25" s="230">
        <v>19785600</v>
      </c>
      <c r="CS25" s="230">
        <v>-1557200</v>
      </c>
      <c r="CT25" s="229">
        <v>-7.8700000000000006E-2</v>
      </c>
      <c r="CU25" s="230">
        <v>120017200</v>
      </c>
      <c r="CV25" s="230">
        <v>120832400</v>
      </c>
      <c r="CW25" s="230">
        <v>-815200</v>
      </c>
      <c r="CX25" s="229">
        <v>-6.7000000000000002E-3</v>
      </c>
      <c r="CY25" s="228">
        <v>20.93</v>
      </c>
      <c r="CZ25" s="228">
        <v>17.059999999999999</v>
      </c>
      <c r="DA25" s="228">
        <v>3.87</v>
      </c>
      <c r="DB25" s="228">
        <v>3.87</v>
      </c>
      <c r="DC25" s="228">
        <v>28.67</v>
      </c>
      <c r="DD25" s="228">
        <v>28.73</v>
      </c>
      <c r="DE25" s="228">
        <v>-7.74</v>
      </c>
      <c r="DF25" s="228">
        <v>-0.06</v>
      </c>
      <c r="DG25" s="228">
        <v>20.59</v>
      </c>
      <c r="DH25" s="228">
        <v>15.2</v>
      </c>
      <c r="DI25" s="228">
        <v>5.39</v>
      </c>
      <c r="DJ25" s="228">
        <v>5.39</v>
      </c>
      <c r="DK25" s="228">
        <v>21.57</v>
      </c>
      <c r="DL25" s="228">
        <v>19.16</v>
      </c>
      <c r="DM25" s="228">
        <v>2.41</v>
      </c>
      <c r="DN25" s="228">
        <v>2.41</v>
      </c>
      <c r="DO25" s="228">
        <v>0.6</v>
      </c>
      <c r="DP25" s="228">
        <v>0.64</v>
      </c>
      <c r="DQ25" s="228">
        <v>-0.04</v>
      </c>
      <c r="DR25" s="229">
        <v>-6.25E-2</v>
      </c>
      <c r="DS25" s="231">
        <v>1660</v>
      </c>
      <c r="DT25" s="231">
        <v>1680</v>
      </c>
      <c r="DU25" s="228">
        <v>0.56999999999999995</v>
      </c>
      <c r="DV25" s="228">
        <v>0.89</v>
      </c>
      <c r="DW25" s="228">
        <v>-0.32</v>
      </c>
      <c r="DX25" s="229">
        <v>-0.35959999999999998</v>
      </c>
      <c r="DY25" s="229">
        <v>0.64349999999999996</v>
      </c>
      <c r="DZ25" s="230">
        <v>27000400</v>
      </c>
      <c r="EA25" s="229">
        <v>4.7000000000000002E-3</v>
      </c>
      <c r="EB25" s="229">
        <v>0.64349999999999996</v>
      </c>
      <c r="EC25" s="228">
        <v>7.65</v>
      </c>
      <c r="ED25" s="229">
        <v>4.5999999999999999E-3</v>
      </c>
      <c r="EE25" s="230">
        <v>3257960</v>
      </c>
      <c r="EF25" s="230">
        <v>3501888</v>
      </c>
      <c r="EG25" s="229">
        <v>-6.9699999999999998E-2</v>
      </c>
      <c r="EH25" s="229">
        <v>0.50180000000000002</v>
      </c>
      <c r="EI25" s="231">
        <v>1081589.1599999999</v>
      </c>
      <c r="EJ25" s="231">
        <v>593011.09</v>
      </c>
      <c r="EK25" s="231">
        <v>763782.98</v>
      </c>
      <c r="EL25" s="231">
        <v>64750</v>
      </c>
      <c r="EM25" s="231">
        <v>2438383.23</v>
      </c>
      <c r="EN25" s="231">
        <v>2324617.84</v>
      </c>
      <c r="EO25" s="231">
        <v>113765.39</v>
      </c>
      <c r="EP25" s="229">
        <v>4.8899999999999999E-2</v>
      </c>
      <c r="EQ25" s="231">
        <v>513977</v>
      </c>
      <c r="ER25" s="231">
        <v>292275</v>
      </c>
      <c r="ES25" s="231">
        <v>1194081</v>
      </c>
      <c r="ET25" s="231">
        <v>368703409</v>
      </c>
      <c r="EU25" s="231">
        <v>2000333</v>
      </c>
      <c r="EV25" s="231">
        <v>2003471</v>
      </c>
      <c r="EW25" s="231">
        <v>-3138</v>
      </c>
      <c r="EX25" s="229">
        <v>-1.6000000000000001E-3</v>
      </c>
      <c r="EY25" s="229">
        <v>0.32550000000000001</v>
      </c>
    </row>
    <row r="26" spans="1:155" ht="17.25" thickBot="1" x14ac:dyDescent="0.3">
      <c r="A26" s="226">
        <v>46044</v>
      </c>
      <c r="B26" s="227" t="s">
        <v>168</v>
      </c>
      <c r="C26" s="227" t="s">
        <v>242</v>
      </c>
      <c r="D26" s="228">
        <v>325.25</v>
      </c>
      <c r="E26" s="228">
        <v>324.85000000000002</v>
      </c>
      <c r="F26" s="228">
        <v>0.4</v>
      </c>
      <c r="G26" s="229">
        <v>1.1999999999999999E-3</v>
      </c>
      <c r="H26" s="228">
        <v>324.85000000000002</v>
      </c>
      <c r="I26" s="228">
        <v>324.75</v>
      </c>
      <c r="J26" s="228">
        <v>0.1</v>
      </c>
      <c r="K26" s="229">
        <v>2.9999999999999997E-4</v>
      </c>
      <c r="L26" s="228">
        <v>325.25</v>
      </c>
      <c r="M26" s="228">
        <v>324.85000000000002</v>
      </c>
      <c r="N26" s="228">
        <v>0.4</v>
      </c>
      <c r="O26" s="229">
        <v>1.1999999999999999E-3</v>
      </c>
      <c r="P26" s="228">
        <v>326.05</v>
      </c>
      <c r="Q26" s="228">
        <v>325.7</v>
      </c>
      <c r="R26" s="228">
        <v>0.35</v>
      </c>
      <c r="S26" s="229">
        <v>1.1000000000000001E-3</v>
      </c>
      <c r="T26" s="228">
        <v>328.35</v>
      </c>
      <c r="U26" s="228">
        <v>327.75</v>
      </c>
      <c r="V26" s="228">
        <v>0.6</v>
      </c>
      <c r="W26" s="229">
        <v>1.8E-3</v>
      </c>
      <c r="X26" s="228">
        <v>0.4</v>
      </c>
      <c r="Y26" s="228">
        <v>0.1</v>
      </c>
      <c r="Z26" s="228">
        <v>0.3</v>
      </c>
      <c r="AA26" s="229">
        <v>1.1999999999999999E-3</v>
      </c>
      <c r="AB26" s="228">
        <v>0.4</v>
      </c>
      <c r="AC26" s="228">
        <v>0.1</v>
      </c>
      <c r="AD26" s="228">
        <v>0.3</v>
      </c>
      <c r="AE26" s="229">
        <v>1.1999999999999999E-3</v>
      </c>
      <c r="AF26" s="228">
        <v>1.2</v>
      </c>
      <c r="AG26" s="228">
        <v>0.95</v>
      </c>
      <c r="AH26" s="228">
        <v>0.25</v>
      </c>
      <c r="AI26" s="229">
        <v>3.7000000000000002E-3</v>
      </c>
      <c r="AJ26" s="228">
        <v>3.5</v>
      </c>
      <c r="AK26" s="228">
        <v>3</v>
      </c>
      <c r="AL26" s="228">
        <v>0.5</v>
      </c>
      <c r="AM26" s="229">
        <v>1.0800000000000001E-2</v>
      </c>
      <c r="AN26" s="228">
        <v>325.37</v>
      </c>
      <c r="AO26" s="228">
        <v>326.12</v>
      </c>
      <c r="AP26" s="228">
        <v>0</v>
      </c>
      <c r="AQ26" s="230">
        <v>59890</v>
      </c>
      <c r="AR26" s="230">
        <v>38552</v>
      </c>
      <c r="AS26" s="230">
        <v>21338</v>
      </c>
      <c r="AT26" s="229">
        <v>0.55349999999999999</v>
      </c>
      <c r="AU26" s="230">
        <v>31301</v>
      </c>
      <c r="AV26" s="230">
        <v>22655</v>
      </c>
      <c r="AW26" s="230">
        <v>8646</v>
      </c>
      <c r="AX26" s="229">
        <v>0.38159999999999999</v>
      </c>
      <c r="AY26" s="230">
        <v>27756</v>
      </c>
      <c r="AZ26" s="230">
        <v>15245</v>
      </c>
      <c r="BA26" s="230">
        <v>12511</v>
      </c>
      <c r="BB26" s="229">
        <v>0.82069999999999999</v>
      </c>
      <c r="BC26" s="228">
        <v>833</v>
      </c>
      <c r="BD26" s="228">
        <v>652</v>
      </c>
      <c r="BE26" s="228">
        <v>181</v>
      </c>
      <c r="BF26" s="229">
        <v>0.27760000000000001</v>
      </c>
      <c r="BG26" s="230">
        <v>155239</v>
      </c>
      <c r="BH26" s="230">
        <v>155881</v>
      </c>
      <c r="BI26" s="228">
        <v>-642</v>
      </c>
      <c r="BJ26" s="229">
        <v>-4.1000000000000003E-3</v>
      </c>
      <c r="BK26" s="230">
        <v>106958</v>
      </c>
      <c r="BL26" s="230">
        <v>78660</v>
      </c>
      <c r="BM26" s="230">
        <v>28298</v>
      </c>
      <c r="BN26" s="229">
        <v>0.35980000000000001</v>
      </c>
      <c r="BO26" s="230">
        <v>322087</v>
      </c>
      <c r="BP26" s="230">
        <v>273093</v>
      </c>
      <c r="BQ26" s="230">
        <v>48994</v>
      </c>
      <c r="BR26" s="229">
        <v>0.1794</v>
      </c>
      <c r="BS26" s="230">
        <v>19376312</v>
      </c>
      <c r="BT26" s="230">
        <v>15479938</v>
      </c>
      <c r="BU26" s="230">
        <v>3896374</v>
      </c>
      <c r="BV26" s="229">
        <v>0.25169999999999998</v>
      </c>
      <c r="BW26" s="230">
        <v>238308800</v>
      </c>
      <c r="BX26" s="230">
        <v>249748800</v>
      </c>
      <c r="BY26" s="230">
        <v>-11440000</v>
      </c>
      <c r="BZ26" s="229">
        <v>-4.58E-2</v>
      </c>
      <c r="CA26" s="230">
        <v>148833600</v>
      </c>
      <c r="CB26" s="230">
        <v>180843200</v>
      </c>
      <c r="CC26" s="230">
        <v>-32009600</v>
      </c>
      <c r="CD26" s="229">
        <v>-0.17699999999999999</v>
      </c>
      <c r="CE26" s="230">
        <v>80040000</v>
      </c>
      <c r="CF26" s="230">
        <v>59881600</v>
      </c>
      <c r="CG26" s="230">
        <v>20158400</v>
      </c>
      <c r="CH26" s="229">
        <v>0.33660000000000001</v>
      </c>
      <c r="CI26" s="230">
        <v>9435200</v>
      </c>
      <c r="CJ26" s="230">
        <v>9024000</v>
      </c>
      <c r="CK26" s="230">
        <v>411200</v>
      </c>
      <c r="CL26" s="229">
        <v>4.5600000000000002E-2</v>
      </c>
      <c r="CM26" s="230">
        <v>292944000</v>
      </c>
      <c r="CN26" s="230">
        <v>309920000</v>
      </c>
      <c r="CO26" s="230">
        <v>-16976000</v>
      </c>
      <c r="CP26" s="229">
        <v>-5.4800000000000001E-2</v>
      </c>
      <c r="CQ26" s="230">
        <v>117958400</v>
      </c>
      <c r="CR26" s="230">
        <v>118017600</v>
      </c>
      <c r="CS26" s="230">
        <v>-59200</v>
      </c>
      <c r="CT26" s="229">
        <v>-5.0000000000000001E-4</v>
      </c>
      <c r="CU26" s="230">
        <v>649211200</v>
      </c>
      <c r="CV26" s="230">
        <v>677686400</v>
      </c>
      <c r="CW26" s="230">
        <v>-28475200</v>
      </c>
      <c r="CX26" s="229">
        <v>-4.2000000000000003E-2</v>
      </c>
      <c r="CY26" s="228">
        <v>27.25</v>
      </c>
      <c r="CZ26" s="228">
        <v>22.9</v>
      </c>
      <c r="DA26" s="228">
        <v>4.3499999999999996</v>
      </c>
      <c r="DB26" s="228">
        <v>4.3499999999999996</v>
      </c>
      <c r="DC26" s="228">
        <v>23.21</v>
      </c>
      <c r="DD26" s="228">
        <v>23.27</v>
      </c>
      <c r="DE26" s="228">
        <v>4.04</v>
      </c>
      <c r="DF26" s="228">
        <v>-0.06</v>
      </c>
      <c r="DG26" s="228">
        <v>27.45</v>
      </c>
      <c r="DH26" s="228">
        <v>23.86</v>
      </c>
      <c r="DI26" s="228">
        <v>3.59</v>
      </c>
      <c r="DJ26" s="228">
        <v>3.59</v>
      </c>
      <c r="DK26" s="228">
        <v>26.99</v>
      </c>
      <c r="DL26" s="228">
        <v>21</v>
      </c>
      <c r="DM26" s="228">
        <v>5.99</v>
      </c>
      <c r="DN26" s="228">
        <v>5.99</v>
      </c>
      <c r="DO26" s="228">
        <v>0.4</v>
      </c>
      <c r="DP26" s="228">
        <v>0.38</v>
      </c>
      <c r="DQ26" s="228">
        <v>0.02</v>
      </c>
      <c r="DR26" s="229">
        <v>5.2600000000000001E-2</v>
      </c>
      <c r="DS26" s="228">
        <v>350</v>
      </c>
      <c r="DT26" s="228">
        <v>350</v>
      </c>
      <c r="DU26" s="228">
        <v>0.69</v>
      </c>
      <c r="DV26" s="228">
        <v>0.5</v>
      </c>
      <c r="DW26" s="228">
        <v>0.19</v>
      </c>
      <c r="DX26" s="229">
        <v>0.38</v>
      </c>
      <c r="DY26" s="229">
        <v>0.3755</v>
      </c>
      <c r="DZ26" s="230">
        <v>68905600</v>
      </c>
      <c r="EA26" s="229">
        <v>2.5000000000000001E-3</v>
      </c>
      <c r="EB26" s="229">
        <v>0.3755</v>
      </c>
      <c r="EC26" s="228">
        <v>0.75</v>
      </c>
      <c r="ED26" s="229">
        <v>2.3E-3</v>
      </c>
      <c r="EE26" s="230">
        <v>10973099</v>
      </c>
      <c r="EF26" s="230">
        <v>8733648</v>
      </c>
      <c r="EG26" s="229">
        <v>0.25640000000000002</v>
      </c>
      <c r="EH26" s="229">
        <v>0.56630000000000003</v>
      </c>
      <c r="EI26" s="231">
        <v>854855.09</v>
      </c>
      <c r="EJ26" s="231">
        <v>559877.69999999995</v>
      </c>
      <c r="EK26" s="231">
        <v>312159.34000000003</v>
      </c>
      <c r="EL26" s="231">
        <v>26042</v>
      </c>
      <c r="EM26" s="231">
        <v>1726892.13</v>
      </c>
      <c r="EN26" s="231">
        <v>1487250.14</v>
      </c>
      <c r="EO26" s="231">
        <v>239641.99</v>
      </c>
      <c r="EP26" s="229">
        <v>0.16109999999999999</v>
      </c>
      <c r="EQ26" s="231">
        <v>1073602</v>
      </c>
      <c r="ER26" s="231">
        <v>409747</v>
      </c>
      <c r="ES26" s="231">
        <v>776032</v>
      </c>
      <c r="ET26" s="231">
        <v>1252401670</v>
      </c>
      <c r="EU26" s="231">
        <v>2259382</v>
      </c>
      <c r="EV26" s="231">
        <v>2361779</v>
      </c>
      <c r="EW26" s="231">
        <v>-102397</v>
      </c>
      <c r="EX26" s="229">
        <v>-4.3400000000000001E-2</v>
      </c>
      <c r="EY26" s="229">
        <v>0.51839999999999997</v>
      </c>
    </row>
    <row r="27" spans="1:155" ht="17.25" thickBot="1" x14ac:dyDescent="0.3">
      <c r="A27" s="226">
        <v>46044</v>
      </c>
      <c r="B27" s="227" t="s">
        <v>175</v>
      </c>
      <c r="C27" s="227" t="s">
        <v>570</v>
      </c>
      <c r="D27" s="228">
        <v>263.35000000000002</v>
      </c>
      <c r="E27" s="228">
        <v>263.7</v>
      </c>
      <c r="F27" s="228">
        <v>-0.35</v>
      </c>
      <c r="G27" s="229">
        <v>-1.2999999999999999E-3</v>
      </c>
      <c r="H27" s="228">
        <v>262.60000000000002</v>
      </c>
      <c r="I27" s="228">
        <v>263.25</v>
      </c>
      <c r="J27" s="228">
        <v>-0.65</v>
      </c>
      <c r="K27" s="229">
        <v>-2.5000000000000001E-3</v>
      </c>
      <c r="L27" s="228">
        <v>263.35000000000002</v>
      </c>
      <c r="M27" s="228">
        <v>263.7</v>
      </c>
      <c r="N27" s="228">
        <v>-0.35</v>
      </c>
      <c r="O27" s="229">
        <v>-1.2999999999999999E-3</v>
      </c>
      <c r="P27" s="228">
        <v>264.7</v>
      </c>
      <c r="Q27" s="228">
        <v>265.14999999999998</v>
      </c>
      <c r="R27" s="228">
        <v>-0.45</v>
      </c>
      <c r="S27" s="229">
        <v>-1.6999999999999999E-3</v>
      </c>
      <c r="T27" s="228">
        <v>266.45</v>
      </c>
      <c r="U27" s="228">
        <v>266.85000000000002</v>
      </c>
      <c r="V27" s="228">
        <v>-0.4</v>
      </c>
      <c r="W27" s="229">
        <v>-1.5E-3</v>
      </c>
      <c r="X27" s="228">
        <v>0.75</v>
      </c>
      <c r="Y27" s="228">
        <v>0.45</v>
      </c>
      <c r="Z27" s="228">
        <v>0.3</v>
      </c>
      <c r="AA27" s="229">
        <v>2.8999999999999998E-3</v>
      </c>
      <c r="AB27" s="228">
        <v>0.75</v>
      </c>
      <c r="AC27" s="228">
        <v>0.45</v>
      </c>
      <c r="AD27" s="228">
        <v>0.3</v>
      </c>
      <c r="AE27" s="229">
        <v>2.8999999999999998E-3</v>
      </c>
      <c r="AF27" s="228">
        <v>2.1</v>
      </c>
      <c r="AG27" s="228">
        <v>1.9</v>
      </c>
      <c r="AH27" s="228">
        <v>0.2</v>
      </c>
      <c r="AI27" s="229">
        <v>8.0000000000000002E-3</v>
      </c>
      <c r="AJ27" s="228">
        <v>3.85</v>
      </c>
      <c r="AK27" s="228">
        <v>3.6</v>
      </c>
      <c r="AL27" s="228">
        <v>0.25</v>
      </c>
      <c r="AM27" s="229">
        <v>1.47E-2</v>
      </c>
      <c r="AN27" s="228">
        <v>263.41000000000003</v>
      </c>
      <c r="AO27" s="228">
        <v>264.89</v>
      </c>
      <c r="AP27" s="228">
        <v>0</v>
      </c>
      <c r="AQ27" s="230">
        <v>38495</v>
      </c>
      <c r="AR27" s="230">
        <v>26053</v>
      </c>
      <c r="AS27" s="230">
        <v>12442</v>
      </c>
      <c r="AT27" s="229">
        <v>0.47760000000000002</v>
      </c>
      <c r="AU27" s="230">
        <v>20589</v>
      </c>
      <c r="AV27" s="230">
        <v>14793</v>
      </c>
      <c r="AW27" s="230">
        <v>5796</v>
      </c>
      <c r="AX27" s="229">
        <v>0.39179999999999998</v>
      </c>
      <c r="AY27" s="230">
        <v>17507</v>
      </c>
      <c r="AZ27" s="230">
        <v>10621</v>
      </c>
      <c r="BA27" s="230">
        <v>6886</v>
      </c>
      <c r="BB27" s="229">
        <v>0.64829999999999999</v>
      </c>
      <c r="BC27" s="228">
        <v>399</v>
      </c>
      <c r="BD27" s="228">
        <v>639</v>
      </c>
      <c r="BE27" s="228">
        <v>-240</v>
      </c>
      <c r="BF27" s="229">
        <v>-0.37559999999999999</v>
      </c>
      <c r="BG27" s="230">
        <v>42889</v>
      </c>
      <c r="BH27" s="230">
        <v>59148</v>
      </c>
      <c r="BI27" s="230">
        <v>-16259</v>
      </c>
      <c r="BJ27" s="229">
        <v>-0.27489999999999998</v>
      </c>
      <c r="BK27" s="230">
        <v>24473</v>
      </c>
      <c r="BL27" s="230">
        <v>36485</v>
      </c>
      <c r="BM27" s="230">
        <v>-12012</v>
      </c>
      <c r="BN27" s="229">
        <v>-0.32919999999999999</v>
      </c>
      <c r="BO27" s="230">
        <v>105857</v>
      </c>
      <c r="BP27" s="230">
        <v>121686</v>
      </c>
      <c r="BQ27" s="230">
        <v>-15829</v>
      </c>
      <c r="BR27" s="229">
        <v>-0.13009999999999999</v>
      </c>
      <c r="BS27" s="230">
        <v>12789931</v>
      </c>
      <c r="BT27" s="230">
        <v>21228701</v>
      </c>
      <c r="BU27" s="230">
        <v>-8438770</v>
      </c>
      <c r="BV27" s="229">
        <v>-0.39750000000000002</v>
      </c>
      <c r="BW27" s="230">
        <v>167059150</v>
      </c>
      <c r="BX27" s="230">
        <v>164868950</v>
      </c>
      <c r="BY27" s="230">
        <v>2190200</v>
      </c>
      <c r="BZ27" s="229">
        <v>1.3299999999999999E-2</v>
      </c>
      <c r="CA27" s="230">
        <v>76078900</v>
      </c>
      <c r="CB27" s="230">
        <v>108617000</v>
      </c>
      <c r="CC27" s="230">
        <v>-32538100</v>
      </c>
      <c r="CD27" s="229">
        <v>-0.29959999999999998</v>
      </c>
      <c r="CE27" s="230">
        <v>86162750</v>
      </c>
      <c r="CF27" s="230">
        <v>51857450</v>
      </c>
      <c r="CG27" s="230">
        <v>34305300</v>
      </c>
      <c r="CH27" s="229">
        <v>0.66149999999999998</v>
      </c>
      <c r="CI27" s="230">
        <v>4817500</v>
      </c>
      <c r="CJ27" s="230">
        <v>4394500</v>
      </c>
      <c r="CK27" s="230">
        <v>423000</v>
      </c>
      <c r="CL27" s="229">
        <v>9.6299999999999997E-2</v>
      </c>
      <c r="CM27" s="230">
        <v>96568550</v>
      </c>
      <c r="CN27" s="230">
        <v>96657850</v>
      </c>
      <c r="CO27" s="230">
        <v>-89300</v>
      </c>
      <c r="CP27" s="229">
        <v>-8.9999999999999998E-4</v>
      </c>
      <c r="CQ27" s="230">
        <v>58841650</v>
      </c>
      <c r="CR27" s="230">
        <v>59986100</v>
      </c>
      <c r="CS27" s="230">
        <v>-1144450</v>
      </c>
      <c r="CT27" s="229">
        <v>-1.9099999999999999E-2</v>
      </c>
      <c r="CU27" s="230">
        <v>322469350</v>
      </c>
      <c r="CV27" s="230">
        <v>321512900</v>
      </c>
      <c r="CW27" s="230">
        <v>956450</v>
      </c>
      <c r="CX27" s="229">
        <v>3.0000000000000001E-3</v>
      </c>
      <c r="CY27" s="228">
        <v>31.15</v>
      </c>
      <c r="CZ27" s="228">
        <v>32.65</v>
      </c>
      <c r="DA27" s="228">
        <v>-1.5</v>
      </c>
      <c r="DB27" s="228">
        <v>-1.5</v>
      </c>
      <c r="DC27" s="228">
        <v>33.729999999999997</v>
      </c>
      <c r="DD27" s="228">
        <v>33.81</v>
      </c>
      <c r="DE27" s="228">
        <v>-2.58</v>
      </c>
      <c r="DF27" s="228">
        <v>-0.08</v>
      </c>
      <c r="DG27" s="228">
        <v>31.07</v>
      </c>
      <c r="DH27" s="228">
        <v>33.659999999999997</v>
      </c>
      <c r="DI27" s="228">
        <v>-2.59</v>
      </c>
      <c r="DJ27" s="228">
        <v>-2.59</v>
      </c>
      <c r="DK27" s="228">
        <v>31.28</v>
      </c>
      <c r="DL27" s="228">
        <v>31</v>
      </c>
      <c r="DM27" s="228">
        <v>0.28000000000000003</v>
      </c>
      <c r="DN27" s="228">
        <v>0.28000000000000003</v>
      </c>
      <c r="DO27" s="228">
        <v>0.61</v>
      </c>
      <c r="DP27" s="228">
        <v>0.62</v>
      </c>
      <c r="DQ27" s="228">
        <v>-0.01</v>
      </c>
      <c r="DR27" s="229">
        <v>-1.61E-2</v>
      </c>
      <c r="DS27" s="228">
        <v>300</v>
      </c>
      <c r="DT27" s="228">
        <v>270</v>
      </c>
      <c r="DU27" s="228">
        <v>0.56999999999999995</v>
      </c>
      <c r="DV27" s="228">
        <v>0.62</v>
      </c>
      <c r="DW27" s="228">
        <v>-0.05</v>
      </c>
      <c r="DX27" s="229">
        <v>-8.0600000000000005E-2</v>
      </c>
      <c r="DY27" s="229">
        <v>0.54459999999999997</v>
      </c>
      <c r="DZ27" s="230">
        <v>56251950</v>
      </c>
      <c r="EA27" s="229">
        <v>5.1000000000000004E-3</v>
      </c>
      <c r="EB27" s="229">
        <v>0.54459999999999997</v>
      </c>
      <c r="EC27" s="228">
        <v>1.48</v>
      </c>
      <c r="ED27" s="229">
        <v>5.5999999999999999E-3</v>
      </c>
      <c r="EE27" s="230">
        <v>5862176</v>
      </c>
      <c r="EF27" s="230">
        <v>7225925</v>
      </c>
      <c r="EG27" s="229">
        <v>-0.18870000000000001</v>
      </c>
      <c r="EH27" s="229">
        <v>0.45829999999999999</v>
      </c>
      <c r="EI27" s="231">
        <v>286428.32</v>
      </c>
      <c r="EJ27" s="231">
        <v>160423.73000000001</v>
      </c>
      <c r="EK27" s="231">
        <v>238929.68</v>
      </c>
      <c r="EL27" s="231">
        <v>20019</v>
      </c>
      <c r="EM27" s="231">
        <v>685781.73</v>
      </c>
      <c r="EN27" s="231">
        <v>791368.5</v>
      </c>
      <c r="EO27" s="231">
        <v>-105586.77</v>
      </c>
      <c r="EP27" s="229">
        <v>-0.13339999999999999</v>
      </c>
      <c r="EQ27" s="231">
        <v>289787</v>
      </c>
      <c r="ER27" s="231">
        <v>168322</v>
      </c>
      <c r="ES27" s="231">
        <v>441263</v>
      </c>
      <c r="ET27" s="231">
        <v>355358091</v>
      </c>
      <c r="EU27" s="231">
        <v>899371</v>
      </c>
      <c r="EV27" s="231">
        <v>898370</v>
      </c>
      <c r="EW27" s="231">
        <v>1001</v>
      </c>
      <c r="EX27" s="229">
        <v>1.1000000000000001E-3</v>
      </c>
      <c r="EY27" s="229">
        <v>0.90739999999999998</v>
      </c>
    </row>
    <row r="28" spans="1:155" ht="17.25" thickBot="1" x14ac:dyDescent="0.3">
      <c r="A28" s="226">
        <v>46044</v>
      </c>
      <c r="B28" s="227" t="s">
        <v>227</v>
      </c>
      <c r="C28" s="227" t="s">
        <v>244</v>
      </c>
      <c r="D28" s="231">
        <v>1187</v>
      </c>
      <c r="E28" s="231">
        <v>1173.8</v>
      </c>
      <c r="F28" s="228">
        <v>13.2</v>
      </c>
      <c r="G28" s="229">
        <v>1.12E-2</v>
      </c>
      <c r="H28" s="231">
        <v>1184.4000000000001</v>
      </c>
      <c r="I28" s="231">
        <v>1174.5999999999999</v>
      </c>
      <c r="J28" s="228">
        <v>9.8000000000000007</v>
      </c>
      <c r="K28" s="229">
        <v>8.3000000000000001E-3</v>
      </c>
      <c r="L28" s="231">
        <v>1187</v>
      </c>
      <c r="M28" s="231">
        <v>1173.8</v>
      </c>
      <c r="N28" s="228">
        <v>13.2</v>
      </c>
      <c r="O28" s="229">
        <v>1.12E-2</v>
      </c>
      <c r="P28" s="231">
        <v>1193.2</v>
      </c>
      <c r="Q28" s="231">
        <v>1180.0999999999999</v>
      </c>
      <c r="R28" s="228">
        <v>13.1</v>
      </c>
      <c r="S28" s="229">
        <v>1.11E-2</v>
      </c>
      <c r="T28" s="231">
        <v>1201.0999999999999</v>
      </c>
      <c r="U28" s="231">
        <v>1187.2</v>
      </c>
      <c r="V28" s="228">
        <v>13.9</v>
      </c>
      <c r="W28" s="229">
        <v>1.17E-2</v>
      </c>
      <c r="X28" s="228">
        <v>2.6</v>
      </c>
      <c r="Y28" s="228">
        <v>-0.8</v>
      </c>
      <c r="Z28" s="228">
        <v>3.4</v>
      </c>
      <c r="AA28" s="229">
        <v>2.2000000000000001E-3</v>
      </c>
      <c r="AB28" s="228">
        <v>2.6</v>
      </c>
      <c r="AC28" s="228">
        <v>-0.8</v>
      </c>
      <c r="AD28" s="228">
        <v>3.4</v>
      </c>
      <c r="AE28" s="229">
        <v>2.2000000000000001E-3</v>
      </c>
      <c r="AF28" s="228">
        <v>8.8000000000000007</v>
      </c>
      <c r="AG28" s="228">
        <v>5.5</v>
      </c>
      <c r="AH28" s="228">
        <v>3.3</v>
      </c>
      <c r="AI28" s="229">
        <v>7.4000000000000003E-3</v>
      </c>
      <c r="AJ28" s="228">
        <v>16.7</v>
      </c>
      <c r="AK28" s="228">
        <v>12.6</v>
      </c>
      <c r="AL28" s="228">
        <v>4.0999999999999996</v>
      </c>
      <c r="AM28" s="229">
        <v>1.41E-2</v>
      </c>
      <c r="AN28" s="231">
        <v>1183.79</v>
      </c>
      <c r="AO28" s="231">
        <v>1190.1199999999999</v>
      </c>
      <c r="AP28" s="228">
        <v>0</v>
      </c>
      <c r="AQ28" s="230">
        <v>44067</v>
      </c>
      <c r="AR28" s="230">
        <v>35582</v>
      </c>
      <c r="AS28" s="230">
        <v>8485</v>
      </c>
      <c r="AT28" s="229">
        <v>0.23849999999999999</v>
      </c>
      <c r="AU28" s="230">
        <v>22471</v>
      </c>
      <c r="AV28" s="230">
        <v>18668</v>
      </c>
      <c r="AW28" s="230">
        <v>3803</v>
      </c>
      <c r="AX28" s="229">
        <v>0.20369999999999999</v>
      </c>
      <c r="AY28" s="230">
        <v>21522</v>
      </c>
      <c r="AZ28" s="230">
        <v>16883</v>
      </c>
      <c r="BA28" s="230">
        <v>4639</v>
      </c>
      <c r="BB28" s="229">
        <v>0.27479999999999999</v>
      </c>
      <c r="BC28" s="228">
        <v>74</v>
      </c>
      <c r="BD28" s="228">
        <v>31</v>
      </c>
      <c r="BE28" s="228">
        <v>43</v>
      </c>
      <c r="BF28" s="229">
        <v>1.3871</v>
      </c>
      <c r="BG28" s="230">
        <v>19322</v>
      </c>
      <c r="BH28" s="230">
        <v>16771</v>
      </c>
      <c r="BI28" s="230">
        <v>2551</v>
      </c>
      <c r="BJ28" s="229">
        <v>0.15210000000000001</v>
      </c>
      <c r="BK28" s="230">
        <v>9606</v>
      </c>
      <c r="BL28" s="230">
        <v>9945</v>
      </c>
      <c r="BM28" s="228">
        <v>-339</v>
      </c>
      <c r="BN28" s="229">
        <v>-3.4099999999999998E-2</v>
      </c>
      <c r="BO28" s="230">
        <v>72995</v>
      </c>
      <c r="BP28" s="230">
        <v>62298</v>
      </c>
      <c r="BQ28" s="230">
        <v>10697</v>
      </c>
      <c r="BR28" s="229">
        <v>0.17169999999999999</v>
      </c>
      <c r="BS28" s="230">
        <v>1456291</v>
      </c>
      <c r="BT28" s="230">
        <v>1429457</v>
      </c>
      <c r="BU28" s="230">
        <v>26834</v>
      </c>
      <c r="BV28" s="229">
        <v>1.8800000000000001E-2</v>
      </c>
      <c r="BW28" s="230">
        <v>50118075</v>
      </c>
      <c r="BX28" s="230">
        <v>49801500</v>
      </c>
      <c r="BY28" s="230">
        <v>316575</v>
      </c>
      <c r="BZ28" s="229">
        <v>6.4000000000000003E-3</v>
      </c>
      <c r="CA28" s="230">
        <v>20731950</v>
      </c>
      <c r="CB28" s="230">
        <v>33991650</v>
      </c>
      <c r="CC28" s="230">
        <v>-13259700</v>
      </c>
      <c r="CD28" s="229">
        <v>-0.3901</v>
      </c>
      <c r="CE28" s="230">
        <v>29199825</v>
      </c>
      <c r="CF28" s="230">
        <v>15652575</v>
      </c>
      <c r="CG28" s="230">
        <v>13547250</v>
      </c>
      <c r="CH28" s="229">
        <v>0.86550000000000005</v>
      </c>
      <c r="CI28" s="230">
        <v>186300</v>
      </c>
      <c r="CJ28" s="230">
        <v>157275</v>
      </c>
      <c r="CK28" s="230">
        <v>29025</v>
      </c>
      <c r="CL28" s="229">
        <v>0.1845</v>
      </c>
      <c r="CM28" s="230">
        <v>7013925</v>
      </c>
      <c r="CN28" s="230">
        <v>7211025</v>
      </c>
      <c r="CO28" s="230">
        <v>-197100</v>
      </c>
      <c r="CP28" s="229">
        <v>-2.7300000000000001E-2</v>
      </c>
      <c r="CQ28" s="230">
        <v>6488775</v>
      </c>
      <c r="CR28" s="230">
        <v>6421275</v>
      </c>
      <c r="CS28" s="230">
        <v>67500</v>
      </c>
      <c r="CT28" s="229">
        <v>1.0500000000000001E-2</v>
      </c>
      <c r="CU28" s="230">
        <v>63620775</v>
      </c>
      <c r="CV28" s="230">
        <v>63433800</v>
      </c>
      <c r="CW28" s="230">
        <v>186975</v>
      </c>
      <c r="CX28" s="229">
        <v>2.8999999999999998E-3</v>
      </c>
      <c r="CY28" s="228">
        <v>26.19</v>
      </c>
      <c r="CZ28" s="228">
        <v>27.6</v>
      </c>
      <c r="DA28" s="228">
        <v>-1.41</v>
      </c>
      <c r="DB28" s="228">
        <v>-1.41</v>
      </c>
      <c r="DC28" s="228">
        <v>29.15</v>
      </c>
      <c r="DD28" s="228">
        <v>29.18</v>
      </c>
      <c r="DE28" s="228">
        <v>-2.96</v>
      </c>
      <c r="DF28" s="228">
        <v>-0.03</v>
      </c>
      <c r="DG28" s="228">
        <v>26.04</v>
      </c>
      <c r="DH28" s="228">
        <v>27.58</v>
      </c>
      <c r="DI28" s="228">
        <v>-1.54</v>
      </c>
      <c r="DJ28" s="228">
        <v>-1.54</v>
      </c>
      <c r="DK28" s="228">
        <v>26.47</v>
      </c>
      <c r="DL28" s="228">
        <v>27.64</v>
      </c>
      <c r="DM28" s="228">
        <v>-1.17</v>
      </c>
      <c r="DN28" s="228">
        <v>-1.17</v>
      </c>
      <c r="DO28" s="228">
        <v>0.93</v>
      </c>
      <c r="DP28" s="228">
        <v>0.89</v>
      </c>
      <c r="DQ28" s="228">
        <v>0.04</v>
      </c>
      <c r="DR28" s="229">
        <v>4.4900000000000002E-2</v>
      </c>
      <c r="DS28" s="231">
        <v>1200</v>
      </c>
      <c r="DT28" s="231">
        <v>1100</v>
      </c>
      <c r="DU28" s="228">
        <v>0.5</v>
      </c>
      <c r="DV28" s="228">
        <v>0.59</v>
      </c>
      <c r="DW28" s="228">
        <v>-0.09</v>
      </c>
      <c r="DX28" s="229">
        <v>-0.1525</v>
      </c>
      <c r="DY28" s="229">
        <v>0.58630000000000004</v>
      </c>
      <c r="DZ28" s="230">
        <v>15809850</v>
      </c>
      <c r="EA28" s="229">
        <v>5.1999999999999998E-3</v>
      </c>
      <c r="EB28" s="229">
        <v>0.58630000000000004</v>
      </c>
      <c r="EC28" s="228">
        <v>6.33</v>
      </c>
      <c r="ED28" s="229">
        <v>5.3E-3</v>
      </c>
      <c r="EE28" s="230">
        <v>692935</v>
      </c>
      <c r="EF28" s="230">
        <v>599874</v>
      </c>
      <c r="EG28" s="229">
        <v>0.15509999999999999</v>
      </c>
      <c r="EH28" s="229">
        <v>0.4758</v>
      </c>
      <c r="EI28" s="231">
        <v>158726.79</v>
      </c>
      <c r="EJ28" s="231">
        <v>75476.47</v>
      </c>
      <c r="EK28" s="231">
        <v>353046.06</v>
      </c>
      <c r="EL28" s="231">
        <v>15981</v>
      </c>
      <c r="EM28" s="231">
        <v>587249.31999999995</v>
      </c>
      <c r="EN28" s="231">
        <v>496327.84</v>
      </c>
      <c r="EO28" s="231">
        <v>90921.48</v>
      </c>
      <c r="EP28" s="229">
        <v>0.1832</v>
      </c>
      <c r="EQ28" s="231">
        <v>84142</v>
      </c>
      <c r="ER28" s="231">
        <v>72273</v>
      </c>
      <c r="ES28" s="231">
        <v>596738</v>
      </c>
      <c r="ET28" s="231">
        <v>133434355</v>
      </c>
      <c r="EU28" s="231">
        <v>753153</v>
      </c>
      <c r="EV28" s="231">
        <v>743484</v>
      </c>
      <c r="EW28" s="231">
        <v>9669</v>
      </c>
      <c r="EX28" s="229">
        <v>1.2999999999999999E-2</v>
      </c>
      <c r="EY28" s="229">
        <v>0.4768</v>
      </c>
    </row>
    <row r="29" spans="1:155" ht="17.25" thickBot="1" x14ac:dyDescent="0.3">
      <c r="A29" s="226">
        <v>46044</v>
      </c>
      <c r="B29" s="227" t="s">
        <v>172</v>
      </c>
      <c r="C29" s="227" t="s">
        <v>246</v>
      </c>
      <c r="D29" s="228">
        <v>426.2</v>
      </c>
      <c r="E29" s="228">
        <v>422.1</v>
      </c>
      <c r="F29" s="228">
        <v>4.0999999999999996</v>
      </c>
      <c r="G29" s="229">
        <v>9.7000000000000003E-3</v>
      </c>
      <c r="H29" s="228">
        <v>426</v>
      </c>
      <c r="I29" s="228">
        <v>421.6</v>
      </c>
      <c r="J29" s="228">
        <v>4.4000000000000004</v>
      </c>
      <c r="K29" s="229">
        <v>1.04E-2</v>
      </c>
      <c r="L29" s="228">
        <v>426.2</v>
      </c>
      <c r="M29" s="228">
        <v>422.1</v>
      </c>
      <c r="N29" s="228">
        <v>4.0999999999999996</v>
      </c>
      <c r="O29" s="229">
        <v>9.7000000000000003E-3</v>
      </c>
      <c r="P29" s="228">
        <v>428.5</v>
      </c>
      <c r="Q29" s="228">
        <v>424.5</v>
      </c>
      <c r="R29" s="228">
        <v>4</v>
      </c>
      <c r="S29" s="229">
        <v>9.4000000000000004E-3</v>
      </c>
      <c r="T29" s="228">
        <v>431.5</v>
      </c>
      <c r="U29" s="228">
        <v>427</v>
      </c>
      <c r="V29" s="228">
        <v>4.5</v>
      </c>
      <c r="W29" s="229">
        <v>1.0500000000000001E-2</v>
      </c>
      <c r="X29" s="228">
        <v>0.2</v>
      </c>
      <c r="Y29" s="228">
        <v>0.5</v>
      </c>
      <c r="Z29" s="228">
        <v>-0.3</v>
      </c>
      <c r="AA29" s="229">
        <v>5.0000000000000001E-4</v>
      </c>
      <c r="AB29" s="228">
        <v>0.2</v>
      </c>
      <c r="AC29" s="228">
        <v>0.5</v>
      </c>
      <c r="AD29" s="228">
        <v>-0.3</v>
      </c>
      <c r="AE29" s="229">
        <v>5.0000000000000001E-4</v>
      </c>
      <c r="AF29" s="228">
        <v>2.5</v>
      </c>
      <c r="AG29" s="228">
        <v>2.9</v>
      </c>
      <c r="AH29" s="228">
        <v>-0.4</v>
      </c>
      <c r="AI29" s="229">
        <v>5.8999999999999999E-3</v>
      </c>
      <c r="AJ29" s="228">
        <v>5.5</v>
      </c>
      <c r="AK29" s="228">
        <v>5.4</v>
      </c>
      <c r="AL29" s="228">
        <v>0.1</v>
      </c>
      <c r="AM29" s="229">
        <v>1.29E-2</v>
      </c>
      <c r="AN29" s="228">
        <v>424.83</v>
      </c>
      <c r="AO29" s="228">
        <v>427.08</v>
      </c>
      <c r="AP29" s="228">
        <v>0</v>
      </c>
      <c r="AQ29" s="230">
        <v>51693</v>
      </c>
      <c r="AR29" s="230">
        <v>55453</v>
      </c>
      <c r="AS29" s="230">
        <v>-3760</v>
      </c>
      <c r="AT29" s="229">
        <v>-6.7799999999999999E-2</v>
      </c>
      <c r="AU29" s="230">
        <v>26929</v>
      </c>
      <c r="AV29" s="230">
        <v>28192</v>
      </c>
      <c r="AW29" s="230">
        <v>-1263</v>
      </c>
      <c r="AX29" s="229">
        <v>-4.48E-2</v>
      </c>
      <c r="AY29" s="230">
        <v>24705</v>
      </c>
      <c r="AZ29" s="230">
        <v>27076</v>
      </c>
      <c r="BA29" s="230">
        <v>-2371</v>
      </c>
      <c r="BB29" s="229">
        <v>-8.7599999999999997E-2</v>
      </c>
      <c r="BC29" s="228">
        <v>59</v>
      </c>
      <c r="BD29" s="228">
        <v>185</v>
      </c>
      <c r="BE29" s="228">
        <v>-126</v>
      </c>
      <c r="BF29" s="229">
        <v>-0.68110000000000004</v>
      </c>
      <c r="BG29" s="230">
        <v>16950</v>
      </c>
      <c r="BH29" s="230">
        <v>21251</v>
      </c>
      <c r="BI29" s="230">
        <v>-4301</v>
      </c>
      <c r="BJ29" s="229">
        <v>-0.2024</v>
      </c>
      <c r="BK29" s="230">
        <v>10828</v>
      </c>
      <c r="BL29" s="230">
        <v>11653</v>
      </c>
      <c r="BM29" s="228">
        <v>-825</v>
      </c>
      <c r="BN29" s="229">
        <v>-7.0800000000000002E-2</v>
      </c>
      <c r="BO29" s="230">
        <v>79471</v>
      </c>
      <c r="BP29" s="230">
        <v>88357</v>
      </c>
      <c r="BQ29" s="230">
        <v>-8886</v>
      </c>
      <c r="BR29" s="229">
        <v>-0.10059999999999999</v>
      </c>
      <c r="BS29" s="230">
        <v>10216457</v>
      </c>
      <c r="BT29" s="230">
        <v>16518854</v>
      </c>
      <c r="BU29" s="230">
        <v>-6302397</v>
      </c>
      <c r="BV29" s="229">
        <v>-0.38150000000000001</v>
      </c>
      <c r="BW29" s="230">
        <v>196264000</v>
      </c>
      <c r="BX29" s="230">
        <v>196042000</v>
      </c>
      <c r="BY29" s="230">
        <v>222000</v>
      </c>
      <c r="BZ29" s="229">
        <v>1.1000000000000001E-3</v>
      </c>
      <c r="CA29" s="230">
        <v>67000000</v>
      </c>
      <c r="CB29" s="230">
        <v>110034000</v>
      </c>
      <c r="CC29" s="230">
        <v>-43034000</v>
      </c>
      <c r="CD29" s="229">
        <v>-0.3911</v>
      </c>
      <c r="CE29" s="230">
        <v>118718000</v>
      </c>
      <c r="CF29" s="230">
        <v>75508000</v>
      </c>
      <c r="CG29" s="230">
        <v>43210000</v>
      </c>
      <c r="CH29" s="229">
        <v>0.57230000000000003</v>
      </c>
      <c r="CI29" s="230">
        <v>10546000</v>
      </c>
      <c r="CJ29" s="230">
        <v>10500000</v>
      </c>
      <c r="CK29" s="230">
        <v>46000</v>
      </c>
      <c r="CL29" s="229">
        <v>4.4000000000000003E-3</v>
      </c>
      <c r="CM29" s="230">
        <v>43444000</v>
      </c>
      <c r="CN29" s="230">
        <v>44418000</v>
      </c>
      <c r="CO29" s="230">
        <v>-974000</v>
      </c>
      <c r="CP29" s="229">
        <v>-2.1899999999999999E-2</v>
      </c>
      <c r="CQ29" s="230">
        <v>27416000</v>
      </c>
      <c r="CR29" s="230">
        <v>28536000</v>
      </c>
      <c r="CS29" s="230">
        <v>-1120000</v>
      </c>
      <c r="CT29" s="229">
        <v>-3.9199999999999999E-2</v>
      </c>
      <c r="CU29" s="230">
        <v>267124000</v>
      </c>
      <c r="CV29" s="230">
        <v>268996000</v>
      </c>
      <c r="CW29" s="230">
        <v>-1872000</v>
      </c>
      <c r="CX29" s="229">
        <v>-7.0000000000000001E-3</v>
      </c>
      <c r="CY29" s="228">
        <v>24.22</v>
      </c>
      <c r="CZ29" s="228">
        <v>30.28</v>
      </c>
      <c r="DA29" s="228">
        <v>-6.06</v>
      </c>
      <c r="DB29" s="228">
        <v>-6.06</v>
      </c>
      <c r="DC29" s="228">
        <v>25.03</v>
      </c>
      <c r="DD29" s="228">
        <v>25.05</v>
      </c>
      <c r="DE29" s="228">
        <v>-0.81</v>
      </c>
      <c r="DF29" s="228">
        <v>-0.02</v>
      </c>
      <c r="DG29" s="228">
        <v>23.47</v>
      </c>
      <c r="DH29" s="228">
        <v>30.24</v>
      </c>
      <c r="DI29" s="228">
        <v>-6.77</v>
      </c>
      <c r="DJ29" s="228">
        <v>-6.77</v>
      </c>
      <c r="DK29" s="228">
        <v>25.26</v>
      </c>
      <c r="DL29" s="228">
        <v>30.37</v>
      </c>
      <c r="DM29" s="228">
        <v>-5.1100000000000003</v>
      </c>
      <c r="DN29" s="228">
        <v>-5.1100000000000003</v>
      </c>
      <c r="DO29" s="228">
        <v>0.63</v>
      </c>
      <c r="DP29" s="228">
        <v>0.64</v>
      </c>
      <c r="DQ29" s="228">
        <v>-0.01</v>
      </c>
      <c r="DR29" s="229">
        <v>-1.5599999999999999E-2</v>
      </c>
      <c r="DS29" s="228">
        <v>440</v>
      </c>
      <c r="DT29" s="228">
        <v>420</v>
      </c>
      <c r="DU29" s="228">
        <v>0.64</v>
      </c>
      <c r="DV29" s="228">
        <v>0.55000000000000004</v>
      </c>
      <c r="DW29" s="228">
        <v>0.09</v>
      </c>
      <c r="DX29" s="229">
        <v>0.1636</v>
      </c>
      <c r="DY29" s="229">
        <v>0.65859999999999996</v>
      </c>
      <c r="DZ29" s="230">
        <v>86008000</v>
      </c>
      <c r="EA29" s="229">
        <v>5.4000000000000003E-3</v>
      </c>
      <c r="EB29" s="229">
        <v>0.65859999999999996</v>
      </c>
      <c r="EC29" s="228">
        <v>2.25</v>
      </c>
      <c r="ED29" s="229">
        <v>5.3E-3</v>
      </c>
      <c r="EE29" s="230">
        <v>6541432</v>
      </c>
      <c r="EF29" s="230">
        <v>11598699</v>
      </c>
      <c r="EG29" s="229">
        <v>-0.436</v>
      </c>
      <c r="EH29" s="229">
        <v>0.64029999999999998</v>
      </c>
      <c r="EI29" s="231">
        <v>149086.51</v>
      </c>
      <c r="EJ29" s="231">
        <v>91569.04</v>
      </c>
      <c r="EK29" s="231">
        <v>440331.23</v>
      </c>
      <c r="EL29" s="231">
        <v>28600</v>
      </c>
      <c r="EM29" s="231">
        <v>680986.78</v>
      </c>
      <c r="EN29" s="231">
        <v>755172.11</v>
      </c>
      <c r="EO29" s="231">
        <v>-74185.33</v>
      </c>
      <c r="EP29" s="229">
        <v>-9.8199999999999996E-2</v>
      </c>
      <c r="EQ29" s="231">
        <v>192943</v>
      </c>
      <c r="ER29" s="231">
        <v>115011</v>
      </c>
      <c r="ES29" s="231">
        <v>839767</v>
      </c>
      <c r="ET29" s="231">
        <v>781025350</v>
      </c>
      <c r="EU29" s="231">
        <v>1147721</v>
      </c>
      <c r="EV29" s="231">
        <v>1146619</v>
      </c>
      <c r="EW29" s="231">
        <v>1102</v>
      </c>
      <c r="EX29" s="229">
        <v>1E-3</v>
      </c>
      <c r="EY29" s="229">
        <v>0.34200000000000003</v>
      </c>
    </row>
    <row r="30" spans="1:155" ht="17.25" thickBot="1" x14ac:dyDescent="0.3">
      <c r="A30" s="226">
        <v>46044</v>
      </c>
      <c r="B30" s="227" t="s">
        <v>184</v>
      </c>
      <c r="C30" s="227" t="s">
        <v>249</v>
      </c>
      <c r="D30" s="231">
        <v>3800.6</v>
      </c>
      <c r="E30" s="231">
        <v>3765.6</v>
      </c>
      <c r="F30" s="228">
        <v>35</v>
      </c>
      <c r="G30" s="229">
        <v>9.2999999999999992E-3</v>
      </c>
      <c r="H30" s="231">
        <v>3793.8</v>
      </c>
      <c r="I30" s="231">
        <v>3766.5</v>
      </c>
      <c r="J30" s="228">
        <v>27.3</v>
      </c>
      <c r="K30" s="229">
        <v>7.1999999999999998E-3</v>
      </c>
      <c r="L30" s="231">
        <v>3800.6</v>
      </c>
      <c r="M30" s="231">
        <v>3765.6</v>
      </c>
      <c r="N30" s="228">
        <v>35</v>
      </c>
      <c r="O30" s="229">
        <v>9.2999999999999992E-3</v>
      </c>
      <c r="P30" s="231">
        <v>3820.7</v>
      </c>
      <c r="Q30" s="231">
        <v>3786.2</v>
      </c>
      <c r="R30" s="228">
        <v>34.5</v>
      </c>
      <c r="S30" s="229">
        <v>9.1000000000000004E-3</v>
      </c>
      <c r="T30" s="231">
        <v>3847.4</v>
      </c>
      <c r="U30" s="231">
        <v>3812.6</v>
      </c>
      <c r="V30" s="228">
        <v>34.799999999999997</v>
      </c>
      <c r="W30" s="229">
        <v>9.1000000000000004E-3</v>
      </c>
      <c r="X30" s="228">
        <v>6.8</v>
      </c>
      <c r="Y30" s="228">
        <v>-0.9</v>
      </c>
      <c r="Z30" s="228">
        <v>7.7</v>
      </c>
      <c r="AA30" s="229">
        <v>1.8E-3</v>
      </c>
      <c r="AB30" s="228">
        <v>6.8</v>
      </c>
      <c r="AC30" s="228">
        <v>-0.9</v>
      </c>
      <c r="AD30" s="228">
        <v>7.7</v>
      </c>
      <c r="AE30" s="229">
        <v>1.8E-3</v>
      </c>
      <c r="AF30" s="228">
        <v>26.9</v>
      </c>
      <c r="AG30" s="228">
        <v>19.7</v>
      </c>
      <c r="AH30" s="228">
        <v>7.2</v>
      </c>
      <c r="AI30" s="229">
        <v>7.1000000000000004E-3</v>
      </c>
      <c r="AJ30" s="228">
        <v>53.6</v>
      </c>
      <c r="AK30" s="228">
        <v>46.1</v>
      </c>
      <c r="AL30" s="228">
        <v>7.5</v>
      </c>
      <c r="AM30" s="229">
        <v>1.41E-2</v>
      </c>
      <c r="AN30" s="231">
        <v>3782.42</v>
      </c>
      <c r="AO30" s="231">
        <v>3802.77</v>
      </c>
      <c r="AP30" s="228">
        <v>0</v>
      </c>
      <c r="AQ30" s="230">
        <v>53601</v>
      </c>
      <c r="AR30" s="230">
        <v>38372</v>
      </c>
      <c r="AS30" s="230">
        <v>15229</v>
      </c>
      <c r="AT30" s="229">
        <v>0.39689999999999998</v>
      </c>
      <c r="AU30" s="230">
        <v>27301</v>
      </c>
      <c r="AV30" s="230">
        <v>20790</v>
      </c>
      <c r="AW30" s="230">
        <v>6511</v>
      </c>
      <c r="AX30" s="229">
        <v>0.31319999999999998</v>
      </c>
      <c r="AY30" s="230">
        <v>25920</v>
      </c>
      <c r="AZ30" s="230">
        <v>17409</v>
      </c>
      <c r="BA30" s="230">
        <v>8511</v>
      </c>
      <c r="BB30" s="229">
        <v>0.4889</v>
      </c>
      <c r="BC30" s="228">
        <v>380</v>
      </c>
      <c r="BD30" s="228">
        <v>173</v>
      </c>
      <c r="BE30" s="228">
        <v>207</v>
      </c>
      <c r="BF30" s="229">
        <v>1.1964999999999999</v>
      </c>
      <c r="BG30" s="230">
        <v>56724</v>
      </c>
      <c r="BH30" s="230">
        <v>66880</v>
      </c>
      <c r="BI30" s="230">
        <v>-10156</v>
      </c>
      <c r="BJ30" s="229">
        <v>-0.15190000000000001</v>
      </c>
      <c r="BK30" s="230">
        <v>20684</v>
      </c>
      <c r="BL30" s="230">
        <v>33084</v>
      </c>
      <c r="BM30" s="230">
        <v>-12400</v>
      </c>
      <c r="BN30" s="229">
        <v>-0.37480000000000002</v>
      </c>
      <c r="BO30" s="230">
        <v>131009</v>
      </c>
      <c r="BP30" s="230">
        <v>138336</v>
      </c>
      <c r="BQ30" s="230">
        <v>-7327</v>
      </c>
      <c r="BR30" s="229">
        <v>-5.2999999999999999E-2</v>
      </c>
      <c r="BS30" s="230">
        <v>2016568</v>
      </c>
      <c r="BT30" s="230">
        <v>2643451</v>
      </c>
      <c r="BU30" s="230">
        <v>-626883</v>
      </c>
      <c r="BV30" s="229">
        <v>-0.23710000000000001</v>
      </c>
      <c r="BW30" s="230">
        <v>15075025</v>
      </c>
      <c r="BX30" s="230">
        <v>14913850</v>
      </c>
      <c r="BY30" s="230">
        <v>161175</v>
      </c>
      <c r="BZ30" s="229">
        <v>1.0800000000000001E-2</v>
      </c>
      <c r="CA30" s="230">
        <v>6747125</v>
      </c>
      <c r="CB30" s="230">
        <v>10473400</v>
      </c>
      <c r="CC30" s="230">
        <v>-3726275</v>
      </c>
      <c r="CD30" s="229">
        <v>-0.35580000000000001</v>
      </c>
      <c r="CE30" s="230">
        <v>7458150</v>
      </c>
      <c r="CF30" s="230">
        <v>3604650</v>
      </c>
      <c r="CG30" s="230">
        <v>3853500</v>
      </c>
      <c r="CH30" s="229">
        <v>1.069</v>
      </c>
      <c r="CI30" s="230">
        <v>869750</v>
      </c>
      <c r="CJ30" s="230">
        <v>835800</v>
      </c>
      <c r="CK30" s="230">
        <v>33950</v>
      </c>
      <c r="CL30" s="229">
        <v>4.0599999999999997E-2</v>
      </c>
      <c r="CM30" s="230">
        <v>7199325</v>
      </c>
      <c r="CN30" s="230">
        <v>7398650</v>
      </c>
      <c r="CO30" s="230">
        <v>-199325</v>
      </c>
      <c r="CP30" s="229">
        <v>-2.69E-2</v>
      </c>
      <c r="CQ30" s="230">
        <v>3485125</v>
      </c>
      <c r="CR30" s="230">
        <v>3384150</v>
      </c>
      <c r="CS30" s="230">
        <v>100975</v>
      </c>
      <c r="CT30" s="229">
        <v>2.98E-2</v>
      </c>
      <c r="CU30" s="230">
        <v>25759475</v>
      </c>
      <c r="CV30" s="230">
        <v>25696650</v>
      </c>
      <c r="CW30" s="230">
        <v>62825</v>
      </c>
      <c r="CX30" s="229">
        <v>2.3999999999999998E-3</v>
      </c>
      <c r="CY30" s="228">
        <v>24.77</v>
      </c>
      <c r="CZ30" s="228">
        <v>21.13</v>
      </c>
      <c r="DA30" s="228">
        <v>3.64</v>
      </c>
      <c r="DB30" s="228">
        <v>3.64</v>
      </c>
      <c r="DC30" s="228">
        <v>25.64</v>
      </c>
      <c r="DD30" s="228">
        <v>25.69</v>
      </c>
      <c r="DE30" s="228">
        <v>-0.87</v>
      </c>
      <c r="DF30" s="228">
        <v>-0.05</v>
      </c>
      <c r="DG30" s="228">
        <v>24.41</v>
      </c>
      <c r="DH30" s="228">
        <v>21.95</v>
      </c>
      <c r="DI30" s="228">
        <v>2.46</v>
      </c>
      <c r="DJ30" s="228">
        <v>2.46</v>
      </c>
      <c r="DK30" s="228">
        <v>25.49</v>
      </c>
      <c r="DL30" s="228">
        <v>19.47</v>
      </c>
      <c r="DM30" s="228">
        <v>6.02</v>
      </c>
      <c r="DN30" s="228">
        <v>6.02</v>
      </c>
      <c r="DO30" s="228">
        <v>0.48</v>
      </c>
      <c r="DP30" s="228">
        <v>0.46</v>
      </c>
      <c r="DQ30" s="228">
        <v>0.02</v>
      </c>
      <c r="DR30" s="229">
        <v>4.3499999999999997E-2</v>
      </c>
      <c r="DS30" s="231">
        <v>4000</v>
      </c>
      <c r="DT30" s="231">
        <v>4000</v>
      </c>
      <c r="DU30" s="228">
        <v>0.36</v>
      </c>
      <c r="DV30" s="228">
        <v>0.49</v>
      </c>
      <c r="DW30" s="228">
        <v>-0.13</v>
      </c>
      <c r="DX30" s="229">
        <v>-0.26529999999999998</v>
      </c>
      <c r="DY30" s="229">
        <v>0.5524</v>
      </c>
      <c r="DZ30" s="230">
        <v>4440450</v>
      </c>
      <c r="EA30" s="229">
        <v>5.3E-3</v>
      </c>
      <c r="EB30" s="229">
        <v>0.5524</v>
      </c>
      <c r="EC30" s="228">
        <v>20.350000000000001</v>
      </c>
      <c r="ED30" s="229">
        <v>5.4000000000000003E-3</v>
      </c>
      <c r="EE30" s="230">
        <v>943911</v>
      </c>
      <c r="EF30" s="230">
        <v>1539856</v>
      </c>
      <c r="EG30" s="229">
        <v>-0.38700000000000001</v>
      </c>
      <c r="EH30" s="229">
        <v>0.46810000000000002</v>
      </c>
      <c r="EI30" s="231">
        <v>389072.16</v>
      </c>
      <c r="EJ30" s="231">
        <v>138461.63</v>
      </c>
      <c r="EK30" s="231">
        <v>355751.72</v>
      </c>
      <c r="EL30" s="231">
        <v>19431</v>
      </c>
      <c r="EM30" s="231">
        <v>883285.51</v>
      </c>
      <c r="EN30" s="231">
        <v>931900.06</v>
      </c>
      <c r="EO30" s="231">
        <v>-48614.55</v>
      </c>
      <c r="EP30" s="229">
        <v>-5.2200000000000003E-2</v>
      </c>
      <c r="EQ30" s="231">
        <v>290400</v>
      </c>
      <c r="ER30" s="231">
        <v>135838</v>
      </c>
      <c r="ES30" s="231">
        <v>574848</v>
      </c>
      <c r="ET30" s="231">
        <v>136109374</v>
      </c>
      <c r="EU30" s="231">
        <v>1001086</v>
      </c>
      <c r="EV30" s="231">
        <v>994161</v>
      </c>
      <c r="EW30" s="231">
        <v>6925</v>
      </c>
      <c r="EX30" s="229">
        <v>7.0000000000000001E-3</v>
      </c>
      <c r="EY30" s="229">
        <v>0.1893</v>
      </c>
    </row>
    <row r="31" spans="1:155" ht="17.25" thickBot="1" x14ac:dyDescent="0.3">
      <c r="A31" s="226">
        <v>46044</v>
      </c>
      <c r="B31" s="227" t="s">
        <v>162</v>
      </c>
      <c r="C31" s="227" t="s">
        <v>251</v>
      </c>
      <c r="D31" s="231">
        <v>3579.7</v>
      </c>
      <c r="E31" s="231">
        <v>3551.7</v>
      </c>
      <c r="F31" s="228">
        <v>28</v>
      </c>
      <c r="G31" s="229">
        <v>7.9000000000000008E-3</v>
      </c>
      <c r="H31" s="231">
        <v>3573.7</v>
      </c>
      <c r="I31" s="231">
        <v>3553.3</v>
      </c>
      <c r="J31" s="228">
        <v>20.399999999999999</v>
      </c>
      <c r="K31" s="229">
        <v>5.7000000000000002E-3</v>
      </c>
      <c r="L31" s="231">
        <v>3579.7</v>
      </c>
      <c r="M31" s="231">
        <v>3551.7</v>
      </c>
      <c r="N31" s="228">
        <v>28</v>
      </c>
      <c r="O31" s="229">
        <v>7.9000000000000008E-3</v>
      </c>
      <c r="P31" s="231">
        <v>3598.9</v>
      </c>
      <c r="Q31" s="231">
        <v>3571</v>
      </c>
      <c r="R31" s="228">
        <v>27.9</v>
      </c>
      <c r="S31" s="229">
        <v>7.7999999999999996E-3</v>
      </c>
      <c r="T31" s="231">
        <v>3624.6</v>
      </c>
      <c r="U31" s="231">
        <v>3601.9</v>
      </c>
      <c r="V31" s="228">
        <v>22.7</v>
      </c>
      <c r="W31" s="229">
        <v>6.3E-3</v>
      </c>
      <c r="X31" s="228">
        <v>6</v>
      </c>
      <c r="Y31" s="228">
        <v>-1.6</v>
      </c>
      <c r="Z31" s="228">
        <v>7.6</v>
      </c>
      <c r="AA31" s="229">
        <v>1.6999999999999999E-3</v>
      </c>
      <c r="AB31" s="228">
        <v>6</v>
      </c>
      <c r="AC31" s="228">
        <v>-1.6</v>
      </c>
      <c r="AD31" s="228">
        <v>7.6</v>
      </c>
      <c r="AE31" s="229">
        <v>1.6999999999999999E-3</v>
      </c>
      <c r="AF31" s="228">
        <v>25.2</v>
      </c>
      <c r="AG31" s="228">
        <v>17.7</v>
      </c>
      <c r="AH31" s="228">
        <v>7.5</v>
      </c>
      <c r="AI31" s="229">
        <v>7.1000000000000004E-3</v>
      </c>
      <c r="AJ31" s="228">
        <v>50.9</v>
      </c>
      <c r="AK31" s="228">
        <v>48.6</v>
      </c>
      <c r="AL31" s="228">
        <v>2.2999999999999998</v>
      </c>
      <c r="AM31" s="229">
        <v>1.4200000000000001E-2</v>
      </c>
      <c r="AN31" s="231">
        <v>3568.34</v>
      </c>
      <c r="AO31" s="231">
        <v>3588.18</v>
      </c>
      <c r="AP31" s="228">
        <v>0</v>
      </c>
      <c r="AQ31" s="230">
        <v>82316</v>
      </c>
      <c r="AR31" s="230">
        <v>41152</v>
      </c>
      <c r="AS31" s="230">
        <v>41164</v>
      </c>
      <c r="AT31" s="229">
        <v>1.0003</v>
      </c>
      <c r="AU31" s="230">
        <v>40881</v>
      </c>
      <c r="AV31" s="230">
        <v>21708</v>
      </c>
      <c r="AW31" s="230">
        <v>19173</v>
      </c>
      <c r="AX31" s="229">
        <v>0.88319999999999999</v>
      </c>
      <c r="AY31" s="230">
        <v>38166</v>
      </c>
      <c r="AZ31" s="230">
        <v>19272</v>
      </c>
      <c r="BA31" s="230">
        <v>18894</v>
      </c>
      <c r="BB31" s="229">
        <v>0.98040000000000005</v>
      </c>
      <c r="BC31" s="230">
        <v>3269</v>
      </c>
      <c r="BD31" s="228">
        <v>172</v>
      </c>
      <c r="BE31" s="230">
        <v>3097</v>
      </c>
      <c r="BF31" s="229">
        <v>18.005800000000001</v>
      </c>
      <c r="BG31" s="230">
        <v>42957</v>
      </c>
      <c r="BH31" s="230">
        <v>40323</v>
      </c>
      <c r="BI31" s="230">
        <v>2634</v>
      </c>
      <c r="BJ31" s="229">
        <v>6.5299999999999997E-2</v>
      </c>
      <c r="BK31" s="230">
        <v>21046</v>
      </c>
      <c r="BL31" s="230">
        <v>27942</v>
      </c>
      <c r="BM31" s="230">
        <v>-6896</v>
      </c>
      <c r="BN31" s="229">
        <v>-0.24679999999999999</v>
      </c>
      <c r="BO31" s="230">
        <v>146319</v>
      </c>
      <c r="BP31" s="230">
        <v>109417</v>
      </c>
      <c r="BQ31" s="230">
        <v>36902</v>
      </c>
      <c r="BR31" s="229">
        <v>0.33729999999999999</v>
      </c>
      <c r="BS31" s="230">
        <v>2209391</v>
      </c>
      <c r="BT31" s="230">
        <v>1641658</v>
      </c>
      <c r="BU31" s="230">
        <v>567733</v>
      </c>
      <c r="BV31" s="229">
        <v>0.3458</v>
      </c>
      <c r="BW31" s="230">
        <v>18254000</v>
      </c>
      <c r="BX31" s="230">
        <v>17856200</v>
      </c>
      <c r="BY31" s="230">
        <v>397800</v>
      </c>
      <c r="BZ31" s="229">
        <v>2.23E-2</v>
      </c>
      <c r="CA31" s="230">
        <v>5898200</v>
      </c>
      <c r="CB31" s="230">
        <v>12872800</v>
      </c>
      <c r="CC31" s="230">
        <v>-6974600</v>
      </c>
      <c r="CD31" s="229">
        <v>-0.54179999999999995</v>
      </c>
      <c r="CE31" s="230">
        <v>10823200</v>
      </c>
      <c r="CF31" s="230">
        <v>4082200</v>
      </c>
      <c r="CG31" s="230">
        <v>6741000</v>
      </c>
      <c r="CH31" s="229">
        <v>1.6513</v>
      </c>
      <c r="CI31" s="230">
        <v>1532600</v>
      </c>
      <c r="CJ31" s="230">
        <v>901200</v>
      </c>
      <c r="CK31" s="230">
        <v>631400</v>
      </c>
      <c r="CL31" s="229">
        <v>0.7006</v>
      </c>
      <c r="CM31" s="230">
        <v>3853000</v>
      </c>
      <c r="CN31" s="230">
        <v>4400800</v>
      </c>
      <c r="CO31" s="230">
        <v>-547800</v>
      </c>
      <c r="CP31" s="229">
        <v>-0.1245</v>
      </c>
      <c r="CQ31" s="230">
        <v>2309000</v>
      </c>
      <c r="CR31" s="230">
        <v>2368800</v>
      </c>
      <c r="CS31" s="230">
        <v>-59800</v>
      </c>
      <c r="CT31" s="229">
        <v>-2.52E-2</v>
      </c>
      <c r="CU31" s="230">
        <v>24416000</v>
      </c>
      <c r="CV31" s="230">
        <v>24625800</v>
      </c>
      <c r="CW31" s="230">
        <v>-209800</v>
      </c>
      <c r="CX31" s="229">
        <v>-8.5000000000000006E-3</v>
      </c>
      <c r="CY31" s="228">
        <v>26.68</v>
      </c>
      <c r="CZ31" s="228">
        <v>24.63</v>
      </c>
      <c r="DA31" s="228">
        <v>2.0499999999999998</v>
      </c>
      <c r="DB31" s="228">
        <v>2.0499999999999998</v>
      </c>
      <c r="DC31" s="228">
        <v>30.92</v>
      </c>
      <c r="DD31" s="228">
        <v>30.99</v>
      </c>
      <c r="DE31" s="228">
        <v>-4.24</v>
      </c>
      <c r="DF31" s="228">
        <v>-7.0000000000000007E-2</v>
      </c>
      <c r="DG31" s="228">
        <v>26.55</v>
      </c>
      <c r="DH31" s="228">
        <v>25.81</v>
      </c>
      <c r="DI31" s="228">
        <v>0.74</v>
      </c>
      <c r="DJ31" s="228">
        <v>0.74</v>
      </c>
      <c r="DK31" s="228">
        <v>26.91</v>
      </c>
      <c r="DL31" s="228">
        <v>22.93</v>
      </c>
      <c r="DM31" s="228">
        <v>3.98</v>
      </c>
      <c r="DN31" s="228">
        <v>3.98</v>
      </c>
      <c r="DO31" s="228">
        <v>0.6</v>
      </c>
      <c r="DP31" s="228">
        <v>0.54</v>
      </c>
      <c r="DQ31" s="228">
        <v>0.06</v>
      </c>
      <c r="DR31" s="229">
        <v>0.1111</v>
      </c>
      <c r="DS31" s="231">
        <v>3800</v>
      </c>
      <c r="DT31" s="231">
        <v>3700</v>
      </c>
      <c r="DU31" s="228">
        <v>0.49</v>
      </c>
      <c r="DV31" s="228">
        <v>0.69</v>
      </c>
      <c r="DW31" s="228">
        <v>-0.2</v>
      </c>
      <c r="DX31" s="229">
        <v>-0.28989999999999999</v>
      </c>
      <c r="DY31" s="229">
        <v>0.67689999999999995</v>
      </c>
      <c r="DZ31" s="230">
        <v>4983400</v>
      </c>
      <c r="EA31" s="229">
        <v>5.4000000000000003E-3</v>
      </c>
      <c r="EB31" s="229">
        <v>0.67689999999999995</v>
      </c>
      <c r="EC31" s="228">
        <v>19.84</v>
      </c>
      <c r="ED31" s="229">
        <v>5.5999999999999999E-3</v>
      </c>
      <c r="EE31" s="230">
        <v>1268316</v>
      </c>
      <c r="EF31" s="230">
        <v>995827</v>
      </c>
      <c r="EG31" s="229">
        <v>0.27360000000000001</v>
      </c>
      <c r="EH31" s="229">
        <v>0.57410000000000005</v>
      </c>
      <c r="EI31" s="231">
        <v>319054.84999999998</v>
      </c>
      <c r="EJ31" s="231">
        <v>149482.56</v>
      </c>
      <c r="EK31" s="231">
        <v>589175.25</v>
      </c>
      <c r="EL31" s="231">
        <v>19672</v>
      </c>
      <c r="EM31" s="231">
        <v>1057712.6599999999</v>
      </c>
      <c r="EN31" s="231">
        <v>792068.8</v>
      </c>
      <c r="EO31" s="231">
        <v>265643.86</v>
      </c>
      <c r="EP31" s="229">
        <v>0.33539999999999998</v>
      </c>
      <c r="EQ31" s="231">
        <v>146240</v>
      </c>
      <c r="ER31" s="231">
        <v>82310</v>
      </c>
      <c r="ES31" s="231">
        <v>656205</v>
      </c>
      <c r="ET31" s="231">
        <v>95452027</v>
      </c>
      <c r="EU31" s="231">
        <v>884755</v>
      </c>
      <c r="EV31" s="231">
        <v>886813</v>
      </c>
      <c r="EW31" s="231">
        <v>-2058</v>
      </c>
      <c r="EX31" s="229">
        <v>-2.3E-3</v>
      </c>
      <c r="EY31" s="229">
        <v>0.25580000000000003</v>
      </c>
    </row>
    <row r="32" spans="1:155" ht="17.25" thickBot="1" x14ac:dyDescent="0.3">
      <c r="A32" s="226">
        <v>46044</v>
      </c>
      <c r="B32" s="227" t="s">
        <v>162</v>
      </c>
      <c r="C32" s="227" t="s">
        <v>255</v>
      </c>
      <c r="D32" s="231">
        <v>15752</v>
      </c>
      <c r="E32" s="231">
        <v>15793</v>
      </c>
      <c r="F32" s="228">
        <v>-41</v>
      </c>
      <c r="G32" s="229">
        <v>-2.5999999999999999E-3</v>
      </c>
      <c r="H32" s="231">
        <v>15765</v>
      </c>
      <c r="I32" s="231">
        <v>15770</v>
      </c>
      <c r="J32" s="228">
        <v>-5</v>
      </c>
      <c r="K32" s="229">
        <v>-2.9999999999999997E-4</v>
      </c>
      <c r="L32" s="231">
        <v>15752</v>
      </c>
      <c r="M32" s="231">
        <v>15793</v>
      </c>
      <c r="N32" s="228">
        <v>-41</v>
      </c>
      <c r="O32" s="229">
        <v>-2.5999999999999999E-3</v>
      </c>
      <c r="P32" s="231">
        <v>15837</v>
      </c>
      <c r="Q32" s="231">
        <v>15880</v>
      </c>
      <c r="R32" s="228">
        <v>-43</v>
      </c>
      <c r="S32" s="229">
        <v>-2.7000000000000001E-3</v>
      </c>
      <c r="T32" s="231">
        <v>15951</v>
      </c>
      <c r="U32" s="231">
        <v>16001</v>
      </c>
      <c r="V32" s="228">
        <v>-50</v>
      </c>
      <c r="W32" s="229">
        <v>-3.0999999999999999E-3</v>
      </c>
      <c r="X32" s="228">
        <v>-13</v>
      </c>
      <c r="Y32" s="228">
        <v>23</v>
      </c>
      <c r="Z32" s="228">
        <v>-36</v>
      </c>
      <c r="AA32" s="229">
        <v>-8.0000000000000004E-4</v>
      </c>
      <c r="AB32" s="228">
        <v>-13</v>
      </c>
      <c r="AC32" s="228">
        <v>23</v>
      </c>
      <c r="AD32" s="228">
        <v>-36</v>
      </c>
      <c r="AE32" s="229">
        <v>-8.0000000000000004E-4</v>
      </c>
      <c r="AF32" s="228">
        <v>72</v>
      </c>
      <c r="AG32" s="228">
        <v>110</v>
      </c>
      <c r="AH32" s="228">
        <v>-38</v>
      </c>
      <c r="AI32" s="229">
        <v>4.5999999999999999E-3</v>
      </c>
      <c r="AJ32" s="228">
        <v>186</v>
      </c>
      <c r="AK32" s="228">
        <v>231</v>
      </c>
      <c r="AL32" s="228">
        <v>-45</v>
      </c>
      <c r="AM32" s="229">
        <v>1.18E-2</v>
      </c>
      <c r="AN32" s="231">
        <v>15787.58</v>
      </c>
      <c r="AO32" s="231">
        <v>15871.08</v>
      </c>
      <c r="AP32" s="228">
        <v>0</v>
      </c>
      <c r="AQ32" s="230">
        <v>48471</v>
      </c>
      <c r="AR32" s="230">
        <v>36557</v>
      </c>
      <c r="AS32" s="230">
        <v>11914</v>
      </c>
      <c r="AT32" s="229">
        <v>0.32590000000000002</v>
      </c>
      <c r="AU32" s="230">
        <v>25706</v>
      </c>
      <c r="AV32" s="230">
        <v>19955</v>
      </c>
      <c r="AW32" s="230">
        <v>5751</v>
      </c>
      <c r="AX32" s="229">
        <v>0.28820000000000001</v>
      </c>
      <c r="AY32" s="230">
        <v>22640</v>
      </c>
      <c r="AZ32" s="230">
        <v>16523</v>
      </c>
      <c r="BA32" s="230">
        <v>6117</v>
      </c>
      <c r="BB32" s="229">
        <v>0.37019999999999997</v>
      </c>
      <c r="BC32" s="228">
        <v>125</v>
      </c>
      <c r="BD32" s="228">
        <v>79</v>
      </c>
      <c r="BE32" s="228">
        <v>46</v>
      </c>
      <c r="BF32" s="229">
        <v>0.58230000000000004</v>
      </c>
      <c r="BG32" s="230">
        <v>120274</v>
      </c>
      <c r="BH32" s="230">
        <v>113625</v>
      </c>
      <c r="BI32" s="230">
        <v>6649</v>
      </c>
      <c r="BJ32" s="229">
        <v>5.8500000000000003E-2</v>
      </c>
      <c r="BK32" s="230">
        <v>51476</v>
      </c>
      <c r="BL32" s="230">
        <v>62826</v>
      </c>
      <c r="BM32" s="230">
        <v>-11350</v>
      </c>
      <c r="BN32" s="229">
        <v>-0.1807</v>
      </c>
      <c r="BO32" s="230">
        <v>220221</v>
      </c>
      <c r="BP32" s="230">
        <v>213008</v>
      </c>
      <c r="BQ32" s="230">
        <v>7213</v>
      </c>
      <c r="BR32" s="229">
        <v>3.39E-2</v>
      </c>
      <c r="BS32" s="230">
        <v>359288</v>
      </c>
      <c r="BT32" s="230">
        <v>364909</v>
      </c>
      <c r="BU32" s="230">
        <v>-5621</v>
      </c>
      <c r="BV32" s="229">
        <v>-1.54E-2</v>
      </c>
      <c r="BW32" s="230">
        <v>3063100</v>
      </c>
      <c r="BX32" s="230">
        <v>3087550</v>
      </c>
      <c r="BY32" s="230">
        <v>-24450</v>
      </c>
      <c r="BZ32" s="229">
        <v>-7.9000000000000008E-3</v>
      </c>
      <c r="CA32" s="230">
        <v>1003500</v>
      </c>
      <c r="CB32" s="230">
        <v>1913500</v>
      </c>
      <c r="CC32" s="230">
        <v>-910000</v>
      </c>
      <c r="CD32" s="229">
        <v>-0.47560000000000002</v>
      </c>
      <c r="CE32" s="230">
        <v>1953700</v>
      </c>
      <c r="CF32" s="230">
        <v>1071450</v>
      </c>
      <c r="CG32" s="230">
        <v>882250</v>
      </c>
      <c r="CH32" s="229">
        <v>0.82340000000000002</v>
      </c>
      <c r="CI32" s="230">
        <v>105900</v>
      </c>
      <c r="CJ32" s="230">
        <v>102600</v>
      </c>
      <c r="CK32" s="230">
        <v>3300</v>
      </c>
      <c r="CL32" s="229">
        <v>3.2199999999999999E-2</v>
      </c>
      <c r="CM32" s="230">
        <v>2725000</v>
      </c>
      <c r="CN32" s="230">
        <v>2902850</v>
      </c>
      <c r="CO32" s="230">
        <v>-177850</v>
      </c>
      <c r="CP32" s="229">
        <v>-6.13E-2</v>
      </c>
      <c r="CQ32" s="230">
        <v>989900</v>
      </c>
      <c r="CR32" s="230">
        <v>1056150</v>
      </c>
      <c r="CS32" s="230">
        <v>-66250</v>
      </c>
      <c r="CT32" s="229">
        <v>-6.2700000000000006E-2</v>
      </c>
      <c r="CU32" s="230">
        <v>6778000</v>
      </c>
      <c r="CV32" s="230">
        <v>7046550</v>
      </c>
      <c r="CW32" s="230">
        <v>-268550</v>
      </c>
      <c r="CX32" s="229">
        <v>-3.8100000000000002E-2</v>
      </c>
      <c r="CY32" s="228">
        <v>24.53</v>
      </c>
      <c r="CZ32" s="228">
        <v>21.46</v>
      </c>
      <c r="DA32" s="228">
        <v>3.07</v>
      </c>
      <c r="DB32" s="228">
        <v>3.07</v>
      </c>
      <c r="DC32" s="228">
        <v>24.39</v>
      </c>
      <c r="DD32" s="228">
        <v>24.45</v>
      </c>
      <c r="DE32" s="228">
        <v>0.14000000000000001</v>
      </c>
      <c r="DF32" s="228">
        <v>-0.06</v>
      </c>
      <c r="DG32" s="228">
        <v>24.53</v>
      </c>
      <c r="DH32" s="228">
        <v>22.78</v>
      </c>
      <c r="DI32" s="228">
        <v>1.75</v>
      </c>
      <c r="DJ32" s="228">
        <v>1.75</v>
      </c>
      <c r="DK32" s="228">
        <v>24.53</v>
      </c>
      <c r="DL32" s="228">
        <v>19.059999999999999</v>
      </c>
      <c r="DM32" s="228">
        <v>5.47</v>
      </c>
      <c r="DN32" s="228">
        <v>5.47</v>
      </c>
      <c r="DO32" s="228">
        <v>0.36</v>
      </c>
      <c r="DP32" s="228">
        <v>0.36</v>
      </c>
      <c r="DQ32" s="228">
        <v>0</v>
      </c>
      <c r="DR32" s="229">
        <v>0</v>
      </c>
      <c r="DS32" s="231">
        <v>17000</v>
      </c>
      <c r="DT32" s="231">
        <v>16000</v>
      </c>
      <c r="DU32" s="228">
        <v>0.43</v>
      </c>
      <c r="DV32" s="228">
        <v>0.55000000000000004</v>
      </c>
      <c r="DW32" s="228">
        <v>-0.12</v>
      </c>
      <c r="DX32" s="229">
        <v>-0.21820000000000001</v>
      </c>
      <c r="DY32" s="229">
        <v>0.6724</v>
      </c>
      <c r="DZ32" s="230">
        <v>1174050</v>
      </c>
      <c r="EA32" s="229">
        <v>5.4000000000000003E-3</v>
      </c>
      <c r="EB32" s="229">
        <v>0.6724</v>
      </c>
      <c r="EC32" s="228">
        <v>83.5</v>
      </c>
      <c r="ED32" s="229">
        <v>5.3E-3</v>
      </c>
      <c r="EE32" s="230">
        <v>204779</v>
      </c>
      <c r="EF32" s="230">
        <v>200605</v>
      </c>
      <c r="EG32" s="229">
        <v>2.0799999999999999E-2</v>
      </c>
      <c r="EH32" s="229">
        <v>0.56999999999999995</v>
      </c>
      <c r="EI32" s="231">
        <v>984685.96</v>
      </c>
      <c r="EJ32" s="231">
        <v>404836.99</v>
      </c>
      <c r="EK32" s="231">
        <v>383578.45</v>
      </c>
      <c r="EL32" s="231">
        <v>19668</v>
      </c>
      <c r="EM32" s="231">
        <v>1773101.4</v>
      </c>
      <c r="EN32" s="231">
        <v>1721791.19</v>
      </c>
      <c r="EO32" s="231">
        <v>51310.21</v>
      </c>
      <c r="EP32" s="229">
        <v>2.98E-2</v>
      </c>
      <c r="EQ32" s="231">
        <v>457931</v>
      </c>
      <c r="ER32" s="231">
        <v>157240</v>
      </c>
      <c r="ES32" s="231">
        <v>484371</v>
      </c>
      <c r="ET32" s="231">
        <v>17687048</v>
      </c>
      <c r="EU32" s="231">
        <v>1099542</v>
      </c>
      <c r="EV32" s="231">
        <v>1146035</v>
      </c>
      <c r="EW32" s="231">
        <v>-46493</v>
      </c>
      <c r="EX32" s="229">
        <v>-4.0599999999999997E-2</v>
      </c>
      <c r="EY32" s="229">
        <v>0.38319999999999999</v>
      </c>
    </row>
    <row r="33" spans="1:155" ht="17.25" thickBot="1" x14ac:dyDescent="0.3">
      <c r="A33" s="226">
        <v>46044</v>
      </c>
      <c r="B33" s="227" t="s">
        <v>170</v>
      </c>
      <c r="C33" s="227" t="s">
        <v>603</v>
      </c>
      <c r="D33" s="228">
        <v>998.4</v>
      </c>
      <c r="E33" s="231">
        <v>1003.5</v>
      </c>
      <c r="F33" s="228">
        <v>-5.0999999999999996</v>
      </c>
      <c r="G33" s="229">
        <v>-5.1000000000000004E-3</v>
      </c>
      <c r="H33" s="228">
        <v>998.8</v>
      </c>
      <c r="I33" s="231">
        <v>1004.2</v>
      </c>
      <c r="J33" s="228">
        <v>-5.4</v>
      </c>
      <c r="K33" s="229">
        <v>-5.4000000000000003E-3</v>
      </c>
      <c r="L33" s="228">
        <v>998.4</v>
      </c>
      <c r="M33" s="231">
        <v>1003.5</v>
      </c>
      <c r="N33" s="228">
        <v>-5.0999999999999996</v>
      </c>
      <c r="O33" s="229">
        <v>-5.1000000000000004E-3</v>
      </c>
      <c r="P33" s="231">
        <v>1003.6</v>
      </c>
      <c r="Q33" s="231">
        <v>1008.9</v>
      </c>
      <c r="R33" s="228">
        <v>-5.3</v>
      </c>
      <c r="S33" s="229">
        <v>-5.3E-3</v>
      </c>
      <c r="T33" s="231">
        <v>1011</v>
      </c>
      <c r="U33" s="231">
        <v>1015.8</v>
      </c>
      <c r="V33" s="228">
        <v>-4.8</v>
      </c>
      <c r="W33" s="229">
        <v>-4.7000000000000002E-3</v>
      </c>
      <c r="X33" s="228">
        <v>-0.4</v>
      </c>
      <c r="Y33" s="228">
        <v>-0.7</v>
      </c>
      <c r="Z33" s="228">
        <v>0.3</v>
      </c>
      <c r="AA33" s="229">
        <v>-4.0000000000000002E-4</v>
      </c>
      <c r="AB33" s="228">
        <v>-0.4</v>
      </c>
      <c r="AC33" s="228">
        <v>-0.7</v>
      </c>
      <c r="AD33" s="228">
        <v>0.3</v>
      </c>
      <c r="AE33" s="229">
        <v>-4.0000000000000002E-4</v>
      </c>
      <c r="AF33" s="228">
        <v>4.8</v>
      </c>
      <c r="AG33" s="228">
        <v>4.7</v>
      </c>
      <c r="AH33" s="228">
        <v>0.1</v>
      </c>
      <c r="AI33" s="229">
        <v>4.7999999999999996E-3</v>
      </c>
      <c r="AJ33" s="228">
        <v>12.2</v>
      </c>
      <c r="AK33" s="228">
        <v>11.6</v>
      </c>
      <c r="AL33" s="228">
        <v>0.6</v>
      </c>
      <c r="AM33" s="229">
        <v>1.2200000000000001E-2</v>
      </c>
      <c r="AN33" s="228">
        <v>997.43</v>
      </c>
      <c r="AO33" s="231">
        <v>1002.57</v>
      </c>
      <c r="AP33" s="228">
        <v>0</v>
      </c>
      <c r="AQ33" s="230">
        <v>29459</v>
      </c>
      <c r="AR33" s="230">
        <v>24263</v>
      </c>
      <c r="AS33" s="230">
        <v>5196</v>
      </c>
      <c r="AT33" s="229">
        <v>0.2142</v>
      </c>
      <c r="AU33" s="230">
        <v>14819</v>
      </c>
      <c r="AV33" s="230">
        <v>13182</v>
      </c>
      <c r="AW33" s="230">
        <v>1637</v>
      </c>
      <c r="AX33" s="229">
        <v>0.1242</v>
      </c>
      <c r="AY33" s="230">
        <v>14602</v>
      </c>
      <c r="AZ33" s="230">
        <v>11041</v>
      </c>
      <c r="BA33" s="230">
        <v>3561</v>
      </c>
      <c r="BB33" s="229">
        <v>0.32250000000000001</v>
      </c>
      <c r="BC33" s="228">
        <v>38</v>
      </c>
      <c r="BD33" s="228">
        <v>40</v>
      </c>
      <c r="BE33" s="228">
        <v>-2</v>
      </c>
      <c r="BF33" s="229">
        <v>-0.05</v>
      </c>
      <c r="BG33" s="230">
        <v>9009</v>
      </c>
      <c r="BH33" s="230">
        <v>11009</v>
      </c>
      <c r="BI33" s="230">
        <v>-2000</v>
      </c>
      <c r="BJ33" s="229">
        <v>-0.1817</v>
      </c>
      <c r="BK33" s="230">
        <v>3767</v>
      </c>
      <c r="BL33" s="230">
        <v>6221</v>
      </c>
      <c r="BM33" s="230">
        <v>-2454</v>
      </c>
      <c r="BN33" s="229">
        <v>-0.39450000000000002</v>
      </c>
      <c r="BO33" s="230">
        <v>42235</v>
      </c>
      <c r="BP33" s="230">
        <v>41493</v>
      </c>
      <c r="BQ33" s="228">
        <v>742</v>
      </c>
      <c r="BR33" s="229">
        <v>1.7899999999999999E-2</v>
      </c>
      <c r="BS33" s="230">
        <v>2648043</v>
      </c>
      <c r="BT33" s="230">
        <v>3123048</v>
      </c>
      <c r="BU33" s="230">
        <v>-475005</v>
      </c>
      <c r="BV33" s="229">
        <v>-0.15210000000000001</v>
      </c>
      <c r="BW33" s="230">
        <v>19513200</v>
      </c>
      <c r="BX33" s="230">
        <v>19578300</v>
      </c>
      <c r="BY33" s="230">
        <v>-65100</v>
      </c>
      <c r="BZ33" s="229">
        <v>-3.3E-3</v>
      </c>
      <c r="CA33" s="230">
        <v>7676025</v>
      </c>
      <c r="CB33" s="230">
        <v>14322525</v>
      </c>
      <c r="CC33" s="230">
        <v>-6646500</v>
      </c>
      <c r="CD33" s="229">
        <v>-0.46410000000000001</v>
      </c>
      <c r="CE33" s="230">
        <v>11312175</v>
      </c>
      <c r="CF33" s="230">
        <v>4736025</v>
      </c>
      <c r="CG33" s="230">
        <v>6576150</v>
      </c>
      <c r="CH33" s="229">
        <v>1.3885000000000001</v>
      </c>
      <c r="CI33" s="230">
        <v>525000</v>
      </c>
      <c r="CJ33" s="230">
        <v>519750</v>
      </c>
      <c r="CK33" s="230">
        <v>5250</v>
      </c>
      <c r="CL33" s="229">
        <v>1.01E-2</v>
      </c>
      <c r="CM33" s="230">
        <v>3608325</v>
      </c>
      <c r="CN33" s="230">
        <v>3463950</v>
      </c>
      <c r="CO33" s="230">
        <v>144375</v>
      </c>
      <c r="CP33" s="229">
        <v>4.1700000000000001E-2</v>
      </c>
      <c r="CQ33" s="230">
        <v>2316825</v>
      </c>
      <c r="CR33" s="230">
        <v>2466975</v>
      </c>
      <c r="CS33" s="230">
        <v>-150150</v>
      </c>
      <c r="CT33" s="229">
        <v>-6.0900000000000003E-2</v>
      </c>
      <c r="CU33" s="230">
        <v>25438350</v>
      </c>
      <c r="CV33" s="230">
        <v>25509225</v>
      </c>
      <c r="CW33" s="230">
        <v>-70875</v>
      </c>
      <c r="CX33" s="229">
        <v>-2.8E-3</v>
      </c>
      <c r="CY33" s="228">
        <v>30.45</v>
      </c>
      <c r="CZ33" s="228">
        <v>27.52</v>
      </c>
      <c r="DA33" s="228">
        <v>2.93</v>
      </c>
      <c r="DB33" s="228">
        <v>2.93</v>
      </c>
      <c r="DC33" s="228">
        <v>37.880000000000003</v>
      </c>
      <c r="DD33" s="228">
        <v>37.97</v>
      </c>
      <c r="DE33" s="228">
        <v>-7.43</v>
      </c>
      <c r="DF33" s="228">
        <v>-0.09</v>
      </c>
      <c r="DG33" s="228">
        <v>30.48</v>
      </c>
      <c r="DH33" s="228">
        <v>26.7</v>
      </c>
      <c r="DI33" s="228">
        <v>3.78</v>
      </c>
      <c r="DJ33" s="228">
        <v>3.78</v>
      </c>
      <c r="DK33" s="228">
        <v>30.38</v>
      </c>
      <c r="DL33" s="228">
        <v>28.99</v>
      </c>
      <c r="DM33" s="228">
        <v>1.39</v>
      </c>
      <c r="DN33" s="228">
        <v>1.39</v>
      </c>
      <c r="DO33" s="228">
        <v>0.64</v>
      </c>
      <c r="DP33" s="228">
        <v>0.71</v>
      </c>
      <c r="DQ33" s="228">
        <v>-7.0000000000000007E-2</v>
      </c>
      <c r="DR33" s="229">
        <v>-9.8599999999999993E-2</v>
      </c>
      <c r="DS33" s="231">
        <v>1100</v>
      </c>
      <c r="DT33" s="231">
        <v>1060</v>
      </c>
      <c r="DU33" s="228">
        <v>0.42</v>
      </c>
      <c r="DV33" s="228">
        <v>0.56999999999999995</v>
      </c>
      <c r="DW33" s="228">
        <v>-0.15</v>
      </c>
      <c r="DX33" s="229">
        <v>-0.26319999999999999</v>
      </c>
      <c r="DY33" s="229">
        <v>0.60660000000000003</v>
      </c>
      <c r="DZ33" s="230">
        <v>5255775</v>
      </c>
      <c r="EA33" s="229">
        <v>5.1999999999999998E-3</v>
      </c>
      <c r="EB33" s="229">
        <v>0.60660000000000003</v>
      </c>
      <c r="EC33" s="228">
        <v>5.14</v>
      </c>
      <c r="ED33" s="229">
        <v>5.1999999999999998E-3</v>
      </c>
      <c r="EE33" s="230">
        <v>1577518</v>
      </c>
      <c r="EF33" s="230">
        <v>1800922</v>
      </c>
      <c r="EG33" s="229">
        <v>-0.124</v>
      </c>
      <c r="EH33" s="229">
        <v>0.59570000000000001</v>
      </c>
      <c r="EI33" s="231">
        <v>49012.53</v>
      </c>
      <c r="EJ33" s="231">
        <v>19852.39</v>
      </c>
      <c r="EK33" s="231">
        <v>154659.56</v>
      </c>
      <c r="EL33" s="231">
        <v>9912</v>
      </c>
      <c r="EM33" s="231">
        <v>223524.48000000001</v>
      </c>
      <c r="EN33" s="231">
        <v>220962.1</v>
      </c>
      <c r="EO33" s="231">
        <v>2562.38</v>
      </c>
      <c r="EP33" s="229">
        <v>1.1599999999999999E-2</v>
      </c>
      <c r="EQ33" s="231">
        <v>38743</v>
      </c>
      <c r="ER33" s="231">
        <v>23923</v>
      </c>
      <c r="ES33" s="231">
        <v>195474</v>
      </c>
      <c r="ET33" s="231">
        <v>111218809</v>
      </c>
      <c r="EU33" s="231">
        <v>258141</v>
      </c>
      <c r="EV33" s="231">
        <v>259543</v>
      </c>
      <c r="EW33" s="231">
        <v>-1402</v>
      </c>
      <c r="EX33" s="229">
        <v>-5.4000000000000003E-3</v>
      </c>
      <c r="EY33" s="229">
        <v>0.22869999999999999</v>
      </c>
    </row>
    <row r="34" spans="1:155" ht="17.25" thickBot="1" x14ac:dyDescent="0.3">
      <c r="A34" s="226">
        <v>46044</v>
      </c>
      <c r="B34" s="227" t="s">
        <v>168</v>
      </c>
      <c r="C34" s="227" t="s">
        <v>265</v>
      </c>
      <c r="D34" s="231">
        <v>1306.5</v>
      </c>
      <c r="E34" s="231">
        <v>1283.5999999999999</v>
      </c>
      <c r="F34" s="228">
        <v>22.9</v>
      </c>
      <c r="G34" s="229">
        <v>1.78E-2</v>
      </c>
      <c r="H34" s="231">
        <v>1306</v>
      </c>
      <c r="I34" s="231">
        <v>1283.2</v>
      </c>
      <c r="J34" s="228">
        <v>22.8</v>
      </c>
      <c r="K34" s="229">
        <v>1.78E-2</v>
      </c>
      <c r="L34" s="231">
        <v>1306.5</v>
      </c>
      <c r="M34" s="231">
        <v>1283.5999999999999</v>
      </c>
      <c r="N34" s="228">
        <v>22.9</v>
      </c>
      <c r="O34" s="229">
        <v>1.78E-2</v>
      </c>
      <c r="P34" s="231">
        <v>1306.4000000000001</v>
      </c>
      <c r="Q34" s="231">
        <v>1283.5</v>
      </c>
      <c r="R34" s="228">
        <v>22.9</v>
      </c>
      <c r="S34" s="229">
        <v>1.78E-2</v>
      </c>
      <c r="T34" s="231">
        <v>1315.3</v>
      </c>
      <c r="U34" s="231">
        <v>1289</v>
      </c>
      <c r="V34" s="228">
        <v>26.3</v>
      </c>
      <c r="W34" s="229">
        <v>2.0400000000000001E-2</v>
      </c>
      <c r="X34" s="228">
        <v>0.5</v>
      </c>
      <c r="Y34" s="228">
        <v>0.4</v>
      </c>
      <c r="Z34" s="228">
        <v>0.1</v>
      </c>
      <c r="AA34" s="229">
        <v>4.0000000000000002E-4</v>
      </c>
      <c r="AB34" s="228">
        <v>0.5</v>
      </c>
      <c r="AC34" s="228">
        <v>0.4</v>
      </c>
      <c r="AD34" s="228">
        <v>0.1</v>
      </c>
      <c r="AE34" s="229">
        <v>4.0000000000000002E-4</v>
      </c>
      <c r="AF34" s="228">
        <v>0.4</v>
      </c>
      <c r="AG34" s="228">
        <v>0.3</v>
      </c>
      <c r="AH34" s="228">
        <v>0.1</v>
      </c>
      <c r="AI34" s="229">
        <v>2.9999999999999997E-4</v>
      </c>
      <c r="AJ34" s="228">
        <v>9.3000000000000007</v>
      </c>
      <c r="AK34" s="228">
        <v>5.8</v>
      </c>
      <c r="AL34" s="228">
        <v>3.5</v>
      </c>
      <c r="AM34" s="229">
        <v>7.1000000000000004E-3</v>
      </c>
      <c r="AN34" s="231">
        <v>1296.58</v>
      </c>
      <c r="AO34" s="231">
        <v>1296.92</v>
      </c>
      <c r="AP34" s="228">
        <v>0</v>
      </c>
      <c r="AQ34" s="230">
        <v>25773</v>
      </c>
      <c r="AR34" s="230">
        <v>21971</v>
      </c>
      <c r="AS34" s="230">
        <v>3802</v>
      </c>
      <c r="AT34" s="229">
        <v>0.17299999999999999</v>
      </c>
      <c r="AU34" s="230">
        <v>13284</v>
      </c>
      <c r="AV34" s="230">
        <v>12165</v>
      </c>
      <c r="AW34" s="230">
        <v>1119</v>
      </c>
      <c r="AX34" s="229">
        <v>9.1999999999999998E-2</v>
      </c>
      <c r="AY34" s="230">
        <v>12448</v>
      </c>
      <c r="AZ34" s="230">
        <v>9769</v>
      </c>
      <c r="BA34" s="230">
        <v>2679</v>
      </c>
      <c r="BB34" s="229">
        <v>0.2742</v>
      </c>
      <c r="BC34" s="228">
        <v>41</v>
      </c>
      <c r="BD34" s="228">
        <v>37</v>
      </c>
      <c r="BE34" s="228">
        <v>4</v>
      </c>
      <c r="BF34" s="229">
        <v>0.1081</v>
      </c>
      <c r="BG34" s="230">
        <v>9626</v>
      </c>
      <c r="BH34" s="230">
        <v>8928</v>
      </c>
      <c r="BI34" s="228">
        <v>698</v>
      </c>
      <c r="BJ34" s="229">
        <v>7.8200000000000006E-2</v>
      </c>
      <c r="BK34" s="230">
        <v>5518</v>
      </c>
      <c r="BL34" s="230">
        <v>5427</v>
      </c>
      <c r="BM34" s="228">
        <v>91</v>
      </c>
      <c r="BN34" s="229">
        <v>1.6799999999999999E-2</v>
      </c>
      <c r="BO34" s="230">
        <v>40917</v>
      </c>
      <c r="BP34" s="230">
        <v>36326</v>
      </c>
      <c r="BQ34" s="230">
        <v>4591</v>
      </c>
      <c r="BR34" s="229">
        <v>0.12640000000000001</v>
      </c>
      <c r="BS34" s="230">
        <v>1018580</v>
      </c>
      <c r="BT34" s="230">
        <v>1076844</v>
      </c>
      <c r="BU34" s="230">
        <v>-58264</v>
      </c>
      <c r="BV34" s="229">
        <v>-5.4100000000000002E-2</v>
      </c>
      <c r="BW34" s="230">
        <v>17482000</v>
      </c>
      <c r="BX34" s="230">
        <v>17575500</v>
      </c>
      <c r="BY34" s="230">
        <v>-93500</v>
      </c>
      <c r="BZ34" s="229">
        <v>-5.3E-3</v>
      </c>
      <c r="CA34" s="230">
        <v>7118500</v>
      </c>
      <c r="CB34" s="230">
        <v>12477500</v>
      </c>
      <c r="CC34" s="230">
        <v>-5359000</v>
      </c>
      <c r="CD34" s="229">
        <v>-0.42949999999999999</v>
      </c>
      <c r="CE34" s="230">
        <v>10153000</v>
      </c>
      <c r="CF34" s="230">
        <v>4889500</v>
      </c>
      <c r="CG34" s="230">
        <v>5263500</v>
      </c>
      <c r="CH34" s="229">
        <v>1.0765</v>
      </c>
      <c r="CI34" s="230">
        <v>210500</v>
      </c>
      <c r="CJ34" s="230">
        <v>208500</v>
      </c>
      <c r="CK34" s="230">
        <v>2000</v>
      </c>
      <c r="CL34" s="229">
        <v>9.5999999999999992E-3</v>
      </c>
      <c r="CM34" s="230">
        <v>3418000</v>
      </c>
      <c r="CN34" s="230">
        <v>3880000</v>
      </c>
      <c r="CO34" s="230">
        <v>-462000</v>
      </c>
      <c r="CP34" s="229">
        <v>-0.1191</v>
      </c>
      <c r="CQ34" s="230">
        <v>1897000</v>
      </c>
      <c r="CR34" s="230">
        <v>1878500</v>
      </c>
      <c r="CS34" s="230">
        <v>18500</v>
      </c>
      <c r="CT34" s="229">
        <v>9.7999999999999997E-3</v>
      </c>
      <c r="CU34" s="230">
        <v>22797000</v>
      </c>
      <c r="CV34" s="230">
        <v>23334000</v>
      </c>
      <c r="CW34" s="230">
        <v>-537000</v>
      </c>
      <c r="CX34" s="229">
        <v>-2.3E-2</v>
      </c>
      <c r="CY34" s="228">
        <v>23.76</v>
      </c>
      <c r="CZ34" s="228">
        <v>19.899999999999999</v>
      </c>
      <c r="DA34" s="228">
        <v>3.86</v>
      </c>
      <c r="DB34" s="228">
        <v>3.86</v>
      </c>
      <c r="DC34" s="228">
        <v>22.57</v>
      </c>
      <c r="DD34" s="228">
        <v>22.5</v>
      </c>
      <c r="DE34" s="228">
        <v>1.19</v>
      </c>
      <c r="DF34" s="228">
        <v>7.0000000000000007E-2</v>
      </c>
      <c r="DG34" s="228">
        <v>23.64</v>
      </c>
      <c r="DH34" s="228">
        <v>20.65</v>
      </c>
      <c r="DI34" s="228">
        <v>2.99</v>
      </c>
      <c r="DJ34" s="228">
        <v>2.99</v>
      </c>
      <c r="DK34" s="228">
        <v>23.99</v>
      </c>
      <c r="DL34" s="228">
        <v>18.66</v>
      </c>
      <c r="DM34" s="228">
        <v>5.33</v>
      </c>
      <c r="DN34" s="228">
        <v>5.33</v>
      </c>
      <c r="DO34" s="228">
        <v>0.56000000000000005</v>
      </c>
      <c r="DP34" s="228">
        <v>0.48</v>
      </c>
      <c r="DQ34" s="228">
        <v>0.08</v>
      </c>
      <c r="DR34" s="229">
        <v>0.16669999999999999</v>
      </c>
      <c r="DS34" s="231">
        <v>1340</v>
      </c>
      <c r="DT34" s="231">
        <v>1300</v>
      </c>
      <c r="DU34" s="228">
        <v>0.56999999999999995</v>
      </c>
      <c r="DV34" s="228">
        <v>0.61</v>
      </c>
      <c r="DW34" s="228">
        <v>-0.04</v>
      </c>
      <c r="DX34" s="229">
        <v>-6.5600000000000006E-2</v>
      </c>
      <c r="DY34" s="229">
        <v>0.59279999999999999</v>
      </c>
      <c r="DZ34" s="230">
        <v>5098000</v>
      </c>
      <c r="EA34" s="229">
        <v>-1E-4</v>
      </c>
      <c r="EB34" s="229">
        <v>0.59279999999999999</v>
      </c>
      <c r="EC34" s="228">
        <v>0.34</v>
      </c>
      <c r="ED34" s="229">
        <v>2.9999999999999997E-4</v>
      </c>
      <c r="EE34" s="230">
        <v>476196</v>
      </c>
      <c r="EF34" s="230">
        <v>518693</v>
      </c>
      <c r="EG34" s="229">
        <v>-8.1900000000000001E-2</v>
      </c>
      <c r="EH34" s="229">
        <v>0.46750000000000003</v>
      </c>
      <c r="EI34" s="231">
        <v>63821.8</v>
      </c>
      <c r="EJ34" s="231">
        <v>35354.76</v>
      </c>
      <c r="EK34" s="231">
        <v>167106.32999999999</v>
      </c>
      <c r="EL34" s="231">
        <v>8634</v>
      </c>
      <c r="EM34" s="231">
        <v>266282.89</v>
      </c>
      <c r="EN34" s="231">
        <v>235797.17</v>
      </c>
      <c r="EO34" s="231">
        <v>30485.72</v>
      </c>
      <c r="EP34" s="229">
        <v>0.1293</v>
      </c>
      <c r="EQ34" s="231">
        <v>45950</v>
      </c>
      <c r="ER34" s="231">
        <v>24001</v>
      </c>
      <c r="ES34" s="231">
        <v>228411</v>
      </c>
      <c r="ET34" s="231">
        <v>71801274</v>
      </c>
      <c r="EU34" s="231">
        <v>298362</v>
      </c>
      <c r="EV34" s="231">
        <v>301349</v>
      </c>
      <c r="EW34" s="231">
        <v>-2987</v>
      </c>
      <c r="EX34" s="229">
        <v>-9.9000000000000008E-3</v>
      </c>
      <c r="EY34" s="229">
        <v>0.3175</v>
      </c>
    </row>
    <row r="35" spans="1:155" ht="17.25" thickBot="1" x14ac:dyDescent="0.3">
      <c r="A35" s="226">
        <v>46044</v>
      </c>
      <c r="B35" s="227" t="s">
        <v>161</v>
      </c>
      <c r="C35" s="227" t="s">
        <v>268</v>
      </c>
      <c r="D35" s="228">
        <v>342.8</v>
      </c>
      <c r="E35" s="228">
        <v>338.55</v>
      </c>
      <c r="F35" s="228">
        <v>4.25</v>
      </c>
      <c r="G35" s="229">
        <v>1.26E-2</v>
      </c>
      <c r="H35" s="228">
        <v>342.45</v>
      </c>
      <c r="I35" s="228">
        <v>338.7</v>
      </c>
      <c r="J35" s="228">
        <v>3.75</v>
      </c>
      <c r="K35" s="229">
        <v>1.11E-2</v>
      </c>
      <c r="L35" s="228">
        <v>342.8</v>
      </c>
      <c r="M35" s="228">
        <v>338.55</v>
      </c>
      <c r="N35" s="228">
        <v>4.25</v>
      </c>
      <c r="O35" s="229">
        <v>1.26E-2</v>
      </c>
      <c r="P35" s="228">
        <v>342.15</v>
      </c>
      <c r="Q35" s="228">
        <v>337.7</v>
      </c>
      <c r="R35" s="228">
        <v>4.45</v>
      </c>
      <c r="S35" s="229">
        <v>1.32E-2</v>
      </c>
      <c r="T35" s="228">
        <v>344.55</v>
      </c>
      <c r="U35" s="228">
        <v>340.05</v>
      </c>
      <c r="V35" s="228">
        <v>4.5</v>
      </c>
      <c r="W35" s="229">
        <v>1.32E-2</v>
      </c>
      <c r="X35" s="228">
        <v>0.35</v>
      </c>
      <c r="Y35" s="228">
        <v>-0.15</v>
      </c>
      <c r="Z35" s="228">
        <v>0.5</v>
      </c>
      <c r="AA35" s="229">
        <v>1E-3</v>
      </c>
      <c r="AB35" s="228">
        <v>0.35</v>
      </c>
      <c r="AC35" s="228">
        <v>-0.15</v>
      </c>
      <c r="AD35" s="228">
        <v>0.5</v>
      </c>
      <c r="AE35" s="229">
        <v>1E-3</v>
      </c>
      <c r="AF35" s="228">
        <v>-0.3</v>
      </c>
      <c r="AG35" s="228">
        <v>-1</v>
      </c>
      <c r="AH35" s="228">
        <v>0.7</v>
      </c>
      <c r="AI35" s="229">
        <v>-8.9999999999999998E-4</v>
      </c>
      <c r="AJ35" s="228">
        <v>2.1</v>
      </c>
      <c r="AK35" s="228">
        <v>1.35</v>
      </c>
      <c r="AL35" s="228">
        <v>0.75</v>
      </c>
      <c r="AM35" s="229">
        <v>6.1000000000000004E-3</v>
      </c>
      <c r="AN35" s="228">
        <v>341.2</v>
      </c>
      <c r="AO35" s="228">
        <v>340.53</v>
      </c>
      <c r="AP35" s="228">
        <v>0</v>
      </c>
      <c r="AQ35" s="230">
        <v>35949</v>
      </c>
      <c r="AR35" s="230">
        <v>26632</v>
      </c>
      <c r="AS35" s="230">
        <v>9317</v>
      </c>
      <c r="AT35" s="229">
        <v>0.3498</v>
      </c>
      <c r="AU35" s="230">
        <v>18484</v>
      </c>
      <c r="AV35" s="230">
        <v>14353</v>
      </c>
      <c r="AW35" s="230">
        <v>4131</v>
      </c>
      <c r="AX35" s="229">
        <v>0.2878</v>
      </c>
      <c r="AY35" s="230">
        <v>17416</v>
      </c>
      <c r="AZ35" s="230">
        <v>12200</v>
      </c>
      <c r="BA35" s="230">
        <v>5216</v>
      </c>
      <c r="BB35" s="229">
        <v>0.42749999999999999</v>
      </c>
      <c r="BC35" s="228">
        <v>49</v>
      </c>
      <c r="BD35" s="228">
        <v>79</v>
      </c>
      <c r="BE35" s="228">
        <v>-30</v>
      </c>
      <c r="BF35" s="229">
        <v>-0.37969999999999998</v>
      </c>
      <c r="BG35" s="230">
        <v>42114</v>
      </c>
      <c r="BH35" s="230">
        <v>44236</v>
      </c>
      <c r="BI35" s="230">
        <v>-2122</v>
      </c>
      <c r="BJ35" s="229">
        <v>-4.8000000000000001E-2</v>
      </c>
      <c r="BK35" s="230">
        <v>27253</v>
      </c>
      <c r="BL35" s="230">
        <v>28559</v>
      </c>
      <c r="BM35" s="230">
        <v>-1306</v>
      </c>
      <c r="BN35" s="229">
        <v>-4.5699999999999998E-2</v>
      </c>
      <c r="BO35" s="230">
        <v>105316</v>
      </c>
      <c r="BP35" s="230">
        <v>99427</v>
      </c>
      <c r="BQ35" s="230">
        <v>5889</v>
      </c>
      <c r="BR35" s="229">
        <v>5.9200000000000003E-2</v>
      </c>
      <c r="BS35" s="230">
        <v>12165239</v>
      </c>
      <c r="BT35" s="230">
        <v>7247655</v>
      </c>
      <c r="BU35" s="230">
        <v>4917584</v>
      </c>
      <c r="BV35" s="229">
        <v>0.67849999999999999</v>
      </c>
      <c r="BW35" s="230">
        <v>85038000</v>
      </c>
      <c r="BX35" s="230">
        <v>83662500</v>
      </c>
      <c r="BY35" s="230">
        <v>1375500</v>
      </c>
      <c r="BZ35" s="229">
        <v>1.6400000000000001E-2</v>
      </c>
      <c r="CA35" s="230">
        <v>35851500</v>
      </c>
      <c r="CB35" s="230">
        <v>56590500</v>
      </c>
      <c r="CC35" s="230">
        <v>-20739000</v>
      </c>
      <c r="CD35" s="229">
        <v>-0.36649999999999999</v>
      </c>
      <c r="CE35" s="230">
        <v>48040500</v>
      </c>
      <c r="CF35" s="230">
        <v>25942500</v>
      </c>
      <c r="CG35" s="230">
        <v>22098000</v>
      </c>
      <c r="CH35" s="229">
        <v>0.8518</v>
      </c>
      <c r="CI35" s="230">
        <v>1146000</v>
      </c>
      <c r="CJ35" s="230">
        <v>1129500</v>
      </c>
      <c r="CK35" s="230">
        <v>16500</v>
      </c>
      <c r="CL35" s="229">
        <v>1.46E-2</v>
      </c>
      <c r="CM35" s="230">
        <v>67656000</v>
      </c>
      <c r="CN35" s="230">
        <v>69591000</v>
      </c>
      <c r="CO35" s="230">
        <v>-1935000</v>
      </c>
      <c r="CP35" s="229">
        <v>-2.7799999999999998E-2</v>
      </c>
      <c r="CQ35" s="230">
        <v>29089500</v>
      </c>
      <c r="CR35" s="230">
        <v>27562500</v>
      </c>
      <c r="CS35" s="230">
        <v>1527000</v>
      </c>
      <c r="CT35" s="229">
        <v>5.5399999999999998E-2</v>
      </c>
      <c r="CU35" s="230">
        <v>181783500</v>
      </c>
      <c r="CV35" s="230">
        <v>180816000</v>
      </c>
      <c r="CW35" s="230">
        <v>967500</v>
      </c>
      <c r="CX35" s="229">
        <v>5.4000000000000003E-3</v>
      </c>
      <c r="CY35" s="228">
        <v>21.79</v>
      </c>
      <c r="CZ35" s="228">
        <v>16.68</v>
      </c>
      <c r="DA35" s="228">
        <v>5.1100000000000003</v>
      </c>
      <c r="DB35" s="228">
        <v>5.1100000000000003</v>
      </c>
      <c r="DC35" s="228">
        <v>26.9</v>
      </c>
      <c r="DD35" s="228">
        <v>26.93</v>
      </c>
      <c r="DE35" s="228">
        <v>-5.1100000000000003</v>
      </c>
      <c r="DF35" s="228">
        <v>-0.03</v>
      </c>
      <c r="DG35" s="228">
        <v>21.71</v>
      </c>
      <c r="DH35" s="228">
        <v>16.920000000000002</v>
      </c>
      <c r="DI35" s="228">
        <v>4.79</v>
      </c>
      <c r="DJ35" s="228">
        <v>4.79</v>
      </c>
      <c r="DK35" s="228">
        <v>21.98</v>
      </c>
      <c r="DL35" s="228">
        <v>16.32</v>
      </c>
      <c r="DM35" s="228">
        <v>5.66</v>
      </c>
      <c r="DN35" s="228">
        <v>5.66</v>
      </c>
      <c r="DO35" s="228">
        <v>0.43</v>
      </c>
      <c r="DP35" s="228">
        <v>0.4</v>
      </c>
      <c r="DQ35" s="228">
        <v>0.03</v>
      </c>
      <c r="DR35" s="229">
        <v>7.4999999999999997E-2</v>
      </c>
      <c r="DS35" s="228">
        <v>350</v>
      </c>
      <c r="DT35" s="228">
        <v>340</v>
      </c>
      <c r="DU35" s="228">
        <v>0.65</v>
      </c>
      <c r="DV35" s="228">
        <v>0.65</v>
      </c>
      <c r="DW35" s="228">
        <v>0</v>
      </c>
      <c r="DX35" s="229">
        <v>0</v>
      </c>
      <c r="DY35" s="229">
        <v>0.57840000000000003</v>
      </c>
      <c r="DZ35" s="230">
        <v>27072000</v>
      </c>
      <c r="EA35" s="229">
        <v>-1.9E-3</v>
      </c>
      <c r="EB35" s="229">
        <v>0.57840000000000003</v>
      </c>
      <c r="EC35" s="228">
        <v>-0.67</v>
      </c>
      <c r="ED35" s="229">
        <v>-2E-3</v>
      </c>
      <c r="EE35" s="230">
        <v>9050690</v>
      </c>
      <c r="EF35" s="230">
        <v>4277170</v>
      </c>
      <c r="EG35" s="229">
        <v>1.1160000000000001</v>
      </c>
      <c r="EH35" s="229">
        <v>0.74399999999999999</v>
      </c>
      <c r="EI35" s="231">
        <v>220240.38</v>
      </c>
      <c r="EJ35" s="231">
        <v>138634.15</v>
      </c>
      <c r="EK35" s="231">
        <v>183815.23</v>
      </c>
      <c r="EL35" s="231">
        <v>13771</v>
      </c>
      <c r="EM35" s="231">
        <v>542689.76</v>
      </c>
      <c r="EN35" s="231">
        <v>511026.27</v>
      </c>
      <c r="EO35" s="231">
        <v>31663.49</v>
      </c>
      <c r="EP35" s="229">
        <v>6.2E-2</v>
      </c>
      <c r="EQ35" s="231">
        <v>239195</v>
      </c>
      <c r="ER35" s="231">
        <v>98878</v>
      </c>
      <c r="ES35" s="231">
        <v>291218</v>
      </c>
      <c r="ET35" s="231">
        <v>474131988</v>
      </c>
      <c r="EU35" s="231">
        <v>629292</v>
      </c>
      <c r="EV35" s="231">
        <v>623009</v>
      </c>
      <c r="EW35" s="231">
        <v>6283</v>
      </c>
      <c r="EX35" s="229">
        <v>1.01E-2</v>
      </c>
      <c r="EY35" s="229">
        <v>0.38340000000000002</v>
      </c>
    </row>
    <row r="36" spans="1:155" ht="17.25" thickBot="1" x14ac:dyDescent="0.3">
      <c r="A36" s="226">
        <v>46044</v>
      </c>
      <c r="B36" s="227" t="s">
        <v>193</v>
      </c>
      <c r="C36" s="227" t="s">
        <v>269</v>
      </c>
      <c r="D36" s="228">
        <v>243.78</v>
      </c>
      <c r="E36" s="228">
        <v>242.14</v>
      </c>
      <c r="F36" s="228">
        <v>1.64</v>
      </c>
      <c r="G36" s="229">
        <v>6.7999999999999996E-3</v>
      </c>
      <c r="H36" s="228">
        <v>244.01</v>
      </c>
      <c r="I36" s="228">
        <v>242.37</v>
      </c>
      <c r="J36" s="228">
        <v>1.64</v>
      </c>
      <c r="K36" s="229">
        <v>6.7999999999999996E-3</v>
      </c>
      <c r="L36" s="228">
        <v>243.78</v>
      </c>
      <c r="M36" s="228">
        <v>242.14</v>
      </c>
      <c r="N36" s="228">
        <v>1.64</v>
      </c>
      <c r="O36" s="229">
        <v>6.7999999999999996E-3</v>
      </c>
      <c r="P36" s="228">
        <v>244.65</v>
      </c>
      <c r="Q36" s="228">
        <v>242.6</v>
      </c>
      <c r="R36" s="228">
        <v>2.0499999999999998</v>
      </c>
      <c r="S36" s="229">
        <v>8.5000000000000006E-3</v>
      </c>
      <c r="T36" s="228">
        <v>245.8</v>
      </c>
      <c r="U36" s="228">
        <v>244.28</v>
      </c>
      <c r="V36" s="228">
        <v>1.52</v>
      </c>
      <c r="W36" s="229">
        <v>6.1999999999999998E-3</v>
      </c>
      <c r="X36" s="228">
        <v>-0.23</v>
      </c>
      <c r="Y36" s="228">
        <v>-0.23</v>
      </c>
      <c r="Z36" s="228">
        <v>0</v>
      </c>
      <c r="AA36" s="229">
        <v>-8.9999999999999998E-4</v>
      </c>
      <c r="AB36" s="228">
        <v>-0.23</v>
      </c>
      <c r="AC36" s="228">
        <v>-0.23</v>
      </c>
      <c r="AD36" s="228">
        <v>0</v>
      </c>
      <c r="AE36" s="229">
        <v>-8.9999999999999998E-4</v>
      </c>
      <c r="AF36" s="228">
        <v>0.64</v>
      </c>
      <c r="AG36" s="228">
        <v>0.23</v>
      </c>
      <c r="AH36" s="228">
        <v>0.41</v>
      </c>
      <c r="AI36" s="229">
        <v>2.5999999999999999E-3</v>
      </c>
      <c r="AJ36" s="228">
        <v>1.79</v>
      </c>
      <c r="AK36" s="228">
        <v>1.91</v>
      </c>
      <c r="AL36" s="228">
        <v>-0.12</v>
      </c>
      <c r="AM36" s="229">
        <v>7.3000000000000001E-3</v>
      </c>
      <c r="AN36" s="228">
        <v>244.23</v>
      </c>
      <c r="AO36" s="228">
        <v>245.04</v>
      </c>
      <c r="AP36" s="228">
        <v>0</v>
      </c>
      <c r="AQ36" s="230">
        <v>25164</v>
      </c>
      <c r="AR36" s="230">
        <v>19177</v>
      </c>
      <c r="AS36" s="230">
        <v>5987</v>
      </c>
      <c r="AT36" s="229">
        <v>0.31219999999999998</v>
      </c>
      <c r="AU36" s="230">
        <v>13651</v>
      </c>
      <c r="AV36" s="230">
        <v>11226</v>
      </c>
      <c r="AW36" s="230">
        <v>2425</v>
      </c>
      <c r="AX36" s="229">
        <v>0.216</v>
      </c>
      <c r="AY36" s="230">
        <v>11189</v>
      </c>
      <c r="AZ36" s="230">
        <v>7857</v>
      </c>
      <c r="BA36" s="230">
        <v>3332</v>
      </c>
      <c r="BB36" s="229">
        <v>0.42409999999999998</v>
      </c>
      <c r="BC36" s="228">
        <v>324</v>
      </c>
      <c r="BD36" s="228">
        <v>94</v>
      </c>
      <c r="BE36" s="228">
        <v>230</v>
      </c>
      <c r="BF36" s="229">
        <v>2.4468000000000001</v>
      </c>
      <c r="BG36" s="230">
        <v>36505</v>
      </c>
      <c r="BH36" s="230">
        <v>38900</v>
      </c>
      <c r="BI36" s="230">
        <v>-2395</v>
      </c>
      <c r="BJ36" s="229">
        <v>-6.1600000000000002E-2</v>
      </c>
      <c r="BK36" s="230">
        <v>25227</v>
      </c>
      <c r="BL36" s="230">
        <v>27144</v>
      </c>
      <c r="BM36" s="230">
        <v>-1917</v>
      </c>
      <c r="BN36" s="229">
        <v>-7.0599999999999996E-2</v>
      </c>
      <c r="BO36" s="230">
        <v>86896</v>
      </c>
      <c r="BP36" s="230">
        <v>85221</v>
      </c>
      <c r="BQ36" s="230">
        <v>1675</v>
      </c>
      <c r="BR36" s="229">
        <v>1.9699999999999999E-2</v>
      </c>
      <c r="BS36" s="230">
        <v>11140205</v>
      </c>
      <c r="BT36" s="230">
        <v>10358736</v>
      </c>
      <c r="BU36" s="230">
        <v>781469</v>
      </c>
      <c r="BV36" s="229">
        <v>7.5399999999999995E-2</v>
      </c>
      <c r="BW36" s="230">
        <v>114840000</v>
      </c>
      <c r="BX36" s="230">
        <v>112000500</v>
      </c>
      <c r="BY36" s="230">
        <v>2839500</v>
      </c>
      <c r="BZ36" s="229">
        <v>2.5399999999999999E-2</v>
      </c>
      <c r="CA36" s="230">
        <v>76630500</v>
      </c>
      <c r="CB36" s="230">
        <v>92459250</v>
      </c>
      <c r="CC36" s="230">
        <v>-15828750</v>
      </c>
      <c r="CD36" s="229">
        <v>-0.17119999999999999</v>
      </c>
      <c r="CE36" s="230">
        <v>37008000</v>
      </c>
      <c r="CF36" s="230">
        <v>18600750</v>
      </c>
      <c r="CG36" s="230">
        <v>18407250</v>
      </c>
      <c r="CH36" s="229">
        <v>0.98960000000000004</v>
      </c>
      <c r="CI36" s="230">
        <v>1201500</v>
      </c>
      <c r="CJ36" s="230">
        <v>940500</v>
      </c>
      <c r="CK36" s="230">
        <v>261000</v>
      </c>
      <c r="CL36" s="229">
        <v>0.27750000000000002</v>
      </c>
      <c r="CM36" s="230">
        <v>100921500</v>
      </c>
      <c r="CN36" s="230">
        <v>102854250</v>
      </c>
      <c r="CO36" s="230">
        <v>-1932750</v>
      </c>
      <c r="CP36" s="229">
        <v>-1.8800000000000001E-2</v>
      </c>
      <c r="CQ36" s="230">
        <v>45472500</v>
      </c>
      <c r="CR36" s="230">
        <v>44892000</v>
      </c>
      <c r="CS36" s="230">
        <v>580500</v>
      </c>
      <c r="CT36" s="229">
        <v>1.29E-2</v>
      </c>
      <c r="CU36" s="230">
        <v>261234000</v>
      </c>
      <c r="CV36" s="230">
        <v>259746750</v>
      </c>
      <c r="CW36" s="230">
        <v>1487250</v>
      </c>
      <c r="CX36" s="229">
        <v>5.7000000000000002E-3</v>
      </c>
      <c r="CY36" s="228">
        <v>24.44</v>
      </c>
      <c r="CZ36" s="228">
        <v>18.29</v>
      </c>
      <c r="DA36" s="228">
        <v>6.15</v>
      </c>
      <c r="DB36" s="228">
        <v>6.15</v>
      </c>
      <c r="DC36" s="228">
        <v>29.72</v>
      </c>
      <c r="DD36" s="228">
        <v>29.78</v>
      </c>
      <c r="DE36" s="228">
        <v>-5.28</v>
      </c>
      <c r="DF36" s="228">
        <v>-0.06</v>
      </c>
      <c r="DG36" s="228">
        <v>23.82</v>
      </c>
      <c r="DH36" s="228">
        <v>18.04</v>
      </c>
      <c r="DI36" s="228">
        <v>5.78</v>
      </c>
      <c r="DJ36" s="228">
        <v>5.78</v>
      </c>
      <c r="DK36" s="228">
        <v>25.48</v>
      </c>
      <c r="DL36" s="228">
        <v>18.649999999999999</v>
      </c>
      <c r="DM36" s="228">
        <v>6.83</v>
      </c>
      <c r="DN36" s="228">
        <v>6.83</v>
      </c>
      <c r="DO36" s="228">
        <v>0.45</v>
      </c>
      <c r="DP36" s="228">
        <v>0.44</v>
      </c>
      <c r="DQ36" s="228">
        <v>0.01</v>
      </c>
      <c r="DR36" s="229">
        <v>2.2700000000000001E-2</v>
      </c>
      <c r="DS36" s="228">
        <v>240</v>
      </c>
      <c r="DT36" s="228">
        <v>240</v>
      </c>
      <c r="DU36" s="228">
        <v>0.69</v>
      </c>
      <c r="DV36" s="228">
        <v>0.7</v>
      </c>
      <c r="DW36" s="228">
        <v>-0.01</v>
      </c>
      <c r="DX36" s="229">
        <v>-1.43E-2</v>
      </c>
      <c r="DY36" s="229">
        <v>0.3327</v>
      </c>
      <c r="DZ36" s="230">
        <v>19541250</v>
      </c>
      <c r="EA36" s="229">
        <v>3.5999999999999999E-3</v>
      </c>
      <c r="EB36" s="229">
        <v>0.3327</v>
      </c>
      <c r="EC36" s="228">
        <v>0.81</v>
      </c>
      <c r="ED36" s="229">
        <v>3.3E-3</v>
      </c>
      <c r="EE36" s="230">
        <v>7446762</v>
      </c>
      <c r="EF36" s="230">
        <v>5726029</v>
      </c>
      <c r="EG36" s="229">
        <v>0.30049999999999999</v>
      </c>
      <c r="EH36" s="229">
        <v>0.66849999999999998</v>
      </c>
      <c r="EI36" s="231">
        <v>205126.01</v>
      </c>
      <c r="EJ36" s="231">
        <v>136484.66</v>
      </c>
      <c r="EK36" s="231">
        <v>138504.04999999999</v>
      </c>
      <c r="EL36" s="231">
        <v>10752</v>
      </c>
      <c r="EM36" s="231">
        <v>480114.72</v>
      </c>
      <c r="EN36" s="231">
        <v>468277.56</v>
      </c>
      <c r="EO36" s="231">
        <v>11837.16</v>
      </c>
      <c r="EP36" s="229">
        <v>2.53E-2</v>
      </c>
      <c r="EQ36" s="231">
        <v>249580</v>
      </c>
      <c r="ER36" s="231">
        <v>108004</v>
      </c>
      <c r="ES36" s="231">
        <v>280303</v>
      </c>
      <c r="ET36" s="231">
        <v>517141211</v>
      </c>
      <c r="EU36" s="231">
        <v>637887</v>
      </c>
      <c r="EV36" s="231">
        <v>632488</v>
      </c>
      <c r="EW36" s="231">
        <v>5399</v>
      </c>
      <c r="EX36" s="229">
        <v>8.5000000000000006E-3</v>
      </c>
      <c r="EY36" s="229">
        <v>0.50519999999999998</v>
      </c>
    </row>
    <row r="37" spans="1:155" ht="17.25" thickBot="1" x14ac:dyDescent="0.3">
      <c r="A37" s="226">
        <v>46044</v>
      </c>
      <c r="B37" s="227" t="s">
        <v>161</v>
      </c>
      <c r="C37" s="227" t="s">
        <v>276</v>
      </c>
      <c r="D37" s="228">
        <v>259.14999999999998</v>
      </c>
      <c r="E37" s="228">
        <v>255.65</v>
      </c>
      <c r="F37" s="228">
        <v>3.5</v>
      </c>
      <c r="G37" s="229">
        <v>1.37E-2</v>
      </c>
      <c r="H37" s="228">
        <v>259.25</v>
      </c>
      <c r="I37" s="228">
        <v>255.8</v>
      </c>
      <c r="J37" s="228">
        <v>3.45</v>
      </c>
      <c r="K37" s="229">
        <v>1.35E-2</v>
      </c>
      <c r="L37" s="228">
        <v>259.14999999999998</v>
      </c>
      <c r="M37" s="228">
        <v>255.65</v>
      </c>
      <c r="N37" s="228">
        <v>3.5</v>
      </c>
      <c r="O37" s="229">
        <v>1.37E-2</v>
      </c>
      <c r="P37" s="228">
        <v>257.2</v>
      </c>
      <c r="Q37" s="228">
        <v>253.6</v>
      </c>
      <c r="R37" s="228">
        <v>3.6</v>
      </c>
      <c r="S37" s="229">
        <v>1.4200000000000001E-2</v>
      </c>
      <c r="T37" s="228">
        <v>258.55</v>
      </c>
      <c r="U37" s="228">
        <v>255.15</v>
      </c>
      <c r="V37" s="228">
        <v>3.4</v>
      </c>
      <c r="W37" s="229">
        <v>1.3299999999999999E-2</v>
      </c>
      <c r="X37" s="228">
        <v>-0.1</v>
      </c>
      <c r="Y37" s="228">
        <v>-0.15</v>
      </c>
      <c r="Z37" s="228">
        <v>0.05</v>
      </c>
      <c r="AA37" s="229">
        <v>-4.0000000000000002E-4</v>
      </c>
      <c r="AB37" s="228">
        <v>-0.1</v>
      </c>
      <c r="AC37" s="228">
        <v>-0.15</v>
      </c>
      <c r="AD37" s="228">
        <v>0.05</v>
      </c>
      <c r="AE37" s="229">
        <v>-4.0000000000000002E-4</v>
      </c>
      <c r="AF37" s="228">
        <v>-2.0499999999999998</v>
      </c>
      <c r="AG37" s="228">
        <v>-2.2000000000000002</v>
      </c>
      <c r="AH37" s="228">
        <v>0.15</v>
      </c>
      <c r="AI37" s="229">
        <v>-7.9000000000000008E-3</v>
      </c>
      <c r="AJ37" s="228">
        <v>-0.7</v>
      </c>
      <c r="AK37" s="228">
        <v>-0.65</v>
      </c>
      <c r="AL37" s="228">
        <v>-0.05</v>
      </c>
      <c r="AM37" s="229">
        <v>-2.7000000000000001E-3</v>
      </c>
      <c r="AN37" s="228">
        <v>257.29000000000002</v>
      </c>
      <c r="AO37" s="228">
        <v>255.24</v>
      </c>
      <c r="AP37" s="228">
        <v>0</v>
      </c>
      <c r="AQ37" s="230">
        <v>21147</v>
      </c>
      <c r="AR37" s="230">
        <v>22335</v>
      </c>
      <c r="AS37" s="230">
        <v>-1188</v>
      </c>
      <c r="AT37" s="229">
        <v>-5.3199999999999997E-2</v>
      </c>
      <c r="AU37" s="230">
        <v>10994</v>
      </c>
      <c r="AV37" s="230">
        <v>12622</v>
      </c>
      <c r="AW37" s="230">
        <v>-1628</v>
      </c>
      <c r="AX37" s="229">
        <v>-0.129</v>
      </c>
      <c r="AY37" s="230">
        <v>10056</v>
      </c>
      <c r="AZ37" s="230">
        <v>9588</v>
      </c>
      <c r="BA37" s="228">
        <v>468</v>
      </c>
      <c r="BB37" s="229">
        <v>4.8800000000000003E-2</v>
      </c>
      <c r="BC37" s="228">
        <v>97</v>
      </c>
      <c r="BD37" s="228">
        <v>125</v>
      </c>
      <c r="BE37" s="228">
        <v>-28</v>
      </c>
      <c r="BF37" s="229">
        <v>-0.224</v>
      </c>
      <c r="BG37" s="230">
        <v>13973</v>
      </c>
      <c r="BH37" s="230">
        <v>25192</v>
      </c>
      <c r="BI37" s="230">
        <v>-11219</v>
      </c>
      <c r="BJ37" s="229">
        <v>-0.44529999999999997</v>
      </c>
      <c r="BK37" s="230">
        <v>7230</v>
      </c>
      <c r="BL37" s="230">
        <v>15141</v>
      </c>
      <c r="BM37" s="230">
        <v>-7911</v>
      </c>
      <c r="BN37" s="229">
        <v>-0.52249999999999996</v>
      </c>
      <c r="BO37" s="230">
        <v>42350</v>
      </c>
      <c r="BP37" s="230">
        <v>62668</v>
      </c>
      <c r="BQ37" s="230">
        <v>-20318</v>
      </c>
      <c r="BR37" s="229">
        <v>-0.32419999999999999</v>
      </c>
      <c r="BS37" s="230">
        <v>16447205</v>
      </c>
      <c r="BT37" s="230">
        <v>15056882</v>
      </c>
      <c r="BU37" s="230">
        <v>1390323</v>
      </c>
      <c r="BV37" s="229">
        <v>9.2299999999999993E-2</v>
      </c>
      <c r="BW37" s="230">
        <v>104743200</v>
      </c>
      <c r="BX37" s="230">
        <v>105332200</v>
      </c>
      <c r="BY37" s="230">
        <v>-589000</v>
      </c>
      <c r="BZ37" s="229">
        <v>-5.5999999999999999E-3</v>
      </c>
      <c r="CA37" s="230">
        <v>62538500</v>
      </c>
      <c r="CB37" s="230">
        <v>77191300</v>
      </c>
      <c r="CC37" s="230">
        <v>-14652800</v>
      </c>
      <c r="CD37" s="229">
        <v>-0.1898</v>
      </c>
      <c r="CE37" s="230">
        <v>40891800</v>
      </c>
      <c r="CF37" s="230">
        <v>26862200</v>
      </c>
      <c r="CG37" s="230">
        <v>14029600</v>
      </c>
      <c r="CH37" s="229">
        <v>0.52229999999999999</v>
      </c>
      <c r="CI37" s="230">
        <v>1312900</v>
      </c>
      <c r="CJ37" s="230">
        <v>1278700</v>
      </c>
      <c r="CK37" s="230">
        <v>34200</v>
      </c>
      <c r="CL37" s="229">
        <v>2.6700000000000002E-2</v>
      </c>
      <c r="CM37" s="230">
        <v>40869000</v>
      </c>
      <c r="CN37" s="230">
        <v>42045100</v>
      </c>
      <c r="CO37" s="230">
        <v>-1176100</v>
      </c>
      <c r="CP37" s="229">
        <v>-2.8000000000000001E-2</v>
      </c>
      <c r="CQ37" s="230">
        <v>25425800</v>
      </c>
      <c r="CR37" s="230">
        <v>25178800</v>
      </c>
      <c r="CS37" s="230">
        <v>247000</v>
      </c>
      <c r="CT37" s="229">
        <v>9.7999999999999997E-3</v>
      </c>
      <c r="CU37" s="230">
        <v>171038000</v>
      </c>
      <c r="CV37" s="230">
        <v>172556100</v>
      </c>
      <c r="CW37" s="230">
        <v>-1518100</v>
      </c>
      <c r="CX37" s="229">
        <v>-8.8000000000000005E-3</v>
      </c>
      <c r="CY37" s="228">
        <v>23.85</v>
      </c>
      <c r="CZ37" s="228">
        <v>20.5</v>
      </c>
      <c r="DA37" s="228">
        <v>3.35</v>
      </c>
      <c r="DB37" s="228">
        <v>3.35</v>
      </c>
      <c r="DC37" s="228">
        <v>27.09</v>
      </c>
      <c r="DD37" s="228">
        <v>27.09</v>
      </c>
      <c r="DE37" s="228">
        <v>-3.24</v>
      </c>
      <c r="DF37" s="228">
        <v>0</v>
      </c>
      <c r="DG37" s="228">
        <v>23.98</v>
      </c>
      <c r="DH37" s="228">
        <v>20.65</v>
      </c>
      <c r="DI37" s="228">
        <v>3.33</v>
      </c>
      <c r="DJ37" s="228">
        <v>3.33</v>
      </c>
      <c r="DK37" s="228">
        <v>23.66</v>
      </c>
      <c r="DL37" s="228">
        <v>20.25</v>
      </c>
      <c r="DM37" s="228">
        <v>3.41</v>
      </c>
      <c r="DN37" s="228">
        <v>3.41</v>
      </c>
      <c r="DO37" s="228">
        <v>0.62</v>
      </c>
      <c r="DP37" s="228">
        <v>0.6</v>
      </c>
      <c r="DQ37" s="228">
        <v>0.02</v>
      </c>
      <c r="DR37" s="229">
        <v>3.3300000000000003E-2</v>
      </c>
      <c r="DS37" s="228">
        <v>270</v>
      </c>
      <c r="DT37" s="228">
        <v>250</v>
      </c>
      <c r="DU37" s="228">
        <v>0.52</v>
      </c>
      <c r="DV37" s="228">
        <v>0.6</v>
      </c>
      <c r="DW37" s="228">
        <v>-0.08</v>
      </c>
      <c r="DX37" s="229">
        <v>-0.1333</v>
      </c>
      <c r="DY37" s="229">
        <v>0.40289999999999998</v>
      </c>
      <c r="DZ37" s="230">
        <v>28140900</v>
      </c>
      <c r="EA37" s="229">
        <v>-7.4999999999999997E-3</v>
      </c>
      <c r="EB37" s="229">
        <v>0.40289999999999998</v>
      </c>
      <c r="EC37" s="228">
        <v>-2.0499999999999998</v>
      </c>
      <c r="ED37" s="229">
        <v>-8.0000000000000002E-3</v>
      </c>
      <c r="EE37" s="230">
        <v>12016019</v>
      </c>
      <c r="EF37" s="230">
        <v>9532919</v>
      </c>
      <c r="EG37" s="229">
        <v>0.26050000000000001</v>
      </c>
      <c r="EH37" s="229">
        <v>0.73060000000000003</v>
      </c>
      <c r="EI37" s="231">
        <v>70581.88</v>
      </c>
      <c r="EJ37" s="231">
        <v>36018.07</v>
      </c>
      <c r="EK37" s="231">
        <v>102986.74</v>
      </c>
      <c r="EL37" s="231">
        <v>9205</v>
      </c>
      <c r="EM37" s="231">
        <v>209586.69</v>
      </c>
      <c r="EN37" s="231">
        <v>309224.01</v>
      </c>
      <c r="EO37" s="231">
        <v>-99637.32</v>
      </c>
      <c r="EP37" s="229">
        <v>-0.32219999999999999</v>
      </c>
      <c r="EQ37" s="231">
        <v>111700</v>
      </c>
      <c r="ER37" s="231">
        <v>66405</v>
      </c>
      <c r="ES37" s="231">
        <v>270637</v>
      </c>
      <c r="ET37" s="231">
        <v>678857930</v>
      </c>
      <c r="EU37" s="231">
        <v>448742</v>
      </c>
      <c r="EV37" s="231">
        <v>449353</v>
      </c>
      <c r="EW37" s="228">
        <v>-611</v>
      </c>
      <c r="EX37" s="229">
        <v>-1.4E-3</v>
      </c>
      <c r="EY37" s="229">
        <v>0.25190000000000001</v>
      </c>
    </row>
    <row r="38" spans="1:155" ht="17.25" thickBot="1" x14ac:dyDescent="0.3">
      <c r="A38" s="226">
        <v>46044</v>
      </c>
      <c r="B38" s="227" t="s">
        <v>193</v>
      </c>
      <c r="C38" s="227" t="s">
        <v>281</v>
      </c>
      <c r="D38" s="231">
        <v>1405.4</v>
      </c>
      <c r="E38" s="231">
        <v>1405.3</v>
      </c>
      <c r="F38" s="228">
        <v>0.1</v>
      </c>
      <c r="G38" s="229">
        <v>1E-4</v>
      </c>
      <c r="H38" s="231">
        <v>1402.5</v>
      </c>
      <c r="I38" s="231">
        <v>1404.6</v>
      </c>
      <c r="J38" s="228">
        <v>-2.1</v>
      </c>
      <c r="K38" s="229">
        <v>-1.5E-3</v>
      </c>
      <c r="L38" s="231">
        <v>1405.4</v>
      </c>
      <c r="M38" s="231">
        <v>1405.3</v>
      </c>
      <c r="N38" s="228">
        <v>0.1</v>
      </c>
      <c r="O38" s="229">
        <v>1E-4</v>
      </c>
      <c r="P38" s="231">
        <v>1412.8</v>
      </c>
      <c r="Q38" s="231">
        <v>1412.8</v>
      </c>
      <c r="R38" s="228">
        <v>0</v>
      </c>
      <c r="S38" s="229">
        <v>0</v>
      </c>
      <c r="T38" s="231">
        <v>1421.8</v>
      </c>
      <c r="U38" s="231">
        <v>1421.6</v>
      </c>
      <c r="V38" s="228">
        <v>0.2</v>
      </c>
      <c r="W38" s="229">
        <v>1E-4</v>
      </c>
      <c r="X38" s="228">
        <v>2.9</v>
      </c>
      <c r="Y38" s="228">
        <v>0.7</v>
      </c>
      <c r="Z38" s="228">
        <v>2.2000000000000002</v>
      </c>
      <c r="AA38" s="229">
        <v>2.0999999999999999E-3</v>
      </c>
      <c r="AB38" s="228">
        <v>2.9</v>
      </c>
      <c r="AC38" s="228">
        <v>0.7</v>
      </c>
      <c r="AD38" s="228">
        <v>2.2000000000000002</v>
      </c>
      <c r="AE38" s="229">
        <v>2.0999999999999999E-3</v>
      </c>
      <c r="AF38" s="228">
        <v>10.3</v>
      </c>
      <c r="AG38" s="228">
        <v>8.1999999999999993</v>
      </c>
      <c r="AH38" s="228">
        <v>2.1</v>
      </c>
      <c r="AI38" s="229">
        <v>7.3000000000000001E-3</v>
      </c>
      <c r="AJ38" s="228">
        <v>19.3</v>
      </c>
      <c r="AK38" s="228">
        <v>17</v>
      </c>
      <c r="AL38" s="228">
        <v>2.2999999999999998</v>
      </c>
      <c r="AM38" s="229">
        <v>1.38E-2</v>
      </c>
      <c r="AN38" s="231">
        <v>1405.97</v>
      </c>
      <c r="AO38" s="231">
        <v>1413.1</v>
      </c>
      <c r="AP38" s="228">
        <v>0</v>
      </c>
      <c r="AQ38" s="230">
        <v>131577</v>
      </c>
      <c r="AR38" s="230">
        <v>95000</v>
      </c>
      <c r="AS38" s="230">
        <v>36577</v>
      </c>
      <c r="AT38" s="229">
        <v>0.38500000000000001</v>
      </c>
      <c r="AU38" s="230">
        <v>66791</v>
      </c>
      <c r="AV38" s="230">
        <v>53320</v>
      </c>
      <c r="AW38" s="230">
        <v>13471</v>
      </c>
      <c r="AX38" s="229">
        <v>0.25259999999999999</v>
      </c>
      <c r="AY38" s="230">
        <v>59292</v>
      </c>
      <c r="AZ38" s="230">
        <v>40379</v>
      </c>
      <c r="BA38" s="230">
        <v>18913</v>
      </c>
      <c r="BB38" s="229">
        <v>0.46839999999999998</v>
      </c>
      <c r="BC38" s="230">
        <v>5494</v>
      </c>
      <c r="BD38" s="230">
        <v>1301</v>
      </c>
      <c r="BE38" s="230">
        <v>4193</v>
      </c>
      <c r="BF38" s="229">
        <v>3.2229000000000001</v>
      </c>
      <c r="BG38" s="230">
        <v>309951</v>
      </c>
      <c r="BH38" s="230">
        <v>458941</v>
      </c>
      <c r="BI38" s="230">
        <v>-148990</v>
      </c>
      <c r="BJ38" s="229">
        <v>-0.3246</v>
      </c>
      <c r="BK38" s="230">
        <v>163876</v>
      </c>
      <c r="BL38" s="230">
        <v>228403</v>
      </c>
      <c r="BM38" s="230">
        <v>-64527</v>
      </c>
      <c r="BN38" s="229">
        <v>-0.28249999999999997</v>
      </c>
      <c r="BO38" s="230">
        <v>605404</v>
      </c>
      <c r="BP38" s="230">
        <v>782344</v>
      </c>
      <c r="BQ38" s="230">
        <v>-176940</v>
      </c>
      <c r="BR38" s="229">
        <v>-0.22620000000000001</v>
      </c>
      <c r="BS38" s="230">
        <v>16434686</v>
      </c>
      <c r="BT38" s="230">
        <v>17769693</v>
      </c>
      <c r="BU38" s="230">
        <v>-1335007</v>
      </c>
      <c r="BV38" s="229">
        <v>-7.51E-2</v>
      </c>
      <c r="BW38" s="230">
        <v>120031000</v>
      </c>
      <c r="BX38" s="230">
        <v>119163500</v>
      </c>
      <c r="BY38" s="230">
        <v>867500</v>
      </c>
      <c r="BZ38" s="229">
        <v>7.3000000000000001E-3</v>
      </c>
      <c r="CA38" s="230">
        <v>53269500</v>
      </c>
      <c r="CB38" s="230">
        <v>78153500</v>
      </c>
      <c r="CC38" s="230">
        <v>-24884000</v>
      </c>
      <c r="CD38" s="229">
        <v>-0.31840000000000002</v>
      </c>
      <c r="CE38" s="230">
        <v>56572000</v>
      </c>
      <c r="CF38" s="230">
        <v>32755000</v>
      </c>
      <c r="CG38" s="230">
        <v>23817000</v>
      </c>
      <c r="CH38" s="229">
        <v>0.72709999999999997</v>
      </c>
      <c r="CI38" s="230">
        <v>10189500</v>
      </c>
      <c r="CJ38" s="230">
        <v>8255000</v>
      </c>
      <c r="CK38" s="230">
        <v>1934500</v>
      </c>
      <c r="CL38" s="229">
        <v>0.23430000000000001</v>
      </c>
      <c r="CM38" s="230">
        <v>108273000</v>
      </c>
      <c r="CN38" s="230">
        <v>112125000</v>
      </c>
      <c r="CO38" s="230">
        <v>-3852000</v>
      </c>
      <c r="CP38" s="229">
        <v>-3.44E-2</v>
      </c>
      <c r="CQ38" s="230">
        <v>45902000</v>
      </c>
      <c r="CR38" s="230">
        <v>46532000</v>
      </c>
      <c r="CS38" s="230">
        <v>-630000</v>
      </c>
      <c r="CT38" s="229">
        <v>-1.35E-2</v>
      </c>
      <c r="CU38" s="230">
        <v>274206000</v>
      </c>
      <c r="CV38" s="230">
        <v>277820500</v>
      </c>
      <c r="CW38" s="230">
        <v>-3614500</v>
      </c>
      <c r="CX38" s="229">
        <v>-1.2999999999999999E-2</v>
      </c>
      <c r="CY38" s="228">
        <v>23.24</v>
      </c>
      <c r="CZ38" s="228">
        <v>21.21</v>
      </c>
      <c r="DA38" s="228">
        <v>2.0299999999999998</v>
      </c>
      <c r="DB38" s="228">
        <v>2.0299999999999998</v>
      </c>
      <c r="DC38" s="228">
        <v>23.97</v>
      </c>
      <c r="DD38" s="228">
        <v>24.03</v>
      </c>
      <c r="DE38" s="228">
        <v>-0.73</v>
      </c>
      <c r="DF38" s="228">
        <v>-0.06</v>
      </c>
      <c r="DG38" s="228">
        <v>23.23</v>
      </c>
      <c r="DH38" s="228">
        <v>21.36</v>
      </c>
      <c r="DI38" s="228">
        <v>1.87</v>
      </c>
      <c r="DJ38" s="228">
        <v>1.87</v>
      </c>
      <c r="DK38" s="228">
        <v>23.26</v>
      </c>
      <c r="DL38" s="228">
        <v>20.92</v>
      </c>
      <c r="DM38" s="228">
        <v>2.34</v>
      </c>
      <c r="DN38" s="228">
        <v>2.34</v>
      </c>
      <c r="DO38" s="228">
        <v>0.42</v>
      </c>
      <c r="DP38" s="228">
        <v>0.42</v>
      </c>
      <c r="DQ38" s="228">
        <v>0</v>
      </c>
      <c r="DR38" s="229">
        <v>0</v>
      </c>
      <c r="DS38" s="231">
        <v>1600</v>
      </c>
      <c r="DT38" s="231">
        <v>1380</v>
      </c>
      <c r="DU38" s="228">
        <v>0.53</v>
      </c>
      <c r="DV38" s="228">
        <v>0.5</v>
      </c>
      <c r="DW38" s="228">
        <v>0.03</v>
      </c>
      <c r="DX38" s="229">
        <v>0.06</v>
      </c>
      <c r="DY38" s="229">
        <v>0.55620000000000003</v>
      </c>
      <c r="DZ38" s="230">
        <v>41010000</v>
      </c>
      <c r="EA38" s="229">
        <v>5.3E-3</v>
      </c>
      <c r="EB38" s="229">
        <v>0.55620000000000003</v>
      </c>
      <c r="EC38" s="228">
        <v>7.13</v>
      </c>
      <c r="ED38" s="229">
        <v>5.1000000000000004E-3</v>
      </c>
      <c r="EE38" s="230">
        <v>7352714</v>
      </c>
      <c r="EF38" s="230">
        <v>8567877</v>
      </c>
      <c r="EG38" s="229">
        <v>-0.14180000000000001</v>
      </c>
      <c r="EH38" s="229">
        <v>0.44740000000000002</v>
      </c>
      <c r="EI38" s="231">
        <v>2266180.48</v>
      </c>
      <c r="EJ38" s="231">
        <v>1153908.17</v>
      </c>
      <c r="EK38" s="231">
        <v>927438.42</v>
      </c>
      <c r="EL38" s="231">
        <v>61503</v>
      </c>
      <c r="EM38" s="231">
        <v>4347527.07</v>
      </c>
      <c r="EN38" s="231">
        <v>5609696.8099999996</v>
      </c>
      <c r="EO38" s="231">
        <v>-1262169.74</v>
      </c>
      <c r="EP38" s="229">
        <v>-0.22500000000000001</v>
      </c>
      <c r="EQ38" s="231">
        <v>1644667</v>
      </c>
      <c r="ER38" s="231">
        <v>662875</v>
      </c>
      <c r="ES38" s="231">
        <v>1692773</v>
      </c>
      <c r="ET38" s="231">
        <v>664266681</v>
      </c>
      <c r="EU38" s="231">
        <v>4000315</v>
      </c>
      <c r="EV38" s="231">
        <v>4058495</v>
      </c>
      <c r="EW38" s="231">
        <v>-58180</v>
      </c>
      <c r="EX38" s="229">
        <v>-1.43E-2</v>
      </c>
      <c r="EY38" s="229">
        <v>0.4128</v>
      </c>
    </row>
    <row r="39" spans="1:155" ht="17.25" thickBot="1" x14ac:dyDescent="0.3">
      <c r="A39" s="226">
        <v>46044</v>
      </c>
      <c r="B39" s="227" t="s">
        <v>175</v>
      </c>
      <c r="C39" s="227" t="s">
        <v>462</v>
      </c>
      <c r="D39" s="231">
        <v>2027.2</v>
      </c>
      <c r="E39" s="231">
        <v>2053.1</v>
      </c>
      <c r="F39" s="228">
        <v>-25.9</v>
      </c>
      <c r="G39" s="229">
        <v>-1.26E-2</v>
      </c>
      <c r="H39" s="231">
        <v>2022</v>
      </c>
      <c r="I39" s="231">
        <v>2055.4</v>
      </c>
      <c r="J39" s="228">
        <v>-33.4</v>
      </c>
      <c r="K39" s="229">
        <v>-1.6199999999999999E-2</v>
      </c>
      <c r="L39" s="231">
        <v>2027.2</v>
      </c>
      <c r="M39" s="231">
        <v>2053.1</v>
      </c>
      <c r="N39" s="228">
        <v>-25.9</v>
      </c>
      <c r="O39" s="229">
        <v>-1.26E-2</v>
      </c>
      <c r="P39" s="231">
        <v>2037.6</v>
      </c>
      <c r="Q39" s="231">
        <v>2064.1999999999998</v>
      </c>
      <c r="R39" s="228">
        <v>-26.6</v>
      </c>
      <c r="S39" s="229">
        <v>-1.29E-2</v>
      </c>
      <c r="T39" s="231">
        <v>2046.1</v>
      </c>
      <c r="U39" s="231">
        <v>2076.5</v>
      </c>
      <c r="V39" s="228">
        <v>-30.4</v>
      </c>
      <c r="W39" s="229">
        <v>-1.46E-2</v>
      </c>
      <c r="X39" s="228">
        <v>5.2</v>
      </c>
      <c r="Y39" s="228">
        <v>-2.2999999999999998</v>
      </c>
      <c r="Z39" s="228">
        <v>7.5</v>
      </c>
      <c r="AA39" s="229">
        <v>2.5999999999999999E-3</v>
      </c>
      <c r="AB39" s="228">
        <v>5.2</v>
      </c>
      <c r="AC39" s="228">
        <v>-2.2999999999999998</v>
      </c>
      <c r="AD39" s="228">
        <v>7.5</v>
      </c>
      <c r="AE39" s="229">
        <v>2.5999999999999999E-3</v>
      </c>
      <c r="AF39" s="228">
        <v>15.6</v>
      </c>
      <c r="AG39" s="228">
        <v>8.8000000000000007</v>
      </c>
      <c r="AH39" s="228">
        <v>6.8</v>
      </c>
      <c r="AI39" s="229">
        <v>7.7000000000000002E-3</v>
      </c>
      <c r="AJ39" s="228">
        <v>24.1</v>
      </c>
      <c r="AK39" s="228">
        <v>21.1</v>
      </c>
      <c r="AL39" s="228">
        <v>3</v>
      </c>
      <c r="AM39" s="229">
        <v>1.1900000000000001E-2</v>
      </c>
      <c r="AN39" s="231">
        <v>2030.29</v>
      </c>
      <c r="AO39" s="231">
        <v>2040.24</v>
      </c>
      <c r="AP39" s="228">
        <v>0</v>
      </c>
      <c r="AQ39" s="230">
        <v>26645</v>
      </c>
      <c r="AR39" s="230">
        <v>13502</v>
      </c>
      <c r="AS39" s="230">
        <v>13143</v>
      </c>
      <c r="AT39" s="229">
        <v>0.97340000000000004</v>
      </c>
      <c r="AU39" s="230">
        <v>13135</v>
      </c>
      <c r="AV39" s="230">
        <v>7576</v>
      </c>
      <c r="AW39" s="230">
        <v>5559</v>
      </c>
      <c r="AX39" s="229">
        <v>0.73380000000000001</v>
      </c>
      <c r="AY39" s="230">
        <v>13452</v>
      </c>
      <c r="AZ39" s="230">
        <v>5865</v>
      </c>
      <c r="BA39" s="230">
        <v>7587</v>
      </c>
      <c r="BB39" s="229">
        <v>1.2936000000000001</v>
      </c>
      <c r="BC39" s="228">
        <v>58</v>
      </c>
      <c r="BD39" s="228">
        <v>61</v>
      </c>
      <c r="BE39" s="228">
        <v>-3</v>
      </c>
      <c r="BF39" s="229">
        <v>-4.9200000000000001E-2</v>
      </c>
      <c r="BG39" s="230">
        <v>24404</v>
      </c>
      <c r="BH39" s="230">
        <v>25860</v>
      </c>
      <c r="BI39" s="230">
        <v>-1456</v>
      </c>
      <c r="BJ39" s="229">
        <v>-5.6300000000000003E-2</v>
      </c>
      <c r="BK39" s="230">
        <v>22064</v>
      </c>
      <c r="BL39" s="230">
        <v>13088</v>
      </c>
      <c r="BM39" s="230">
        <v>8976</v>
      </c>
      <c r="BN39" s="229">
        <v>0.68579999999999997</v>
      </c>
      <c r="BO39" s="230">
        <v>73113</v>
      </c>
      <c r="BP39" s="230">
        <v>52450</v>
      </c>
      <c r="BQ39" s="230">
        <v>20663</v>
      </c>
      <c r="BR39" s="229">
        <v>0.39400000000000002</v>
      </c>
      <c r="BS39" s="230">
        <v>1998008</v>
      </c>
      <c r="BT39" s="230">
        <v>1184261</v>
      </c>
      <c r="BU39" s="230">
        <v>813747</v>
      </c>
      <c r="BV39" s="229">
        <v>0.68710000000000004</v>
      </c>
      <c r="BW39" s="230">
        <v>10221000</v>
      </c>
      <c r="BX39" s="230">
        <v>9694125</v>
      </c>
      <c r="BY39" s="230">
        <v>526875</v>
      </c>
      <c r="BZ39" s="229">
        <v>5.4300000000000001E-2</v>
      </c>
      <c r="CA39" s="230">
        <v>3919875</v>
      </c>
      <c r="CB39" s="230">
        <v>7225500</v>
      </c>
      <c r="CC39" s="230">
        <v>-3305625</v>
      </c>
      <c r="CD39" s="229">
        <v>-0.45750000000000002</v>
      </c>
      <c r="CE39" s="230">
        <v>6178125</v>
      </c>
      <c r="CF39" s="230">
        <v>2353125</v>
      </c>
      <c r="CG39" s="230">
        <v>3825000</v>
      </c>
      <c r="CH39" s="229">
        <v>1.6254999999999999</v>
      </c>
      <c r="CI39" s="230">
        <v>123000</v>
      </c>
      <c r="CJ39" s="230">
        <v>115500</v>
      </c>
      <c r="CK39" s="230">
        <v>7500</v>
      </c>
      <c r="CL39" s="229">
        <v>6.4899999999999999E-2</v>
      </c>
      <c r="CM39" s="230">
        <v>7708875</v>
      </c>
      <c r="CN39" s="230">
        <v>7721625</v>
      </c>
      <c r="CO39" s="230">
        <v>-12750</v>
      </c>
      <c r="CP39" s="229">
        <v>-1.6999999999999999E-3</v>
      </c>
      <c r="CQ39" s="230">
        <v>2352375</v>
      </c>
      <c r="CR39" s="230">
        <v>2194500</v>
      </c>
      <c r="CS39" s="230">
        <v>157875</v>
      </c>
      <c r="CT39" s="229">
        <v>7.1900000000000006E-2</v>
      </c>
      <c r="CU39" s="230">
        <v>20282250</v>
      </c>
      <c r="CV39" s="230">
        <v>19610250</v>
      </c>
      <c r="CW39" s="230">
        <v>672000</v>
      </c>
      <c r="CX39" s="229">
        <v>3.4299999999999997E-2</v>
      </c>
      <c r="CY39" s="228">
        <v>22.8</v>
      </c>
      <c r="CZ39" s="228">
        <v>16.05</v>
      </c>
      <c r="DA39" s="228">
        <v>6.75</v>
      </c>
      <c r="DB39" s="228">
        <v>6.75</v>
      </c>
      <c r="DC39" s="228">
        <v>23.62</v>
      </c>
      <c r="DD39" s="228">
        <v>23.58</v>
      </c>
      <c r="DE39" s="228">
        <v>-0.82</v>
      </c>
      <c r="DF39" s="228">
        <v>0.04</v>
      </c>
      <c r="DG39" s="228">
        <v>22.49</v>
      </c>
      <c r="DH39" s="228">
        <v>15.29</v>
      </c>
      <c r="DI39" s="228">
        <v>7.2</v>
      </c>
      <c r="DJ39" s="228">
        <v>7.2</v>
      </c>
      <c r="DK39" s="228">
        <v>23.11</v>
      </c>
      <c r="DL39" s="228">
        <v>17.57</v>
      </c>
      <c r="DM39" s="228">
        <v>5.54</v>
      </c>
      <c r="DN39" s="228">
        <v>5.54</v>
      </c>
      <c r="DO39" s="228">
        <v>0.31</v>
      </c>
      <c r="DP39" s="228">
        <v>0.28000000000000003</v>
      </c>
      <c r="DQ39" s="228">
        <v>0.03</v>
      </c>
      <c r="DR39" s="229">
        <v>0.1071</v>
      </c>
      <c r="DS39" s="231">
        <v>2140</v>
      </c>
      <c r="DT39" s="231">
        <v>2020</v>
      </c>
      <c r="DU39" s="228">
        <v>0.9</v>
      </c>
      <c r="DV39" s="228">
        <v>0.51</v>
      </c>
      <c r="DW39" s="228">
        <v>0.39</v>
      </c>
      <c r="DX39" s="229">
        <v>0.76470000000000005</v>
      </c>
      <c r="DY39" s="229">
        <v>0.61650000000000005</v>
      </c>
      <c r="DZ39" s="230">
        <v>2468625</v>
      </c>
      <c r="EA39" s="229">
        <v>5.1000000000000004E-3</v>
      </c>
      <c r="EB39" s="229">
        <v>0.61650000000000005</v>
      </c>
      <c r="EC39" s="228">
        <v>9.9499999999999993</v>
      </c>
      <c r="ED39" s="229">
        <v>4.8999999999999998E-3</v>
      </c>
      <c r="EE39" s="230">
        <v>1327692</v>
      </c>
      <c r="EF39" s="230">
        <v>833052</v>
      </c>
      <c r="EG39" s="229">
        <v>0.59379999999999999</v>
      </c>
      <c r="EH39" s="229">
        <v>0.66449999999999998</v>
      </c>
      <c r="EI39" s="231">
        <v>190945.8</v>
      </c>
      <c r="EJ39" s="231">
        <v>167318.96</v>
      </c>
      <c r="EK39" s="231">
        <v>203370.89</v>
      </c>
      <c r="EL39" s="231">
        <v>6034</v>
      </c>
      <c r="EM39" s="231">
        <v>561635.65</v>
      </c>
      <c r="EN39" s="231">
        <v>409150.11</v>
      </c>
      <c r="EO39" s="231">
        <v>152485.54</v>
      </c>
      <c r="EP39" s="229">
        <v>0.37269999999999998</v>
      </c>
      <c r="EQ39" s="231">
        <v>164552</v>
      </c>
      <c r="ER39" s="231">
        <v>46912</v>
      </c>
      <c r="ES39" s="231">
        <v>207866</v>
      </c>
      <c r="ET39" s="231">
        <v>44756800</v>
      </c>
      <c r="EU39" s="231">
        <v>419329</v>
      </c>
      <c r="EV39" s="231">
        <v>408143</v>
      </c>
      <c r="EW39" s="231">
        <v>11186</v>
      </c>
      <c r="EX39" s="229">
        <v>2.7400000000000001E-2</v>
      </c>
      <c r="EY39" s="229">
        <v>0.45319999999999999</v>
      </c>
    </row>
    <row r="40" spans="1:155" ht="17.25" thickBot="1" x14ac:dyDescent="0.3">
      <c r="A40" s="226">
        <v>46044</v>
      </c>
      <c r="B40" s="227" t="s">
        <v>172</v>
      </c>
      <c r="C40" s="227" t="s">
        <v>283</v>
      </c>
      <c r="D40" s="231">
        <v>1047.25</v>
      </c>
      <c r="E40" s="231">
        <v>1030.25</v>
      </c>
      <c r="F40" s="228">
        <v>17</v>
      </c>
      <c r="G40" s="229">
        <v>1.6500000000000001E-2</v>
      </c>
      <c r="H40" s="231">
        <v>1048.3499999999999</v>
      </c>
      <c r="I40" s="231">
        <v>1028.6500000000001</v>
      </c>
      <c r="J40" s="228">
        <v>19.7</v>
      </c>
      <c r="K40" s="229">
        <v>1.9199999999999998E-2</v>
      </c>
      <c r="L40" s="231">
        <v>1047.25</v>
      </c>
      <c r="M40" s="231">
        <v>1030.25</v>
      </c>
      <c r="N40" s="228">
        <v>17</v>
      </c>
      <c r="O40" s="229">
        <v>1.6500000000000001E-2</v>
      </c>
      <c r="P40" s="231">
        <v>1053.1500000000001</v>
      </c>
      <c r="Q40" s="231">
        <v>1036.05</v>
      </c>
      <c r="R40" s="228">
        <v>17.100000000000001</v>
      </c>
      <c r="S40" s="229">
        <v>1.6500000000000001E-2</v>
      </c>
      <c r="T40" s="231">
        <v>1060.4000000000001</v>
      </c>
      <c r="U40" s="231">
        <v>1042.7</v>
      </c>
      <c r="V40" s="228">
        <v>17.7</v>
      </c>
      <c r="W40" s="229">
        <v>1.7000000000000001E-2</v>
      </c>
      <c r="X40" s="228">
        <v>-1.1000000000000001</v>
      </c>
      <c r="Y40" s="228">
        <v>1.6</v>
      </c>
      <c r="Z40" s="228">
        <v>-2.7</v>
      </c>
      <c r="AA40" s="229">
        <v>-1E-3</v>
      </c>
      <c r="AB40" s="228">
        <v>-1.1000000000000001</v>
      </c>
      <c r="AC40" s="228">
        <v>1.6</v>
      </c>
      <c r="AD40" s="228">
        <v>-2.7</v>
      </c>
      <c r="AE40" s="229">
        <v>-1E-3</v>
      </c>
      <c r="AF40" s="228">
        <v>4.8</v>
      </c>
      <c r="AG40" s="228">
        <v>7.4</v>
      </c>
      <c r="AH40" s="228">
        <v>-2.6</v>
      </c>
      <c r="AI40" s="229">
        <v>4.5999999999999999E-3</v>
      </c>
      <c r="AJ40" s="228">
        <v>12.05</v>
      </c>
      <c r="AK40" s="228">
        <v>14.05</v>
      </c>
      <c r="AL40" s="228">
        <v>-2</v>
      </c>
      <c r="AM40" s="229">
        <v>1.15E-2</v>
      </c>
      <c r="AN40" s="231">
        <v>1045.78</v>
      </c>
      <c r="AO40" s="231">
        <v>1051.27</v>
      </c>
      <c r="AP40" s="228">
        <v>0</v>
      </c>
      <c r="AQ40" s="230">
        <v>75246</v>
      </c>
      <c r="AR40" s="230">
        <v>63109</v>
      </c>
      <c r="AS40" s="230">
        <v>12137</v>
      </c>
      <c r="AT40" s="229">
        <v>0.1923</v>
      </c>
      <c r="AU40" s="230">
        <v>39616</v>
      </c>
      <c r="AV40" s="230">
        <v>34841</v>
      </c>
      <c r="AW40" s="230">
        <v>4775</v>
      </c>
      <c r="AX40" s="229">
        <v>0.1371</v>
      </c>
      <c r="AY40" s="230">
        <v>35160</v>
      </c>
      <c r="AZ40" s="230">
        <v>27721</v>
      </c>
      <c r="BA40" s="230">
        <v>7439</v>
      </c>
      <c r="BB40" s="229">
        <v>0.26840000000000003</v>
      </c>
      <c r="BC40" s="228">
        <v>470</v>
      </c>
      <c r="BD40" s="228">
        <v>547</v>
      </c>
      <c r="BE40" s="228">
        <v>-77</v>
      </c>
      <c r="BF40" s="229">
        <v>-0.14080000000000001</v>
      </c>
      <c r="BG40" s="230">
        <v>194439</v>
      </c>
      <c r="BH40" s="230">
        <v>180833</v>
      </c>
      <c r="BI40" s="230">
        <v>13606</v>
      </c>
      <c r="BJ40" s="229">
        <v>7.5200000000000003E-2</v>
      </c>
      <c r="BK40" s="230">
        <v>135605</v>
      </c>
      <c r="BL40" s="230">
        <v>150489</v>
      </c>
      <c r="BM40" s="230">
        <v>-14884</v>
      </c>
      <c r="BN40" s="229">
        <v>-9.8900000000000002E-2</v>
      </c>
      <c r="BO40" s="230">
        <v>405290</v>
      </c>
      <c r="BP40" s="230">
        <v>394431</v>
      </c>
      <c r="BQ40" s="230">
        <v>10859</v>
      </c>
      <c r="BR40" s="229">
        <v>2.75E-2</v>
      </c>
      <c r="BS40" s="230">
        <v>12764251</v>
      </c>
      <c r="BT40" s="230">
        <v>7955233</v>
      </c>
      <c r="BU40" s="230">
        <v>4809018</v>
      </c>
      <c r="BV40" s="229">
        <v>0.60450000000000004</v>
      </c>
      <c r="BW40" s="230">
        <v>74453250</v>
      </c>
      <c r="BX40" s="230">
        <v>73707750</v>
      </c>
      <c r="BY40" s="230">
        <v>745500</v>
      </c>
      <c r="BZ40" s="229">
        <v>1.01E-2</v>
      </c>
      <c r="CA40" s="230">
        <v>29038500</v>
      </c>
      <c r="CB40" s="230">
        <v>47583750</v>
      </c>
      <c r="CC40" s="230">
        <v>-18545250</v>
      </c>
      <c r="CD40" s="229">
        <v>-0.38969999999999999</v>
      </c>
      <c r="CE40" s="230">
        <v>43095000</v>
      </c>
      <c r="CF40" s="230">
        <v>23932500</v>
      </c>
      <c r="CG40" s="230">
        <v>19162500</v>
      </c>
      <c r="CH40" s="229">
        <v>0.80069999999999997</v>
      </c>
      <c r="CI40" s="230">
        <v>2319750</v>
      </c>
      <c r="CJ40" s="230">
        <v>2191500</v>
      </c>
      <c r="CK40" s="230">
        <v>128250</v>
      </c>
      <c r="CL40" s="229">
        <v>5.8500000000000003E-2</v>
      </c>
      <c r="CM40" s="230">
        <v>44706000</v>
      </c>
      <c r="CN40" s="230">
        <v>47189250</v>
      </c>
      <c r="CO40" s="230">
        <v>-2483250</v>
      </c>
      <c r="CP40" s="229">
        <v>-5.2600000000000001E-2</v>
      </c>
      <c r="CQ40" s="230">
        <v>42789000</v>
      </c>
      <c r="CR40" s="230">
        <v>41243250</v>
      </c>
      <c r="CS40" s="230">
        <v>1545750</v>
      </c>
      <c r="CT40" s="229">
        <v>3.7499999999999999E-2</v>
      </c>
      <c r="CU40" s="230">
        <v>161948250</v>
      </c>
      <c r="CV40" s="230">
        <v>162140250</v>
      </c>
      <c r="CW40" s="230">
        <v>-192000</v>
      </c>
      <c r="CX40" s="229">
        <v>-1.1999999999999999E-3</v>
      </c>
      <c r="CY40" s="228">
        <v>23.83</v>
      </c>
      <c r="CZ40" s="228">
        <v>16.84</v>
      </c>
      <c r="DA40" s="228">
        <v>6.99</v>
      </c>
      <c r="DB40" s="228">
        <v>6.99</v>
      </c>
      <c r="DC40" s="228">
        <v>24.07</v>
      </c>
      <c r="DD40" s="228">
        <v>23.99</v>
      </c>
      <c r="DE40" s="228">
        <v>-0.24</v>
      </c>
      <c r="DF40" s="228">
        <v>0.08</v>
      </c>
      <c r="DG40" s="228">
        <v>23.57</v>
      </c>
      <c r="DH40" s="228">
        <v>15.92</v>
      </c>
      <c r="DI40" s="228">
        <v>7.65</v>
      </c>
      <c r="DJ40" s="228">
        <v>7.65</v>
      </c>
      <c r="DK40" s="228">
        <v>24.12</v>
      </c>
      <c r="DL40" s="228">
        <v>17.95</v>
      </c>
      <c r="DM40" s="228">
        <v>6.17</v>
      </c>
      <c r="DN40" s="228">
        <v>6.17</v>
      </c>
      <c r="DO40" s="228">
        <v>0.96</v>
      </c>
      <c r="DP40" s="228">
        <v>0.87</v>
      </c>
      <c r="DQ40" s="228">
        <v>0.09</v>
      </c>
      <c r="DR40" s="229">
        <v>0.10340000000000001</v>
      </c>
      <c r="DS40" s="231">
        <v>1030</v>
      </c>
      <c r="DT40" s="231">
        <v>1000</v>
      </c>
      <c r="DU40" s="228">
        <v>0.7</v>
      </c>
      <c r="DV40" s="228">
        <v>0.83</v>
      </c>
      <c r="DW40" s="228">
        <v>-0.13</v>
      </c>
      <c r="DX40" s="229">
        <v>-0.15659999999999999</v>
      </c>
      <c r="DY40" s="229">
        <v>0.61</v>
      </c>
      <c r="DZ40" s="230">
        <v>26124000</v>
      </c>
      <c r="EA40" s="229">
        <v>5.5999999999999999E-3</v>
      </c>
      <c r="EB40" s="229">
        <v>0.61</v>
      </c>
      <c r="EC40" s="228">
        <v>5.49</v>
      </c>
      <c r="ED40" s="229">
        <v>5.1999999999999998E-3</v>
      </c>
      <c r="EE40" s="230">
        <v>7639683</v>
      </c>
      <c r="EF40" s="230">
        <v>4685742</v>
      </c>
      <c r="EG40" s="229">
        <v>0.63039999999999996</v>
      </c>
      <c r="EH40" s="229">
        <v>0.59850000000000003</v>
      </c>
      <c r="EI40" s="231">
        <v>1551149.58</v>
      </c>
      <c r="EJ40" s="231">
        <v>1050855.18</v>
      </c>
      <c r="EK40" s="231">
        <v>591675.39</v>
      </c>
      <c r="EL40" s="231">
        <v>32405</v>
      </c>
      <c r="EM40" s="231">
        <v>3193680.15</v>
      </c>
      <c r="EN40" s="231">
        <v>3067809.24</v>
      </c>
      <c r="EO40" s="231">
        <v>125870.91</v>
      </c>
      <c r="EP40" s="229">
        <v>4.1000000000000002E-2</v>
      </c>
      <c r="EQ40" s="231">
        <v>465082</v>
      </c>
      <c r="ER40" s="231">
        <v>426736</v>
      </c>
      <c r="ES40" s="231">
        <v>782559</v>
      </c>
      <c r="ET40" s="231">
        <v>436949195</v>
      </c>
      <c r="EU40" s="231">
        <v>1674377</v>
      </c>
      <c r="EV40" s="231">
        <v>1661271</v>
      </c>
      <c r="EW40" s="231">
        <v>13106</v>
      </c>
      <c r="EX40" s="229">
        <v>7.9000000000000008E-3</v>
      </c>
      <c r="EY40" s="229">
        <v>0.37059999999999998</v>
      </c>
    </row>
    <row r="41" spans="1:155" ht="17.25" thickBot="1" x14ac:dyDescent="0.3">
      <c r="A41" s="226">
        <v>46044</v>
      </c>
      <c r="B41" s="227" t="s">
        <v>175</v>
      </c>
      <c r="C41" s="227" t="s">
        <v>562</v>
      </c>
      <c r="D41" s="231">
        <v>1005.15</v>
      </c>
      <c r="E41" s="228">
        <v>985.7</v>
      </c>
      <c r="F41" s="228">
        <v>19.45</v>
      </c>
      <c r="G41" s="229">
        <v>1.9699999999999999E-2</v>
      </c>
      <c r="H41" s="231">
        <v>1005.5</v>
      </c>
      <c r="I41" s="228">
        <v>986</v>
      </c>
      <c r="J41" s="228">
        <v>19.5</v>
      </c>
      <c r="K41" s="229">
        <v>1.9800000000000002E-2</v>
      </c>
      <c r="L41" s="231">
        <v>1005.15</v>
      </c>
      <c r="M41" s="228">
        <v>985.7</v>
      </c>
      <c r="N41" s="228">
        <v>19.45</v>
      </c>
      <c r="O41" s="229">
        <v>1.9699999999999999E-2</v>
      </c>
      <c r="P41" s="231">
        <v>1010.05</v>
      </c>
      <c r="Q41" s="228">
        <v>990.6</v>
      </c>
      <c r="R41" s="228">
        <v>19.45</v>
      </c>
      <c r="S41" s="229">
        <v>1.9599999999999999E-2</v>
      </c>
      <c r="T41" s="231">
        <v>1018.35</v>
      </c>
      <c r="U41" s="228">
        <v>997.8</v>
      </c>
      <c r="V41" s="228">
        <v>20.55</v>
      </c>
      <c r="W41" s="229">
        <v>2.06E-2</v>
      </c>
      <c r="X41" s="228">
        <v>-0.35</v>
      </c>
      <c r="Y41" s="228">
        <v>-0.3</v>
      </c>
      <c r="Z41" s="228">
        <v>-0.05</v>
      </c>
      <c r="AA41" s="229">
        <v>-2.9999999999999997E-4</v>
      </c>
      <c r="AB41" s="228">
        <v>-0.35</v>
      </c>
      <c r="AC41" s="228">
        <v>-0.3</v>
      </c>
      <c r="AD41" s="228">
        <v>-0.05</v>
      </c>
      <c r="AE41" s="229">
        <v>-2.9999999999999997E-4</v>
      </c>
      <c r="AF41" s="228">
        <v>4.55</v>
      </c>
      <c r="AG41" s="228">
        <v>4.5999999999999996</v>
      </c>
      <c r="AH41" s="228">
        <v>-0.05</v>
      </c>
      <c r="AI41" s="229">
        <v>4.4999999999999997E-3</v>
      </c>
      <c r="AJ41" s="228">
        <v>12.85</v>
      </c>
      <c r="AK41" s="228">
        <v>11.8</v>
      </c>
      <c r="AL41" s="228">
        <v>1.05</v>
      </c>
      <c r="AM41" s="229">
        <v>1.2800000000000001E-2</v>
      </c>
      <c r="AN41" s="228">
        <v>998.8</v>
      </c>
      <c r="AO41" s="231">
        <v>1003.47</v>
      </c>
      <c r="AP41" s="228">
        <v>0</v>
      </c>
      <c r="AQ41" s="230">
        <v>41763</v>
      </c>
      <c r="AR41" s="230">
        <v>27384</v>
      </c>
      <c r="AS41" s="230">
        <v>14379</v>
      </c>
      <c r="AT41" s="229">
        <v>0.52510000000000001</v>
      </c>
      <c r="AU41" s="230">
        <v>21685</v>
      </c>
      <c r="AV41" s="230">
        <v>15062</v>
      </c>
      <c r="AW41" s="230">
        <v>6623</v>
      </c>
      <c r="AX41" s="229">
        <v>0.43969999999999998</v>
      </c>
      <c r="AY41" s="230">
        <v>19978</v>
      </c>
      <c r="AZ41" s="230">
        <v>12215</v>
      </c>
      <c r="BA41" s="230">
        <v>7763</v>
      </c>
      <c r="BB41" s="229">
        <v>0.63549999999999995</v>
      </c>
      <c r="BC41" s="228">
        <v>100</v>
      </c>
      <c r="BD41" s="228">
        <v>107</v>
      </c>
      <c r="BE41" s="228">
        <v>-7</v>
      </c>
      <c r="BF41" s="229">
        <v>-6.54E-2</v>
      </c>
      <c r="BG41" s="230">
        <v>35159</v>
      </c>
      <c r="BH41" s="230">
        <v>27005</v>
      </c>
      <c r="BI41" s="230">
        <v>8154</v>
      </c>
      <c r="BJ41" s="229">
        <v>0.3019</v>
      </c>
      <c r="BK41" s="230">
        <v>16565</v>
      </c>
      <c r="BL41" s="230">
        <v>14588</v>
      </c>
      <c r="BM41" s="230">
        <v>1977</v>
      </c>
      <c r="BN41" s="229">
        <v>0.13550000000000001</v>
      </c>
      <c r="BO41" s="230">
        <v>93487</v>
      </c>
      <c r="BP41" s="230">
        <v>68977</v>
      </c>
      <c r="BQ41" s="230">
        <v>24510</v>
      </c>
      <c r="BR41" s="229">
        <v>0.3553</v>
      </c>
      <c r="BS41" s="230">
        <v>7357990</v>
      </c>
      <c r="BT41" s="230">
        <v>7591774</v>
      </c>
      <c r="BU41" s="230">
        <v>-233784</v>
      </c>
      <c r="BV41" s="229">
        <v>-3.0800000000000001E-2</v>
      </c>
      <c r="BW41" s="230">
        <v>46496175</v>
      </c>
      <c r="BX41" s="230">
        <v>47004375</v>
      </c>
      <c r="BY41" s="230">
        <v>-508200</v>
      </c>
      <c r="BZ41" s="229">
        <v>-1.0800000000000001E-2</v>
      </c>
      <c r="CA41" s="230">
        <v>18880950</v>
      </c>
      <c r="CB41" s="230">
        <v>32835000</v>
      </c>
      <c r="CC41" s="230">
        <v>-13954050</v>
      </c>
      <c r="CD41" s="229">
        <v>-0.42499999999999999</v>
      </c>
      <c r="CE41" s="230">
        <v>27170550</v>
      </c>
      <c r="CF41" s="230">
        <v>13733775</v>
      </c>
      <c r="CG41" s="230">
        <v>13436775</v>
      </c>
      <c r="CH41" s="229">
        <v>0.97840000000000005</v>
      </c>
      <c r="CI41" s="230">
        <v>444675</v>
      </c>
      <c r="CJ41" s="230">
        <v>435600</v>
      </c>
      <c r="CK41" s="230">
        <v>9075</v>
      </c>
      <c r="CL41" s="229">
        <v>2.0799999999999999E-2</v>
      </c>
      <c r="CM41" s="230">
        <v>14635500</v>
      </c>
      <c r="CN41" s="230">
        <v>15599100</v>
      </c>
      <c r="CO41" s="230">
        <v>-963600</v>
      </c>
      <c r="CP41" s="229">
        <v>-6.1800000000000001E-2</v>
      </c>
      <c r="CQ41" s="230">
        <v>11931975</v>
      </c>
      <c r="CR41" s="230">
        <v>11432025</v>
      </c>
      <c r="CS41" s="230">
        <v>499950</v>
      </c>
      <c r="CT41" s="229">
        <v>4.3700000000000003E-2</v>
      </c>
      <c r="CU41" s="230">
        <v>73063650</v>
      </c>
      <c r="CV41" s="230">
        <v>74035500</v>
      </c>
      <c r="CW41" s="230">
        <v>-971850</v>
      </c>
      <c r="CX41" s="229">
        <v>-1.3100000000000001E-2</v>
      </c>
      <c r="CY41" s="228">
        <v>36.35</v>
      </c>
      <c r="CZ41" s="228">
        <v>39.76</v>
      </c>
      <c r="DA41" s="228">
        <v>-3.41</v>
      </c>
      <c r="DB41" s="228">
        <v>-3.41</v>
      </c>
      <c r="DC41" s="228">
        <v>38.44</v>
      </c>
      <c r="DD41" s="228">
        <v>38.450000000000003</v>
      </c>
      <c r="DE41" s="228">
        <v>-2.09</v>
      </c>
      <c r="DF41" s="228">
        <v>-0.01</v>
      </c>
      <c r="DG41" s="228">
        <v>36.33</v>
      </c>
      <c r="DH41" s="228">
        <v>39.78</v>
      </c>
      <c r="DI41" s="228">
        <v>-3.45</v>
      </c>
      <c r="DJ41" s="228">
        <v>-3.45</v>
      </c>
      <c r="DK41" s="228">
        <v>36.39</v>
      </c>
      <c r="DL41" s="228">
        <v>39.72</v>
      </c>
      <c r="DM41" s="228">
        <v>-3.33</v>
      </c>
      <c r="DN41" s="228">
        <v>-3.33</v>
      </c>
      <c r="DO41" s="228">
        <v>0.82</v>
      </c>
      <c r="DP41" s="228">
        <v>0.73</v>
      </c>
      <c r="DQ41" s="228">
        <v>0.09</v>
      </c>
      <c r="DR41" s="229">
        <v>0.12330000000000001</v>
      </c>
      <c r="DS41" s="231">
        <v>1000</v>
      </c>
      <c r="DT41" s="228">
        <v>980</v>
      </c>
      <c r="DU41" s="228">
        <v>0.47</v>
      </c>
      <c r="DV41" s="228">
        <v>0.54</v>
      </c>
      <c r="DW41" s="228">
        <v>-7.0000000000000007E-2</v>
      </c>
      <c r="DX41" s="229">
        <v>-0.12959999999999999</v>
      </c>
      <c r="DY41" s="229">
        <v>0.59389999999999998</v>
      </c>
      <c r="DZ41" s="230">
        <v>14169375</v>
      </c>
      <c r="EA41" s="229">
        <v>4.8999999999999998E-3</v>
      </c>
      <c r="EB41" s="229">
        <v>0.59389999999999998</v>
      </c>
      <c r="EC41" s="228">
        <v>4.67</v>
      </c>
      <c r="ED41" s="229">
        <v>4.7000000000000002E-3</v>
      </c>
      <c r="EE41" s="230">
        <v>4791353</v>
      </c>
      <c r="EF41" s="230">
        <v>4340332</v>
      </c>
      <c r="EG41" s="229">
        <v>0.10390000000000001</v>
      </c>
      <c r="EH41" s="229">
        <v>0.6512</v>
      </c>
      <c r="EI41" s="231">
        <v>301428.01</v>
      </c>
      <c r="EJ41" s="231">
        <v>134361.63</v>
      </c>
      <c r="EK41" s="231">
        <v>344909.66</v>
      </c>
      <c r="EL41" s="231">
        <v>15358</v>
      </c>
      <c r="EM41" s="231">
        <v>780699.3</v>
      </c>
      <c r="EN41" s="231">
        <v>569885.28</v>
      </c>
      <c r="EO41" s="231">
        <v>210814.02</v>
      </c>
      <c r="EP41" s="229">
        <v>0.36990000000000001</v>
      </c>
      <c r="EQ41" s="231">
        <v>149285</v>
      </c>
      <c r="ER41" s="231">
        <v>112918</v>
      </c>
      <c r="ES41" s="231">
        <v>468746</v>
      </c>
      <c r="ET41" s="231">
        <v>210513975</v>
      </c>
      <c r="EU41" s="231">
        <v>730949</v>
      </c>
      <c r="EV41" s="231">
        <v>730760</v>
      </c>
      <c r="EW41" s="228">
        <v>189</v>
      </c>
      <c r="EX41" s="229">
        <v>2.9999999999999997E-4</v>
      </c>
      <c r="EY41" s="229">
        <v>0.34710000000000002</v>
      </c>
    </row>
    <row r="42" spans="1:155" ht="17.25" thickBot="1" x14ac:dyDescent="0.3">
      <c r="A42" s="226">
        <v>46044</v>
      </c>
      <c r="B42" s="227" t="s">
        <v>170</v>
      </c>
      <c r="C42" s="227" t="s">
        <v>288</v>
      </c>
      <c r="D42" s="231">
        <v>1635.4</v>
      </c>
      <c r="E42" s="231">
        <v>1616.4</v>
      </c>
      <c r="F42" s="228">
        <v>19</v>
      </c>
      <c r="G42" s="229">
        <v>1.18E-2</v>
      </c>
      <c r="H42" s="231">
        <v>1634.2</v>
      </c>
      <c r="I42" s="231">
        <v>1612.9</v>
      </c>
      <c r="J42" s="228">
        <v>21.3</v>
      </c>
      <c r="K42" s="229">
        <v>1.32E-2</v>
      </c>
      <c r="L42" s="231">
        <v>1635.4</v>
      </c>
      <c r="M42" s="231">
        <v>1616.4</v>
      </c>
      <c r="N42" s="228">
        <v>19</v>
      </c>
      <c r="O42" s="229">
        <v>1.18E-2</v>
      </c>
      <c r="P42" s="231">
        <v>1633.5</v>
      </c>
      <c r="Q42" s="231">
        <v>1614.3</v>
      </c>
      <c r="R42" s="228">
        <v>19.2</v>
      </c>
      <c r="S42" s="229">
        <v>1.1900000000000001E-2</v>
      </c>
      <c r="T42" s="231">
        <v>1645.2</v>
      </c>
      <c r="U42" s="231">
        <v>1625.2</v>
      </c>
      <c r="V42" s="228">
        <v>20</v>
      </c>
      <c r="W42" s="229">
        <v>1.23E-2</v>
      </c>
      <c r="X42" s="228">
        <v>1.2</v>
      </c>
      <c r="Y42" s="228">
        <v>3.5</v>
      </c>
      <c r="Z42" s="228">
        <v>-2.2999999999999998</v>
      </c>
      <c r="AA42" s="229">
        <v>6.9999999999999999E-4</v>
      </c>
      <c r="AB42" s="228">
        <v>1.2</v>
      </c>
      <c r="AC42" s="228">
        <v>3.5</v>
      </c>
      <c r="AD42" s="228">
        <v>-2.2999999999999998</v>
      </c>
      <c r="AE42" s="229">
        <v>6.9999999999999999E-4</v>
      </c>
      <c r="AF42" s="228">
        <v>-0.7</v>
      </c>
      <c r="AG42" s="228">
        <v>1.4</v>
      </c>
      <c r="AH42" s="228">
        <v>-2.1</v>
      </c>
      <c r="AI42" s="229">
        <v>-4.0000000000000002E-4</v>
      </c>
      <c r="AJ42" s="228">
        <v>11</v>
      </c>
      <c r="AK42" s="228">
        <v>12.3</v>
      </c>
      <c r="AL42" s="228">
        <v>-1.3</v>
      </c>
      <c r="AM42" s="229">
        <v>6.7000000000000002E-3</v>
      </c>
      <c r="AN42" s="231">
        <v>1632</v>
      </c>
      <c r="AO42" s="231">
        <v>1629.56</v>
      </c>
      <c r="AP42" s="228">
        <v>0</v>
      </c>
      <c r="AQ42" s="230">
        <v>40692</v>
      </c>
      <c r="AR42" s="230">
        <v>25340</v>
      </c>
      <c r="AS42" s="230">
        <v>15352</v>
      </c>
      <c r="AT42" s="229">
        <v>0.60580000000000001</v>
      </c>
      <c r="AU42" s="230">
        <v>20753</v>
      </c>
      <c r="AV42" s="230">
        <v>12778</v>
      </c>
      <c r="AW42" s="230">
        <v>7975</v>
      </c>
      <c r="AX42" s="229">
        <v>0.62409999999999999</v>
      </c>
      <c r="AY42" s="230">
        <v>19875</v>
      </c>
      <c r="AZ42" s="230">
        <v>12457</v>
      </c>
      <c r="BA42" s="230">
        <v>7418</v>
      </c>
      <c r="BB42" s="229">
        <v>0.59550000000000003</v>
      </c>
      <c r="BC42" s="228">
        <v>64</v>
      </c>
      <c r="BD42" s="228">
        <v>105</v>
      </c>
      <c r="BE42" s="228">
        <v>-41</v>
      </c>
      <c r="BF42" s="229">
        <v>-0.39050000000000001</v>
      </c>
      <c r="BG42" s="230">
        <v>27075</v>
      </c>
      <c r="BH42" s="230">
        <v>45779</v>
      </c>
      <c r="BI42" s="230">
        <v>-18704</v>
      </c>
      <c r="BJ42" s="229">
        <v>-0.40860000000000002</v>
      </c>
      <c r="BK42" s="230">
        <v>24075</v>
      </c>
      <c r="BL42" s="230">
        <v>25717</v>
      </c>
      <c r="BM42" s="230">
        <v>-1642</v>
      </c>
      <c r="BN42" s="229">
        <v>-6.3799999999999996E-2</v>
      </c>
      <c r="BO42" s="230">
        <v>91842</v>
      </c>
      <c r="BP42" s="230">
        <v>96836</v>
      </c>
      <c r="BQ42" s="230">
        <v>-4994</v>
      </c>
      <c r="BR42" s="229">
        <v>-5.16E-2</v>
      </c>
      <c r="BS42" s="230">
        <v>2396164</v>
      </c>
      <c r="BT42" s="230">
        <v>4079568</v>
      </c>
      <c r="BU42" s="230">
        <v>-1683404</v>
      </c>
      <c r="BV42" s="229">
        <v>-0.41260000000000002</v>
      </c>
      <c r="BW42" s="230">
        <v>21303100</v>
      </c>
      <c r="BX42" s="230">
        <v>21098000</v>
      </c>
      <c r="BY42" s="230">
        <v>205100</v>
      </c>
      <c r="BZ42" s="229">
        <v>9.7000000000000003E-3</v>
      </c>
      <c r="CA42" s="230">
        <v>10281250</v>
      </c>
      <c r="CB42" s="230">
        <v>15932700</v>
      </c>
      <c r="CC42" s="230">
        <v>-5651450</v>
      </c>
      <c r="CD42" s="229">
        <v>-0.35470000000000002</v>
      </c>
      <c r="CE42" s="230">
        <v>10847900</v>
      </c>
      <c r="CF42" s="230">
        <v>4993800</v>
      </c>
      <c r="CG42" s="230">
        <v>5854100</v>
      </c>
      <c r="CH42" s="229">
        <v>1.1722999999999999</v>
      </c>
      <c r="CI42" s="230">
        <v>173950</v>
      </c>
      <c r="CJ42" s="230">
        <v>171500</v>
      </c>
      <c r="CK42" s="230">
        <v>2450</v>
      </c>
      <c r="CL42" s="229">
        <v>1.43E-2</v>
      </c>
      <c r="CM42" s="230">
        <v>11782750</v>
      </c>
      <c r="CN42" s="230">
        <v>12072900</v>
      </c>
      <c r="CO42" s="230">
        <v>-290150</v>
      </c>
      <c r="CP42" s="229">
        <v>-2.4E-2</v>
      </c>
      <c r="CQ42" s="230">
        <v>4711700</v>
      </c>
      <c r="CR42" s="230">
        <v>5148150</v>
      </c>
      <c r="CS42" s="230">
        <v>-436450</v>
      </c>
      <c r="CT42" s="229">
        <v>-8.48E-2</v>
      </c>
      <c r="CU42" s="230">
        <v>37797550</v>
      </c>
      <c r="CV42" s="230">
        <v>38319050</v>
      </c>
      <c r="CW42" s="230">
        <v>-521500</v>
      </c>
      <c r="CX42" s="229">
        <v>-1.3599999999999999E-2</v>
      </c>
      <c r="CY42" s="228">
        <v>24.28</v>
      </c>
      <c r="CZ42" s="228">
        <v>21.4</v>
      </c>
      <c r="DA42" s="228">
        <v>2.88</v>
      </c>
      <c r="DB42" s="228">
        <v>2.88</v>
      </c>
      <c r="DC42" s="228">
        <v>22.95</v>
      </c>
      <c r="DD42" s="228">
        <v>22.94</v>
      </c>
      <c r="DE42" s="228">
        <v>1.33</v>
      </c>
      <c r="DF42" s="228">
        <v>0.01</v>
      </c>
      <c r="DG42" s="228">
        <v>24.12</v>
      </c>
      <c r="DH42" s="228">
        <v>21.04</v>
      </c>
      <c r="DI42" s="228">
        <v>3.08</v>
      </c>
      <c r="DJ42" s="228">
        <v>3.08</v>
      </c>
      <c r="DK42" s="228">
        <v>24.57</v>
      </c>
      <c r="DL42" s="228">
        <v>22.04</v>
      </c>
      <c r="DM42" s="228">
        <v>2.5299999999999998</v>
      </c>
      <c r="DN42" s="228">
        <v>2.5299999999999998</v>
      </c>
      <c r="DO42" s="228">
        <v>0.4</v>
      </c>
      <c r="DP42" s="228">
        <v>0.43</v>
      </c>
      <c r="DQ42" s="228">
        <v>-0.03</v>
      </c>
      <c r="DR42" s="229">
        <v>-6.9800000000000001E-2</v>
      </c>
      <c r="DS42" s="231">
        <v>1800</v>
      </c>
      <c r="DT42" s="231">
        <v>1620</v>
      </c>
      <c r="DU42" s="228">
        <v>0.89</v>
      </c>
      <c r="DV42" s="228">
        <v>0.56000000000000005</v>
      </c>
      <c r="DW42" s="228">
        <v>0.33</v>
      </c>
      <c r="DX42" s="229">
        <v>0.58930000000000005</v>
      </c>
      <c r="DY42" s="229">
        <v>0.51739999999999997</v>
      </c>
      <c r="DZ42" s="230">
        <v>5165300</v>
      </c>
      <c r="EA42" s="229">
        <v>-1.1999999999999999E-3</v>
      </c>
      <c r="EB42" s="229">
        <v>0.51739999999999997</v>
      </c>
      <c r="EC42" s="228">
        <v>-2.44</v>
      </c>
      <c r="ED42" s="229">
        <v>-1.5E-3</v>
      </c>
      <c r="EE42" s="230">
        <v>1473571</v>
      </c>
      <c r="EF42" s="230">
        <v>2698886</v>
      </c>
      <c r="EG42" s="229">
        <v>-0.45400000000000001</v>
      </c>
      <c r="EH42" s="229">
        <v>0.61499999999999999</v>
      </c>
      <c r="EI42" s="231">
        <v>159007.35</v>
      </c>
      <c r="EJ42" s="231">
        <v>136717.53</v>
      </c>
      <c r="EK42" s="231">
        <v>232264.44</v>
      </c>
      <c r="EL42" s="231">
        <v>15850</v>
      </c>
      <c r="EM42" s="231">
        <v>527989.31999999995</v>
      </c>
      <c r="EN42" s="231">
        <v>558752.25</v>
      </c>
      <c r="EO42" s="231">
        <v>-30762.93</v>
      </c>
      <c r="EP42" s="229">
        <v>-5.5100000000000003E-2</v>
      </c>
      <c r="EQ42" s="231">
        <v>206490</v>
      </c>
      <c r="ER42" s="231">
        <v>78451</v>
      </c>
      <c r="ES42" s="231">
        <v>348202</v>
      </c>
      <c r="ET42" s="231">
        <v>109220043</v>
      </c>
      <c r="EU42" s="231">
        <v>633142</v>
      </c>
      <c r="EV42" s="231">
        <v>637945</v>
      </c>
      <c r="EW42" s="231">
        <v>-4803</v>
      </c>
      <c r="EX42" s="229">
        <v>-7.4999999999999997E-3</v>
      </c>
      <c r="EY42" s="229">
        <v>0.34610000000000002</v>
      </c>
    </row>
    <row r="43" spans="1:155" ht="17.25" thickBot="1" x14ac:dyDescent="0.3">
      <c r="A43" s="226">
        <v>46044</v>
      </c>
      <c r="B43" s="227" t="s">
        <v>168</v>
      </c>
      <c r="C43" s="227" t="s">
        <v>291</v>
      </c>
      <c r="D43" s="231">
        <v>1177.8</v>
      </c>
      <c r="E43" s="231">
        <v>1164.5999999999999</v>
      </c>
      <c r="F43" s="228">
        <v>13.2</v>
      </c>
      <c r="G43" s="229">
        <v>1.1299999999999999E-2</v>
      </c>
      <c r="H43" s="231">
        <v>1175.2</v>
      </c>
      <c r="I43" s="231">
        <v>1163.5999999999999</v>
      </c>
      <c r="J43" s="228">
        <v>11.6</v>
      </c>
      <c r="K43" s="229">
        <v>0.01</v>
      </c>
      <c r="L43" s="231">
        <v>1177.8</v>
      </c>
      <c r="M43" s="231">
        <v>1164.5999999999999</v>
      </c>
      <c r="N43" s="228">
        <v>13.2</v>
      </c>
      <c r="O43" s="229">
        <v>1.1299999999999999E-2</v>
      </c>
      <c r="P43" s="231">
        <v>1183.8</v>
      </c>
      <c r="Q43" s="231">
        <v>1170.9000000000001</v>
      </c>
      <c r="R43" s="228">
        <v>12.9</v>
      </c>
      <c r="S43" s="229">
        <v>1.0999999999999999E-2</v>
      </c>
      <c r="T43" s="231">
        <v>1194.3</v>
      </c>
      <c r="U43" s="231">
        <v>1177.5999999999999</v>
      </c>
      <c r="V43" s="228">
        <v>16.7</v>
      </c>
      <c r="W43" s="229">
        <v>1.4200000000000001E-2</v>
      </c>
      <c r="X43" s="228">
        <v>2.6</v>
      </c>
      <c r="Y43" s="228">
        <v>1</v>
      </c>
      <c r="Z43" s="228">
        <v>1.6</v>
      </c>
      <c r="AA43" s="229">
        <v>2.2000000000000001E-3</v>
      </c>
      <c r="AB43" s="228">
        <v>2.6</v>
      </c>
      <c r="AC43" s="228">
        <v>1</v>
      </c>
      <c r="AD43" s="228">
        <v>1.6</v>
      </c>
      <c r="AE43" s="229">
        <v>2.2000000000000001E-3</v>
      </c>
      <c r="AF43" s="228">
        <v>8.6</v>
      </c>
      <c r="AG43" s="228">
        <v>7.3</v>
      </c>
      <c r="AH43" s="228">
        <v>1.3</v>
      </c>
      <c r="AI43" s="229">
        <v>7.3000000000000001E-3</v>
      </c>
      <c r="AJ43" s="228">
        <v>19.100000000000001</v>
      </c>
      <c r="AK43" s="228">
        <v>14</v>
      </c>
      <c r="AL43" s="228">
        <v>5.0999999999999996</v>
      </c>
      <c r="AM43" s="229">
        <v>1.6299999999999999E-2</v>
      </c>
      <c r="AN43" s="231">
        <v>1179.76</v>
      </c>
      <c r="AO43" s="231">
        <v>1186</v>
      </c>
      <c r="AP43" s="228">
        <v>0</v>
      </c>
      <c r="AQ43" s="230">
        <v>18123</v>
      </c>
      <c r="AR43" s="230">
        <v>13972</v>
      </c>
      <c r="AS43" s="230">
        <v>4151</v>
      </c>
      <c r="AT43" s="229">
        <v>0.29709999999999998</v>
      </c>
      <c r="AU43" s="230">
        <v>8771</v>
      </c>
      <c r="AV43" s="230">
        <v>7371</v>
      </c>
      <c r="AW43" s="230">
        <v>1400</v>
      </c>
      <c r="AX43" s="229">
        <v>0.18990000000000001</v>
      </c>
      <c r="AY43" s="230">
        <v>9289</v>
      </c>
      <c r="AZ43" s="230">
        <v>6562</v>
      </c>
      <c r="BA43" s="230">
        <v>2727</v>
      </c>
      <c r="BB43" s="229">
        <v>0.41560000000000002</v>
      </c>
      <c r="BC43" s="228">
        <v>63</v>
      </c>
      <c r="BD43" s="228">
        <v>39</v>
      </c>
      <c r="BE43" s="228">
        <v>24</v>
      </c>
      <c r="BF43" s="229">
        <v>0.61539999999999995</v>
      </c>
      <c r="BG43" s="230">
        <v>10780</v>
      </c>
      <c r="BH43" s="230">
        <v>14027</v>
      </c>
      <c r="BI43" s="230">
        <v>-3247</v>
      </c>
      <c r="BJ43" s="229">
        <v>-0.23150000000000001</v>
      </c>
      <c r="BK43" s="230">
        <v>6676</v>
      </c>
      <c r="BL43" s="230">
        <v>6589</v>
      </c>
      <c r="BM43" s="228">
        <v>87</v>
      </c>
      <c r="BN43" s="229">
        <v>1.32E-2</v>
      </c>
      <c r="BO43" s="230">
        <v>35579</v>
      </c>
      <c r="BP43" s="230">
        <v>34588</v>
      </c>
      <c r="BQ43" s="228">
        <v>991</v>
      </c>
      <c r="BR43" s="229">
        <v>2.87E-2</v>
      </c>
      <c r="BS43" s="230">
        <v>1507585</v>
      </c>
      <c r="BT43" s="230">
        <v>981893</v>
      </c>
      <c r="BU43" s="230">
        <v>525692</v>
      </c>
      <c r="BV43" s="229">
        <v>0.53539999999999999</v>
      </c>
      <c r="BW43" s="230">
        <v>11569250</v>
      </c>
      <c r="BX43" s="230">
        <v>11612150</v>
      </c>
      <c r="BY43" s="230">
        <v>-42900</v>
      </c>
      <c r="BZ43" s="229">
        <v>-3.7000000000000002E-3</v>
      </c>
      <c r="CA43" s="230">
        <v>3844500</v>
      </c>
      <c r="CB43" s="230">
        <v>7789100</v>
      </c>
      <c r="CC43" s="230">
        <v>-3944600</v>
      </c>
      <c r="CD43" s="229">
        <v>-0.50639999999999996</v>
      </c>
      <c r="CE43" s="230">
        <v>7608700</v>
      </c>
      <c r="CF43" s="230">
        <v>3727350</v>
      </c>
      <c r="CG43" s="230">
        <v>3881350</v>
      </c>
      <c r="CH43" s="229">
        <v>1.0412999999999999</v>
      </c>
      <c r="CI43" s="230">
        <v>116050</v>
      </c>
      <c r="CJ43" s="230">
        <v>95700</v>
      </c>
      <c r="CK43" s="230">
        <v>20350</v>
      </c>
      <c r="CL43" s="229">
        <v>0.21260000000000001</v>
      </c>
      <c r="CM43" s="230">
        <v>4024900</v>
      </c>
      <c r="CN43" s="230">
        <v>4484150</v>
      </c>
      <c r="CO43" s="230">
        <v>-459250</v>
      </c>
      <c r="CP43" s="229">
        <v>-0.1024</v>
      </c>
      <c r="CQ43" s="230">
        <v>2897400</v>
      </c>
      <c r="CR43" s="230">
        <v>3072300</v>
      </c>
      <c r="CS43" s="230">
        <v>-174900</v>
      </c>
      <c r="CT43" s="229">
        <v>-5.6899999999999999E-2</v>
      </c>
      <c r="CU43" s="230">
        <v>18491550</v>
      </c>
      <c r="CV43" s="230">
        <v>19168600</v>
      </c>
      <c r="CW43" s="230">
        <v>-677050</v>
      </c>
      <c r="CX43" s="229">
        <v>-3.5299999999999998E-2</v>
      </c>
      <c r="CY43" s="228">
        <v>26.26</v>
      </c>
      <c r="CZ43" s="228">
        <v>23.5</v>
      </c>
      <c r="DA43" s="228">
        <v>2.76</v>
      </c>
      <c r="DB43" s="228">
        <v>2.76</v>
      </c>
      <c r="DC43" s="228">
        <v>25.61</v>
      </c>
      <c r="DD43" s="228">
        <v>25.64</v>
      </c>
      <c r="DE43" s="228">
        <v>0.65</v>
      </c>
      <c r="DF43" s="228">
        <v>-0.03</v>
      </c>
      <c r="DG43" s="228">
        <v>26.21</v>
      </c>
      <c r="DH43" s="228">
        <v>23.83</v>
      </c>
      <c r="DI43" s="228">
        <v>2.38</v>
      </c>
      <c r="DJ43" s="228">
        <v>2.38</v>
      </c>
      <c r="DK43" s="228">
        <v>26.34</v>
      </c>
      <c r="DL43" s="228">
        <v>22.81</v>
      </c>
      <c r="DM43" s="228">
        <v>3.53</v>
      </c>
      <c r="DN43" s="228">
        <v>3.53</v>
      </c>
      <c r="DO43" s="228">
        <v>0.72</v>
      </c>
      <c r="DP43" s="228">
        <v>0.69</v>
      </c>
      <c r="DQ43" s="228">
        <v>0.03</v>
      </c>
      <c r="DR43" s="229">
        <v>4.3499999999999997E-2</v>
      </c>
      <c r="DS43" s="231">
        <v>1220</v>
      </c>
      <c r="DT43" s="231">
        <v>1080</v>
      </c>
      <c r="DU43" s="228">
        <v>0.62</v>
      </c>
      <c r="DV43" s="228">
        <v>0.47</v>
      </c>
      <c r="DW43" s="228">
        <v>0.15</v>
      </c>
      <c r="DX43" s="229">
        <v>0.31909999999999999</v>
      </c>
      <c r="DY43" s="229">
        <v>0.66769999999999996</v>
      </c>
      <c r="DZ43" s="230">
        <v>3823050</v>
      </c>
      <c r="EA43" s="229">
        <v>5.1000000000000004E-3</v>
      </c>
      <c r="EB43" s="229">
        <v>0.66769999999999996</v>
      </c>
      <c r="EC43" s="228">
        <v>6.24</v>
      </c>
      <c r="ED43" s="229">
        <v>5.3E-3</v>
      </c>
      <c r="EE43" s="230">
        <v>956398</v>
      </c>
      <c r="EF43" s="230">
        <v>456212</v>
      </c>
      <c r="EG43" s="229">
        <v>1.0964</v>
      </c>
      <c r="EH43" s="229">
        <v>0.63439999999999996</v>
      </c>
      <c r="EI43" s="231">
        <v>72162.61</v>
      </c>
      <c r="EJ43" s="231">
        <v>42863.34</v>
      </c>
      <c r="EK43" s="231">
        <v>117917.49</v>
      </c>
      <c r="EL43" s="231">
        <v>6851</v>
      </c>
      <c r="EM43" s="231">
        <v>232943.44</v>
      </c>
      <c r="EN43" s="231">
        <v>226358.53</v>
      </c>
      <c r="EO43" s="231">
        <v>6584.91</v>
      </c>
      <c r="EP43" s="229">
        <v>2.9100000000000001E-2</v>
      </c>
      <c r="EQ43" s="231">
        <v>49984</v>
      </c>
      <c r="ER43" s="231">
        <v>32427</v>
      </c>
      <c r="ES43" s="231">
        <v>136738</v>
      </c>
      <c r="ET43" s="231">
        <v>65472326</v>
      </c>
      <c r="EU43" s="231">
        <v>219149</v>
      </c>
      <c r="EV43" s="231">
        <v>225373</v>
      </c>
      <c r="EW43" s="231">
        <v>-6224</v>
      </c>
      <c r="EX43" s="229">
        <v>-2.76E-2</v>
      </c>
      <c r="EY43" s="229">
        <v>0.28239999999999998</v>
      </c>
    </row>
    <row r="44" spans="1:155" ht="17.25" thickBot="1" x14ac:dyDescent="0.3">
      <c r="A44" s="226">
        <v>46044</v>
      </c>
      <c r="B44" s="227" t="s">
        <v>227</v>
      </c>
      <c r="C44" s="227" t="s">
        <v>294</v>
      </c>
      <c r="D44" s="228">
        <v>189.15</v>
      </c>
      <c r="E44" s="228">
        <v>184.56</v>
      </c>
      <c r="F44" s="228">
        <v>4.59</v>
      </c>
      <c r="G44" s="229">
        <v>2.4899999999999999E-2</v>
      </c>
      <c r="H44" s="228">
        <v>189.1</v>
      </c>
      <c r="I44" s="228">
        <v>184.41</v>
      </c>
      <c r="J44" s="228">
        <v>4.6900000000000004</v>
      </c>
      <c r="K44" s="229">
        <v>2.5399999999999999E-2</v>
      </c>
      <c r="L44" s="228">
        <v>189.15</v>
      </c>
      <c r="M44" s="228">
        <v>184.56</v>
      </c>
      <c r="N44" s="228">
        <v>4.59</v>
      </c>
      <c r="O44" s="229">
        <v>2.4899999999999999E-2</v>
      </c>
      <c r="P44" s="228">
        <v>190.16</v>
      </c>
      <c r="Q44" s="228">
        <v>185.57</v>
      </c>
      <c r="R44" s="228">
        <v>4.59</v>
      </c>
      <c r="S44" s="229">
        <v>2.47E-2</v>
      </c>
      <c r="T44" s="228">
        <v>191.44</v>
      </c>
      <c r="U44" s="228">
        <v>186.85</v>
      </c>
      <c r="V44" s="228">
        <v>4.59</v>
      </c>
      <c r="W44" s="229">
        <v>2.46E-2</v>
      </c>
      <c r="X44" s="228">
        <v>0.05</v>
      </c>
      <c r="Y44" s="228">
        <v>0.15</v>
      </c>
      <c r="Z44" s="228">
        <v>-0.1</v>
      </c>
      <c r="AA44" s="229">
        <v>2.9999999999999997E-4</v>
      </c>
      <c r="AB44" s="228">
        <v>0.05</v>
      </c>
      <c r="AC44" s="228">
        <v>0.15</v>
      </c>
      <c r="AD44" s="228">
        <v>-0.1</v>
      </c>
      <c r="AE44" s="229">
        <v>2.9999999999999997E-4</v>
      </c>
      <c r="AF44" s="228">
        <v>1.06</v>
      </c>
      <c r="AG44" s="228">
        <v>1.1599999999999999</v>
      </c>
      <c r="AH44" s="228">
        <v>-0.1</v>
      </c>
      <c r="AI44" s="229">
        <v>5.5999999999999999E-3</v>
      </c>
      <c r="AJ44" s="228">
        <v>2.34</v>
      </c>
      <c r="AK44" s="228">
        <v>2.44</v>
      </c>
      <c r="AL44" s="228">
        <v>-0.1</v>
      </c>
      <c r="AM44" s="229">
        <v>1.24E-2</v>
      </c>
      <c r="AN44" s="228">
        <v>188.26</v>
      </c>
      <c r="AO44" s="228">
        <v>189.25</v>
      </c>
      <c r="AP44" s="228">
        <v>0</v>
      </c>
      <c r="AQ44" s="230">
        <v>36469</v>
      </c>
      <c r="AR44" s="230">
        <v>25814</v>
      </c>
      <c r="AS44" s="230">
        <v>10655</v>
      </c>
      <c r="AT44" s="229">
        <v>0.4128</v>
      </c>
      <c r="AU44" s="230">
        <v>18963</v>
      </c>
      <c r="AV44" s="230">
        <v>14051</v>
      </c>
      <c r="AW44" s="230">
        <v>4912</v>
      </c>
      <c r="AX44" s="229">
        <v>0.34960000000000002</v>
      </c>
      <c r="AY44" s="230">
        <v>17197</v>
      </c>
      <c r="AZ44" s="230">
        <v>11568</v>
      </c>
      <c r="BA44" s="230">
        <v>5629</v>
      </c>
      <c r="BB44" s="229">
        <v>0.48659999999999998</v>
      </c>
      <c r="BC44" s="228">
        <v>309</v>
      </c>
      <c r="BD44" s="228">
        <v>195</v>
      </c>
      <c r="BE44" s="228">
        <v>114</v>
      </c>
      <c r="BF44" s="229">
        <v>0.58460000000000001</v>
      </c>
      <c r="BG44" s="230">
        <v>61163</v>
      </c>
      <c r="BH44" s="230">
        <v>44729</v>
      </c>
      <c r="BI44" s="230">
        <v>16434</v>
      </c>
      <c r="BJ44" s="229">
        <v>0.3674</v>
      </c>
      <c r="BK44" s="230">
        <v>34858</v>
      </c>
      <c r="BL44" s="230">
        <v>25454</v>
      </c>
      <c r="BM44" s="230">
        <v>9404</v>
      </c>
      <c r="BN44" s="229">
        <v>0.3695</v>
      </c>
      <c r="BO44" s="230">
        <v>132490</v>
      </c>
      <c r="BP44" s="230">
        <v>95997</v>
      </c>
      <c r="BQ44" s="230">
        <v>36493</v>
      </c>
      <c r="BR44" s="229">
        <v>0.38009999999999999</v>
      </c>
      <c r="BS44" s="230">
        <v>38505626</v>
      </c>
      <c r="BT44" s="230">
        <v>36158045</v>
      </c>
      <c r="BU44" s="230">
        <v>2347581</v>
      </c>
      <c r="BV44" s="229">
        <v>6.4899999999999999E-2</v>
      </c>
      <c r="BW44" s="230">
        <v>268499000</v>
      </c>
      <c r="BX44" s="230">
        <v>261453500</v>
      </c>
      <c r="BY44" s="230">
        <v>7045500</v>
      </c>
      <c r="BZ44" s="229">
        <v>2.69E-2</v>
      </c>
      <c r="CA44" s="230">
        <v>111760000</v>
      </c>
      <c r="CB44" s="230">
        <v>177655500</v>
      </c>
      <c r="CC44" s="230">
        <v>-65895500</v>
      </c>
      <c r="CD44" s="229">
        <v>-0.37090000000000001</v>
      </c>
      <c r="CE44" s="230">
        <v>144490500</v>
      </c>
      <c r="CF44" s="230">
        <v>72187500</v>
      </c>
      <c r="CG44" s="230">
        <v>72303000</v>
      </c>
      <c r="CH44" s="229">
        <v>1.0016</v>
      </c>
      <c r="CI44" s="230">
        <v>12248500</v>
      </c>
      <c r="CJ44" s="230">
        <v>11610500</v>
      </c>
      <c r="CK44" s="230">
        <v>638000</v>
      </c>
      <c r="CL44" s="229">
        <v>5.5E-2</v>
      </c>
      <c r="CM44" s="230">
        <v>135905000</v>
      </c>
      <c r="CN44" s="230">
        <v>145238500</v>
      </c>
      <c r="CO44" s="230">
        <v>-9333500</v>
      </c>
      <c r="CP44" s="229">
        <v>-6.4299999999999996E-2</v>
      </c>
      <c r="CQ44" s="230">
        <v>111974500</v>
      </c>
      <c r="CR44" s="230">
        <v>101590500</v>
      </c>
      <c r="CS44" s="230">
        <v>10384000</v>
      </c>
      <c r="CT44" s="229">
        <v>0.1022</v>
      </c>
      <c r="CU44" s="230">
        <v>516378500</v>
      </c>
      <c r="CV44" s="230">
        <v>508282500</v>
      </c>
      <c r="CW44" s="230">
        <v>8096000</v>
      </c>
      <c r="CX44" s="229">
        <v>1.5900000000000001E-2</v>
      </c>
      <c r="CY44" s="228">
        <v>28.83</v>
      </c>
      <c r="CZ44" s="228">
        <v>26.8</v>
      </c>
      <c r="DA44" s="228">
        <v>2.0299999999999998</v>
      </c>
      <c r="DB44" s="228">
        <v>2.0299999999999998</v>
      </c>
      <c r="DC44" s="228">
        <v>32.590000000000003</v>
      </c>
      <c r="DD44" s="228">
        <v>32.5</v>
      </c>
      <c r="DE44" s="228">
        <v>-3.76</v>
      </c>
      <c r="DF44" s="228">
        <v>0.09</v>
      </c>
      <c r="DG44" s="228">
        <v>28.82</v>
      </c>
      <c r="DH44" s="228">
        <v>26.92</v>
      </c>
      <c r="DI44" s="228">
        <v>1.9</v>
      </c>
      <c r="DJ44" s="228">
        <v>1.9</v>
      </c>
      <c r="DK44" s="228">
        <v>28.85</v>
      </c>
      <c r="DL44" s="228">
        <v>26.59</v>
      </c>
      <c r="DM44" s="228">
        <v>2.2599999999999998</v>
      </c>
      <c r="DN44" s="228">
        <v>2.2599999999999998</v>
      </c>
      <c r="DO44" s="228">
        <v>0.82</v>
      </c>
      <c r="DP44" s="228">
        <v>0.7</v>
      </c>
      <c r="DQ44" s="228">
        <v>0.12</v>
      </c>
      <c r="DR44" s="229">
        <v>0.1714</v>
      </c>
      <c r="DS44" s="228">
        <v>200</v>
      </c>
      <c r="DT44" s="228">
        <v>180</v>
      </c>
      <c r="DU44" s="228">
        <v>0.56999999999999995</v>
      </c>
      <c r="DV44" s="228">
        <v>0.56999999999999995</v>
      </c>
      <c r="DW44" s="228">
        <v>0</v>
      </c>
      <c r="DX44" s="229">
        <v>0</v>
      </c>
      <c r="DY44" s="229">
        <v>0.58379999999999999</v>
      </c>
      <c r="DZ44" s="230">
        <v>83798000</v>
      </c>
      <c r="EA44" s="229">
        <v>5.3E-3</v>
      </c>
      <c r="EB44" s="229">
        <v>0.58379999999999999</v>
      </c>
      <c r="EC44" s="228">
        <v>0.99</v>
      </c>
      <c r="ED44" s="229">
        <v>5.3E-3</v>
      </c>
      <c r="EE44" s="230">
        <v>17511982</v>
      </c>
      <c r="EF44" s="230">
        <v>16826677</v>
      </c>
      <c r="EG44" s="229">
        <v>4.07E-2</v>
      </c>
      <c r="EH44" s="229">
        <v>0.45479999999999998</v>
      </c>
      <c r="EI44" s="231">
        <v>650487.35</v>
      </c>
      <c r="EJ44" s="231">
        <v>354133.1</v>
      </c>
      <c r="EK44" s="231">
        <v>378586.08</v>
      </c>
      <c r="EL44" s="231">
        <v>13212</v>
      </c>
      <c r="EM44" s="231">
        <v>1383206.53</v>
      </c>
      <c r="EN44" s="231">
        <v>985160.8</v>
      </c>
      <c r="EO44" s="231">
        <v>398045.73</v>
      </c>
      <c r="EP44" s="229">
        <v>0.40400000000000003</v>
      </c>
      <c r="EQ44" s="231">
        <v>260086</v>
      </c>
      <c r="ER44" s="231">
        <v>199479</v>
      </c>
      <c r="ES44" s="231">
        <v>509606</v>
      </c>
      <c r="ET44" s="231">
        <v>872935214</v>
      </c>
      <c r="EU44" s="231">
        <v>969171</v>
      </c>
      <c r="EV44" s="231">
        <v>940436</v>
      </c>
      <c r="EW44" s="231">
        <v>28735</v>
      </c>
      <c r="EX44" s="229">
        <v>3.0599999999999999E-2</v>
      </c>
      <c r="EY44" s="229">
        <v>0.59150000000000003</v>
      </c>
    </row>
    <row r="45" spans="1:155" ht="17.25" thickBot="1" x14ac:dyDescent="0.3">
      <c r="A45" s="226">
        <v>46044</v>
      </c>
      <c r="B45" s="227" t="s">
        <v>221</v>
      </c>
      <c r="C45" s="227" t="s">
        <v>295</v>
      </c>
      <c r="D45" s="231">
        <v>3152.7</v>
      </c>
      <c r="E45" s="231">
        <v>3125.2</v>
      </c>
      <c r="F45" s="228">
        <v>27.5</v>
      </c>
      <c r="G45" s="229">
        <v>8.8000000000000005E-3</v>
      </c>
      <c r="H45" s="231">
        <v>3150.4</v>
      </c>
      <c r="I45" s="231">
        <v>3122.6</v>
      </c>
      <c r="J45" s="228">
        <v>27.8</v>
      </c>
      <c r="K45" s="229">
        <v>8.8999999999999999E-3</v>
      </c>
      <c r="L45" s="231">
        <v>3152.7</v>
      </c>
      <c r="M45" s="231">
        <v>3125.2</v>
      </c>
      <c r="N45" s="228">
        <v>27.5</v>
      </c>
      <c r="O45" s="229">
        <v>8.8000000000000005E-3</v>
      </c>
      <c r="P45" s="231">
        <v>3161.8</v>
      </c>
      <c r="Q45" s="231">
        <v>3134.8</v>
      </c>
      <c r="R45" s="228">
        <v>27</v>
      </c>
      <c r="S45" s="229">
        <v>8.6E-3</v>
      </c>
      <c r="T45" s="231">
        <v>3188.8</v>
      </c>
      <c r="U45" s="231">
        <v>3155.5</v>
      </c>
      <c r="V45" s="228">
        <v>33.299999999999997</v>
      </c>
      <c r="W45" s="229">
        <v>1.06E-2</v>
      </c>
      <c r="X45" s="228">
        <v>2.2999999999999998</v>
      </c>
      <c r="Y45" s="228">
        <v>2.6</v>
      </c>
      <c r="Z45" s="228">
        <v>-0.3</v>
      </c>
      <c r="AA45" s="229">
        <v>6.9999999999999999E-4</v>
      </c>
      <c r="AB45" s="228">
        <v>2.2999999999999998</v>
      </c>
      <c r="AC45" s="228">
        <v>2.6</v>
      </c>
      <c r="AD45" s="228">
        <v>-0.3</v>
      </c>
      <c r="AE45" s="229">
        <v>6.9999999999999999E-4</v>
      </c>
      <c r="AF45" s="228">
        <v>11.4</v>
      </c>
      <c r="AG45" s="228">
        <v>12.2</v>
      </c>
      <c r="AH45" s="228">
        <v>-0.8</v>
      </c>
      <c r="AI45" s="229">
        <v>3.5999999999999999E-3</v>
      </c>
      <c r="AJ45" s="228">
        <v>38.4</v>
      </c>
      <c r="AK45" s="228">
        <v>32.9</v>
      </c>
      <c r="AL45" s="228">
        <v>5.5</v>
      </c>
      <c r="AM45" s="229">
        <v>1.2200000000000001E-2</v>
      </c>
      <c r="AN45" s="231">
        <v>3147.75</v>
      </c>
      <c r="AO45" s="231">
        <v>3156.26</v>
      </c>
      <c r="AP45" s="228">
        <v>0</v>
      </c>
      <c r="AQ45" s="230">
        <v>67737</v>
      </c>
      <c r="AR45" s="230">
        <v>117155</v>
      </c>
      <c r="AS45" s="230">
        <v>-49418</v>
      </c>
      <c r="AT45" s="229">
        <v>-0.42180000000000001</v>
      </c>
      <c r="AU45" s="230">
        <v>33676</v>
      </c>
      <c r="AV45" s="230">
        <v>61377</v>
      </c>
      <c r="AW45" s="230">
        <v>-27701</v>
      </c>
      <c r="AX45" s="229">
        <v>-0.45129999999999998</v>
      </c>
      <c r="AY45" s="230">
        <v>33467</v>
      </c>
      <c r="AZ45" s="230">
        <v>55337</v>
      </c>
      <c r="BA45" s="230">
        <v>-21870</v>
      </c>
      <c r="BB45" s="229">
        <v>-0.3952</v>
      </c>
      <c r="BC45" s="228">
        <v>594</v>
      </c>
      <c r="BD45" s="228">
        <v>441</v>
      </c>
      <c r="BE45" s="228">
        <v>153</v>
      </c>
      <c r="BF45" s="229">
        <v>0.34689999999999999</v>
      </c>
      <c r="BG45" s="230">
        <v>103508</v>
      </c>
      <c r="BH45" s="230">
        <v>132411</v>
      </c>
      <c r="BI45" s="230">
        <v>-28903</v>
      </c>
      <c r="BJ45" s="229">
        <v>-0.21829999999999999</v>
      </c>
      <c r="BK45" s="230">
        <v>61686</v>
      </c>
      <c r="BL45" s="230">
        <v>86423</v>
      </c>
      <c r="BM45" s="230">
        <v>-24737</v>
      </c>
      <c r="BN45" s="229">
        <v>-0.28620000000000001</v>
      </c>
      <c r="BO45" s="230">
        <v>232931</v>
      </c>
      <c r="BP45" s="230">
        <v>335989</v>
      </c>
      <c r="BQ45" s="230">
        <v>-103058</v>
      </c>
      <c r="BR45" s="229">
        <v>-0.30669999999999997</v>
      </c>
      <c r="BS45" s="230">
        <v>2420453</v>
      </c>
      <c r="BT45" s="230">
        <v>2198590</v>
      </c>
      <c r="BU45" s="230">
        <v>221863</v>
      </c>
      <c r="BV45" s="229">
        <v>0.1009</v>
      </c>
      <c r="BW45" s="230">
        <v>21913150</v>
      </c>
      <c r="BX45" s="230">
        <v>22356250</v>
      </c>
      <c r="BY45" s="230">
        <v>-443100</v>
      </c>
      <c r="BZ45" s="229">
        <v>-1.9800000000000002E-2</v>
      </c>
      <c r="CA45" s="230">
        <v>6781600</v>
      </c>
      <c r="CB45" s="230">
        <v>10907225</v>
      </c>
      <c r="CC45" s="230">
        <v>-4125625</v>
      </c>
      <c r="CD45" s="229">
        <v>-0.37819999999999998</v>
      </c>
      <c r="CE45" s="230">
        <v>14495775</v>
      </c>
      <c r="CF45" s="230">
        <v>10844575</v>
      </c>
      <c r="CG45" s="230">
        <v>3651200</v>
      </c>
      <c r="CH45" s="229">
        <v>0.3367</v>
      </c>
      <c r="CI45" s="230">
        <v>635775</v>
      </c>
      <c r="CJ45" s="230">
        <v>604450</v>
      </c>
      <c r="CK45" s="230">
        <v>31325</v>
      </c>
      <c r="CL45" s="229">
        <v>5.1799999999999999E-2</v>
      </c>
      <c r="CM45" s="230">
        <v>14317975</v>
      </c>
      <c r="CN45" s="230">
        <v>15183525</v>
      </c>
      <c r="CO45" s="230">
        <v>-865550</v>
      </c>
      <c r="CP45" s="229">
        <v>-5.7000000000000002E-2</v>
      </c>
      <c r="CQ45" s="230">
        <v>7422275</v>
      </c>
      <c r="CR45" s="230">
        <v>7580475</v>
      </c>
      <c r="CS45" s="230">
        <v>-158200</v>
      </c>
      <c r="CT45" s="229">
        <v>-2.0899999999999998E-2</v>
      </c>
      <c r="CU45" s="230">
        <v>43653400</v>
      </c>
      <c r="CV45" s="230">
        <v>45120250</v>
      </c>
      <c r="CW45" s="230">
        <v>-1466850</v>
      </c>
      <c r="CX45" s="229">
        <v>-3.2500000000000001E-2</v>
      </c>
      <c r="CY45" s="228">
        <v>19.190000000000001</v>
      </c>
      <c r="CZ45" s="228">
        <v>18.309999999999999</v>
      </c>
      <c r="DA45" s="228">
        <v>0.88</v>
      </c>
      <c r="DB45" s="228">
        <v>0.88</v>
      </c>
      <c r="DC45" s="228">
        <v>23.66</v>
      </c>
      <c r="DD45" s="228">
        <v>23.69</v>
      </c>
      <c r="DE45" s="228">
        <v>-4.47</v>
      </c>
      <c r="DF45" s="228">
        <v>-0.03</v>
      </c>
      <c r="DG45" s="228">
        <v>19.29</v>
      </c>
      <c r="DH45" s="228">
        <v>17.71</v>
      </c>
      <c r="DI45" s="228">
        <v>1.58</v>
      </c>
      <c r="DJ45" s="228">
        <v>1.58</v>
      </c>
      <c r="DK45" s="228">
        <v>19.059999999999999</v>
      </c>
      <c r="DL45" s="228">
        <v>19.239999999999998</v>
      </c>
      <c r="DM45" s="228">
        <v>-0.18</v>
      </c>
      <c r="DN45" s="228">
        <v>-0.18</v>
      </c>
      <c r="DO45" s="228">
        <v>0.52</v>
      </c>
      <c r="DP45" s="228">
        <v>0.5</v>
      </c>
      <c r="DQ45" s="228">
        <v>0.02</v>
      </c>
      <c r="DR45" s="229">
        <v>0.04</v>
      </c>
      <c r="DS45" s="231">
        <v>3300</v>
      </c>
      <c r="DT45" s="231">
        <v>3000</v>
      </c>
      <c r="DU45" s="228">
        <v>0.6</v>
      </c>
      <c r="DV45" s="228">
        <v>0.65</v>
      </c>
      <c r="DW45" s="228">
        <v>-0.05</v>
      </c>
      <c r="DX45" s="229">
        <v>-7.6899999999999996E-2</v>
      </c>
      <c r="DY45" s="229">
        <v>0.6905</v>
      </c>
      <c r="DZ45" s="230">
        <v>11449025</v>
      </c>
      <c r="EA45" s="229">
        <v>2.8999999999999998E-3</v>
      </c>
      <c r="EB45" s="229">
        <v>0.6905</v>
      </c>
      <c r="EC45" s="228">
        <v>8.51</v>
      </c>
      <c r="ED45" s="229">
        <v>2.7000000000000001E-3</v>
      </c>
      <c r="EE45" s="230">
        <v>1257331</v>
      </c>
      <c r="EF45" s="230">
        <v>1129510</v>
      </c>
      <c r="EG45" s="229">
        <v>0.1132</v>
      </c>
      <c r="EH45" s="229">
        <v>0.51949999999999996</v>
      </c>
      <c r="EI45" s="231">
        <v>585893.68000000005</v>
      </c>
      <c r="EJ45" s="231">
        <v>339392.3</v>
      </c>
      <c r="EK45" s="231">
        <v>373660.87</v>
      </c>
      <c r="EL45" s="231">
        <v>47029</v>
      </c>
      <c r="EM45" s="231">
        <v>1298946.8500000001</v>
      </c>
      <c r="EN45" s="231">
        <v>1852176.51</v>
      </c>
      <c r="EO45" s="231">
        <v>-553229.66</v>
      </c>
      <c r="EP45" s="229">
        <v>-0.29870000000000002</v>
      </c>
      <c r="EQ45" s="231">
        <v>473675</v>
      </c>
      <c r="ER45" s="231">
        <v>233975</v>
      </c>
      <c r="ES45" s="231">
        <v>692405</v>
      </c>
      <c r="ET45" s="231">
        <v>126444612</v>
      </c>
      <c r="EU45" s="231">
        <v>1400054</v>
      </c>
      <c r="EV45" s="231">
        <v>1440659</v>
      </c>
      <c r="EW45" s="231">
        <v>-40605</v>
      </c>
      <c r="EX45" s="229">
        <v>-2.8199999999999999E-2</v>
      </c>
      <c r="EY45" s="229">
        <v>0.34520000000000001</v>
      </c>
    </row>
    <row r="46" spans="1:155" ht="17.25" thickBot="1" x14ac:dyDescent="0.3">
      <c r="A46" s="226">
        <v>46044</v>
      </c>
      <c r="B46" s="227" t="s">
        <v>221</v>
      </c>
      <c r="C46" s="227" t="s">
        <v>296</v>
      </c>
      <c r="D46" s="231">
        <v>1690.4</v>
      </c>
      <c r="E46" s="231">
        <v>1687.7</v>
      </c>
      <c r="F46" s="228">
        <v>2.7</v>
      </c>
      <c r="G46" s="229">
        <v>1.6000000000000001E-3</v>
      </c>
      <c r="H46" s="231">
        <v>1687.4</v>
      </c>
      <c r="I46" s="231">
        <v>1686.7</v>
      </c>
      <c r="J46" s="228">
        <v>0.7</v>
      </c>
      <c r="K46" s="229">
        <v>4.0000000000000002E-4</v>
      </c>
      <c r="L46" s="231">
        <v>1690.4</v>
      </c>
      <c r="M46" s="231">
        <v>1687.7</v>
      </c>
      <c r="N46" s="228">
        <v>2.7</v>
      </c>
      <c r="O46" s="229">
        <v>1.6000000000000001E-3</v>
      </c>
      <c r="P46" s="231">
        <v>1699.5</v>
      </c>
      <c r="Q46" s="231">
        <v>1696.8</v>
      </c>
      <c r="R46" s="228">
        <v>2.7</v>
      </c>
      <c r="S46" s="229">
        <v>1.6000000000000001E-3</v>
      </c>
      <c r="T46" s="231">
        <v>1712.9</v>
      </c>
      <c r="U46" s="231">
        <v>1707.1</v>
      </c>
      <c r="V46" s="228">
        <v>5.8</v>
      </c>
      <c r="W46" s="229">
        <v>3.3999999999999998E-3</v>
      </c>
      <c r="X46" s="228">
        <v>3</v>
      </c>
      <c r="Y46" s="228">
        <v>1</v>
      </c>
      <c r="Z46" s="228">
        <v>2</v>
      </c>
      <c r="AA46" s="229">
        <v>1.8E-3</v>
      </c>
      <c r="AB46" s="228">
        <v>3</v>
      </c>
      <c r="AC46" s="228">
        <v>1</v>
      </c>
      <c r="AD46" s="228">
        <v>2</v>
      </c>
      <c r="AE46" s="229">
        <v>1.8E-3</v>
      </c>
      <c r="AF46" s="228">
        <v>12.1</v>
      </c>
      <c r="AG46" s="228">
        <v>10.1</v>
      </c>
      <c r="AH46" s="228">
        <v>2</v>
      </c>
      <c r="AI46" s="229">
        <v>7.1999999999999998E-3</v>
      </c>
      <c r="AJ46" s="228">
        <v>25.5</v>
      </c>
      <c r="AK46" s="228">
        <v>20.399999999999999</v>
      </c>
      <c r="AL46" s="228">
        <v>5.0999999999999996</v>
      </c>
      <c r="AM46" s="229">
        <v>1.5100000000000001E-2</v>
      </c>
      <c r="AN46" s="231">
        <v>1698.25</v>
      </c>
      <c r="AO46" s="231">
        <v>1706.43</v>
      </c>
      <c r="AP46" s="228">
        <v>0</v>
      </c>
      <c r="AQ46" s="230">
        <v>30575</v>
      </c>
      <c r="AR46" s="230">
        <v>16935</v>
      </c>
      <c r="AS46" s="230">
        <v>13640</v>
      </c>
      <c r="AT46" s="229">
        <v>0.8054</v>
      </c>
      <c r="AU46" s="230">
        <v>15567</v>
      </c>
      <c r="AV46" s="230">
        <v>9746</v>
      </c>
      <c r="AW46" s="230">
        <v>5821</v>
      </c>
      <c r="AX46" s="229">
        <v>0.59730000000000005</v>
      </c>
      <c r="AY46" s="230">
        <v>14851</v>
      </c>
      <c r="AZ46" s="230">
        <v>7135</v>
      </c>
      <c r="BA46" s="230">
        <v>7716</v>
      </c>
      <c r="BB46" s="229">
        <v>1.0813999999999999</v>
      </c>
      <c r="BC46" s="228">
        <v>157</v>
      </c>
      <c r="BD46" s="228">
        <v>54</v>
      </c>
      <c r="BE46" s="228">
        <v>103</v>
      </c>
      <c r="BF46" s="229">
        <v>1.9074</v>
      </c>
      <c r="BG46" s="230">
        <v>28290</v>
      </c>
      <c r="BH46" s="230">
        <v>19538</v>
      </c>
      <c r="BI46" s="230">
        <v>8752</v>
      </c>
      <c r="BJ46" s="229">
        <v>0.44790000000000002</v>
      </c>
      <c r="BK46" s="230">
        <v>14825</v>
      </c>
      <c r="BL46" s="230">
        <v>14506</v>
      </c>
      <c r="BM46" s="228">
        <v>319</v>
      </c>
      <c r="BN46" s="229">
        <v>2.1999999999999999E-2</v>
      </c>
      <c r="BO46" s="230">
        <v>73690</v>
      </c>
      <c r="BP46" s="230">
        <v>50979</v>
      </c>
      <c r="BQ46" s="230">
        <v>22711</v>
      </c>
      <c r="BR46" s="229">
        <v>0.44550000000000001</v>
      </c>
      <c r="BS46" s="230">
        <v>3206122</v>
      </c>
      <c r="BT46" s="230">
        <v>1816019</v>
      </c>
      <c r="BU46" s="230">
        <v>1390103</v>
      </c>
      <c r="BV46" s="229">
        <v>0.76549999999999996</v>
      </c>
      <c r="BW46" s="230">
        <v>20840400</v>
      </c>
      <c r="BX46" s="230">
        <v>20215800</v>
      </c>
      <c r="BY46" s="230">
        <v>624600</v>
      </c>
      <c r="BZ46" s="229">
        <v>3.09E-2</v>
      </c>
      <c r="CA46" s="230">
        <v>8623800</v>
      </c>
      <c r="CB46" s="230">
        <v>15327600</v>
      </c>
      <c r="CC46" s="230">
        <v>-6703800</v>
      </c>
      <c r="CD46" s="229">
        <v>-0.43740000000000001</v>
      </c>
      <c r="CE46" s="230">
        <v>12040800</v>
      </c>
      <c r="CF46" s="230">
        <v>4750800</v>
      </c>
      <c r="CG46" s="230">
        <v>7290000</v>
      </c>
      <c r="CH46" s="229">
        <v>1.5345</v>
      </c>
      <c r="CI46" s="230">
        <v>175800</v>
      </c>
      <c r="CJ46" s="230">
        <v>137400</v>
      </c>
      <c r="CK46" s="230">
        <v>38400</v>
      </c>
      <c r="CL46" s="229">
        <v>0.27950000000000003</v>
      </c>
      <c r="CM46" s="230">
        <v>6342000</v>
      </c>
      <c r="CN46" s="230">
        <v>6578400</v>
      </c>
      <c r="CO46" s="230">
        <v>-236400</v>
      </c>
      <c r="CP46" s="229">
        <v>-3.5900000000000001E-2</v>
      </c>
      <c r="CQ46" s="230">
        <v>4641000</v>
      </c>
      <c r="CR46" s="230">
        <v>4988400</v>
      </c>
      <c r="CS46" s="230">
        <v>-347400</v>
      </c>
      <c r="CT46" s="229">
        <v>-6.9599999999999995E-2</v>
      </c>
      <c r="CU46" s="230">
        <v>31823400</v>
      </c>
      <c r="CV46" s="230">
        <v>31782600</v>
      </c>
      <c r="CW46" s="230">
        <v>40800</v>
      </c>
      <c r="CX46" s="229">
        <v>1.2999999999999999E-3</v>
      </c>
      <c r="CY46" s="228">
        <v>24.35</v>
      </c>
      <c r="CZ46" s="228">
        <v>21.31</v>
      </c>
      <c r="DA46" s="228">
        <v>3.04</v>
      </c>
      <c r="DB46" s="228">
        <v>3.04</v>
      </c>
      <c r="DC46" s="228">
        <v>29.02</v>
      </c>
      <c r="DD46" s="228">
        <v>29.1</v>
      </c>
      <c r="DE46" s="228">
        <v>-4.67</v>
      </c>
      <c r="DF46" s="228">
        <v>-0.08</v>
      </c>
      <c r="DG46" s="228">
        <v>24.44</v>
      </c>
      <c r="DH46" s="228">
        <v>20.65</v>
      </c>
      <c r="DI46" s="228">
        <v>3.79</v>
      </c>
      <c r="DJ46" s="228">
        <v>3.79</v>
      </c>
      <c r="DK46" s="228">
        <v>24.16</v>
      </c>
      <c r="DL46" s="228">
        <v>22.19</v>
      </c>
      <c r="DM46" s="228">
        <v>1.97</v>
      </c>
      <c r="DN46" s="228">
        <v>1.97</v>
      </c>
      <c r="DO46" s="228">
        <v>0.73</v>
      </c>
      <c r="DP46" s="228">
        <v>0.76</v>
      </c>
      <c r="DQ46" s="228">
        <v>-0.03</v>
      </c>
      <c r="DR46" s="229">
        <v>-3.95E-2</v>
      </c>
      <c r="DS46" s="231">
        <v>1740</v>
      </c>
      <c r="DT46" s="231">
        <v>1640</v>
      </c>
      <c r="DU46" s="228">
        <v>0.52</v>
      </c>
      <c r="DV46" s="228">
        <v>0.74</v>
      </c>
      <c r="DW46" s="228">
        <v>-0.22</v>
      </c>
      <c r="DX46" s="229">
        <v>-0.29730000000000001</v>
      </c>
      <c r="DY46" s="229">
        <v>0.58620000000000005</v>
      </c>
      <c r="DZ46" s="230">
        <v>4888200</v>
      </c>
      <c r="EA46" s="229">
        <v>5.4000000000000003E-3</v>
      </c>
      <c r="EB46" s="229">
        <v>0.58620000000000005</v>
      </c>
      <c r="EC46" s="228">
        <v>8.18</v>
      </c>
      <c r="ED46" s="229">
        <v>4.7999999999999996E-3</v>
      </c>
      <c r="EE46" s="230">
        <v>1927373</v>
      </c>
      <c r="EF46" s="230">
        <v>898115</v>
      </c>
      <c r="EG46" s="229">
        <v>1.1459999999999999</v>
      </c>
      <c r="EH46" s="229">
        <v>0.60119999999999996</v>
      </c>
      <c r="EI46" s="231">
        <v>295210.46999999997</v>
      </c>
      <c r="EJ46" s="231">
        <v>149847.41</v>
      </c>
      <c r="EK46" s="231">
        <v>312292.59000000003</v>
      </c>
      <c r="EL46" s="231">
        <v>13541</v>
      </c>
      <c r="EM46" s="231">
        <v>757350.47</v>
      </c>
      <c r="EN46" s="231">
        <v>517646.52</v>
      </c>
      <c r="EO46" s="231">
        <v>239703.95</v>
      </c>
      <c r="EP46" s="229">
        <v>0.46310000000000001</v>
      </c>
      <c r="EQ46" s="231">
        <v>109362</v>
      </c>
      <c r="ER46" s="231">
        <v>73977</v>
      </c>
      <c r="ES46" s="231">
        <v>353421</v>
      </c>
      <c r="ET46" s="231">
        <v>80031540</v>
      </c>
      <c r="EU46" s="231">
        <v>536760</v>
      </c>
      <c r="EV46" s="231">
        <v>534613</v>
      </c>
      <c r="EW46" s="231">
        <v>2147</v>
      </c>
      <c r="EX46" s="229">
        <v>4.0000000000000001E-3</v>
      </c>
      <c r="EY46" s="229">
        <v>0.39760000000000001</v>
      </c>
    </row>
    <row r="47" spans="1:155" ht="17.25" thickBot="1" x14ac:dyDescent="0.3">
      <c r="A47" s="226">
        <v>46044</v>
      </c>
      <c r="B47" s="227" t="s">
        <v>168</v>
      </c>
      <c r="C47" s="227" t="s">
        <v>297</v>
      </c>
      <c r="D47" s="231">
        <v>4015.9</v>
      </c>
      <c r="E47" s="231">
        <v>4076</v>
      </c>
      <c r="F47" s="228">
        <v>-60.1</v>
      </c>
      <c r="G47" s="229">
        <v>-1.47E-2</v>
      </c>
      <c r="H47" s="231">
        <v>4018.6</v>
      </c>
      <c r="I47" s="231">
        <v>4079.2</v>
      </c>
      <c r="J47" s="228">
        <v>-60.6</v>
      </c>
      <c r="K47" s="229">
        <v>-1.49E-2</v>
      </c>
      <c r="L47" s="231">
        <v>4015.9</v>
      </c>
      <c r="M47" s="231">
        <v>4076</v>
      </c>
      <c r="N47" s="228">
        <v>-60.1</v>
      </c>
      <c r="O47" s="229">
        <v>-1.47E-2</v>
      </c>
      <c r="P47" s="231">
        <v>4038.4</v>
      </c>
      <c r="Q47" s="231">
        <v>4098</v>
      </c>
      <c r="R47" s="228">
        <v>-59.6</v>
      </c>
      <c r="S47" s="229">
        <v>-1.4500000000000001E-2</v>
      </c>
      <c r="T47" s="231">
        <v>4071</v>
      </c>
      <c r="U47" s="231">
        <v>4127.3999999999996</v>
      </c>
      <c r="V47" s="228">
        <v>-56.4</v>
      </c>
      <c r="W47" s="229">
        <v>-1.37E-2</v>
      </c>
      <c r="X47" s="228">
        <v>-2.7</v>
      </c>
      <c r="Y47" s="228">
        <v>-3.2</v>
      </c>
      <c r="Z47" s="228">
        <v>0.5</v>
      </c>
      <c r="AA47" s="229">
        <v>-6.9999999999999999E-4</v>
      </c>
      <c r="AB47" s="228">
        <v>-2.7</v>
      </c>
      <c r="AC47" s="228">
        <v>-3.2</v>
      </c>
      <c r="AD47" s="228">
        <v>0.5</v>
      </c>
      <c r="AE47" s="229">
        <v>-6.9999999999999999E-4</v>
      </c>
      <c r="AF47" s="228">
        <v>19.8</v>
      </c>
      <c r="AG47" s="228">
        <v>18.8</v>
      </c>
      <c r="AH47" s="228">
        <v>1</v>
      </c>
      <c r="AI47" s="229">
        <v>4.8999999999999998E-3</v>
      </c>
      <c r="AJ47" s="228">
        <v>52.4</v>
      </c>
      <c r="AK47" s="228">
        <v>48.2</v>
      </c>
      <c r="AL47" s="228">
        <v>4.2</v>
      </c>
      <c r="AM47" s="229">
        <v>1.2999999999999999E-2</v>
      </c>
      <c r="AN47" s="231">
        <v>4038.54</v>
      </c>
      <c r="AO47" s="231">
        <v>4061.42</v>
      </c>
      <c r="AP47" s="228">
        <v>0</v>
      </c>
      <c r="AQ47" s="230">
        <v>38314</v>
      </c>
      <c r="AR47" s="230">
        <v>27791</v>
      </c>
      <c r="AS47" s="230">
        <v>10523</v>
      </c>
      <c r="AT47" s="229">
        <v>0.37859999999999999</v>
      </c>
      <c r="AU47" s="230">
        <v>20368</v>
      </c>
      <c r="AV47" s="230">
        <v>15074</v>
      </c>
      <c r="AW47" s="230">
        <v>5294</v>
      </c>
      <c r="AX47" s="229">
        <v>0.35120000000000001</v>
      </c>
      <c r="AY47" s="230">
        <v>17855</v>
      </c>
      <c r="AZ47" s="230">
        <v>12645</v>
      </c>
      <c r="BA47" s="230">
        <v>5210</v>
      </c>
      <c r="BB47" s="229">
        <v>0.41199999999999998</v>
      </c>
      <c r="BC47" s="228">
        <v>91</v>
      </c>
      <c r="BD47" s="228">
        <v>72</v>
      </c>
      <c r="BE47" s="228">
        <v>19</v>
      </c>
      <c r="BF47" s="229">
        <v>0.26390000000000002</v>
      </c>
      <c r="BG47" s="230">
        <v>64299</v>
      </c>
      <c r="BH47" s="230">
        <v>33247</v>
      </c>
      <c r="BI47" s="230">
        <v>31052</v>
      </c>
      <c r="BJ47" s="229">
        <v>0.93400000000000005</v>
      </c>
      <c r="BK47" s="230">
        <v>47881</v>
      </c>
      <c r="BL47" s="230">
        <v>26036</v>
      </c>
      <c r="BM47" s="230">
        <v>21845</v>
      </c>
      <c r="BN47" s="229">
        <v>0.83899999999999997</v>
      </c>
      <c r="BO47" s="230">
        <v>150494</v>
      </c>
      <c r="BP47" s="230">
        <v>87074</v>
      </c>
      <c r="BQ47" s="230">
        <v>63420</v>
      </c>
      <c r="BR47" s="229">
        <v>0.72829999999999995</v>
      </c>
      <c r="BS47" s="230">
        <v>837055</v>
      </c>
      <c r="BT47" s="230">
        <v>563189</v>
      </c>
      <c r="BU47" s="230">
        <v>273866</v>
      </c>
      <c r="BV47" s="229">
        <v>0.48630000000000001</v>
      </c>
      <c r="BW47" s="230">
        <v>9016000</v>
      </c>
      <c r="BX47" s="230">
        <v>9139375</v>
      </c>
      <c r="BY47" s="230">
        <v>-123375</v>
      </c>
      <c r="BZ47" s="229">
        <v>-1.35E-2</v>
      </c>
      <c r="CA47" s="230">
        <v>3785950</v>
      </c>
      <c r="CB47" s="230">
        <v>6295450</v>
      </c>
      <c r="CC47" s="230">
        <v>-2509500</v>
      </c>
      <c r="CD47" s="229">
        <v>-0.39860000000000001</v>
      </c>
      <c r="CE47" s="230">
        <v>4897200</v>
      </c>
      <c r="CF47" s="230">
        <v>2513350</v>
      </c>
      <c r="CG47" s="230">
        <v>2383850</v>
      </c>
      <c r="CH47" s="229">
        <v>0.94850000000000001</v>
      </c>
      <c r="CI47" s="230">
        <v>332850</v>
      </c>
      <c r="CJ47" s="230">
        <v>330575</v>
      </c>
      <c r="CK47" s="230">
        <v>2275</v>
      </c>
      <c r="CL47" s="229">
        <v>6.8999999999999999E-3</v>
      </c>
      <c r="CM47" s="230">
        <v>5790575</v>
      </c>
      <c r="CN47" s="230">
        <v>5221300</v>
      </c>
      <c r="CO47" s="230">
        <v>569275</v>
      </c>
      <c r="CP47" s="229">
        <v>0.109</v>
      </c>
      <c r="CQ47" s="230">
        <v>3278975</v>
      </c>
      <c r="CR47" s="230">
        <v>3276525</v>
      </c>
      <c r="CS47" s="230">
        <v>2450</v>
      </c>
      <c r="CT47" s="229">
        <v>6.9999999999999999E-4</v>
      </c>
      <c r="CU47" s="230">
        <v>18085550</v>
      </c>
      <c r="CV47" s="230">
        <v>17637200</v>
      </c>
      <c r="CW47" s="230">
        <v>448350</v>
      </c>
      <c r="CX47" s="229">
        <v>2.5399999999999999E-2</v>
      </c>
      <c r="CY47" s="228">
        <v>26.26</v>
      </c>
      <c r="CZ47" s="228">
        <v>17.82</v>
      </c>
      <c r="DA47" s="228">
        <v>8.44</v>
      </c>
      <c r="DB47" s="228">
        <v>8.44</v>
      </c>
      <c r="DC47" s="228">
        <v>24.58</v>
      </c>
      <c r="DD47" s="228">
        <v>24.56</v>
      </c>
      <c r="DE47" s="228">
        <v>1.68</v>
      </c>
      <c r="DF47" s="228">
        <v>0.02</v>
      </c>
      <c r="DG47" s="228">
        <v>25.21</v>
      </c>
      <c r="DH47" s="228">
        <v>18.64</v>
      </c>
      <c r="DI47" s="228">
        <v>6.57</v>
      </c>
      <c r="DJ47" s="228">
        <v>6.57</v>
      </c>
      <c r="DK47" s="228">
        <v>27.72</v>
      </c>
      <c r="DL47" s="228">
        <v>16.78</v>
      </c>
      <c r="DM47" s="228">
        <v>10.94</v>
      </c>
      <c r="DN47" s="228">
        <v>10.94</v>
      </c>
      <c r="DO47" s="228">
        <v>0.56999999999999995</v>
      </c>
      <c r="DP47" s="228">
        <v>0.63</v>
      </c>
      <c r="DQ47" s="228">
        <v>-0.06</v>
      </c>
      <c r="DR47" s="229">
        <v>-9.5200000000000007E-2</v>
      </c>
      <c r="DS47" s="231">
        <v>4200</v>
      </c>
      <c r="DT47" s="231">
        <v>4000</v>
      </c>
      <c r="DU47" s="228">
        <v>0.74</v>
      </c>
      <c r="DV47" s="228">
        <v>0.78</v>
      </c>
      <c r="DW47" s="228">
        <v>-0.04</v>
      </c>
      <c r="DX47" s="229">
        <v>-5.1299999999999998E-2</v>
      </c>
      <c r="DY47" s="229">
        <v>0.58009999999999995</v>
      </c>
      <c r="DZ47" s="230">
        <v>2843925</v>
      </c>
      <c r="EA47" s="229">
        <v>5.5999999999999999E-3</v>
      </c>
      <c r="EB47" s="229">
        <v>0.58009999999999995</v>
      </c>
      <c r="EC47" s="228">
        <v>22.88</v>
      </c>
      <c r="ED47" s="229">
        <v>5.7000000000000002E-3</v>
      </c>
      <c r="EE47" s="230">
        <v>488617</v>
      </c>
      <c r="EF47" s="230">
        <v>306515</v>
      </c>
      <c r="EG47" s="229">
        <v>0.59409999999999996</v>
      </c>
      <c r="EH47" s="229">
        <v>0.5837</v>
      </c>
      <c r="EI47" s="231">
        <v>468522.09</v>
      </c>
      <c r="EJ47" s="231">
        <v>336690.76</v>
      </c>
      <c r="EK47" s="231">
        <v>271503.53999999998</v>
      </c>
      <c r="EL47" s="231">
        <v>11434</v>
      </c>
      <c r="EM47" s="231">
        <v>1076716.3899999999</v>
      </c>
      <c r="EN47" s="231">
        <v>628196.97</v>
      </c>
      <c r="EO47" s="231">
        <v>448519.42</v>
      </c>
      <c r="EP47" s="229">
        <v>0.71399999999999997</v>
      </c>
      <c r="EQ47" s="231">
        <v>245531</v>
      </c>
      <c r="ER47" s="231">
        <v>131588</v>
      </c>
      <c r="ES47" s="231">
        <v>363359</v>
      </c>
      <c r="ET47" s="231">
        <v>45680146</v>
      </c>
      <c r="EU47" s="231">
        <v>740478</v>
      </c>
      <c r="EV47" s="231">
        <v>727282</v>
      </c>
      <c r="EW47" s="231">
        <v>13196</v>
      </c>
      <c r="EX47" s="229">
        <v>1.8100000000000002E-2</v>
      </c>
      <c r="EY47" s="229">
        <v>0.39589999999999997</v>
      </c>
    </row>
    <row r="48" spans="1:155" ht="17.25" thickBot="1" x14ac:dyDescent="0.3">
      <c r="A48" s="226">
        <v>46044</v>
      </c>
      <c r="B48" s="227" t="s">
        <v>162</v>
      </c>
      <c r="C48" s="227" t="s">
        <v>689</v>
      </c>
      <c r="D48" s="228">
        <v>348.3</v>
      </c>
      <c r="E48" s="228">
        <v>339.1</v>
      </c>
      <c r="F48" s="228">
        <v>9.1999999999999993</v>
      </c>
      <c r="G48" s="229">
        <v>2.7099999999999999E-2</v>
      </c>
      <c r="H48" s="228">
        <v>347.3</v>
      </c>
      <c r="I48" s="228">
        <v>339.25</v>
      </c>
      <c r="J48" s="228">
        <v>8.0500000000000007</v>
      </c>
      <c r="K48" s="229">
        <v>2.3699999999999999E-2</v>
      </c>
      <c r="L48" s="228">
        <v>348.3</v>
      </c>
      <c r="M48" s="228">
        <v>339.1</v>
      </c>
      <c r="N48" s="228">
        <v>9.1999999999999993</v>
      </c>
      <c r="O48" s="229">
        <v>2.7099999999999999E-2</v>
      </c>
      <c r="P48" s="228">
        <v>349.15</v>
      </c>
      <c r="Q48" s="228">
        <v>340.45</v>
      </c>
      <c r="R48" s="228">
        <v>8.6999999999999993</v>
      </c>
      <c r="S48" s="229">
        <v>2.5600000000000001E-2</v>
      </c>
      <c r="T48" s="228">
        <v>351.35</v>
      </c>
      <c r="U48" s="228">
        <v>342.7</v>
      </c>
      <c r="V48" s="228">
        <v>8.65</v>
      </c>
      <c r="W48" s="229">
        <v>2.52E-2</v>
      </c>
      <c r="X48" s="228">
        <v>1</v>
      </c>
      <c r="Y48" s="228">
        <v>-0.15</v>
      </c>
      <c r="Z48" s="228">
        <v>1.1499999999999999</v>
      </c>
      <c r="AA48" s="229">
        <v>2.8999999999999998E-3</v>
      </c>
      <c r="AB48" s="228">
        <v>1</v>
      </c>
      <c r="AC48" s="228">
        <v>-0.15</v>
      </c>
      <c r="AD48" s="228">
        <v>1.1499999999999999</v>
      </c>
      <c r="AE48" s="229">
        <v>2.8999999999999998E-3</v>
      </c>
      <c r="AF48" s="228">
        <v>1.85</v>
      </c>
      <c r="AG48" s="228">
        <v>1.2</v>
      </c>
      <c r="AH48" s="228">
        <v>0.65</v>
      </c>
      <c r="AI48" s="229">
        <v>5.3E-3</v>
      </c>
      <c r="AJ48" s="228">
        <v>4.05</v>
      </c>
      <c r="AK48" s="228">
        <v>3.45</v>
      </c>
      <c r="AL48" s="228">
        <v>0.6</v>
      </c>
      <c r="AM48" s="229">
        <v>1.17E-2</v>
      </c>
      <c r="AN48" s="228">
        <v>348.32</v>
      </c>
      <c r="AO48" s="228">
        <v>349.47</v>
      </c>
      <c r="AP48" s="228">
        <v>0</v>
      </c>
      <c r="AQ48" s="230">
        <v>93546</v>
      </c>
      <c r="AR48" s="230">
        <v>75846</v>
      </c>
      <c r="AS48" s="230">
        <v>17700</v>
      </c>
      <c r="AT48" s="229">
        <v>0.2334</v>
      </c>
      <c r="AU48" s="230">
        <v>48177</v>
      </c>
      <c r="AV48" s="230">
        <v>41739</v>
      </c>
      <c r="AW48" s="230">
        <v>6438</v>
      </c>
      <c r="AX48" s="229">
        <v>0.1542</v>
      </c>
      <c r="AY48" s="230">
        <v>44581</v>
      </c>
      <c r="AZ48" s="230">
        <v>33432</v>
      </c>
      <c r="BA48" s="230">
        <v>11149</v>
      </c>
      <c r="BB48" s="229">
        <v>0.33350000000000002</v>
      </c>
      <c r="BC48" s="228">
        <v>788</v>
      </c>
      <c r="BD48" s="228">
        <v>675</v>
      </c>
      <c r="BE48" s="228">
        <v>113</v>
      </c>
      <c r="BF48" s="229">
        <v>0.16739999999999999</v>
      </c>
      <c r="BG48" s="230">
        <v>121816</v>
      </c>
      <c r="BH48" s="230">
        <v>88395</v>
      </c>
      <c r="BI48" s="230">
        <v>33421</v>
      </c>
      <c r="BJ48" s="229">
        <v>0.37809999999999999</v>
      </c>
      <c r="BK48" s="230">
        <v>57782</v>
      </c>
      <c r="BL48" s="230">
        <v>53816</v>
      </c>
      <c r="BM48" s="230">
        <v>3966</v>
      </c>
      <c r="BN48" s="229">
        <v>7.3700000000000002E-2</v>
      </c>
      <c r="BO48" s="230">
        <v>273144</v>
      </c>
      <c r="BP48" s="230">
        <v>218057</v>
      </c>
      <c r="BQ48" s="230">
        <v>55087</v>
      </c>
      <c r="BR48" s="229">
        <v>0.25259999999999999</v>
      </c>
      <c r="BS48" s="230">
        <v>10714263</v>
      </c>
      <c r="BT48" s="230">
        <v>9873473</v>
      </c>
      <c r="BU48" s="230">
        <v>840790</v>
      </c>
      <c r="BV48" s="229">
        <v>8.5199999999999998E-2</v>
      </c>
      <c r="BW48" s="230">
        <v>85706400</v>
      </c>
      <c r="BX48" s="230">
        <v>88496000</v>
      </c>
      <c r="BY48" s="230">
        <v>-2789600</v>
      </c>
      <c r="BZ48" s="229">
        <v>-3.15E-2</v>
      </c>
      <c r="CA48" s="230">
        <v>30078400</v>
      </c>
      <c r="CB48" s="230">
        <v>55964800</v>
      </c>
      <c r="CC48" s="230">
        <v>-25886400</v>
      </c>
      <c r="CD48" s="229">
        <v>-0.46250000000000002</v>
      </c>
      <c r="CE48" s="230">
        <v>52928000</v>
      </c>
      <c r="CF48" s="230">
        <v>29912000</v>
      </c>
      <c r="CG48" s="230">
        <v>23016000</v>
      </c>
      <c r="CH48" s="229">
        <v>0.76949999999999996</v>
      </c>
      <c r="CI48" s="230">
        <v>2700000</v>
      </c>
      <c r="CJ48" s="230">
        <v>2619200</v>
      </c>
      <c r="CK48" s="230">
        <v>80800</v>
      </c>
      <c r="CL48" s="229">
        <v>3.0800000000000001E-2</v>
      </c>
      <c r="CM48" s="230">
        <v>53499200</v>
      </c>
      <c r="CN48" s="230">
        <v>56156000</v>
      </c>
      <c r="CO48" s="230">
        <v>-2656800</v>
      </c>
      <c r="CP48" s="229">
        <v>-4.7300000000000002E-2</v>
      </c>
      <c r="CQ48" s="230">
        <v>30056800</v>
      </c>
      <c r="CR48" s="230">
        <v>28896000</v>
      </c>
      <c r="CS48" s="230">
        <v>1160800</v>
      </c>
      <c r="CT48" s="229">
        <v>4.02E-2</v>
      </c>
      <c r="CU48" s="230">
        <v>169262400</v>
      </c>
      <c r="CV48" s="230">
        <v>173548000</v>
      </c>
      <c r="CW48" s="230">
        <v>-4285600</v>
      </c>
      <c r="CX48" s="229">
        <v>-2.47E-2</v>
      </c>
      <c r="CY48" s="228">
        <v>33.880000000000003</v>
      </c>
      <c r="CZ48" s="228">
        <v>28.99</v>
      </c>
      <c r="DA48" s="228">
        <v>4.8899999999999997</v>
      </c>
      <c r="DB48" s="228">
        <v>4.8899999999999997</v>
      </c>
      <c r="DC48" s="228">
        <v>33.28</v>
      </c>
      <c r="DD48" s="228">
        <v>33.17</v>
      </c>
      <c r="DE48" s="228">
        <v>0.6</v>
      </c>
      <c r="DF48" s="228">
        <v>0.11</v>
      </c>
      <c r="DG48" s="228">
        <v>34</v>
      </c>
      <c r="DH48" s="228">
        <v>29.79</v>
      </c>
      <c r="DI48" s="228">
        <v>4.21</v>
      </c>
      <c r="DJ48" s="228">
        <v>4.21</v>
      </c>
      <c r="DK48" s="228">
        <v>33.69</v>
      </c>
      <c r="DL48" s="228">
        <v>27.68</v>
      </c>
      <c r="DM48" s="228">
        <v>6.01</v>
      </c>
      <c r="DN48" s="228">
        <v>6.01</v>
      </c>
      <c r="DO48" s="228">
        <v>0.56000000000000005</v>
      </c>
      <c r="DP48" s="228">
        <v>0.51</v>
      </c>
      <c r="DQ48" s="228">
        <v>0.05</v>
      </c>
      <c r="DR48" s="229">
        <v>9.8000000000000004E-2</v>
      </c>
      <c r="DS48" s="228">
        <v>370</v>
      </c>
      <c r="DT48" s="228">
        <v>340</v>
      </c>
      <c r="DU48" s="228">
        <v>0.47</v>
      </c>
      <c r="DV48" s="228">
        <v>0.61</v>
      </c>
      <c r="DW48" s="228">
        <v>-0.14000000000000001</v>
      </c>
      <c r="DX48" s="229">
        <v>-0.22950000000000001</v>
      </c>
      <c r="DY48" s="229">
        <v>0.64910000000000001</v>
      </c>
      <c r="DZ48" s="230">
        <v>32531200</v>
      </c>
      <c r="EA48" s="229">
        <v>2.3999999999999998E-3</v>
      </c>
      <c r="EB48" s="229">
        <v>0.64910000000000001</v>
      </c>
      <c r="EC48" s="228">
        <v>1.1499999999999999</v>
      </c>
      <c r="ED48" s="229">
        <v>3.3E-3</v>
      </c>
      <c r="EE48" s="230">
        <v>5412045</v>
      </c>
      <c r="EF48" s="230">
        <v>5202593</v>
      </c>
      <c r="EG48" s="229">
        <v>4.0300000000000002E-2</v>
      </c>
      <c r="EH48" s="229">
        <v>0.50509999999999999</v>
      </c>
      <c r="EI48" s="231">
        <v>355032.04</v>
      </c>
      <c r="EJ48" s="231">
        <v>160488.94</v>
      </c>
      <c r="EK48" s="231">
        <v>261102.12</v>
      </c>
      <c r="EL48" s="231">
        <v>40641</v>
      </c>
      <c r="EM48" s="231">
        <v>776623.1</v>
      </c>
      <c r="EN48" s="231">
        <v>605958.64</v>
      </c>
      <c r="EO48" s="231">
        <v>170664.46</v>
      </c>
      <c r="EP48" s="229">
        <v>0.28160000000000002</v>
      </c>
      <c r="EQ48" s="231">
        <v>201397</v>
      </c>
      <c r="ER48" s="231">
        <v>105322</v>
      </c>
      <c r="ES48" s="231">
        <v>299048</v>
      </c>
      <c r="ET48" s="231">
        <v>317235726</v>
      </c>
      <c r="EU48" s="231">
        <v>605766</v>
      </c>
      <c r="EV48" s="231">
        <v>612787</v>
      </c>
      <c r="EW48" s="231">
        <v>-7021</v>
      </c>
      <c r="EX48" s="229">
        <v>-1.15E-2</v>
      </c>
      <c r="EY48" s="229">
        <v>0.53359999999999996</v>
      </c>
    </row>
    <row r="49" spans="1:155" ht="17.25" thickBot="1" x14ac:dyDescent="0.3">
      <c r="A49" s="226">
        <v>46044</v>
      </c>
      <c r="B49" s="227" t="s">
        <v>197</v>
      </c>
      <c r="C49" s="227" t="s">
        <v>482</v>
      </c>
      <c r="D49" s="231">
        <v>3810.1</v>
      </c>
      <c r="E49" s="231">
        <v>3768.8</v>
      </c>
      <c r="F49" s="228">
        <v>41.3</v>
      </c>
      <c r="G49" s="229">
        <v>1.0999999999999999E-2</v>
      </c>
      <c r="H49" s="231">
        <v>3803.8</v>
      </c>
      <c r="I49" s="231">
        <v>3764.4</v>
      </c>
      <c r="J49" s="228">
        <v>39.4</v>
      </c>
      <c r="K49" s="229">
        <v>1.0500000000000001E-2</v>
      </c>
      <c r="L49" s="231">
        <v>3810.1</v>
      </c>
      <c r="M49" s="231">
        <v>3768.8</v>
      </c>
      <c r="N49" s="228">
        <v>41.3</v>
      </c>
      <c r="O49" s="229">
        <v>1.0999999999999999E-2</v>
      </c>
      <c r="P49" s="231">
        <v>3828.6</v>
      </c>
      <c r="Q49" s="231">
        <v>3789.4</v>
      </c>
      <c r="R49" s="228">
        <v>39.200000000000003</v>
      </c>
      <c r="S49" s="229">
        <v>1.03E-2</v>
      </c>
      <c r="T49" s="231">
        <v>3856.5</v>
      </c>
      <c r="U49" s="231">
        <v>3812</v>
      </c>
      <c r="V49" s="228">
        <v>44.5</v>
      </c>
      <c r="W49" s="229">
        <v>1.17E-2</v>
      </c>
      <c r="X49" s="228">
        <v>6.3</v>
      </c>
      <c r="Y49" s="228">
        <v>4.4000000000000004</v>
      </c>
      <c r="Z49" s="228">
        <v>1.9</v>
      </c>
      <c r="AA49" s="229">
        <v>1.6999999999999999E-3</v>
      </c>
      <c r="AB49" s="228">
        <v>6.3</v>
      </c>
      <c r="AC49" s="228">
        <v>4.4000000000000004</v>
      </c>
      <c r="AD49" s="228">
        <v>1.9</v>
      </c>
      <c r="AE49" s="229">
        <v>1.6999999999999999E-3</v>
      </c>
      <c r="AF49" s="228">
        <v>24.8</v>
      </c>
      <c r="AG49" s="228">
        <v>25</v>
      </c>
      <c r="AH49" s="228">
        <v>-0.2</v>
      </c>
      <c r="AI49" s="229">
        <v>6.4999999999999997E-3</v>
      </c>
      <c r="AJ49" s="228">
        <v>52.7</v>
      </c>
      <c r="AK49" s="228">
        <v>47.6</v>
      </c>
      <c r="AL49" s="228">
        <v>5.0999999999999996</v>
      </c>
      <c r="AM49" s="229">
        <v>1.3899999999999999E-2</v>
      </c>
      <c r="AN49" s="231">
        <v>3800.73</v>
      </c>
      <c r="AO49" s="231">
        <v>3819.27</v>
      </c>
      <c r="AP49" s="228">
        <v>0</v>
      </c>
      <c r="AQ49" s="230">
        <v>57510</v>
      </c>
      <c r="AR49" s="230">
        <v>45529</v>
      </c>
      <c r="AS49" s="230">
        <v>11981</v>
      </c>
      <c r="AT49" s="229">
        <v>0.26319999999999999</v>
      </c>
      <c r="AU49" s="230">
        <v>28872</v>
      </c>
      <c r="AV49" s="230">
        <v>25889</v>
      </c>
      <c r="AW49" s="230">
        <v>2983</v>
      </c>
      <c r="AX49" s="229">
        <v>0.1152</v>
      </c>
      <c r="AY49" s="230">
        <v>28222</v>
      </c>
      <c r="AZ49" s="230">
        <v>19010</v>
      </c>
      <c r="BA49" s="230">
        <v>9212</v>
      </c>
      <c r="BB49" s="229">
        <v>0.48459999999999998</v>
      </c>
      <c r="BC49" s="228">
        <v>416</v>
      </c>
      <c r="BD49" s="228">
        <v>630</v>
      </c>
      <c r="BE49" s="228">
        <v>-214</v>
      </c>
      <c r="BF49" s="229">
        <v>-0.3397</v>
      </c>
      <c r="BG49" s="230">
        <v>94584</v>
      </c>
      <c r="BH49" s="230">
        <v>112401</v>
      </c>
      <c r="BI49" s="230">
        <v>-17817</v>
      </c>
      <c r="BJ49" s="229">
        <v>-0.1585</v>
      </c>
      <c r="BK49" s="230">
        <v>41490</v>
      </c>
      <c r="BL49" s="230">
        <v>72245</v>
      </c>
      <c r="BM49" s="230">
        <v>-30755</v>
      </c>
      <c r="BN49" s="229">
        <v>-0.42570000000000002</v>
      </c>
      <c r="BO49" s="230">
        <v>193584</v>
      </c>
      <c r="BP49" s="230">
        <v>230175</v>
      </c>
      <c r="BQ49" s="230">
        <v>-36591</v>
      </c>
      <c r="BR49" s="229">
        <v>-0.159</v>
      </c>
      <c r="BS49" s="230">
        <v>1196663</v>
      </c>
      <c r="BT49" s="230">
        <v>1471863</v>
      </c>
      <c r="BU49" s="230">
        <v>-275200</v>
      </c>
      <c r="BV49" s="229">
        <v>-0.187</v>
      </c>
      <c r="BW49" s="230">
        <v>8976300</v>
      </c>
      <c r="BX49" s="230">
        <v>8914200</v>
      </c>
      <c r="BY49" s="230">
        <v>62100</v>
      </c>
      <c r="BZ49" s="229">
        <v>7.0000000000000001E-3</v>
      </c>
      <c r="CA49" s="230">
        <v>4223000</v>
      </c>
      <c r="CB49" s="230">
        <v>6282500</v>
      </c>
      <c r="CC49" s="230">
        <v>-2059500</v>
      </c>
      <c r="CD49" s="229">
        <v>-0.32779999999999998</v>
      </c>
      <c r="CE49" s="230">
        <v>4506500</v>
      </c>
      <c r="CF49" s="230">
        <v>2394400</v>
      </c>
      <c r="CG49" s="230">
        <v>2112100</v>
      </c>
      <c r="CH49" s="229">
        <v>0.8821</v>
      </c>
      <c r="CI49" s="230">
        <v>246800</v>
      </c>
      <c r="CJ49" s="230">
        <v>237300</v>
      </c>
      <c r="CK49" s="230">
        <v>9500</v>
      </c>
      <c r="CL49" s="229">
        <v>0.04</v>
      </c>
      <c r="CM49" s="230">
        <v>6771100</v>
      </c>
      <c r="CN49" s="230">
        <v>6914000</v>
      </c>
      <c r="CO49" s="230">
        <v>-142900</v>
      </c>
      <c r="CP49" s="229">
        <v>-2.07E-2</v>
      </c>
      <c r="CQ49" s="230">
        <v>3750100</v>
      </c>
      <c r="CR49" s="230">
        <v>3782100</v>
      </c>
      <c r="CS49" s="230">
        <v>-32000</v>
      </c>
      <c r="CT49" s="229">
        <v>-8.5000000000000006E-3</v>
      </c>
      <c r="CU49" s="230">
        <v>19497500</v>
      </c>
      <c r="CV49" s="230">
        <v>19610300</v>
      </c>
      <c r="CW49" s="230">
        <v>-112800</v>
      </c>
      <c r="CX49" s="229">
        <v>-5.7999999999999996E-3</v>
      </c>
      <c r="CY49" s="228">
        <v>38.130000000000003</v>
      </c>
      <c r="CZ49" s="228">
        <v>33.6</v>
      </c>
      <c r="DA49" s="228">
        <v>4.53</v>
      </c>
      <c r="DB49" s="228">
        <v>4.53</v>
      </c>
      <c r="DC49" s="228">
        <v>42.98</v>
      </c>
      <c r="DD49" s="228">
        <v>43.07</v>
      </c>
      <c r="DE49" s="228">
        <v>-4.8499999999999996</v>
      </c>
      <c r="DF49" s="228">
        <v>-0.09</v>
      </c>
      <c r="DG49" s="228">
        <v>37.97</v>
      </c>
      <c r="DH49" s="228">
        <v>35</v>
      </c>
      <c r="DI49" s="228">
        <v>2.97</v>
      </c>
      <c r="DJ49" s="228">
        <v>2.97</v>
      </c>
      <c r="DK49" s="228">
        <v>38.299999999999997</v>
      </c>
      <c r="DL49" s="228">
        <v>31.42</v>
      </c>
      <c r="DM49" s="228">
        <v>6.88</v>
      </c>
      <c r="DN49" s="228">
        <v>6.88</v>
      </c>
      <c r="DO49" s="228">
        <v>0.55000000000000004</v>
      </c>
      <c r="DP49" s="228">
        <v>0.55000000000000004</v>
      </c>
      <c r="DQ49" s="228">
        <v>0</v>
      </c>
      <c r="DR49" s="229">
        <v>0</v>
      </c>
      <c r="DS49" s="231">
        <v>4200</v>
      </c>
      <c r="DT49" s="231">
        <v>3900</v>
      </c>
      <c r="DU49" s="228">
        <v>0.44</v>
      </c>
      <c r="DV49" s="228">
        <v>0.64</v>
      </c>
      <c r="DW49" s="228">
        <v>-0.2</v>
      </c>
      <c r="DX49" s="229">
        <v>-0.3125</v>
      </c>
      <c r="DY49" s="229">
        <v>0.52949999999999997</v>
      </c>
      <c r="DZ49" s="230">
        <v>2631700</v>
      </c>
      <c r="EA49" s="229">
        <v>4.8999999999999998E-3</v>
      </c>
      <c r="EB49" s="229">
        <v>0.52949999999999997</v>
      </c>
      <c r="EC49" s="228">
        <v>18.54</v>
      </c>
      <c r="ED49" s="229">
        <v>4.8999999999999998E-3</v>
      </c>
      <c r="EE49" s="230">
        <v>647589</v>
      </c>
      <c r="EF49" s="230">
        <v>660640</v>
      </c>
      <c r="EG49" s="229">
        <v>-1.9800000000000002E-2</v>
      </c>
      <c r="EH49" s="229">
        <v>0.54120000000000001</v>
      </c>
      <c r="EI49" s="231">
        <v>378674.57</v>
      </c>
      <c r="EJ49" s="231">
        <v>156758.43</v>
      </c>
      <c r="EK49" s="231">
        <v>219123.18</v>
      </c>
      <c r="EL49" s="231">
        <v>20863</v>
      </c>
      <c r="EM49" s="231">
        <v>754556.18</v>
      </c>
      <c r="EN49" s="231">
        <v>895949.04</v>
      </c>
      <c r="EO49" s="231">
        <v>-141392.85999999999</v>
      </c>
      <c r="EP49" s="229">
        <v>-0.1578</v>
      </c>
      <c r="EQ49" s="231">
        <v>286216</v>
      </c>
      <c r="ER49" s="231">
        <v>149516</v>
      </c>
      <c r="ES49" s="231">
        <v>342954</v>
      </c>
      <c r="ET49" s="231">
        <v>33590487</v>
      </c>
      <c r="EU49" s="231">
        <v>778686</v>
      </c>
      <c r="EV49" s="231">
        <v>780136</v>
      </c>
      <c r="EW49" s="231">
        <v>-1450</v>
      </c>
      <c r="EX49" s="229">
        <v>-1.9E-3</v>
      </c>
      <c r="EY49" s="229">
        <v>0.58040000000000003</v>
      </c>
    </row>
    <row r="50" spans="1:155" ht="17.25" thickBot="1" x14ac:dyDescent="0.3">
      <c r="A50" s="226">
        <v>46044</v>
      </c>
      <c r="B50" s="227" t="s">
        <v>157</v>
      </c>
      <c r="C50" s="227" t="s">
        <v>302</v>
      </c>
      <c r="D50" s="231">
        <v>12379</v>
      </c>
      <c r="E50" s="231">
        <v>12224</v>
      </c>
      <c r="F50" s="228">
        <v>155</v>
      </c>
      <c r="G50" s="229">
        <v>1.2699999999999999E-2</v>
      </c>
      <c r="H50" s="231">
        <v>12364</v>
      </c>
      <c r="I50" s="231">
        <v>12231</v>
      </c>
      <c r="J50" s="228">
        <v>133</v>
      </c>
      <c r="K50" s="229">
        <v>1.09E-2</v>
      </c>
      <c r="L50" s="231">
        <v>12379</v>
      </c>
      <c r="M50" s="231">
        <v>12224</v>
      </c>
      <c r="N50" s="228">
        <v>155</v>
      </c>
      <c r="O50" s="229">
        <v>1.2699999999999999E-2</v>
      </c>
      <c r="P50" s="231">
        <v>12444</v>
      </c>
      <c r="Q50" s="231">
        <v>12290</v>
      </c>
      <c r="R50" s="228">
        <v>154</v>
      </c>
      <c r="S50" s="229">
        <v>1.2500000000000001E-2</v>
      </c>
      <c r="T50" s="231">
        <v>12532</v>
      </c>
      <c r="U50" s="231">
        <v>12376</v>
      </c>
      <c r="V50" s="228">
        <v>156</v>
      </c>
      <c r="W50" s="229">
        <v>1.26E-2</v>
      </c>
      <c r="X50" s="228">
        <v>15</v>
      </c>
      <c r="Y50" s="228">
        <v>-7</v>
      </c>
      <c r="Z50" s="228">
        <v>22</v>
      </c>
      <c r="AA50" s="229">
        <v>1.1999999999999999E-3</v>
      </c>
      <c r="AB50" s="228">
        <v>15</v>
      </c>
      <c r="AC50" s="228">
        <v>-7</v>
      </c>
      <c r="AD50" s="228">
        <v>22</v>
      </c>
      <c r="AE50" s="229">
        <v>1.1999999999999999E-3</v>
      </c>
      <c r="AF50" s="228">
        <v>80</v>
      </c>
      <c r="AG50" s="228">
        <v>59</v>
      </c>
      <c r="AH50" s="228">
        <v>21</v>
      </c>
      <c r="AI50" s="229">
        <v>6.4999999999999997E-3</v>
      </c>
      <c r="AJ50" s="228">
        <v>168</v>
      </c>
      <c r="AK50" s="228">
        <v>145</v>
      </c>
      <c r="AL50" s="228">
        <v>23</v>
      </c>
      <c r="AM50" s="229">
        <v>1.3599999999999999E-2</v>
      </c>
      <c r="AN50" s="231">
        <v>12347.88</v>
      </c>
      <c r="AO50" s="231">
        <v>12413.88</v>
      </c>
      <c r="AP50" s="228">
        <v>0</v>
      </c>
      <c r="AQ50" s="230">
        <v>47650</v>
      </c>
      <c r="AR50" s="230">
        <v>28875</v>
      </c>
      <c r="AS50" s="230">
        <v>18775</v>
      </c>
      <c r="AT50" s="229">
        <v>0.6502</v>
      </c>
      <c r="AU50" s="230">
        <v>25276</v>
      </c>
      <c r="AV50" s="230">
        <v>15874</v>
      </c>
      <c r="AW50" s="230">
        <v>9402</v>
      </c>
      <c r="AX50" s="229">
        <v>0.59230000000000005</v>
      </c>
      <c r="AY50" s="230">
        <v>22230</v>
      </c>
      <c r="AZ50" s="230">
        <v>12939</v>
      </c>
      <c r="BA50" s="230">
        <v>9291</v>
      </c>
      <c r="BB50" s="229">
        <v>0.71809999999999996</v>
      </c>
      <c r="BC50" s="228">
        <v>144</v>
      </c>
      <c r="BD50" s="228">
        <v>62</v>
      </c>
      <c r="BE50" s="228">
        <v>82</v>
      </c>
      <c r="BF50" s="229">
        <v>1.3226</v>
      </c>
      <c r="BG50" s="230">
        <v>32228</v>
      </c>
      <c r="BH50" s="230">
        <v>31631</v>
      </c>
      <c r="BI50" s="228">
        <v>597</v>
      </c>
      <c r="BJ50" s="229">
        <v>1.89E-2</v>
      </c>
      <c r="BK50" s="230">
        <v>14160</v>
      </c>
      <c r="BL50" s="230">
        <v>18713</v>
      </c>
      <c r="BM50" s="230">
        <v>-4553</v>
      </c>
      <c r="BN50" s="229">
        <v>-0.24329999999999999</v>
      </c>
      <c r="BO50" s="230">
        <v>94038</v>
      </c>
      <c r="BP50" s="230">
        <v>79219</v>
      </c>
      <c r="BQ50" s="230">
        <v>14819</v>
      </c>
      <c r="BR50" s="229">
        <v>0.18709999999999999</v>
      </c>
      <c r="BS50" s="230">
        <v>300618</v>
      </c>
      <c r="BT50" s="230">
        <v>214525</v>
      </c>
      <c r="BU50" s="230">
        <v>86093</v>
      </c>
      <c r="BV50" s="229">
        <v>0.40129999999999999</v>
      </c>
      <c r="BW50" s="230">
        <v>2909900</v>
      </c>
      <c r="BX50" s="230">
        <v>2824450</v>
      </c>
      <c r="BY50" s="230">
        <v>85450</v>
      </c>
      <c r="BZ50" s="229">
        <v>3.0300000000000001E-2</v>
      </c>
      <c r="CA50" s="230">
        <v>1038850</v>
      </c>
      <c r="CB50" s="230">
        <v>1913700</v>
      </c>
      <c r="CC50" s="230">
        <v>-874850</v>
      </c>
      <c r="CD50" s="229">
        <v>-0.4572</v>
      </c>
      <c r="CE50" s="230">
        <v>1721550</v>
      </c>
      <c r="CF50" s="230">
        <v>766550</v>
      </c>
      <c r="CG50" s="230">
        <v>955000</v>
      </c>
      <c r="CH50" s="229">
        <v>1.2458</v>
      </c>
      <c r="CI50" s="230">
        <v>149500</v>
      </c>
      <c r="CJ50" s="230">
        <v>144200</v>
      </c>
      <c r="CK50" s="230">
        <v>5300</v>
      </c>
      <c r="CL50" s="229">
        <v>3.6799999999999999E-2</v>
      </c>
      <c r="CM50" s="230">
        <v>588900</v>
      </c>
      <c r="CN50" s="230">
        <v>632550</v>
      </c>
      <c r="CO50" s="230">
        <v>-43650</v>
      </c>
      <c r="CP50" s="229">
        <v>-6.9000000000000006E-2</v>
      </c>
      <c r="CQ50" s="230">
        <v>486850</v>
      </c>
      <c r="CR50" s="230">
        <v>463650</v>
      </c>
      <c r="CS50" s="230">
        <v>23200</v>
      </c>
      <c r="CT50" s="229">
        <v>0.05</v>
      </c>
      <c r="CU50" s="230">
        <v>3985650</v>
      </c>
      <c r="CV50" s="230">
        <v>3920650</v>
      </c>
      <c r="CW50" s="230">
        <v>65000</v>
      </c>
      <c r="CX50" s="229">
        <v>1.66E-2</v>
      </c>
      <c r="CY50" s="228">
        <v>22.91</v>
      </c>
      <c r="CZ50" s="228">
        <v>26.83</v>
      </c>
      <c r="DA50" s="228">
        <v>-3.92</v>
      </c>
      <c r="DB50" s="228">
        <v>-3.92</v>
      </c>
      <c r="DC50" s="228">
        <v>23.56</v>
      </c>
      <c r="DD50" s="228">
        <v>23.57</v>
      </c>
      <c r="DE50" s="228">
        <v>-0.65</v>
      </c>
      <c r="DF50" s="228">
        <v>-0.01</v>
      </c>
      <c r="DG50" s="228">
        <v>22.89</v>
      </c>
      <c r="DH50" s="228">
        <v>26.92</v>
      </c>
      <c r="DI50" s="228">
        <v>-4.03</v>
      </c>
      <c r="DJ50" s="228">
        <v>-4.03</v>
      </c>
      <c r="DK50" s="228">
        <v>22.96</v>
      </c>
      <c r="DL50" s="228">
        <v>26.68</v>
      </c>
      <c r="DM50" s="228">
        <v>-3.72</v>
      </c>
      <c r="DN50" s="228">
        <v>-3.72</v>
      </c>
      <c r="DO50" s="228">
        <v>0.83</v>
      </c>
      <c r="DP50" s="228">
        <v>0.73</v>
      </c>
      <c r="DQ50" s="228">
        <v>0.1</v>
      </c>
      <c r="DR50" s="229">
        <v>0.13700000000000001</v>
      </c>
      <c r="DS50" s="231">
        <v>12200</v>
      </c>
      <c r="DT50" s="231">
        <v>11500</v>
      </c>
      <c r="DU50" s="228">
        <v>0.44</v>
      </c>
      <c r="DV50" s="228">
        <v>0.59</v>
      </c>
      <c r="DW50" s="228">
        <v>-0.15</v>
      </c>
      <c r="DX50" s="229">
        <v>-0.25419999999999998</v>
      </c>
      <c r="DY50" s="229">
        <v>0.64300000000000002</v>
      </c>
      <c r="DZ50" s="230">
        <v>910750</v>
      </c>
      <c r="EA50" s="229">
        <v>5.3E-3</v>
      </c>
      <c r="EB50" s="229">
        <v>0.64300000000000002</v>
      </c>
      <c r="EC50" s="228">
        <v>66</v>
      </c>
      <c r="ED50" s="229">
        <v>5.3E-3</v>
      </c>
      <c r="EE50" s="230">
        <v>188437</v>
      </c>
      <c r="EF50" s="230">
        <v>114698</v>
      </c>
      <c r="EG50" s="229">
        <v>0.64290000000000003</v>
      </c>
      <c r="EH50" s="229">
        <v>0.62680000000000002</v>
      </c>
      <c r="EI50" s="231">
        <v>204861.5</v>
      </c>
      <c r="EJ50" s="231">
        <v>86044.02</v>
      </c>
      <c r="EK50" s="231">
        <v>294933.67</v>
      </c>
      <c r="EL50" s="231">
        <v>14781</v>
      </c>
      <c r="EM50" s="231">
        <v>585839.18999999994</v>
      </c>
      <c r="EN50" s="231">
        <v>487054.28</v>
      </c>
      <c r="EO50" s="231">
        <v>98784.91</v>
      </c>
      <c r="EP50" s="229">
        <v>0.20280000000000001</v>
      </c>
      <c r="EQ50" s="231">
        <v>74019</v>
      </c>
      <c r="ER50" s="231">
        <v>57205</v>
      </c>
      <c r="ES50" s="231">
        <v>361564</v>
      </c>
      <c r="ET50" s="231">
        <v>11955674</v>
      </c>
      <c r="EU50" s="231">
        <v>492788</v>
      </c>
      <c r="EV50" s="231">
        <v>479545</v>
      </c>
      <c r="EW50" s="231">
        <v>13243</v>
      </c>
      <c r="EX50" s="229">
        <v>2.76E-2</v>
      </c>
      <c r="EY50" s="229">
        <v>0.33339999999999997</v>
      </c>
    </row>
    <row r="51" spans="1:155" ht="17.25" thickBot="1" x14ac:dyDescent="0.3">
      <c r="A51" s="226">
        <v>46044</v>
      </c>
      <c r="B51" s="227" t="s">
        <v>221</v>
      </c>
      <c r="C51" s="227" t="s">
        <v>306</v>
      </c>
      <c r="D51" s="228">
        <v>240.95</v>
      </c>
      <c r="E51" s="228">
        <v>240.15</v>
      </c>
      <c r="F51" s="228">
        <v>0.8</v>
      </c>
      <c r="G51" s="229">
        <v>3.3E-3</v>
      </c>
      <c r="H51" s="228">
        <v>240.65</v>
      </c>
      <c r="I51" s="228">
        <v>239.55</v>
      </c>
      <c r="J51" s="228">
        <v>1.1000000000000001</v>
      </c>
      <c r="K51" s="229">
        <v>4.5999999999999999E-3</v>
      </c>
      <c r="L51" s="228">
        <v>240.95</v>
      </c>
      <c r="M51" s="228">
        <v>240.15</v>
      </c>
      <c r="N51" s="228">
        <v>0.8</v>
      </c>
      <c r="O51" s="229">
        <v>3.3E-3</v>
      </c>
      <c r="P51" s="228">
        <v>240.55</v>
      </c>
      <c r="Q51" s="228">
        <v>238.85</v>
      </c>
      <c r="R51" s="228">
        <v>1.7</v>
      </c>
      <c r="S51" s="229">
        <v>7.1000000000000004E-3</v>
      </c>
      <c r="T51" s="228">
        <v>240.3</v>
      </c>
      <c r="U51" s="228">
        <v>238.4</v>
      </c>
      <c r="V51" s="228">
        <v>1.9</v>
      </c>
      <c r="W51" s="229">
        <v>8.0000000000000002E-3</v>
      </c>
      <c r="X51" s="228">
        <v>0.3</v>
      </c>
      <c r="Y51" s="228">
        <v>0.6</v>
      </c>
      <c r="Z51" s="228">
        <v>-0.3</v>
      </c>
      <c r="AA51" s="229">
        <v>1.1999999999999999E-3</v>
      </c>
      <c r="AB51" s="228">
        <v>0.3</v>
      </c>
      <c r="AC51" s="228">
        <v>0.6</v>
      </c>
      <c r="AD51" s="228">
        <v>-0.3</v>
      </c>
      <c r="AE51" s="229">
        <v>1.1999999999999999E-3</v>
      </c>
      <c r="AF51" s="228">
        <v>-0.1</v>
      </c>
      <c r="AG51" s="228">
        <v>-0.7</v>
      </c>
      <c r="AH51" s="228">
        <v>0.6</v>
      </c>
      <c r="AI51" s="229">
        <v>-4.0000000000000002E-4</v>
      </c>
      <c r="AJ51" s="228">
        <v>-0.35</v>
      </c>
      <c r="AK51" s="228">
        <v>-1.1499999999999999</v>
      </c>
      <c r="AL51" s="228">
        <v>0.8</v>
      </c>
      <c r="AM51" s="229">
        <v>-1.5E-3</v>
      </c>
      <c r="AN51" s="228">
        <v>241.16</v>
      </c>
      <c r="AO51" s="228">
        <v>240.26</v>
      </c>
      <c r="AP51" s="228">
        <v>0</v>
      </c>
      <c r="AQ51" s="230">
        <v>34737</v>
      </c>
      <c r="AR51" s="230">
        <v>40382</v>
      </c>
      <c r="AS51" s="230">
        <v>-5645</v>
      </c>
      <c r="AT51" s="229">
        <v>-0.13980000000000001</v>
      </c>
      <c r="AU51" s="230">
        <v>17233</v>
      </c>
      <c r="AV51" s="230">
        <v>21344</v>
      </c>
      <c r="AW51" s="230">
        <v>-4111</v>
      </c>
      <c r="AX51" s="229">
        <v>-0.19259999999999999</v>
      </c>
      <c r="AY51" s="230">
        <v>17171</v>
      </c>
      <c r="AZ51" s="230">
        <v>18800</v>
      </c>
      <c r="BA51" s="230">
        <v>-1629</v>
      </c>
      <c r="BB51" s="229">
        <v>-8.6599999999999996E-2</v>
      </c>
      <c r="BC51" s="228">
        <v>333</v>
      </c>
      <c r="BD51" s="228">
        <v>238</v>
      </c>
      <c r="BE51" s="228">
        <v>95</v>
      </c>
      <c r="BF51" s="229">
        <v>0.3992</v>
      </c>
      <c r="BG51" s="230">
        <v>24575</v>
      </c>
      <c r="BH51" s="230">
        <v>41058</v>
      </c>
      <c r="BI51" s="230">
        <v>-16483</v>
      </c>
      <c r="BJ51" s="229">
        <v>-0.40150000000000002</v>
      </c>
      <c r="BK51" s="230">
        <v>11863</v>
      </c>
      <c r="BL51" s="230">
        <v>22285</v>
      </c>
      <c r="BM51" s="230">
        <v>-10422</v>
      </c>
      <c r="BN51" s="229">
        <v>-0.4677</v>
      </c>
      <c r="BO51" s="230">
        <v>71175</v>
      </c>
      <c r="BP51" s="230">
        <v>103725</v>
      </c>
      <c r="BQ51" s="230">
        <v>-32550</v>
      </c>
      <c r="BR51" s="229">
        <v>-0.31380000000000002</v>
      </c>
      <c r="BS51" s="230">
        <v>8762701</v>
      </c>
      <c r="BT51" s="230">
        <v>15198710</v>
      </c>
      <c r="BU51" s="230">
        <v>-6436009</v>
      </c>
      <c r="BV51" s="229">
        <v>-0.42349999999999999</v>
      </c>
      <c r="BW51" s="230">
        <v>170223000</v>
      </c>
      <c r="BX51" s="230">
        <v>169866000</v>
      </c>
      <c r="BY51" s="230">
        <v>357000</v>
      </c>
      <c r="BZ51" s="229">
        <v>2.0999999999999999E-3</v>
      </c>
      <c r="CA51" s="230">
        <v>59547000</v>
      </c>
      <c r="CB51" s="230">
        <v>90048000</v>
      </c>
      <c r="CC51" s="230">
        <v>-30501000</v>
      </c>
      <c r="CD51" s="229">
        <v>-0.3387</v>
      </c>
      <c r="CE51" s="230">
        <v>108531000</v>
      </c>
      <c r="CF51" s="230">
        <v>77856000</v>
      </c>
      <c r="CG51" s="230">
        <v>30675000</v>
      </c>
      <c r="CH51" s="229">
        <v>0.39400000000000002</v>
      </c>
      <c r="CI51" s="230">
        <v>2145000</v>
      </c>
      <c r="CJ51" s="230">
        <v>1962000</v>
      </c>
      <c r="CK51" s="230">
        <v>183000</v>
      </c>
      <c r="CL51" s="229">
        <v>9.3299999999999994E-2</v>
      </c>
      <c r="CM51" s="230">
        <v>83181000</v>
      </c>
      <c r="CN51" s="230">
        <v>87252000</v>
      </c>
      <c r="CO51" s="230">
        <v>-4071000</v>
      </c>
      <c r="CP51" s="229">
        <v>-4.6699999999999998E-2</v>
      </c>
      <c r="CQ51" s="230">
        <v>43749000</v>
      </c>
      <c r="CR51" s="230">
        <v>45567000</v>
      </c>
      <c r="CS51" s="230">
        <v>-1818000</v>
      </c>
      <c r="CT51" s="229">
        <v>-3.9899999999999998E-2</v>
      </c>
      <c r="CU51" s="230">
        <v>297153000</v>
      </c>
      <c r="CV51" s="230">
        <v>302685000</v>
      </c>
      <c r="CW51" s="230">
        <v>-5532000</v>
      </c>
      <c r="CX51" s="229">
        <v>-1.83E-2</v>
      </c>
      <c r="CY51" s="228">
        <v>25.27</v>
      </c>
      <c r="CZ51" s="228">
        <v>24.22</v>
      </c>
      <c r="DA51" s="228">
        <v>1.05</v>
      </c>
      <c r="DB51" s="228">
        <v>1.05</v>
      </c>
      <c r="DC51" s="228">
        <v>31.16</v>
      </c>
      <c r="DD51" s="228">
        <v>31.23</v>
      </c>
      <c r="DE51" s="228">
        <v>-5.89</v>
      </c>
      <c r="DF51" s="228">
        <v>-7.0000000000000007E-2</v>
      </c>
      <c r="DG51" s="228">
        <v>25.57</v>
      </c>
      <c r="DH51" s="228">
        <v>25.7</v>
      </c>
      <c r="DI51" s="228">
        <v>-0.13</v>
      </c>
      <c r="DJ51" s="228">
        <v>-0.13</v>
      </c>
      <c r="DK51" s="228">
        <v>24.76</v>
      </c>
      <c r="DL51" s="228">
        <v>21.51</v>
      </c>
      <c r="DM51" s="228">
        <v>3.25</v>
      </c>
      <c r="DN51" s="228">
        <v>3.25</v>
      </c>
      <c r="DO51" s="228">
        <v>0.53</v>
      </c>
      <c r="DP51" s="228">
        <v>0.52</v>
      </c>
      <c r="DQ51" s="228">
        <v>0.01</v>
      </c>
      <c r="DR51" s="229">
        <v>1.9199999999999998E-2</v>
      </c>
      <c r="DS51" s="228">
        <v>250</v>
      </c>
      <c r="DT51" s="228">
        <v>250</v>
      </c>
      <c r="DU51" s="228">
        <v>0.48</v>
      </c>
      <c r="DV51" s="228">
        <v>0.54</v>
      </c>
      <c r="DW51" s="228">
        <v>-0.06</v>
      </c>
      <c r="DX51" s="229">
        <v>-0.1111</v>
      </c>
      <c r="DY51" s="229">
        <v>0.6502</v>
      </c>
      <c r="DZ51" s="230">
        <v>79818000</v>
      </c>
      <c r="EA51" s="229">
        <v>-1.6999999999999999E-3</v>
      </c>
      <c r="EB51" s="229">
        <v>0.6502</v>
      </c>
      <c r="EC51" s="228">
        <v>-0.9</v>
      </c>
      <c r="ED51" s="229">
        <v>-3.7000000000000002E-3</v>
      </c>
      <c r="EE51" s="230">
        <v>4510591</v>
      </c>
      <c r="EF51" s="230">
        <v>6541880</v>
      </c>
      <c r="EG51" s="229">
        <v>-0.3105</v>
      </c>
      <c r="EH51" s="229">
        <v>0.51470000000000005</v>
      </c>
      <c r="EI51" s="231">
        <v>184947.65</v>
      </c>
      <c r="EJ51" s="231">
        <v>87087.76</v>
      </c>
      <c r="EK51" s="231">
        <v>250843.67</v>
      </c>
      <c r="EL51" s="231">
        <v>30333</v>
      </c>
      <c r="EM51" s="231">
        <v>522879.08</v>
      </c>
      <c r="EN51" s="231">
        <v>762209.96</v>
      </c>
      <c r="EO51" s="231">
        <v>-239330.88</v>
      </c>
      <c r="EP51" s="229">
        <v>-0.314</v>
      </c>
      <c r="EQ51" s="231">
        <v>217999</v>
      </c>
      <c r="ER51" s="231">
        <v>107750</v>
      </c>
      <c r="ES51" s="231">
        <v>409704</v>
      </c>
      <c r="ET51" s="231">
        <v>358423198</v>
      </c>
      <c r="EU51" s="231">
        <v>735454</v>
      </c>
      <c r="EV51" s="231">
        <v>747783</v>
      </c>
      <c r="EW51" s="231">
        <v>-12329</v>
      </c>
      <c r="EX51" s="229">
        <v>-1.6500000000000001E-2</v>
      </c>
      <c r="EY51" s="229">
        <v>0.82909999999999995</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A155" zoomScale="86" zoomScaleNormal="86" workbookViewId="0">
      <selection activeCell="P172" sqref="P172"/>
    </sheetView>
  </sheetViews>
  <sheetFormatPr defaultRowHeight="15" x14ac:dyDescent="0.25"/>
  <cols>
    <col min="1" max="1" width="12"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10.28515625" customWidth="1"/>
    <col min="10" max="10" width="11.5703125" customWidth="1"/>
    <col min="11" max="11" width="11.7109375" customWidth="1"/>
    <col min="12" max="12" width="10.5703125" customWidth="1"/>
    <col min="13" max="13" width="10.28515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8.285156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9.1406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10.285156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7109375" customWidth="1"/>
    <col min="89" max="89" width="7.5703125" customWidth="1"/>
    <col min="90" max="90" width="13" customWidth="1"/>
    <col min="91" max="91" width="11.7109375" customWidth="1"/>
    <col min="92" max="92" width="10.5703125" customWidth="1"/>
    <col min="93" max="93" width="10.42578125" customWidth="1"/>
    <col min="94" max="94" width="13.5703125" customWidth="1"/>
    <col min="95" max="95" width="12.42578125" customWidth="1"/>
    <col min="96" max="97" width="10.42578125" customWidth="1"/>
    <col min="98" max="98" width="13.42578125" customWidth="1"/>
    <col min="99" max="99" width="12.28515625" customWidth="1"/>
    <col min="100" max="100" width="10.285156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8" width="9.140625"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28515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2851562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20.425781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46044</v>
      </c>
      <c r="B2" s="227" t="s">
        <v>175</v>
      </c>
      <c r="C2" s="227" t="s">
        <v>682</v>
      </c>
      <c r="D2" s="228">
        <v>500</v>
      </c>
      <c r="E2" s="228">
        <v>5</v>
      </c>
      <c r="F2" s="231">
        <v>1107.9000000000001</v>
      </c>
      <c r="G2" s="231">
        <v>1099.0999999999999</v>
      </c>
      <c r="H2" s="228">
        <v>8.8000000000000007</v>
      </c>
      <c r="I2" s="229">
        <v>8.0000000000000002E-3</v>
      </c>
      <c r="J2" s="231">
        <v>1106.3</v>
      </c>
      <c r="K2" s="231">
        <v>1095.3</v>
      </c>
      <c r="L2" s="228">
        <v>11</v>
      </c>
      <c r="M2" s="229">
        <v>0.01</v>
      </c>
      <c r="N2" s="231">
        <v>1107.9000000000001</v>
      </c>
      <c r="O2" s="231">
        <v>1099.0999999999999</v>
      </c>
      <c r="P2" s="228">
        <v>8.8000000000000007</v>
      </c>
      <c r="Q2" s="229">
        <v>8.0000000000000002E-3</v>
      </c>
      <c r="R2" s="231">
        <v>1101.4000000000001</v>
      </c>
      <c r="S2" s="231">
        <v>1092.7</v>
      </c>
      <c r="T2" s="228">
        <v>8.6999999999999993</v>
      </c>
      <c r="U2" s="229">
        <v>8.0000000000000002E-3</v>
      </c>
      <c r="V2" s="231">
        <v>1096.5999999999999</v>
      </c>
      <c r="W2" s="231">
        <v>1080</v>
      </c>
      <c r="X2" s="228">
        <v>16.600000000000001</v>
      </c>
      <c r="Y2" s="229">
        <v>1.54E-2</v>
      </c>
      <c r="Z2" s="228">
        <v>1.6</v>
      </c>
      <c r="AA2" s="228">
        <v>3.8</v>
      </c>
      <c r="AB2" s="228">
        <v>-2.2000000000000002</v>
      </c>
      <c r="AC2" s="229">
        <v>1.4E-3</v>
      </c>
      <c r="AD2" s="228">
        <v>1.6</v>
      </c>
      <c r="AE2" s="228">
        <v>3.8</v>
      </c>
      <c r="AF2" s="228">
        <v>-2.2000000000000002</v>
      </c>
      <c r="AG2" s="229">
        <v>1.4E-3</v>
      </c>
      <c r="AH2" s="228">
        <v>-4.9000000000000004</v>
      </c>
      <c r="AI2" s="228">
        <v>-2.6</v>
      </c>
      <c r="AJ2" s="228">
        <v>-2.2999999999999998</v>
      </c>
      <c r="AK2" s="229">
        <v>-4.4000000000000003E-3</v>
      </c>
      <c r="AL2" s="228">
        <v>-9.6999999999999993</v>
      </c>
      <c r="AM2" s="228">
        <v>-15.3</v>
      </c>
      <c r="AN2" s="228">
        <v>5.6</v>
      </c>
      <c r="AO2" s="229">
        <v>-8.8000000000000005E-3</v>
      </c>
      <c r="AP2" s="231">
        <v>1108.77</v>
      </c>
      <c r="AQ2" s="231">
        <v>1102.8599999999999</v>
      </c>
      <c r="AR2" s="228">
        <v>0</v>
      </c>
      <c r="AS2" s="228">
        <v>360</v>
      </c>
      <c r="AT2" s="228">
        <v>457</v>
      </c>
      <c r="AU2" s="228">
        <v>-97</v>
      </c>
      <c r="AV2" s="229">
        <v>-0.21299999999999999</v>
      </c>
      <c r="AW2" s="228">
        <v>173</v>
      </c>
      <c r="AX2" s="228">
        <v>276</v>
      </c>
      <c r="AY2" s="228">
        <v>-103</v>
      </c>
      <c r="AZ2" s="229">
        <v>-0.37319999999999998</v>
      </c>
      <c r="BA2" s="228">
        <v>186</v>
      </c>
      <c r="BB2" s="228">
        <v>180</v>
      </c>
      <c r="BC2" s="228">
        <v>6</v>
      </c>
      <c r="BD2" s="229">
        <v>3.3500000000000002E-2</v>
      </c>
      <c r="BE2" s="228">
        <v>0</v>
      </c>
      <c r="BF2" s="228">
        <v>1</v>
      </c>
      <c r="BG2" s="228">
        <v>0</v>
      </c>
      <c r="BH2" s="229">
        <v>-0.45450000000000002</v>
      </c>
      <c r="BI2" s="228">
        <v>497</v>
      </c>
      <c r="BJ2" s="228">
        <v>810</v>
      </c>
      <c r="BK2" s="228">
        <v>-313</v>
      </c>
      <c r="BL2" s="229">
        <v>-0.38640000000000002</v>
      </c>
      <c r="BM2" s="228">
        <v>153</v>
      </c>
      <c r="BN2" s="228">
        <v>517</v>
      </c>
      <c r="BO2" s="228">
        <v>-364</v>
      </c>
      <c r="BP2" s="229">
        <v>-0.70379999999999998</v>
      </c>
      <c r="BQ2" s="230">
        <v>1010</v>
      </c>
      <c r="BR2" s="230">
        <v>1784</v>
      </c>
      <c r="BS2" s="228">
        <v>-774</v>
      </c>
      <c r="BT2" s="229">
        <v>-0.434</v>
      </c>
      <c r="BU2" s="230">
        <v>1887954</v>
      </c>
      <c r="BV2" s="230">
        <v>867575</v>
      </c>
      <c r="BW2" s="230">
        <v>1020379</v>
      </c>
      <c r="BX2" s="229">
        <v>1.1760999999999999</v>
      </c>
      <c r="BY2" s="228">
        <v>400</v>
      </c>
      <c r="BZ2" s="228">
        <v>421</v>
      </c>
      <c r="CA2" s="228">
        <v>-21</v>
      </c>
      <c r="CB2" s="229">
        <v>-5.0099999999999999E-2</v>
      </c>
      <c r="CC2" s="228">
        <v>199</v>
      </c>
      <c r="CD2" s="228">
        <v>312</v>
      </c>
      <c r="CE2" s="228">
        <v>-113</v>
      </c>
      <c r="CF2" s="229">
        <v>-0.36280000000000001</v>
      </c>
      <c r="CG2" s="228">
        <v>200</v>
      </c>
      <c r="CH2" s="228">
        <v>108</v>
      </c>
      <c r="CI2" s="228">
        <v>92</v>
      </c>
      <c r="CJ2" s="229">
        <v>0.84950000000000003</v>
      </c>
      <c r="CK2" s="228">
        <v>1</v>
      </c>
      <c r="CL2" s="228">
        <v>1</v>
      </c>
      <c r="CM2" s="228">
        <v>0</v>
      </c>
      <c r="CN2" s="229">
        <v>0.1053</v>
      </c>
      <c r="CO2" s="228">
        <v>347</v>
      </c>
      <c r="CP2" s="228">
        <v>402</v>
      </c>
      <c r="CQ2" s="228">
        <v>-55</v>
      </c>
      <c r="CR2" s="229">
        <v>-0.13719999999999999</v>
      </c>
      <c r="CS2" s="228">
        <v>197</v>
      </c>
      <c r="CT2" s="228">
        <v>215</v>
      </c>
      <c r="CU2" s="228">
        <v>-18</v>
      </c>
      <c r="CV2" s="229">
        <v>-8.2900000000000001E-2</v>
      </c>
      <c r="CW2" s="228">
        <v>944</v>
      </c>
      <c r="CX2" s="230">
        <v>1038</v>
      </c>
      <c r="CY2" s="228">
        <v>-94</v>
      </c>
      <c r="CZ2" s="229">
        <v>-9.06E-2</v>
      </c>
      <c r="DA2" s="228">
        <v>33.299999999999997</v>
      </c>
      <c r="DB2" s="228">
        <v>31.73</v>
      </c>
      <c r="DC2" s="228">
        <v>1.57</v>
      </c>
      <c r="DD2" s="228">
        <v>1.57</v>
      </c>
      <c r="DE2" s="228">
        <v>42.63</v>
      </c>
      <c r="DF2" s="228">
        <v>42.72</v>
      </c>
      <c r="DG2" s="228">
        <v>-9.33</v>
      </c>
      <c r="DH2" s="228">
        <v>-0.09</v>
      </c>
      <c r="DI2" s="228">
        <v>33.53</v>
      </c>
      <c r="DJ2" s="228">
        <v>35.17</v>
      </c>
      <c r="DK2" s="228">
        <v>-1.64</v>
      </c>
      <c r="DL2" s="228">
        <v>-1.64</v>
      </c>
      <c r="DM2" s="228">
        <v>32.81</v>
      </c>
      <c r="DN2" s="228">
        <v>26.36</v>
      </c>
      <c r="DO2" s="228">
        <v>6.45</v>
      </c>
      <c r="DP2" s="228">
        <v>6.45</v>
      </c>
      <c r="DQ2" s="228">
        <v>0.56999999999999995</v>
      </c>
      <c r="DR2" s="228">
        <v>0.53</v>
      </c>
      <c r="DS2" s="228">
        <v>0.04</v>
      </c>
      <c r="DT2" s="229">
        <v>7.5499999999999998E-2</v>
      </c>
      <c r="DU2" s="231">
        <v>1220</v>
      </c>
      <c r="DV2" s="231">
        <v>1060</v>
      </c>
      <c r="DW2" s="228">
        <v>0.31</v>
      </c>
      <c r="DX2" s="228">
        <v>0.64</v>
      </c>
      <c r="DY2" s="228">
        <v>-0.33</v>
      </c>
      <c r="DZ2" s="229">
        <v>-0.51559999999999995</v>
      </c>
      <c r="EA2" s="229">
        <v>0.50319999999999998</v>
      </c>
      <c r="EB2" s="230">
        <v>986000</v>
      </c>
      <c r="EC2" s="229">
        <v>-5.8999999999999999E-3</v>
      </c>
      <c r="ED2" s="229">
        <v>0.50319999999999998</v>
      </c>
      <c r="EE2" s="228">
        <v>-5.91</v>
      </c>
      <c r="EF2" s="229">
        <v>-5.3E-3</v>
      </c>
      <c r="EG2" s="230">
        <v>1388454</v>
      </c>
      <c r="EH2" s="230">
        <v>314314</v>
      </c>
      <c r="EI2" s="229">
        <v>3.4174000000000002</v>
      </c>
      <c r="EJ2" s="229">
        <v>0.73540000000000005</v>
      </c>
      <c r="EK2" s="228">
        <v>530.76</v>
      </c>
      <c r="EL2" s="228">
        <v>150.78</v>
      </c>
      <c r="EM2" s="228">
        <v>359.08</v>
      </c>
      <c r="EN2" s="228">
        <v>98.99</v>
      </c>
      <c r="EO2" s="231">
        <v>1040.6099999999999</v>
      </c>
      <c r="EP2" s="231">
        <v>1834.18</v>
      </c>
      <c r="EQ2" s="228">
        <v>-793.57</v>
      </c>
      <c r="ER2" s="229">
        <v>-0.43269999999999997</v>
      </c>
      <c r="ES2" s="228">
        <v>378.35</v>
      </c>
      <c r="ET2" s="228">
        <v>195.89</v>
      </c>
      <c r="EU2" s="228">
        <v>398.77</v>
      </c>
      <c r="EV2" s="231">
        <v>36943219</v>
      </c>
      <c r="EW2" s="228">
        <v>973</v>
      </c>
      <c r="EX2" s="231">
        <v>1070.69</v>
      </c>
      <c r="EY2" s="228">
        <v>-97.69</v>
      </c>
      <c r="EZ2" s="229">
        <v>-9.1200000000000003E-2</v>
      </c>
      <c r="FA2" s="229">
        <v>0.23050000000000001</v>
      </c>
      <c r="FB2" s="227" t="s">
        <v>556</v>
      </c>
      <c r="FC2">
        <f>BY2-CC2</f>
        <v>201</v>
      </c>
    </row>
    <row r="3" spans="1:159" ht="17.25" thickBot="1" x14ac:dyDescent="0.3">
      <c r="A3" s="226">
        <v>46044</v>
      </c>
      <c r="B3" s="227" t="s">
        <v>184</v>
      </c>
      <c r="C3" s="227" t="s">
        <v>553</v>
      </c>
      <c r="D3" s="228">
        <v>125</v>
      </c>
      <c r="E3" s="228">
        <v>5</v>
      </c>
      <c r="F3" s="231">
        <v>4771.5</v>
      </c>
      <c r="G3" s="231">
        <v>4724.5</v>
      </c>
      <c r="H3" s="228">
        <v>47</v>
      </c>
      <c r="I3" s="229">
        <v>9.9000000000000008E-3</v>
      </c>
      <c r="J3" s="231">
        <v>4755.5</v>
      </c>
      <c r="K3" s="231">
        <v>4707.5</v>
      </c>
      <c r="L3" s="228">
        <v>48</v>
      </c>
      <c r="M3" s="229">
        <v>1.0200000000000001E-2</v>
      </c>
      <c r="N3" s="231">
        <v>4771.5</v>
      </c>
      <c r="O3" s="231">
        <v>4724.5</v>
      </c>
      <c r="P3" s="228">
        <v>47</v>
      </c>
      <c r="Q3" s="229">
        <v>9.9000000000000008E-3</v>
      </c>
      <c r="R3" s="231">
        <v>4773</v>
      </c>
      <c r="S3" s="231">
        <v>4724</v>
      </c>
      <c r="T3" s="228">
        <v>49</v>
      </c>
      <c r="U3" s="229">
        <v>1.04E-2</v>
      </c>
      <c r="V3" s="231">
        <v>4801</v>
      </c>
      <c r="W3" s="231">
        <v>4735</v>
      </c>
      <c r="X3" s="228">
        <v>66</v>
      </c>
      <c r="Y3" s="229">
        <v>1.3899999999999999E-2</v>
      </c>
      <c r="Z3" s="228">
        <v>16</v>
      </c>
      <c r="AA3" s="228">
        <v>17</v>
      </c>
      <c r="AB3" s="228">
        <v>-1</v>
      </c>
      <c r="AC3" s="229">
        <v>3.3999999999999998E-3</v>
      </c>
      <c r="AD3" s="228">
        <v>16</v>
      </c>
      <c r="AE3" s="228">
        <v>17</v>
      </c>
      <c r="AF3" s="228">
        <v>-1</v>
      </c>
      <c r="AG3" s="229">
        <v>3.3999999999999998E-3</v>
      </c>
      <c r="AH3" s="228">
        <v>17.5</v>
      </c>
      <c r="AI3" s="228">
        <v>16.5</v>
      </c>
      <c r="AJ3" s="228">
        <v>1</v>
      </c>
      <c r="AK3" s="229">
        <v>3.7000000000000002E-3</v>
      </c>
      <c r="AL3" s="228">
        <v>45.5</v>
      </c>
      <c r="AM3" s="228">
        <v>27.5</v>
      </c>
      <c r="AN3" s="228">
        <v>18</v>
      </c>
      <c r="AO3" s="229">
        <v>9.5999999999999992E-3</v>
      </c>
      <c r="AP3" s="231">
        <v>4768.4399999999996</v>
      </c>
      <c r="AQ3" s="231">
        <v>4769.5600000000004</v>
      </c>
      <c r="AR3" s="228">
        <v>0</v>
      </c>
      <c r="AS3" s="228">
        <v>692</v>
      </c>
      <c r="AT3" s="230">
        <v>1168</v>
      </c>
      <c r="AU3" s="228">
        <v>-476</v>
      </c>
      <c r="AV3" s="229">
        <v>-0.4078</v>
      </c>
      <c r="AW3" s="228">
        <v>365</v>
      </c>
      <c r="AX3" s="228">
        <v>624</v>
      </c>
      <c r="AY3" s="228">
        <v>-258</v>
      </c>
      <c r="AZ3" s="229">
        <v>-0.41449999999999998</v>
      </c>
      <c r="BA3" s="228">
        <v>324</v>
      </c>
      <c r="BB3" s="228">
        <v>539</v>
      </c>
      <c r="BC3" s="228">
        <v>-215</v>
      </c>
      <c r="BD3" s="229">
        <v>-0.39850000000000002</v>
      </c>
      <c r="BE3" s="228">
        <v>3</v>
      </c>
      <c r="BF3" s="228">
        <v>6</v>
      </c>
      <c r="BG3" s="228">
        <v>-3</v>
      </c>
      <c r="BH3" s="229">
        <v>-0.54079999999999995</v>
      </c>
      <c r="BI3" s="228">
        <v>746</v>
      </c>
      <c r="BJ3" s="230">
        <v>1006</v>
      </c>
      <c r="BK3" s="228">
        <v>-260</v>
      </c>
      <c r="BL3" s="229">
        <v>-0.25819999999999999</v>
      </c>
      <c r="BM3" s="228">
        <v>298</v>
      </c>
      <c r="BN3" s="228">
        <v>508</v>
      </c>
      <c r="BO3" s="228">
        <v>-210</v>
      </c>
      <c r="BP3" s="229">
        <v>-0.4128</v>
      </c>
      <c r="BQ3" s="230">
        <v>1736</v>
      </c>
      <c r="BR3" s="230">
        <v>2682</v>
      </c>
      <c r="BS3" s="228">
        <v>-946</v>
      </c>
      <c r="BT3" s="229">
        <v>-0.35260000000000002</v>
      </c>
      <c r="BU3" s="230">
        <v>147716</v>
      </c>
      <c r="BV3" s="230">
        <v>360996</v>
      </c>
      <c r="BW3" s="230">
        <v>-213280</v>
      </c>
      <c r="BX3" s="229">
        <v>-0.59079999999999999</v>
      </c>
      <c r="BY3" s="230">
        <v>1168</v>
      </c>
      <c r="BZ3" s="230">
        <v>1172</v>
      </c>
      <c r="CA3" s="228">
        <v>-4</v>
      </c>
      <c r="CB3" s="229">
        <v>-3.5000000000000001E-3</v>
      </c>
      <c r="CC3" s="228">
        <v>456</v>
      </c>
      <c r="CD3" s="228">
        <v>694</v>
      </c>
      <c r="CE3" s="228">
        <v>-238</v>
      </c>
      <c r="CF3" s="229">
        <v>-0.34300000000000003</v>
      </c>
      <c r="CG3" s="228">
        <v>696</v>
      </c>
      <c r="CH3" s="228">
        <v>464</v>
      </c>
      <c r="CI3" s="228">
        <v>232</v>
      </c>
      <c r="CJ3" s="229">
        <v>0.50109999999999999</v>
      </c>
      <c r="CK3" s="228">
        <v>15</v>
      </c>
      <c r="CL3" s="228">
        <v>14</v>
      </c>
      <c r="CM3" s="228">
        <v>1</v>
      </c>
      <c r="CN3" s="229">
        <v>9.2799999999999994E-2</v>
      </c>
      <c r="CO3" s="228">
        <v>650</v>
      </c>
      <c r="CP3" s="228">
        <v>691</v>
      </c>
      <c r="CQ3" s="228">
        <v>-41</v>
      </c>
      <c r="CR3" s="229">
        <v>-5.9299999999999999E-2</v>
      </c>
      <c r="CS3" s="228">
        <v>409</v>
      </c>
      <c r="CT3" s="228">
        <v>430</v>
      </c>
      <c r="CU3" s="228">
        <v>-21</v>
      </c>
      <c r="CV3" s="229">
        <v>-4.8399999999999999E-2</v>
      </c>
      <c r="CW3" s="230">
        <v>2227</v>
      </c>
      <c r="CX3" s="230">
        <v>2293</v>
      </c>
      <c r="CY3" s="228">
        <v>-66</v>
      </c>
      <c r="CZ3" s="229">
        <v>-2.87E-2</v>
      </c>
      <c r="DA3" s="228">
        <v>29.06</v>
      </c>
      <c r="DB3" s="228">
        <v>27.62</v>
      </c>
      <c r="DC3" s="228">
        <v>1.44</v>
      </c>
      <c r="DD3" s="228">
        <v>1.44</v>
      </c>
      <c r="DE3" s="228">
        <v>34.03</v>
      </c>
      <c r="DF3" s="228">
        <v>34.090000000000003</v>
      </c>
      <c r="DG3" s="228">
        <v>-4.97</v>
      </c>
      <c r="DH3" s="228">
        <v>-0.06</v>
      </c>
      <c r="DI3" s="228">
        <v>29.06</v>
      </c>
      <c r="DJ3" s="228">
        <v>28.11</v>
      </c>
      <c r="DK3" s="228">
        <v>0.95</v>
      </c>
      <c r="DL3" s="228">
        <v>0.95</v>
      </c>
      <c r="DM3" s="228">
        <v>29.06</v>
      </c>
      <c r="DN3" s="228">
        <v>26.65</v>
      </c>
      <c r="DO3" s="228">
        <v>2.41</v>
      </c>
      <c r="DP3" s="228">
        <v>2.41</v>
      </c>
      <c r="DQ3" s="228">
        <v>0.63</v>
      </c>
      <c r="DR3" s="228">
        <v>0.62</v>
      </c>
      <c r="DS3" s="228">
        <v>0.01</v>
      </c>
      <c r="DT3" s="229">
        <v>1.61E-2</v>
      </c>
      <c r="DU3" s="231">
        <v>5300</v>
      </c>
      <c r="DV3" s="231">
        <v>5200</v>
      </c>
      <c r="DW3" s="228">
        <v>0.4</v>
      </c>
      <c r="DX3" s="228">
        <v>0.51</v>
      </c>
      <c r="DY3" s="228">
        <v>-0.11</v>
      </c>
      <c r="DZ3" s="229">
        <v>-0.2157</v>
      </c>
      <c r="EA3" s="229">
        <v>0.60970000000000002</v>
      </c>
      <c r="EB3" s="230">
        <v>1002000</v>
      </c>
      <c r="EC3" s="229">
        <v>2.9999999999999997E-4</v>
      </c>
      <c r="ED3" s="229">
        <v>0.60970000000000002</v>
      </c>
      <c r="EE3" s="228">
        <v>1.1200000000000001</v>
      </c>
      <c r="EF3" s="229">
        <v>2.0000000000000001E-4</v>
      </c>
      <c r="EG3" s="230">
        <v>78982</v>
      </c>
      <c r="EH3" s="230">
        <v>188726</v>
      </c>
      <c r="EI3" s="229">
        <v>-0.58150000000000002</v>
      </c>
      <c r="EJ3" s="229">
        <v>0.53469999999999995</v>
      </c>
      <c r="EK3" s="228">
        <v>793.8</v>
      </c>
      <c r="EL3" s="228">
        <v>300.06</v>
      </c>
      <c r="EM3" s="228">
        <v>691.63</v>
      </c>
      <c r="EN3" s="228">
        <v>84.89</v>
      </c>
      <c r="EO3" s="231">
        <v>1785.49</v>
      </c>
      <c r="EP3" s="231">
        <v>2709.59</v>
      </c>
      <c r="EQ3" s="228">
        <v>-924.1</v>
      </c>
      <c r="ER3" s="229">
        <v>-0.34100000000000003</v>
      </c>
      <c r="ES3" s="228">
        <v>709.71</v>
      </c>
      <c r="ET3" s="228">
        <v>425.3</v>
      </c>
      <c r="EU3" s="231">
        <v>1167.96</v>
      </c>
      <c r="EV3" s="231">
        <v>7946564</v>
      </c>
      <c r="EW3" s="231">
        <v>2302.9699999999998</v>
      </c>
      <c r="EX3" s="231">
        <v>2363.21</v>
      </c>
      <c r="EY3" s="228">
        <v>-60.24</v>
      </c>
      <c r="EZ3" s="229">
        <v>-2.5499999999999998E-2</v>
      </c>
      <c r="FA3" s="229">
        <v>0.58730000000000004</v>
      </c>
      <c r="FB3" s="227" t="s">
        <v>556</v>
      </c>
      <c r="FC3">
        <f t="shared" ref="FC3:FC66" si="0">BY3-CC3</f>
        <v>712</v>
      </c>
    </row>
    <row r="4" spans="1:159" ht="17.25" thickBot="1" x14ac:dyDescent="0.3">
      <c r="A4" s="226">
        <v>46044</v>
      </c>
      <c r="B4" s="227" t="s">
        <v>175</v>
      </c>
      <c r="C4" s="227" t="s">
        <v>544</v>
      </c>
      <c r="D4" s="228">
        <v>3100</v>
      </c>
      <c r="E4" s="228">
        <v>5</v>
      </c>
      <c r="F4" s="228">
        <v>354.2</v>
      </c>
      <c r="G4" s="228">
        <v>346.8</v>
      </c>
      <c r="H4" s="228">
        <v>7.4</v>
      </c>
      <c r="I4" s="229">
        <v>2.1299999999999999E-2</v>
      </c>
      <c r="J4" s="228">
        <v>354.5</v>
      </c>
      <c r="K4" s="228">
        <v>346.25</v>
      </c>
      <c r="L4" s="228">
        <v>8.25</v>
      </c>
      <c r="M4" s="229">
        <v>2.3800000000000002E-2</v>
      </c>
      <c r="N4" s="228">
        <v>354.2</v>
      </c>
      <c r="O4" s="228">
        <v>346.8</v>
      </c>
      <c r="P4" s="228">
        <v>7.4</v>
      </c>
      <c r="Q4" s="229">
        <v>2.1299999999999999E-2</v>
      </c>
      <c r="R4" s="228">
        <v>356</v>
      </c>
      <c r="S4" s="228">
        <v>348.6</v>
      </c>
      <c r="T4" s="228">
        <v>7.4</v>
      </c>
      <c r="U4" s="229">
        <v>2.12E-2</v>
      </c>
      <c r="V4" s="228">
        <v>358.2</v>
      </c>
      <c r="W4" s="228">
        <v>350.45</v>
      </c>
      <c r="X4" s="228">
        <v>7.75</v>
      </c>
      <c r="Y4" s="229">
        <v>2.2100000000000002E-2</v>
      </c>
      <c r="Z4" s="228">
        <v>-0.3</v>
      </c>
      <c r="AA4" s="228">
        <v>0.55000000000000004</v>
      </c>
      <c r="AB4" s="228">
        <v>-0.85</v>
      </c>
      <c r="AC4" s="229">
        <v>-8.0000000000000004E-4</v>
      </c>
      <c r="AD4" s="228">
        <v>-0.3</v>
      </c>
      <c r="AE4" s="228">
        <v>0.55000000000000004</v>
      </c>
      <c r="AF4" s="228">
        <v>-0.85</v>
      </c>
      <c r="AG4" s="229">
        <v>-8.0000000000000004E-4</v>
      </c>
      <c r="AH4" s="228">
        <v>1.5</v>
      </c>
      <c r="AI4" s="228">
        <v>2.35</v>
      </c>
      <c r="AJ4" s="228">
        <v>-0.85</v>
      </c>
      <c r="AK4" s="229">
        <v>4.1999999999999997E-3</v>
      </c>
      <c r="AL4" s="228">
        <v>3.7</v>
      </c>
      <c r="AM4" s="228">
        <v>4.2</v>
      </c>
      <c r="AN4" s="228">
        <v>-0.5</v>
      </c>
      <c r="AO4" s="229">
        <v>1.04E-2</v>
      </c>
      <c r="AP4" s="228">
        <v>352.5</v>
      </c>
      <c r="AQ4" s="228">
        <v>354.27</v>
      </c>
      <c r="AR4" s="228">
        <v>0</v>
      </c>
      <c r="AS4" s="230">
        <v>3005</v>
      </c>
      <c r="AT4" s="230">
        <v>2043</v>
      </c>
      <c r="AU4" s="228">
        <v>962</v>
      </c>
      <c r="AV4" s="229">
        <v>0.47070000000000001</v>
      </c>
      <c r="AW4" s="230">
        <v>1504</v>
      </c>
      <c r="AX4" s="230">
        <v>1172</v>
      </c>
      <c r="AY4" s="228">
        <v>332</v>
      </c>
      <c r="AZ4" s="229">
        <v>0.28349999999999997</v>
      </c>
      <c r="BA4" s="230">
        <v>1494</v>
      </c>
      <c r="BB4" s="228">
        <v>856</v>
      </c>
      <c r="BC4" s="228">
        <v>638</v>
      </c>
      <c r="BD4" s="229">
        <v>0.74490000000000001</v>
      </c>
      <c r="BE4" s="228">
        <v>6</v>
      </c>
      <c r="BF4" s="228">
        <v>15</v>
      </c>
      <c r="BG4" s="228">
        <v>-8</v>
      </c>
      <c r="BH4" s="229">
        <v>-0.57889999999999997</v>
      </c>
      <c r="BI4" s="230">
        <v>1807</v>
      </c>
      <c r="BJ4" s="230">
        <v>2730</v>
      </c>
      <c r="BK4" s="228">
        <v>-923</v>
      </c>
      <c r="BL4" s="229">
        <v>-0.3382</v>
      </c>
      <c r="BM4" s="230">
        <v>1387</v>
      </c>
      <c r="BN4" s="230">
        <v>1964</v>
      </c>
      <c r="BO4" s="228">
        <v>-576</v>
      </c>
      <c r="BP4" s="229">
        <v>-0.29349999999999998</v>
      </c>
      <c r="BQ4" s="230">
        <v>6199</v>
      </c>
      <c r="BR4" s="230">
        <v>6737</v>
      </c>
      <c r="BS4" s="228">
        <v>-538</v>
      </c>
      <c r="BT4" s="229">
        <v>-7.9899999999999999E-2</v>
      </c>
      <c r="BU4" s="230">
        <v>7359873</v>
      </c>
      <c r="BV4" s="230">
        <v>8558065</v>
      </c>
      <c r="BW4" s="230">
        <v>-1198192</v>
      </c>
      <c r="BX4" s="229">
        <v>-0.14000000000000001</v>
      </c>
      <c r="BY4" s="230">
        <v>2864</v>
      </c>
      <c r="BZ4" s="230">
        <v>2832</v>
      </c>
      <c r="CA4" s="228">
        <v>31</v>
      </c>
      <c r="CB4" s="229">
        <v>1.11E-2</v>
      </c>
      <c r="CC4" s="228">
        <v>954</v>
      </c>
      <c r="CD4" s="230">
        <v>2082</v>
      </c>
      <c r="CE4" s="230">
        <v>-1128</v>
      </c>
      <c r="CF4" s="229">
        <v>-0.54169999999999996</v>
      </c>
      <c r="CG4" s="230">
        <v>1884</v>
      </c>
      <c r="CH4" s="228">
        <v>725</v>
      </c>
      <c r="CI4" s="230">
        <v>1159</v>
      </c>
      <c r="CJ4" s="229">
        <v>1.5983000000000001</v>
      </c>
      <c r="CK4" s="228">
        <v>25</v>
      </c>
      <c r="CL4" s="228">
        <v>25</v>
      </c>
      <c r="CM4" s="228">
        <v>0</v>
      </c>
      <c r="CN4" s="229">
        <v>1.7600000000000001E-2</v>
      </c>
      <c r="CO4" s="228">
        <v>924</v>
      </c>
      <c r="CP4" s="230">
        <v>1030</v>
      </c>
      <c r="CQ4" s="228">
        <v>-106</v>
      </c>
      <c r="CR4" s="229">
        <v>-0.1028</v>
      </c>
      <c r="CS4" s="228">
        <v>517</v>
      </c>
      <c r="CT4" s="228">
        <v>529</v>
      </c>
      <c r="CU4" s="228">
        <v>-12</v>
      </c>
      <c r="CV4" s="229">
        <v>-2.2200000000000001E-2</v>
      </c>
      <c r="CW4" s="230">
        <v>4305</v>
      </c>
      <c r="CX4" s="230">
        <v>4392</v>
      </c>
      <c r="CY4" s="228">
        <v>-86</v>
      </c>
      <c r="CZ4" s="229">
        <v>-1.9699999999999999E-2</v>
      </c>
      <c r="DA4" s="228">
        <v>34.159999999999997</v>
      </c>
      <c r="DB4" s="228">
        <v>30.92</v>
      </c>
      <c r="DC4" s="228">
        <v>3.24</v>
      </c>
      <c r="DD4" s="228">
        <v>3.24</v>
      </c>
      <c r="DE4" s="228">
        <v>37.51</v>
      </c>
      <c r="DF4" s="228">
        <v>37.49</v>
      </c>
      <c r="DG4" s="228">
        <v>-3.35</v>
      </c>
      <c r="DH4" s="228">
        <v>0.02</v>
      </c>
      <c r="DI4" s="228">
        <v>33.44</v>
      </c>
      <c r="DJ4" s="228">
        <v>31.29</v>
      </c>
      <c r="DK4" s="228">
        <v>2.15</v>
      </c>
      <c r="DL4" s="228">
        <v>2.15</v>
      </c>
      <c r="DM4" s="228">
        <v>34.979999999999997</v>
      </c>
      <c r="DN4" s="228">
        <v>30.41</v>
      </c>
      <c r="DO4" s="228">
        <v>4.57</v>
      </c>
      <c r="DP4" s="228">
        <v>4.57</v>
      </c>
      <c r="DQ4" s="228">
        <v>0.56000000000000005</v>
      </c>
      <c r="DR4" s="228">
        <v>0.51</v>
      </c>
      <c r="DS4" s="228">
        <v>0.05</v>
      </c>
      <c r="DT4" s="229">
        <v>9.8000000000000004E-2</v>
      </c>
      <c r="DU4" s="228">
        <v>385</v>
      </c>
      <c r="DV4" s="228">
        <v>350</v>
      </c>
      <c r="DW4" s="228">
        <v>0.77</v>
      </c>
      <c r="DX4" s="228">
        <v>0.72</v>
      </c>
      <c r="DY4" s="228">
        <v>0.05</v>
      </c>
      <c r="DZ4" s="229">
        <v>6.9400000000000003E-2</v>
      </c>
      <c r="EA4" s="229">
        <v>0.66669999999999996</v>
      </c>
      <c r="EB4" s="230">
        <v>21176100</v>
      </c>
      <c r="EC4" s="229">
        <v>5.1000000000000004E-3</v>
      </c>
      <c r="ED4" s="229">
        <v>0.66669999999999996</v>
      </c>
      <c r="EE4" s="228">
        <v>1.77</v>
      </c>
      <c r="EF4" s="229">
        <v>5.0000000000000001E-3</v>
      </c>
      <c r="EG4" s="230">
        <v>4003663</v>
      </c>
      <c r="EH4" s="230">
        <v>4181050</v>
      </c>
      <c r="EI4" s="229">
        <v>-4.24E-2</v>
      </c>
      <c r="EJ4" s="229">
        <v>0.54400000000000004</v>
      </c>
      <c r="EK4" s="231">
        <v>1861.64</v>
      </c>
      <c r="EL4" s="231">
        <v>1362.08</v>
      </c>
      <c r="EM4" s="231">
        <v>2997.61</v>
      </c>
      <c r="EN4" s="228">
        <v>74.760000000000005</v>
      </c>
      <c r="EO4" s="231">
        <v>6221.33</v>
      </c>
      <c r="EP4" s="231">
        <v>6760.26</v>
      </c>
      <c r="EQ4" s="228">
        <v>-538.92999999999995</v>
      </c>
      <c r="ER4" s="229">
        <v>-7.9699999999999993E-2</v>
      </c>
      <c r="ES4" s="228">
        <v>968.5</v>
      </c>
      <c r="ET4" s="228">
        <v>503.51</v>
      </c>
      <c r="EU4" s="231">
        <v>2873.72</v>
      </c>
      <c r="EV4" s="231">
        <v>122657000</v>
      </c>
      <c r="EW4" s="231">
        <v>4345.72</v>
      </c>
      <c r="EX4" s="231">
        <v>4370.76</v>
      </c>
      <c r="EY4" s="228">
        <v>-25.04</v>
      </c>
      <c r="EZ4" s="229">
        <v>-5.7000000000000002E-3</v>
      </c>
      <c r="FA4" s="229">
        <v>0.99099999999999999</v>
      </c>
      <c r="FB4" s="227" t="s">
        <v>555</v>
      </c>
      <c r="FC4">
        <f t="shared" si="0"/>
        <v>1910</v>
      </c>
    </row>
    <row r="5" spans="1:159" ht="17.25" thickBot="1" x14ac:dyDescent="0.3">
      <c r="A5" s="226">
        <v>46044</v>
      </c>
      <c r="B5" s="227" t="s">
        <v>161</v>
      </c>
      <c r="C5" s="227" t="s">
        <v>579</v>
      </c>
      <c r="D5" s="228">
        <v>675</v>
      </c>
      <c r="E5" s="228">
        <v>5</v>
      </c>
      <c r="F5" s="228">
        <v>927</v>
      </c>
      <c r="G5" s="228">
        <v>899.8</v>
      </c>
      <c r="H5" s="228">
        <v>27.2</v>
      </c>
      <c r="I5" s="229">
        <v>3.0200000000000001E-2</v>
      </c>
      <c r="J5" s="228">
        <v>924.8</v>
      </c>
      <c r="K5" s="228">
        <v>899.3</v>
      </c>
      <c r="L5" s="228">
        <v>25.5</v>
      </c>
      <c r="M5" s="229">
        <v>2.8400000000000002E-2</v>
      </c>
      <c r="N5" s="228">
        <v>927</v>
      </c>
      <c r="O5" s="228">
        <v>899.8</v>
      </c>
      <c r="P5" s="228">
        <v>27.2</v>
      </c>
      <c r="Q5" s="229">
        <v>3.0200000000000001E-2</v>
      </c>
      <c r="R5" s="228">
        <v>931.2</v>
      </c>
      <c r="S5" s="228">
        <v>904.9</v>
      </c>
      <c r="T5" s="228">
        <v>26.3</v>
      </c>
      <c r="U5" s="229">
        <v>2.9100000000000001E-2</v>
      </c>
      <c r="V5" s="228">
        <v>938.6</v>
      </c>
      <c r="W5" s="228">
        <v>909.1</v>
      </c>
      <c r="X5" s="228">
        <v>29.5</v>
      </c>
      <c r="Y5" s="229">
        <v>3.2399999999999998E-2</v>
      </c>
      <c r="Z5" s="228">
        <v>2.2000000000000002</v>
      </c>
      <c r="AA5" s="228">
        <v>0.5</v>
      </c>
      <c r="AB5" s="228">
        <v>1.7</v>
      </c>
      <c r="AC5" s="229">
        <v>2.3999999999999998E-3</v>
      </c>
      <c r="AD5" s="228">
        <v>2.2000000000000002</v>
      </c>
      <c r="AE5" s="228">
        <v>0.5</v>
      </c>
      <c r="AF5" s="228">
        <v>1.7</v>
      </c>
      <c r="AG5" s="229">
        <v>2.3999999999999998E-3</v>
      </c>
      <c r="AH5" s="228">
        <v>6.4</v>
      </c>
      <c r="AI5" s="228">
        <v>5.6</v>
      </c>
      <c r="AJ5" s="228">
        <v>0.8</v>
      </c>
      <c r="AK5" s="229">
        <v>6.8999999999999999E-3</v>
      </c>
      <c r="AL5" s="228">
        <v>13.8</v>
      </c>
      <c r="AM5" s="228">
        <v>9.8000000000000007</v>
      </c>
      <c r="AN5" s="228">
        <v>4</v>
      </c>
      <c r="AO5" s="229">
        <v>1.49E-2</v>
      </c>
      <c r="AP5" s="228">
        <v>922.89</v>
      </c>
      <c r="AQ5" s="228">
        <v>927.4</v>
      </c>
      <c r="AR5" s="228">
        <v>0</v>
      </c>
      <c r="AS5" s="230">
        <v>1030</v>
      </c>
      <c r="AT5" s="230">
        <v>1239</v>
      </c>
      <c r="AU5" s="228">
        <v>-209</v>
      </c>
      <c r="AV5" s="229">
        <v>-0.16900000000000001</v>
      </c>
      <c r="AW5" s="228">
        <v>523</v>
      </c>
      <c r="AX5" s="228">
        <v>656</v>
      </c>
      <c r="AY5" s="228">
        <v>-132</v>
      </c>
      <c r="AZ5" s="229">
        <v>-0.20200000000000001</v>
      </c>
      <c r="BA5" s="228">
        <v>505</v>
      </c>
      <c r="BB5" s="228">
        <v>582</v>
      </c>
      <c r="BC5" s="228">
        <v>-77</v>
      </c>
      <c r="BD5" s="229">
        <v>-0.13239999999999999</v>
      </c>
      <c r="BE5" s="228">
        <v>2</v>
      </c>
      <c r="BF5" s="228">
        <v>2</v>
      </c>
      <c r="BG5" s="228">
        <v>0</v>
      </c>
      <c r="BH5" s="229">
        <v>0</v>
      </c>
      <c r="BI5" s="230">
        <v>1268</v>
      </c>
      <c r="BJ5" s="228">
        <v>767</v>
      </c>
      <c r="BK5" s="228">
        <v>501</v>
      </c>
      <c r="BL5" s="229">
        <v>0.65369999999999995</v>
      </c>
      <c r="BM5" s="228">
        <v>571</v>
      </c>
      <c r="BN5" s="228">
        <v>338</v>
      </c>
      <c r="BO5" s="228">
        <v>233</v>
      </c>
      <c r="BP5" s="229">
        <v>0.68810000000000004</v>
      </c>
      <c r="BQ5" s="230">
        <v>2869</v>
      </c>
      <c r="BR5" s="230">
        <v>2344</v>
      </c>
      <c r="BS5" s="228">
        <v>525</v>
      </c>
      <c r="BT5" s="229">
        <v>0.2238</v>
      </c>
      <c r="BU5" s="230">
        <v>1013278</v>
      </c>
      <c r="BV5" s="230">
        <v>1702901</v>
      </c>
      <c r="BW5" s="230">
        <v>-689623</v>
      </c>
      <c r="BX5" s="229">
        <v>-0.40500000000000003</v>
      </c>
      <c r="BY5" s="230">
        <v>1777</v>
      </c>
      <c r="BZ5" s="230">
        <v>1739</v>
      </c>
      <c r="CA5" s="228">
        <v>38</v>
      </c>
      <c r="CB5" s="229">
        <v>2.2100000000000002E-2</v>
      </c>
      <c r="CC5" s="228">
        <v>607</v>
      </c>
      <c r="CD5" s="228">
        <v>966</v>
      </c>
      <c r="CE5" s="228">
        <v>-358</v>
      </c>
      <c r="CF5" s="229">
        <v>-0.37109999999999999</v>
      </c>
      <c r="CG5" s="230">
        <v>1159</v>
      </c>
      <c r="CH5" s="228">
        <v>763</v>
      </c>
      <c r="CI5" s="228">
        <v>396</v>
      </c>
      <c r="CJ5" s="229">
        <v>0.51890000000000003</v>
      </c>
      <c r="CK5" s="228">
        <v>11</v>
      </c>
      <c r="CL5" s="228">
        <v>10</v>
      </c>
      <c r="CM5" s="228">
        <v>1</v>
      </c>
      <c r="CN5" s="229">
        <v>8.1799999999999998E-2</v>
      </c>
      <c r="CO5" s="228">
        <v>581</v>
      </c>
      <c r="CP5" s="228">
        <v>611</v>
      </c>
      <c r="CQ5" s="228">
        <v>-29</v>
      </c>
      <c r="CR5" s="229">
        <v>-4.7699999999999999E-2</v>
      </c>
      <c r="CS5" s="228">
        <v>351</v>
      </c>
      <c r="CT5" s="228">
        <v>309</v>
      </c>
      <c r="CU5" s="228">
        <v>42</v>
      </c>
      <c r="CV5" s="229">
        <v>0.13589999999999999</v>
      </c>
      <c r="CW5" s="230">
        <v>2709</v>
      </c>
      <c r="CX5" s="230">
        <v>2658</v>
      </c>
      <c r="CY5" s="228">
        <v>51</v>
      </c>
      <c r="CZ5" s="229">
        <v>1.9300000000000001E-2</v>
      </c>
      <c r="DA5" s="228">
        <v>36.61</v>
      </c>
      <c r="DB5" s="228">
        <v>41.61</v>
      </c>
      <c r="DC5" s="228">
        <v>-5</v>
      </c>
      <c r="DD5" s="228">
        <v>-5</v>
      </c>
      <c r="DE5" s="228">
        <v>50.3</v>
      </c>
      <c r="DF5" s="228">
        <v>50.26</v>
      </c>
      <c r="DG5" s="228">
        <v>-13.69</v>
      </c>
      <c r="DH5" s="228">
        <v>0.04</v>
      </c>
      <c r="DI5" s="228">
        <v>36.61</v>
      </c>
      <c r="DJ5" s="228">
        <v>41.86</v>
      </c>
      <c r="DK5" s="228">
        <v>-5.25</v>
      </c>
      <c r="DL5" s="228">
        <v>-5.25</v>
      </c>
      <c r="DM5" s="228">
        <v>36.630000000000003</v>
      </c>
      <c r="DN5" s="228">
        <v>41.05</v>
      </c>
      <c r="DO5" s="228">
        <v>-4.42</v>
      </c>
      <c r="DP5" s="228">
        <v>-4.42</v>
      </c>
      <c r="DQ5" s="228">
        <v>0.6</v>
      </c>
      <c r="DR5" s="228">
        <v>0.51</v>
      </c>
      <c r="DS5" s="228">
        <v>0.09</v>
      </c>
      <c r="DT5" s="229">
        <v>0.17649999999999999</v>
      </c>
      <c r="DU5" s="231">
        <v>1000</v>
      </c>
      <c r="DV5" s="228">
        <v>910</v>
      </c>
      <c r="DW5" s="228">
        <v>0.45</v>
      </c>
      <c r="DX5" s="228">
        <v>0.44</v>
      </c>
      <c r="DY5" s="228">
        <v>0.01</v>
      </c>
      <c r="DZ5" s="229">
        <v>2.2700000000000001E-2</v>
      </c>
      <c r="EA5" s="229">
        <v>0.65820000000000001</v>
      </c>
      <c r="EB5" s="230">
        <v>8338275</v>
      </c>
      <c r="EC5" s="229">
        <v>4.4999999999999997E-3</v>
      </c>
      <c r="ED5" s="229">
        <v>0.65820000000000001</v>
      </c>
      <c r="EE5" s="228">
        <v>4.51</v>
      </c>
      <c r="EF5" s="229">
        <v>4.8999999999999998E-3</v>
      </c>
      <c r="EG5" s="230">
        <v>307434</v>
      </c>
      <c r="EH5" s="230">
        <v>390930</v>
      </c>
      <c r="EI5" s="229">
        <v>-0.21360000000000001</v>
      </c>
      <c r="EJ5" s="229">
        <v>0.3034</v>
      </c>
      <c r="EK5" s="231">
        <v>1333.32</v>
      </c>
      <c r="EL5" s="228">
        <v>559.29999999999995</v>
      </c>
      <c r="EM5" s="231">
        <v>1027.67</v>
      </c>
      <c r="EN5" s="228">
        <v>92.44</v>
      </c>
      <c r="EO5" s="231">
        <v>2920.28</v>
      </c>
      <c r="EP5" s="231">
        <v>2317.5100000000002</v>
      </c>
      <c r="EQ5" s="228">
        <v>602.77</v>
      </c>
      <c r="ER5" s="229">
        <v>0.2601</v>
      </c>
      <c r="ES5" s="228">
        <v>637.30999999999995</v>
      </c>
      <c r="ET5" s="228">
        <v>355.15</v>
      </c>
      <c r="EU5" s="231">
        <v>1782.44</v>
      </c>
      <c r="EV5" s="231">
        <v>43791427</v>
      </c>
      <c r="EW5" s="231">
        <v>2774.9</v>
      </c>
      <c r="EX5" s="231">
        <v>2677.46</v>
      </c>
      <c r="EY5" s="228">
        <v>97.44</v>
      </c>
      <c r="EZ5" s="229">
        <v>3.6400000000000002E-2</v>
      </c>
      <c r="FA5" s="229">
        <v>0.66739999999999999</v>
      </c>
      <c r="FB5" s="227" t="s">
        <v>555</v>
      </c>
      <c r="FC5">
        <f t="shared" si="0"/>
        <v>1170</v>
      </c>
    </row>
    <row r="6" spans="1:159" ht="17.25" thickBot="1" x14ac:dyDescent="0.3">
      <c r="A6" s="226">
        <v>46044</v>
      </c>
      <c r="B6" s="227" t="s">
        <v>215</v>
      </c>
      <c r="C6" s="227" t="s">
        <v>159</v>
      </c>
      <c r="D6" s="228">
        <v>309</v>
      </c>
      <c r="E6" s="228">
        <v>5</v>
      </c>
      <c r="F6" s="231">
        <v>2087.1999999999998</v>
      </c>
      <c r="G6" s="231">
        <v>2035.1</v>
      </c>
      <c r="H6" s="228">
        <v>52.1</v>
      </c>
      <c r="I6" s="229">
        <v>2.5600000000000001E-2</v>
      </c>
      <c r="J6" s="231">
        <v>2086.4</v>
      </c>
      <c r="K6" s="231">
        <v>2032.2</v>
      </c>
      <c r="L6" s="228">
        <v>54.2</v>
      </c>
      <c r="M6" s="229">
        <v>2.6700000000000002E-2</v>
      </c>
      <c r="N6" s="231">
        <v>2087.1999999999998</v>
      </c>
      <c r="O6" s="231">
        <v>2035.1</v>
      </c>
      <c r="P6" s="228">
        <v>52.1</v>
      </c>
      <c r="Q6" s="229">
        <v>2.5600000000000001E-2</v>
      </c>
      <c r="R6" s="231">
        <v>2088.3000000000002</v>
      </c>
      <c r="S6" s="231">
        <v>2038.7</v>
      </c>
      <c r="T6" s="228">
        <v>49.6</v>
      </c>
      <c r="U6" s="229">
        <v>2.4299999999999999E-2</v>
      </c>
      <c r="V6" s="231">
        <v>2092.8000000000002</v>
      </c>
      <c r="W6" s="231">
        <v>2042.6</v>
      </c>
      <c r="X6" s="228">
        <v>50.2</v>
      </c>
      <c r="Y6" s="229">
        <v>2.46E-2</v>
      </c>
      <c r="Z6" s="228">
        <v>0.8</v>
      </c>
      <c r="AA6" s="228">
        <v>2.9</v>
      </c>
      <c r="AB6" s="228">
        <v>-2.1</v>
      </c>
      <c r="AC6" s="229">
        <v>4.0000000000000002E-4</v>
      </c>
      <c r="AD6" s="228">
        <v>0.8</v>
      </c>
      <c r="AE6" s="228">
        <v>2.9</v>
      </c>
      <c r="AF6" s="228">
        <v>-2.1</v>
      </c>
      <c r="AG6" s="229">
        <v>4.0000000000000002E-4</v>
      </c>
      <c r="AH6" s="228">
        <v>1.9</v>
      </c>
      <c r="AI6" s="228">
        <v>6.5</v>
      </c>
      <c r="AJ6" s="228">
        <v>-4.5999999999999996</v>
      </c>
      <c r="AK6" s="229">
        <v>8.9999999999999998E-4</v>
      </c>
      <c r="AL6" s="228">
        <v>6.4</v>
      </c>
      <c r="AM6" s="228">
        <v>10.4</v>
      </c>
      <c r="AN6" s="228">
        <v>-4</v>
      </c>
      <c r="AO6" s="229">
        <v>3.0999999999999999E-3</v>
      </c>
      <c r="AP6" s="231">
        <v>2080.86</v>
      </c>
      <c r="AQ6" s="231">
        <v>2083.0500000000002</v>
      </c>
      <c r="AR6" s="228">
        <v>0</v>
      </c>
      <c r="AS6" s="230">
        <v>2189</v>
      </c>
      <c r="AT6" s="230">
        <v>2230</v>
      </c>
      <c r="AU6" s="228">
        <v>-41</v>
      </c>
      <c r="AV6" s="229">
        <v>-1.8200000000000001E-2</v>
      </c>
      <c r="AW6" s="230">
        <v>1165</v>
      </c>
      <c r="AX6" s="230">
        <v>1171</v>
      </c>
      <c r="AY6" s="228">
        <v>-5</v>
      </c>
      <c r="AZ6" s="229">
        <v>-4.5999999999999999E-3</v>
      </c>
      <c r="BA6" s="230">
        <v>1005</v>
      </c>
      <c r="BB6" s="230">
        <v>1034</v>
      </c>
      <c r="BC6" s="228">
        <v>-29</v>
      </c>
      <c r="BD6" s="229">
        <v>-2.7900000000000001E-2</v>
      </c>
      <c r="BE6" s="228">
        <v>19</v>
      </c>
      <c r="BF6" s="228">
        <v>25</v>
      </c>
      <c r="BG6" s="228">
        <v>-6</v>
      </c>
      <c r="BH6" s="229">
        <v>-0.25259999999999999</v>
      </c>
      <c r="BI6" s="230">
        <v>4099</v>
      </c>
      <c r="BJ6" s="230">
        <v>4194</v>
      </c>
      <c r="BK6" s="228">
        <v>-96</v>
      </c>
      <c r="BL6" s="229">
        <v>-2.2800000000000001E-2</v>
      </c>
      <c r="BM6" s="230">
        <v>1899</v>
      </c>
      <c r="BN6" s="230">
        <v>2180</v>
      </c>
      <c r="BO6" s="228">
        <v>-280</v>
      </c>
      <c r="BP6" s="229">
        <v>-0.12859999999999999</v>
      </c>
      <c r="BQ6" s="230">
        <v>8187</v>
      </c>
      <c r="BR6" s="230">
        <v>8604</v>
      </c>
      <c r="BS6" s="228">
        <v>-416</v>
      </c>
      <c r="BT6" s="229">
        <v>-4.8399999999999999E-2</v>
      </c>
      <c r="BU6" s="230">
        <v>1004035</v>
      </c>
      <c r="BV6" s="230">
        <v>1436422</v>
      </c>
      <c r="BW6" s="230">
        <v>-432387</v>
      </c>
      <c r="BX6" s="229">
        <v>-0.30099999999999999</v>
      </c>
      <c r="BY6" s="230">
        <v>4391</v>
      </c>
      <c r="BZ6" s="230">
        <v>4463</v>
      </c>
      <c r="CA6" s="228">
        <v>-72</v>
      </c>
      <c r="CB6" s="229">
        <v>-1.61E-2</v>
      </c>
      <c r="CC6" s="230">
        <v>2068</v>
      </c>
      <c r="CD6" s="230">
        <v>2799</v>
      </c>
      <c r="CE6" s="228">
        <v>-732</v>
      </c>
      <c r="CF6" s="229">
        <v>-0.26140000000000002</v>
      </c>
      <c r="CG6" s="230">
        <v>2233</v>
      </c>
      <c r="CH6" s="230">
        <v>1579</v>
      </c>
      <c r="CI6" s="228">
        <v>654</v>
      </c>
      <c r="CJ6" s="229">
        <v>0.4143</v>
      </c>
      <c r="CK6" s="228">
        <v>90</v>
      </c>
      <c r="CL6" s="228">
        <v>84</v>
      </c>
      <c r="CM6" s="228">
        <v>5</v>
      </c>
      <c r="CN6" s="229">
        <v>6.4899999999999999E-2</v>
      </c>
      <c r="CO6" s="230">
        <v>2035</v>
      </c>
      <c r="CP6" s="230">
        <v>2135</v>
      </c>
      <c r="CQ6" s="228">
        <v>-100</v>
      </c>
      <c r="CR6" s="229">
        <v>-4.6800000000000001E-2</v>
      </c>
      <c r="CS6" s="230">
        <v>1583</v>
      </c>
      <c r="CT6" s="230">
        <v>1561</v>
      </c>
      <c r="CU6" s="228">
        <v>23</v>
      </c>
      <c r="CV6" s="229">
        <v>1.46E-2</v>
      </c>
      <c r="CW6" s="230">
        <v>8010</v>
      </c>
      <c r="CX6" s="230">
        <v>8159</v>
      </c>
      <c r="CY6" s="228">
        <v>-149</v>
      </c>
      <c r="CZ6" s="229">
        <v>-1.83E-2</v>
      </c>
      <c r="DA6" s="228">
        <v>32.909999999999997</v>
      </c>
      <c r="DB6" s="228">
        <v>34.479999999999997</v>
      </c>
      <c r="DC6" s="228">
        <v>-1.57</v>
      </c>
      <c r="DD6" s="228">
        <v>-1.57</v>
      </c>
      <c r="DE6" s="228">
        <v>44.98</v>
      </c>
      <c r="DF6" s="228">
        <v>44.96</v>
      </c>
      <c r="DG6" s="228">
        <v>-12.07</v>
      </c>
      <c r="DH6" s="228">
        <v>0.02</v>
      </c>
      <c r="DI6" s="228">
        <v>33.049999999999997</v>
      </c>
      <c r="DJ6" s="228">
        <v>35.64</v>
      </c>
      <c r="DK6" s="228">
        <v>-2.59</v>
      </c>
      <c r="DL6" s="228">
        <v>-2.59</v>
      </c>
      <c r="DM6" s="228">
        <v>32.659999999999997</v>
      </c>
      <c r="DN6" s="228">
        <v>32.24</v>
      </c>
      <c r="DO6" s="228">
        <v>0.42</v>
      </c>
      <c r="DP6" s="228">
        <v>0.42</v>
      </c>
      <c r="DQ6" s="228">
        <v>0.78</v>
      </c>
      <c r="DR6" s="228">
        <v>0.73</v>
      </c>
      <c r="DS6" s="228">
        <v>0.05</v>
      </c>
      <c r="DT6" s="229">
        <v>6.8500000000000005E-2</v>
      </c>
      <c r="DU6" s="231">
        <v>2200</v>
      </c>
      <c r="DV6" s="231">
        <v>2200</v>
      </c>
      <c r="DW6" s="228">
        <v>0.46</v>
      </c>
      <c r="DX6" s="228">
        <v>0.52</v>
      </c>
      <c r="DY6" s="228">
        <v>-0.06</v>
      </c>
      <c r="DZ6" s="229">
        <v>-0.1154</v>
      </c>
      <c r="EA6" s="229">
        <v>0.52910000000000001</v>
      </c>
      <c r="EB6" s="230">
        <v>7970346</v>
      </c>
      <c r="EC6" s="229">
        <v>5.0000000000000001E-4</v>
      </c>
      <c r="ED6" s="229">
        <v>0.52910000000000001</v>
      </c>
      <c r="EE6" s="228">
        <v>2.19</v>
      </c>
      <c r="EF6" s="229">
        <v>1.1000000000000001E-3</v>
      </c>
      <c r="EG6" s="230">
        <v>288182</v>
      </c>
      <c r="EH6" s="230">
        <v>375735</v>
      </c>
      <c r="EI6" s="229">
        <v>-0.23300000000000001</v>
      </c>
      <c r="EJ6" s="229">
        <v>0.28699999999999998</v>
      </c>
      <c r="EK6" s="231">
        <v>4256.99</v>
      </c>
      <c r="EL6" s="231">
        <v>1893.86</v>
      </c>
      <c r="EM6" s="231">
        <v>2183.61</v>
      </c>
      <c r="EN6" s="228">
        <v>197.08</v>
      </c>
      <c r="EO6" s="231">
        <v>8334.4599999999991</v>
      </c>
      <c r="EP6" s="231">
        <v>8676.41</v>
      </c>
      <c r="EQ6" s="228">
        <v>-341.95</v>
      </c>
      <c r="ER6" s="229">
        <v>-3.9399999999999998E-2</v>
      </c>
      <c r="ES6" s="231">
        <v>2194.7800000000002</v>
      </c>
      <c r="ET6" s="231">
        <v>1652.46</v>
      </c>
      <c r="EU6" s="231">
        <v>4392.2700000000004</v>
      </c>
      <c r="EV6" s="231">
        <v>49117354</v>
      </c>
      <c r="EW6" s="231">
        <v>8239.51</v>
      </c>
      <c r="EX6" s="231">
        <v>8286.39</v>
      </c>
      <c r="EY6" s="228">
        <v>-46.88</v>
      </c>
      <c r="EZ6" s="229">
        <v>-5.7000000000000002E-3</v>
      </c>
      <c r="FA6" s="229">
        <v>0.78129999999999999</v>
      </c>
      <c r="FB6" s="227" t="s">
        <v>556</v>
      </c>
      <c r="FC6">
        <f t="shared" si="0"/>
        <v>2323</v>
      </c>
    </row>
    <row r="7" spans="1:159" ht="17.25" thickBot="1" x14ac:dyDescent="0.3">
      <c r="A7" s="226">
        <v>46044</v>
      </c>
      <c r="B7" s="227" t="s">
        <v>161</v>
      </c>
      <c r="C7" s="227" t="s">
        <v>606</v>
      </c>
      <c r="D7" s="228">
        <v>600</v>
      </c>
      <c r="E7" s="228">
        <v>5</v>
      </c>
      <c r="F7" s="228">
        <v>904.2</v>
      </c>
      <c r="G7" s="228">
        <v>880.8</v>
      </c>
      <c r="H7" s="228">
        <v>23.4</v>
      </c>
      <c r="I7" s="229">
        <v>2.6599999999999999E-2</v>
      </c>
      <c r="J7" s="228">
        <v>904.3</v>
      </c>
      <c r="K7" s="228">
        <v>878.7</v>
      </c>
      <c r="L7" s="228">
        <v>25.6</v>
      </c>
      <c r="M7" s="229">
        <v>2.9100000000000001E-2</v>
      </c>
      <c r="N7" s="228">
        <v>904.2</v>
      </c>
      <c r="O7" s="228">
        <v>880.8</v>
      </c>
      <c r="P7" s="228">
        <v>23.4</v>
      </c>
      <c r="Q7" s="229">
        <v>2.6599999999999999E-2</v>
      </c>
      <c r="R7" s="228">
        <v>908.8</v>
      </c>
      <c r="S7" s="228">
        <v>884.1</v>
      </c>
      <c r="T7" s="228">
        <v>24.7</v>
      </c>
      <c r="U7" s="229">
        <v>2.7900000000000001E-2</v>
      </c>
      <c r="V7" s="228">
        <v>916.9</v>
      </c>
      <c r="W7" s="228">
        <v>890.6</v>
      </c>
      <c r="X7" s="228">
        <v>26.3</v>
      </c>
      <c r="Y7" s="229">
        <v>2.9499999999999998E-2</v>
      </c>
      <c r="Z7" s="228">
        <v>-0.1</v>
      </c>
      <c r="AA7" s="228">
        <v>2.1</v>
      </c>
      <c r="AB7" s="228">
        <v>-2.2000000000000002</v>
      </c>
      <c r="AC7" s="229">
        <v>-1E-4</v>
      </c>
      <c r="AD7" s="228">
        <v>-0.1</v>
      </c>
      <c r="AE7" s="228">
        <v>2.1</v>
      </c>
      <c r="AF7" s="228">
        <v>-2.2000000000000002</v>
      </c>
      <c r="AG7" s="229">
        <v>-1E-4</v>
      </c>
      <c r="AH7" s="228">
        <v>4.5</v>
      </c>
      <c r="AI7" s="228">
        <v>5.4</v>
      </c>
      <c r="AJ7" s="228">
        <v>-0.9</v>
      </c>
      <c r="AK7" s="229">
        <v>5.0000000000000001E-3</v>
      </c>
      <c r="AL7" s="228">
        <v>12.6</v>
      </c>
      <c r="AM7" s="228">
        <v>11.9</v>
      </c>
      <c r="AN7" s="228">
        <v>0.7</v>
      </c>
      <c r="AO7" s="229">
        <v>1.3899999999999999E-2</v>
      </c>
      <c r="AP7" s="228">
        <v>903.16</v>
      </c>
      <c r="AQ7" s="228">
        <v>907.41</v>
      </c>
      <c r="AR7" s="228">
        <v>0</v>
      </c>
      <c r="AS7" s="228">
        <v>835</v>
      </c>
      <c r="AT7" s="230">
        <v>1284</v>
      </c>
      <c r="AU7" s="228">
        <v>-450</v>
      </c>
      <c r="AV7" s="229">
        <v>-0.35</v>
      </c>
      <c r="AW7" s="228">
        <v>413</v>
      </c>
      <c r="AX7" s="228">
        <v>702</v>
      </c>
      <c r="AY7" s="228">
        <v>-289</v>
      </c>
      <c r="AZ7" s="229">
        <v>-0.4118</v>
      </c>
      <c r="BA7" s="228">
        <v>417</v>
      </c>
      <c r="BB7" s="228">
        <v>578</v>
      </c>
      <c r="BC7" s="228">
        <v>-161</v>
      </c>
      <c r="BD7" s="229">
        <v>-0.27889999999999998</v>
      </c>
      <c r="BE7" s="228">
        <v>5</v>
      </c>
      <c r="BF7" s="228">
        <v>4</v>
      </c>
      <c r="BG7" s="228">
        <v>1</v>
      </c>
      <c r="BH7" s="229">
        <v>0.1842</v>
      </c>
      <c r="BI7" s="230">
        <v>1612</v>
      </c>
      <c r="BJ7" s="228">
        <v>811</v>
      </c>
      <c r="BK7" s="228">
        <v>801</v>
      </c>
      <c r="BL7" s="229">
        <v>0.98709999999999998</v>
      </c>
      <c r="BM7" s="228">
        <v>512</v>
      </c>
      <c r="BN7" s="228">
        <v>343</v>
      </c>
      <c r="BO7" s="228">
        <v>169</v>
      </c>
      <c r="BP7" s="229">
        <v>0.49080000000000001</v>
      </c>
      <c r="BQ7" s="230">
        <v>2958</v>
      </c>
      <c r="BR7" s="230">
        <v>2439</v>
      </c>
      <c r="BS7" s="228">
        <v>520</v>
      </c>
      <c r="BT7" s="229">
        <v>0.21299999999999999</v>
      </c>
      <c r="BU7" s="230">
        <v>2120491</v>
      </c>
      <c r="BV7" s="230">
        <v>4049583</v>
      </c>
      <c r="BW7" s="230">
        <v>-1929092</v>
      </c>
      <c r="BX7" s="229">
        <v>-0.47639999999999999</v>
      </c>
      <c r="BY7" s="230">
        <v>2050</v>
      </c>
      <c r="BZ7" s="230">
        <v>2051</v>
      </c>
      <c r="CA7" s="228">
        <v>-1</v>
      </c>
      <c r="CB7" s="229">
        <v>-2.9999999999999997E-4</v>
      </c>
      <c r="CC7" s="230">
        <v>1114</v>
      </c>
      <c r="CD7" s="230">
        <v>1373</v>
      </c>
      <c r="CE7" s="228">
        <v>-260</v>
      </c>
      <c r="CF7" s="229">
        <v>-0.18909999999999999</v>
      </c>
      <c r="CG7" s="228">
        <v>916</v>
      </c>
      <c r="CH7" s="228">
        <v>658</v>
      </c>
      <c r="CI7" s="228">
        <v>257</v>
      </c>
      <c r="CJ7" s="229">
        <v>0.39079999999999998</v>
      </c>
      <c r="CK7" s="228">
        <v>21</v>
      </c>
      <c r="CL7" s="228">
        <v>19</v>
      </c>
      <c r="CM7" s="228">
        <v>2</v>
      </c>
      <c r="CN7" s="229">
        <v>8.7599999999999997E-2</v>
      </c>
      <c r="CO7" s="228">
        <v>864</v>
      </c>
      <c r="CP7" s="228">
        <v>854</v>
      </c>
      <c r="CQ7" s="228">
        <v>9</v>
      </c>
      <c r="CR7" s="229">
        <v>1.09E-2</v>
      </c>
      <c r="CS7" s="228">
        <v>497</v>
      </c>
      <c r="CT7" s="228">
        <v>503</v>
      </c>
      <c r="CU7" s="228">
        <v>-5</v>
      </c>
      <c r="CV7" s="229">
        <v>-1.0500000000000001E-2</v>
      </c>
      <c r="CW7" s="230">
        <v>3411</v>
      </c>
      <c r="CX7" s="230">
        <v>3408</v>
      </c>
      <c r="CY7" s="228">
        <v>3</v>
      </c>
      <c r="CZ7" s="229">
        <v>1E-3</v>
      </c>
      <c r="DA7" s="228">
        <v>40.479999999999997</v>
      </c>
      <c r="DB7" s="228">
        <v>44.22</v>
      </c>
      <c r="DC7" s="228">
        <v>-3.74</v>
      </c>
      <c r="DD7" s="228">
        <v>-3.74</v>
      </c>
      <c r="DE7" s="228">
        <v>53.54</v>
      </c>
      <c r="DF7" s="228">
        <v>53.56</v>
      </c>
      <c r="DG7" s="228">
        <v>-13.06</v>
      </c>
      <c r="DH7" s="228">
        <v>-0.02</v>
      </c>
      <c r="DI7" s="228">
        <v>40.42</v>
      </c>
      <c r="DJ7" s="228">
        <v>45.58</v>
      </c>
      <c r="DK7" s="228">
        <v>-5.16</v>
      </c>
      <c r="DL7" s="228">
        <v>-5.16</v>
      </c>
      <c r="DM7" s="228">
        <v>40.6</v>
      </c>
      <c r="DN7" s="228">
        <v>41.01</v>
      </c>
      <c r="DO7" s="228">
        <v>-0.41</v>
      </c>
      <c r="DP7" s="228">
        <v>-0.41</v>
      </c>
      <c r="DQ7" s="228">
        <v>0.57999999999999996</v>
      </c>
      <c r="DR7" s="228">
        <v>0.59</v>
      </c>
      <c r="DS7" s="228">
        <v>-0.01</v>
      </c>
      <c r="DT7" s="229">
        <v>-1.6899999999999998E-2</v>
      </c>
      <c r="DU7" s="231">
        <v>1000</v>
      </c>
      <c r="DV7" s="228">
        <v>900</v>
      </c>
      <c r="DW7" s="228">
        <v>0.32</v>
      </c>
      <c r="DX7" s="228">
        <v>0.42</v>
      </c>
      <c r="DY7" s="228">
        <v>-0.1</v>
      </c>
      <c r="DZ7" s="229">
        <v>-0.23810000000000001</v>
      </c>
      <c r="EA7" s="229">
        <v>0.45679999999999998</v>
      </c>
      <c r="EB7" s="230">
        <v>7494600</v>
      </c>
      <c r="EC7" s="229">
        <v>5.1000000000000004E-3</v>
      </c>
      <c r="ED7" s="229">
        <v>0.45679999999999998</v>
      </c>
      <c r="EE7" s="228">
        <v>4.25</v>
      </c>
      <c r="EF7" s="229">
        <v>4.7000000000000002E-3</v>
      </c>
      <c r="EG7" s="230">
        <v>520646</v>
      </c>
      <c r="EH7" s="230">
        <v>2205002</v>
      </c>
      <c r="EI7" s="229">
        <v>-0.76390000000000002</v>
      </c>
      <c r="EJ7" s="229">
        <v>0.2455</v>
      </c>
      <c r="EK7" s="231">
        <v>1702.54</v>
      </c>
      <c r="EL7" s="228">
        <v>520.53</v>
      </c>
      <c r="EM7" s="228">
        <v>835.9</v>
      </c>
      <c r="EN7" s="228">
        <v>106.84</v>
      </c>
      <c r="EO7" s="231">
        <v>3058.97</v>
      </c>
      <c r="EP7" s="231">
        <v>2455.63</v>
      </c>
      <c r="EQ7" s="228">
        <v>603.34</v>
      </c>
      <c r="ER7" s="229">
        <v>0.2457</v>
      </c>
      <c r="ES7" s="228">
        <v>963.18</v>
      </c>
      <c r="ET7" s="228">
        <v>524.4</v>
      </c>
      <c r="EU7" s="231">
        <v>2055.3000000000002</v>
      </c>
      <c r="EV7" s="231">
        <v>92816927</v>
      </c>
      <c r="EW7" s="231">
        <v>3542.88</v>
      </c>
      <c r="EX7" s="231">
        <v>3486.37</v>
      </c>
      <c r="EY7" s="228">
        <v>56.51</v>
      </c>
      <c r="EZ7" s="229">
        <v>1.6199999999999999E-2</v>
      </c>
      <c r="FA7" s="229">
        <v>0.40649999999999997</v>
      </c>
      <c r="FB7" s="227" t="s">
        <v>556</v>
      </c>
      <c r="FC7">
        <f t="shared" si="0"/>
        <v>936</v>
      </c>
    </row>
    <row r="8" spans="1:159" ht="17.25" thickBot="1" x14ac:dyDescent="0.3">
      <c r="A8" s="226">
        <v>46044</v>
      </c>
      <c r="B8" s="227" t="s">
        <v>215</v>
      </c>
      <c r="C8" s="227" t="s">
        <v>160</v>
      </c>
      <c r="D8" s="228">
        <v>475</v>
      </c>
      <c r="E8" s="228">
        <v>5</v>
      </c>
      <c r="F8" s="231">
        <v>1416</v>
      </c>
      <c r="G8" s="231">
        <v>1377.4</v>
      </c>
      <c r="H8" s="228">
        <v>38.6</v>
      </c>
      <c r="I8" s="229">
        <v>2.8000000000000001E-2</v>
      </c>
      <c r="J8" s="231">
        <v>1414.2</v>
      </c>
      <c r="K8" s="231">
        <v>1378.6</v>
      </c>
      <c r="L8" s="228">
        <v>35.6</v>
      </c>
      <c r="M8" s="229">
        <v>2.58E-2</v>
      </c>
      <c r="N8" s="231">
        <v>1416</v>
      </c>
      <c r="O8" s="231">
        <v>1377.4</v>
      </c>
      <c r="P8" s="228">
        <v>38.6</v>
      </c>
      <c r="Q8" s="229">
        <v>2.8000000000000001E-2</v>
      </c>
      <c r="R8" s="231">
        <v>1423.9</v>
      </c>
      <c r="S8" s="231">
        <v>1384.8</v>
      </c>
      <c r="T8" s="228">
        <v>39.1</v>
      </c>
      <c r="U8" s="229">
        <v>2.8199999999999999E-2</v>
      </c>
      <c r="V8" s="231">
        <v>1435.4</v>
      </c>
      <c r="W8" s="231">
        <v>1394.6</v>
      </c>
      <c r="X8" s="228">
        <v>40.799999999999997</v>
      </c>
      <c r="Y8" s="229">
        <v>2.93E-2</v>
      </c>
      <c r="Z8" s="228">
        <v>1.8</v>
      </c>
      <c r="AA8" s="228">
        <v>-1.2</v>
      </c>
      <c r="AB8" s="228">
        <v>3</v>
      </c>
      <c r="AC8" s="229">
        <v>1.2999999999999999E-3</v>
      </c>
      <c r="AD8" s="228">
        <v>1.8</v>
      </c>
      <c r="AE8" s="228">
        <v>-1.2</v>
      </c>
      <c r="AF8" s="228">
        <v>3</v>
      </c>
      <c r="AG8" s="229">
        <v>1.2999999999999999E-3</v>
      </c>
      <c r="AH8" s="228">
        <v>9.6999999999999993</v>
      </c>
      <c r="AI8" s="228">
        <v>6.2</v>
      </c>
      <c r="AJ8" s="228">
        <v>3.5</v>
      </c>
      <c r="AK8" s="229">
        <v>6.8999999999999999E-3</v>
      </c>
      <c r="AL8" s="228">
        <v>21.2</v>
      </c>
      <c r="AM8" s="228">
        <v>16</v>
      </c>
      <c r="AN8" s="228">
        <v>5.2</v>
      </c>
      <c r="AO8" s="229">
        <v>1.4999999999999999E-2</v>
      </c>
      <c r="AP8" s="231">
        <v>1409.73</v>
      </c>
      <c r="AQ8" s="231">
        <v>1417.19</v>
      </c>
      <c r="AR8" s="228">
        <v>0</v>
      </c>
      <c r="AS8" s="230">
        <v>3111</v>
      </c>
      <c r="AT8" s="230">
        <v>1493</v>
      </c>
      <c r="AU8" s="230">
        <v>1618</v>
      </c>
      <c r="AV8" s="229">
        <v>1.0838000000000001</v>
      </c>
      <c r="AW8" s="230">
        <v>1561</v>
      </c>
      <c r="AX8" s="228">
        <v>871</v>
      </c>
      <c r="AY8" s="228">
        <v>690</v>
      </c>
      <c r="AZ8" s="229">
        <v>0.79139999999999999</v>
      </c>
      <c r="BA8" s="230">
        <v>1535</v>
      </c>
      <c r="BB8" s="228">
        <v>612</v>
      </c>
      <c r="BC8" s="228">
        <v>923</v>
      </c>
      <c r="BD8" s="229">
        <v>1.5082</v>
      </c>
      <c r="BE8" s="228">
        <v>15</v>
      </c>
      <c r="BF8" s="228">
        <v>10</v>
      </c>
      <c r="BG8" s="228">
        <v>5</v>
      </c>
      <c r="BH8" s="229">
        <v>0.56640000000000001</v>
      </c>
      <c r="BI8" s="230">
        <v>2317</v>
      </c>
      <c r="BJ8" s="230">
        <v>1993</v>
      </c>
      <c r="BK8" s="228">
        <v>324</v>
      </c>
      <c r="BL8" s="229">
        <v>0.16239999999999999</v>
      </c>
      <c r="BM8" s="230">
        <v>1497</v>
      </c>
      <c r="BN8" s="230">
        <v>1532</v>
      </c>
      <c r="BO8" s="228">
        <v>-35</v>
      </c>
      <c r="BP8" s="229">
        <v>-2.3E-2</v>
      </c>
      <c r="BQ8" s="230">
        <v>6925</v>
      </c>
      <c r="BR8" s="230">
        <v>5018</v>
      </c>
      <c r="BS8" s="230">
        <v>1907</v>
      </c>
      <c r="BT8" s="229">
        <v>0.38</v>
      </c>
      <c r="BU8" s="230">
        <v>1783614</v>
      </c>
      <c r="BV8" s="230">
        <v>2234310</v>
      </c>
      <c r="BW8" s="230">
        <v>-450696</v>
      </c>
      <c r="BX8" s="229">
        <v>-0.20169999999999999</v>
      </c>
      <c r="BY8" s="230">
        <v>3793</v>
      </c>
      <c r="BZ8" s="230">
        <v>3718</v>
      </c>
      <c r="CA8" s="228">
        <v>76</v>
      </c>
      <c r="CB8" s="229">
        <v>2.0400000000000001E-2</v>
      </c>
      <c r="CC8" s="230">
        <v>1578</v>
      </c>
      <c r="CD8" s="230">
        <v>2825</v>
      </c>
      <c r="CE8" s="230">
        <v>-1247</v>
      </c>
      <c r="CF8" s="229">
        <v>-0.4415</v>
      </c>
      <c r="CG8" s="230">
        <v>2169</v>
      </c>
      <c r="CH8" s="228">
        <v>854</v>
      </c>
      <c r="CI8" s="230">
        <v>1315</v>
      </c>
      <c r="CJ8" s="229">
        <v>1.5401</v>
      </c>
      <c r="CK8" s="228">
        <v>47</v>
      </c>
      <c r="CL8" s="228">
        <v>39</v>
      </c>
      <c r="CM8" s="228">
        <v>8</v>
      </c>
      <c r="CN8" s="229">
        <v>0.20619999999999999</v>
      </c>
      <c r="CO8" s="230">
        <v>1244</v>
      </c>
      <c r="CP8" s="230">
        <v>1326</v>
      </c>
      <c r="CQ8" s="228">
        <v>-81</v>
      </c>
      <c r="CR8" s="229">
        <v>-6.1199999999999997E-2</v>
      </c>
      <c r="CS8" s="228">
        <v>850</v>
      </c>
      <c r="CT8" s="228">
        <v>836</v>
      </c>
      <c r="CU8" s="228">
        <v>14</v>
      </c>
      <c r="CV8" s="229">
        <v>1.7100000000000001E-2</v>
      </c>
      <c r="CW8" s="230">
        <v>5888</v>
      </c>
      <c r="CX8" s="230">
        <v>5879</v>
      </c>
      <c r="CY8" s="228">
        <v>9</v>
      </c>
      <c r="CZ8" s="229">
        <v>1.5E-3</v>
      </c>
      <c r="DA8" s="228">
        <v>26.75</v>
      </c>
      <c r="DB8" s="228">
        <v>25.29</v>
      </c>
      <c r="DC8" s="228">
        <v>1.46</v>
      </c>
      <c r="DD8" s="228">
        <v>1.46</v>
      </c>
      <c r="DE8" s="228">
        <v>34.85</v>
      </c>
      <c r="DF8" s="228">
        <v>34.729999999999997</v>
      </c>
      <c r="DG8" s="228">
        <v>-8.1</v>
      </c>
      <c r="DH8" s="228">
        <v>0.12</v>
      </c>
      <c r="DI8" s="228">
        <v>26.57</v>
      </c>
      <c r="DJ8" s="228">
        <v>26.19</v>
      </c>
      <c r="DK8" s="228">
        <v>0.38</v>
      </c>
      <c r="DL8" s="228">
        <v>0.38</v>
      </c>
      <c r="DM8" s="228">
        <v>27.07</v>
      </c>
      <c r="DN8" s="228">
        <v>24.13</v>
      </c>
      <c r="DO8" s="228">
        <v>2.94</v>
      </c>
      <c r="DP8" s="228">
        <v>2.94</v>
      </c>
      <c r="DQ8" s="228">
        <v>0.68</v>
      </c>
      <c r="DR8" s="228">
        <v>0.63</v>
      </c>
      <c r="DS8" s="228">
        <v>0.05</v>
      </c>
      <c r="DT8" s="229">
        <v>7.9399999999999998E-2</v>
      </c>
      <c r="DU8" s="231">
        <v>1500</v>
      </c>
      <c r="DV8" s="231">
        <v>1400</v>
      </c>
      <c r="DW8" s="228">
        <v>0.65</v>
      </c>
      <c r="DX8" s="228">
        <v>0.77</v>
      </c>
      <c r="DY8" s="228">
        <v>-0.12</v>
      </c>
      <c r="DZ8" s="229">
        <v>-0.15579999999999999</v>
      </c>
      <c r="EA8" s="229">
        <v>0.58409999999999995</v>
      </c>
      <c r="EB8" s="230">
        <v>6305625</v>
      </c>
      <c r="EC8" s="229">
        <v>5.5999999999999999E-3</v>
      </c>
      <c r="ED8" s="229">
        <v>0.58409999999999995</v>
      </c>
      <c r="EE8" s="228">
        <v>7.46</v>
      </c>
      <c r="EF8" s="229">
        <v>5.3E-3</v>
      </c>
      <c r="EG8" s="230">
        <v>870843</v>
      </c>
      <c r="EH8" s="230">
        <v>1089368</v>
      </c>
      <c r="EI8" s="229">
        <v>-0.2006</v>
      </c>
      <c r="EJ8" s="229">
        <v>0.48820000000000002</v>
      </c>
      <c r="EK8" s="231">
        <v>2395.39</v>
      </c>
      <c r="EL8" s="231">
        <v>1471.43</v>
      </c>
      <c r="EM8" s="231">
        <v>3105.94</v>
      </c>
      <c r="EN8" s="228">
        <v>105.2</v>
      </c>
      <c r="EO8" s="231">
        <v>6972.76</v>
      </c>
      <c r="EP8" s="231">
        <v>4960.5</v>
      </c>
      <c r="EQ8" s="231">
        <v>2012.26</v>
      </c>
      <c r="ER8" s="229">
        <v>0.40570000000000001</v>
      </c>
      <c r="ES8" s="231">
        <v>1311.15</v>
      </c>
      <c r="ET8" s="228">
        <v>841.51</v>
      </c>
      <c r="EU8" s="231">
        <v>3806.07</v>
      </c>
      <c r="EV8" s="231">
        <v>84394936</v>
      </c>
      <c r="EW8" s="231">
        <v>5958.73</v>
      </c>
      <c r="EX8" s="231">
        <v>5842.57</v>
      </c>
      <c r="EY8" s="228">
        <v>116.16</v>
      </c>
      <c r="EZ8" s="229">
        <v>1.9900000000000001E-2</v>
      </c>
      <c r="FA8" s="229">
        <v>0.49270000000000003</v>
      </c>
      <c r="FB8" s="227" t="s">
        <v>555</v>
      </c>
      <c r="FC8">
        <f t="shared" si="0"/>
        <v>2215</v>
      </c>
    </row>
    <row r="9" spans="1:159" ht="17.25" thickBot="1" x14ac:dyDescent="0.3">
      <c r="A9" s="226">
        <v>46044</v>
      </c>
      <c r="B9" s="227" t="s">
        <v>170</v>
      </c>
      <c r="C9" s="227" t="s">
        <v>497</v>
      </c>
      <c r="D9" s="228">
        <v>125</v>
      </c>
      <c r="E9" s="228">
        <v>5</v>
      </c>
      <c r="F9" s="231">
        <v>5754</v>
      </c>
      <c r="G9" s="231">
        <v>5650</v>
      </c>
      <c r="H9" s="228">
        <v>104</v>
      </c>
      <c r="I9" s="229">
        <v>1.84E-2</v>
      </c>
      <c r="J9" s="231">
        <v>5758.5</v>
      </c>
      <c r="K9" s="231">
        <v>5656.5</v>
      </c>
      <c r="L9" s="228">
        <v>102</v>
      </c>
      <c r="M9" s="229">
        <v>1.7999999999999999E-2</v>
      </c>
      <c r="N9" s="231">
        <v>5754</v>
      </c>
      <c r="O9" s="231">
        <v>5650</v>
      </c>
      <c r="P9" s="228">
        <v>104</v>
      </c>
      <c r="Q9" s="229">
        <v>1.84E-2</v>
      </c>
      <c r="R9" s="231">
        <v>5750.5</v>
      </c>
      <c r="S9" s="231">
        <v>5638</v>
      </c>
      <c r="T9" s="228">
        <v>112.5</v>
      </c>
      <c r="U9" s="229">
        <v>0.02</v>
      </c>
      <c r="V9" s="231">
        <v>5750</v>
      </c>
      <c r="W9" s="231">
        <v>5610</v>
      </c>
      <c r="X9" s="228">
        <v>140</v>
      </c>
      <c r="Y9" s="229">
        <v>2.5000000000000001E-2</v>
      </c>
      <c r="Z9" s="228">
        <v>-4.5</v>
      </c>
      <c r="AA9" s="228">
        <v>-6.5</v>
      </c>
      <c r="AB9" s="228">
        <v>2</v>
      </c>
      <c r="AC9" s="229">
        <v>-8.0000000000000004E-4</v>
      </c>
      <c r="AD9" s="228">
        <v>-4.5</v>
      </c>
      <c r="AE9" s="228">
        <v>-6.5</v>
      </c>
      <c r="AF9" s="228">
        <v>2</v>
      </c>
      <c r="AG9" s="229">
        <v>-8.0000000000000004E-4</v>
      </c>
      <c r="AH9" s="228">
        <v>-8</v>
      </c>
      <c r="AI9" s="228">
        <v>-18.5</v>
      </c>
      <c r="AJ9" s="228">
        <v>10.5</v>
      </c>
      <c r="AK9" s="229">
        <v>-1.4E-3</v>
      </c>
      <c r="AL9" s="228">
        <v>-8.5</v>
      </c>
      <c r="AM9" s="228">
        <v>-46.5</v>
      </c>
      <c r="AN9" s="228">
        <v>38</v>
      </c>
      <c r="AO9" s="229">
        <v>-1.5E-3</v>
      </c>
      <c r="AP9" s="231">
        <v>5725.43</v>
      </c>
      <c r="AQ9" s="231">
        <v>5722.36</v>
      </c>
      <c r="AR9" s="228">
        <v>0</v>
      </c>
      <c r="AS9" s="228">
        <v>780</v>
      </c>
      <c r="AT9" s="228">
        <v>435</v>
      </c>
      <c r="AU9" s="228">
        <v>344</v>
      </c>
      <c r="AV9" s="229">
        <v>0.79120000000000001</v>
      </c>
      <c r="AW9" s="228">
        <v>423</v>
      </c>
      <c r="AX9" s="228">
        <v>252</v>
      </c>
      <c r="AY9" s="228">
        <v>171</v>
      </c>
      <c r="AZ9" s="229">
        <v>0.68</v>
      </c>
      <c r="BA9" s="228">
        <v>356</v>
      </c>
      <c r="BB9" s="228">
        <v>183</v>
      </c>
      <c r="BC9" s="228">
        <v>173</v>
      </c>
      <c r="BD9" s="229">
        <v>0.94579999999999997</v>
      </c>
      <c r="BE9" s="228">
        <v>0</v>
      </c>
      <c r="BF9" s="228">
        <v>0</v>
      </c>
      <c r="BG9" s="228">
        <v>0</v>
      </c>
      <c r="BH9" s="229">
        <v>-0.66669999999999996</v>
      </c>
      <c r="BI9" s="228">
        <v>349</v>
      </c>
      <c r="BJ9" s="228">
        <v>352</v>
      </c>
      <c r="BK9" s="228">
        <v>-3</v>
      </c>
      <c r="BL9" s="229">
        <v>-9.7999999999999997E-3</v>
      </c>
      <c r="BM9" s="228">
        <v>160</v>
      </c>
      <c r="BN9" s="228">
        <v>213</v>
      </c>
      <c r="BO9" s="228">
        <v>-53</v>
      </c>
      <c r="BP9" s="229">
        <v>-0.2465</v>
      </c>
      <c r="BQ9" s="230">
        <v>1289</v>
      </c>
      <c r="BR9" s="230">
        <v>1001</v>
      </c>
      <c r="BS9" s="228">
        <v>288</v>
      </c>
      <c r="BT9" s="229">
        <v>0.2883</v>
      </c>
      <c r="BU9" s="230">
        <v>248867</v>
      </c>
      <c r="BV9" s="230">
        <v>78110</v>
      </c>
      <c r="BW9" s="230">
        <v>170757</v>
      </c>
      <c r="BX9" s="229">
        <v>2.1861000000000002</v>
      </c>
      <c r="BY9" s="228">
        <v>819</v>
      </c>
      <c r="BZ9" s="228">
        <v>783</v>
      </c>
      <c r="CA9" s="228">
        <v>35</v>
      </c>
      <c r="CB9" s="229">
        <v>4.4900000000000002E-2</v>
      </c>
      <c r="CC9" s="228">
        <v>409</v>
      </c>
      <c r="CD9" s="228">
        <v>636</v>
      </c>
      <c r="CE9" s="228">
        <v>-227</v>
      </c>
      <c r="CF9" s="229">
        <v>-0.35749999999999998</v>
      </c>
      <c r="CG9" s="228">
        <v>409</v>
      </c>
      <c r="CH9" s="228">
        <v>147</v>
      </c>
      <c r="CI9" s="228">
        <v>263</v>
      </c>
      <c r="CJ9" s="229">
        <v>1.792</v>
      </c>
      <c r="CK9" s="228">
        <v>1</v>
      </c>
      <c r="CL9" s="228">
        <v>1</v>
      </c>
      <c r="CM9" s="228">
        <v>0</v>
      </c>
      <c r="CN9" s="229">
        <v>-0.1111</v>
      </c>
      <c r="CO9" s="228">
        <v>214</v>
      </c>
      <c r="CP9" s="228">
        <v>247</v>
      </c>
      <c r="CQ9" s="228">
        <v>-33</v>
      </c>
      <c r="CR9" s="229">
        <v>-0.13400000000000001</v>
      </c>
      <c r="CS9" s="228">
        <v>109</v>
      </c>
      <c r="CT9" s="228">
        <v>108</v>
      </c>
      <c r="CU9" s="228">
        <v>1</v>
      </c>
      <c r="CV9" s="229">
        <v>8.6999999999999994E-3</v>
      </c>
      <c r="CW9" s="230">
        <v>1141</v>
      </c>
      <c r="CX9" s="230">
        <v>1138</v>
      </c>
      <c r="CY9" s="228">
        <v>3</v>
      </c>
      <c r="CZ9" s="229">
        <v>2.7000000000000001E-3</v>
      </c>
      <c r="DA9" s="228">
        <v>28.25</v>
      </c>
      <c r="DB9" s="228">
        <v>28.03</v>
      </c>
      <c r="DC9" s="228">
        <v>0.22</v>
      </c>
      <c r="DD9" s="228">
        <v>0.22</v>
      </c>
      <c r="DE9" s="228">
        <v>25.64</v>
      </c>
      <c r="DF9" s="228">
        <v>25.58</v>
      </c>
      <c r="DG9" s="228">
        <v>2.61</v>
      </c>
      <c r="DH9" s="228">
        <v>0.06</v>
      </c>
      <c r="DI9" s="228">
        <v>27.6</v>
      </c>
      <c r="DJ9" s="228">
        <v>28.48</v>
      </c>
      <c r="DK9" s="228">
        <v>-0.88</v>
      </c>
      <c r="DL9" s="228">
        <v>-0.88</v>
      </c>
      <c r="DM9" s="228">
        <v>29.31</v>
      </c>
      <c r="DN9" s="228">
        <v>27.27</v>
      </c>
      <c r="DO9" s="228">
        <v>2.04</v>
      </c>
      <c r="DP9" s="228">
        <v>2.04</v>
      </c>
      <c r="DQ9" s="228">
        <v>0.51</v>
      </c>
      <c r="DR9" s="228">
        <v>0.44</v>
      </c>
      <c r="DS9" s="228">
        <v>7.0000000000000007E-2</v>
      </c>
      <c r="DT9" s="229">
        <v>0.15909999999999999</v>
      </c>
      <c r="DU9" s="231">
        <v>6000</v>
      </c>
      <c r="DV9" s="231">
        <v>5400</v>
      </c>
      <c r="DW9" s="228">
        <v>0.46</v>
      </c>
      <c r="DX9" s="228">
        <v>0.6</v>
      </c>
      <c r="DY9" s="228">
        <v>-0.14000000000000001</v>
      </c>
      <c r="DZ9" s="229">
        <v>-0.23330000000000001</v>
      </c>
      <c r="EA9" s="229">
        <v>0.50070000000000003</v>
      </c>
      <c r="EB9" s="230">
        <v>255875</v>
      </c>
      <c r="EC9" s="229">
        <v>-5.9999999999999995E-4</v>
      </c>
      <c r="ED9" s="229">
        <v>0.50070000000000003</v>
      </c>
      <c r="EE9" s="228">
        <v>-3.07</v>
      </c>
      <c r="EF9" s="229">
        <v>-5.0000000000000001E-4</v>
      </c>
      <c r="EG9" s="230">
        <v>191012</v>
      </c>
      <c r="EH9" s="230">
        <v>29489</v>
      </c>
      <c r="EI9" s="229">
        <v>5.4774000000000003</v>
      </c>
      <c r="EJ9" s="229">
        <v>0.76749999999999996</v>
      </c>
      <c r="EK9" s="228">
        <v>366</v>
      </c>
      <c r="EL9" s="228">
        <v>151.29</v>
      </c>
      <c r="EM9" s="228">
        <v>775.75</v>
      </c>
      <c r="EN9" s="228">
        <v>25.17</v>
      </c>
      <c r="EO9" s="231">
        <v>1293.03</v>
      </c>
      <c r="EP9" s="228">
        <v>996.49</v>
      </c>
      <c r="EQ9" s="228">
        <v>296.54000000000002</v>
      </c>
      <c r="ER9" s="229">
        <v>0.29759999999999998</v>
      </c>
      <c r="ES9" s="228">
        <v>223.16</v>
      </c>
      <c r="ET9" s="228">
        <v>103.61</v>
      </c>
      <c r="EU9" s="228">
        <v>818.26</v>
      </c>
      <c r="EV9" s="231">
        <v>7334235</v>
      </c>
      <c r="EW9" s="231">
        <v>1145.02</v>
      </c>
      <c r="EX9" s="231">
        <v>1128.72</v>
      </c>
      <c r="EY9" s="228">
        <v>16.3</v>
      </c>
      <c r="EZ9" s="229">
        <v>1.44E-2</v>
      </c>
      <c r="FA9" s="229">
        <v>0.27039999999999997</v>
      </c>
      <c r="FB9" s="227" t="s">
        <v>555</v>
      </c>
      <c r="FC9">
        <f t="shared" si="0"/>
        <v>410</v>
      </c>
    </row>
    <row r="10" spans="1:159" ht="17.25" thickBot="1" x14ac:dyDescent="0.3">
      <c r="A10" s="226">
        <v>46044</v>
      </c>
      <c r="B10" s="227" t="s">
        <v>184</v>
      </c>
      <c r="C10" s="227" t="s">
        <v>681</v>
      </c>
      <c r="D10" s="228">
        <v>100</v>
      </c>
      <c r="E10" s="228">
        <v>5</v>
      </c>
      <c r="F10" s="231">
        <v>5751.5</v>
      </c>
      <c r="G10" s="231">
        <v>5809.5</v>
      </c>
      <c r="H10" s="228">
        <v>-58</v>
      </c>
      <c r="I10" s="229">
        <v>-0.01</v>
      </c>
      <c r="J10" s="231">
        <v>5732</v>
      </c>
      <c r="K10" s="231">
        <v>5784</v>
      </c>
      <c r="L10" s="228">
        <v>-52</v>
      </c>
      <c r="M10" s="229">
        <v>-8.9999999999999993E-3</v>
      </c>
      <c r="N10" s="231">
        <v>5751.5</v>
      </c>
      <c r="O10" s="231">
        <v>5809.5</v>
      </c>
      <c r="P10" s="228">
        <v>-58</v>
      </c>
      <c r="Q10" s="229">
        <v>-0.01</v>
      </c>
      <c r="R10" s="231">
        <v>5760</v>
      </c>
      <c r="S10" s="231">
        <v>5706.5</v>
      </c>
      <c r="T10" s="228">
        <v>53.5</v>
      </c>
      <c r="U10" s="229">
        <v>9.4000000000000004E-3</v>
      </c>
      <c r="V10" s="231">
        <v>5728</v>
      </c>
      <c r="W10" s="231">
        <v>5636.5</v>
      </c>
      <c r="X10" s="228">
        <v>91.5</v>
      </c>
      <c r="Y10" s="229">
        <v>1.6199999999999999E-2</v>
      </c>
      <c r="Z10" s="228">
        <v>19.5</v>
      </c>
      <c r="AA10" s="228">
        <v>25.5</v>
      </c>
      <c r="AB10" s="228">
        <v>-6</v>
      </c>
      <c r="AC10" s="229">
        <v>3.3999999999999998E-3</v>
      </c>
      <c r="AD10" s="228">
        <v>19.5</v>
      </c>
      <c r="AE10" s="228">
        <v>25.5</v>
      </c>
      <c r="AF10" s="228">
        <v>-6</v>
      </c>
      <c r="AG10" s="229">
        <v>3.3999999999999998E-3</v>
      </c>
      <c r="AH10" s="228">
        <v>28</v>
      </c>
      <c r="AI10" s="228">
        <v>-77.5</v>
      </c>
      <c r="AJ10" s="228">
        <v>105.5</v>
      </c>
      <c r="AK10" s="229">
        <v>4.8999999999999998E-3</v>
      </c>
      <c r="AL10" s="228">
        <v>-4</v>
      </c>
      <c r="AM10" s="228">
        <v>-147.5</v>
      </c>
      <c r="AN10" s="228">
        <v>143.5</v>
      </c>
      <c r="AO10" s="229">
        <v>-6.9999999999999999E-4</v>
      </c>
      <c r="AP10" s="231">
        <v>5773.18</v>
      </c>
      <c r="AQ10" s="231">
        <v>5755.85</v>
      </c>
      <c r="AR10" s="228">
        <v>0</v>
      </c>
      <c r="AS10" s="228">
        <v>605</v>
      </c>
      <c r="AT10" s="228">
        <v>508</v>
      </c>
      <c r="AU10" s="228">
        <v>97</v>
      </c>
      <c r="AV10" s="229">
        <v>0.19170000000000001</v>
      </c>
      <c r="AW10" s="228">
        <v>290</v>
      </c>
      <c r="AX10" s="228">
        <v>297</v>
      </c>
      <c r="AY10" s="228">
        <v>-6</v>
      </c>
      <c r="AZ10" s="229">
        <v>-2.0899999999999998E-2</v>
      </c>
      <c r="BA10" s="228">
        <v>313</v>
      </c>
      <c r="BB10" s="228">
        <v>210</v>
      </c>
      <c r="BC10" s="228">
        <v>103</v>
      </c>
      <c r="BD10" s="229">
        <v>0.49249999999999999</v>
      </c>
      <c r="BE10" s="228">
        <v>2</v>
      </c>
      <c r="BF10" s="228">
        <v>2</v>
      </c>
      <c r="BG10" s="228">
        <v>0</v>
      </c>
      <c r="BH10" s="229">
        <v>0.1724</v>
      </c>
      <c r="BI10" s="228">
        <v>388</v>
      </c>
      <c r="BJ10" s="228">
        <v>870</v>
      </c>
      <c r="BK10" s="228">
        <v>-482</v>
      </c>
      <c r="BL10" s="229">
        <v>-0.55369999999999997</v>
      </c>
      <c r="BM10" s="228">
        <v>532</v>
      </c>
      <c r="BN10" s="228">
        <v>538</v>
      </c>
      <c r="BO10" s="228">
        <v>-6</v>
      </c>
      <c r="BP10" s="229">
        <v>-1.0800000000000001E-2</v>
      </c>
      <c r="BQ10" s="230">
        <v>1526</v>
      </c>
      <c r="BR10" s="230">
        <v>1916</v>
      </c>
      <c r="BS10" s="228">
        <v>-390</v>
      </c>
      <c r="BT10" s="229">
        <v>-0.2036</v>
      </c>
      <c r="BU10" s="230">
        <v>361408</v>
      </c>
      <c r="BV10" s="230">
        <v>375461</v>
      </c>
      <c r="BW10" s="230">
        <v>-14053</v>
      </c>
      <c r="BX10" s="229">
        <v>-3.7400000000000003E-2</v>
      </c>
      <c r="BY10" s="228">
        <v>719</v>
      </c>
      <c r="BZ10" s="228">
        <v>709</v>
      </c>
      <c r="CA10" s="228">
        <v>10</v>
      </c>
      <c r="CB10" s="229">
        <v>1.4E-2</v>
      </c>
      <c r="CC10" s="228">
        <v>385</v>
      </c>
      <c r="CD10" s="228">
        <v>497</v>
      </c>
      <c r="CE10" s="228">
        <v>-112</v>
      </c>
      <c r="CF10" s="229">
        <v>-0.22500000000000001</v>
      </c>
      <c r="CG10" s="228">
        <v>321</v>
      </c>
      <c r="CH10" s="228">
        <v>200</v>
      </c>
      <c r="CI10" s="228">
        <v>121</v>
      </c>
      <c r="CJ10" s="229">
        <v>0.6069</v>
      </c>
      <c r="CK10" s="228">
        <v>13</v>
      </c>
      <c r="CL10" s="228">
        <v>12</v>
      </c>
      <c r="CM10" s="228">
        <v>0</v>
      </c>
      <c r="CN10" s="229">
        <v>2.8299999999999999E-2</v>
      </c>
      <c r="CO10" s="228">
        <v>350</v>
      </c>
      <c r="CP10" s="228">
        <v>369</v>
      </c>
      <c r="CQ10" s="228">
        <v>-19</v>
      </c>
      <c r="CR10" s="229">
        <v>-5.2200000000000003E-2</v>
      </c>
      <c r="CS10" s="228">
        <v>162</v>
      </c>
      <c r="CT10" s="228">
        <v>187</v>
      </c>
      <c r="CU10" s="228">
        <v>-25</v>
      </c>
      <c r="CV10" s="229">
        <v>-0.13420000000000001</v>
      </c>
      <c r="CW10" s="230">
        <v>1230</v>
      </c>
      <c r="CX10" s="230">
        <v>1265</v>
      </c>
      <c r="CY10" s="228">
        <v>-35</v>
      </c>
      <c r="CZ10" s="229">
        <v>-2.7300000000000001E-2</v>
      </c>
      <c r="DA10" s="228">
        <v>39.06</v>
      </c>
      <c r="DB10" s="228">
        <v>37.909999999999997</v>
      </c>
      <c r="DC10" s="228">
        <v>1.1499999999999999</v>
      </c>
      <c r="DD10" s="228">
        <v>1.1499999999999999</v>
      </c>
      <c r="DE10" s="228">
        <v>50.85</v>
      </c>
      <c r="DF10" s="228">
        <v>50.96</v>
      </c>
      <c r="DG10" s="228">
        <v>-11.79</v>
      </c>
      <c r="DH10" s="228">
        <v>-0.11</v>
      </c>
      <c r="DI10" s="228">
        <v>37.89</v>
      </c>
      <c r="DJ10" s="228">
        <v>39.64</v>
      </c>
      <c r="DK10" s="228">
        <v>-1.75</v>
      </c>
      <c r="DL10" s="228">
        <v>-1.75</v>
      </c>
      <c r="DM10" s="228">
        <v>41.73</v>
      </c>
      <c r="DN10" s="228">
        <v>35.119999999999997</v>
      </c>
      <c r="DO10" s="228">
        <v>6.61</v>
      </c>
      <c r="DP10" s="228">
        <v>6.61</v>
      </c>
      <c r="DQ10" s="228">
        <v>0.46</v>
      </c>
      <c r="DR10" s="228">
        <v>0.51</v>
      </c>
      <c r="DS10" s="228">
        <v>-0.05</v>
      </c>
      <c r="DT10" s="229">
        <v>-9.8000000000000004E-2</v>
      </c>
      <c r="DU10" s="231">
        <v>6500</v>
      </c>
      <c r="DV10" s="231">
        <v>6000</v>
      </c>
      <c r="DW10" s="228">
        <v>1.37</v>
      </c>
      <c r="DX10" s="228">
        <v>0.62</v>
      </c>
      <c r="DY10" s="228">
        <v>0.75</v>
      </c>
      <c r="DZ10" s="229">
        <v>1.2097</v>
      </c>
      <c r="EA10" s="229">
        <v>0.46439999999999998</v>
      </c>
      <c r="EB10" s="230">
        <v>368700</v>
      </c>
      <c r="EC10" s="229">
        <v>1.5E-3</v>
      </c>
      <c r="ED10" s="229">
        <v>0.46439999999999998</v>
      </c>
      <c r="EE10" s="228">
        <v>-17.329999999999998</v>
      </c>
      <c r="EF10" s="229">
        <v>-3.0000000000000001E-3</v>
      </c>
      <c r="EG10" s="230">
        <v>187637</v>
      </c>
      <c r="EH10" s="230">
        <v>172162</v>
      </c>
      <c r="EI10" s="229">
        <v>8.9899999999999994E-2</v>
      </c>
      <c r="EJ10" s="229">
        <v>0.51919999999999999</v>
      </c>
      <c r="EK10" s="228">
        <v>420.23</v>
      </c>
      <c r="EL10" s="228">
        <v>506.18</v>
      </c>
      <c r="EM10" s="228">
        <v>606.66999999999996</v>
      </c>
      <c r="EN10" s="228">
        <v>46.2</v>
      </c>
      <c r="EO10" s="231">
        <v>1533.08</v>
      </c>
      <c r="EP10" s="231">
        <v>2022.46</v>
      </c>
      <c r="EQ10" s="228">
        <v>-489.38</v>
      </c>
      <c r="ER10" s="229">
        <v>-0.24199999999999999</v>
      </c>
      <c r="ES10" s="228">
        <v>397.72</v>
      </c>
      <c r="ET10" s="228">
        <v>172.49</v>
      </c>
      <c r="EU10" s="228">
        <v>719.02</v>
      </c>
      <c r="EV10" s="231">
        <v>3257355</v>
      </c>
      <c r="EW10" s="231">
        <v>1289.22</v>
      </c>
      <c r="EX10" s="231">
        <v>1332.07</v>
      </c>
      <c r="EY10" s="228">
        <v>-42.85</v>
      </c>
      <c r="EZ10" s="229">
        <v>-3.2199999999999999E-2</v>
      </c>
      <c r="FA10" s="229">
        <v>0.65669999999999995</v>
      </c>
      <c r="FB10" s="227" t="s">
        <v>567</v>
      </c>
      <c r="FC10">
        <f t="shared" si="0"/>
        <v>334</v>
      </c>
    </row>
    <row r="11" spans="1:159" ht="17.25" thickBot="1" x14ac:dyDescent="0.3">
      <c r="A11" s="226">
        <v>46044</v>
      </c>
      <c r="B11" s="227" t="s">
        <v>157</v>
      </c>
      <c r="C11" s="227" t="s">
        <v>164</v>
      </c>
      <c r="D11" s="228">
        <v>1050</v>
      </c>
      <c r="E11" s="228">
        <v>5</v>
      </c>
      <c r="F11" s="228">
        <v>546.45000000000005</v>
      </c>
      <c r="G11" s="228">
        <v>538.04999999999995</v>
      </c>
      <c r="H11" s="228">
        <v>8.4</v>
      </c>
      <c r="I11" s="229">
        <v>1.5599999999999999E-2</v>
      </c>
      <c r="J11" s="228">
        <v>546.6</v>
      </c>
      <c r="K11" s="228">
        <v>538.65</v>
      </c>
      <c r="L11" s="228">
        <v>7.95</v>
      </c>
      <c r="M11" s="229">
        <v>1.4800000000000001E-2</v>
      </c>
      <c r="N11" s="228">
        <v>546.45000000000005</v>
      </c>
      <c r="O11" s="228">
        <v>538.04999999999995</v>
      </c>
      <c r="P11" s="228">
        <v>8.4</v>
      </c>
      <c r="Q11" s="229">
        <v>1.5599999999999999E-2</v>
      </c>
      <c r="R11" s="228">
        <v>549.20000000000005</v>
      </c>
      <c r="S11" s="228">
        <v>540.85</v>
      </c>
      <c r="T11" s="228">
        <v>8.35</v>
      </c>
      <c r="U11" s="229">
        <v>1.54E-2</v>
      </c>
      <c r="V11" s="228">
        <v>552.54999999999995</v>
      </c>
      <c r="W11" s="228">
        <v>543.79999999999995</v>
      </c>
      <c r="X11" s="228">
        <v>8.75</v>
      </c>
      <c r="Y11" s="229">
        <v>1.61E-2</v>
      </c>
      <c r="Z11" s="228">
        <v>-0.15</v>
      </c>
      <c r="AA11" s="228">
        <v>-0.6</v>
      </c>
      <c r="AB11" s="228">
        <v>0.45</v>
      </c>
      <c r="AC11" s="229">
        <v>-2.9999999999999997E-4</v>
      </c>
      <c r="AD11" s="228">
        <v>-0.15</v>
      </c>
      <c r="AE11" s="228">
        <v>-0.6</v>
      </c>
      <c r="AF11" s="228">
        <v>0.45</v>
      </c>
      <c r="AG11" s="229">
        <v>-2.9999999999999997E-4</v>
      </c>
      <c r="AH11" s="228">
        <v>2.6</v>
      </c>
      <c r="AI11" s="228">
        <v>2.2000000000000002</v>
      </c>
      <c r="AJ11" s="228">
        <v>0.4</v>
      </c>
      <c r="AK11" s="229">
        <v>4.7999999999999996E-3</v>
      </c>
      <c r="AL11" s="228">
        <v>5.95</v>
      </c>
      <c r="AM11" s="228">
        <v>5.15</v>
      </c>
      <c r="AN11" s="228">
        <v>0.8</v>
      </c>
      <c r="AO11" s="229">
        <v>1.09E-2</v>
      </c>
      <c r="AP11" s="228">
        <v>544.69000000000005</v>
      </c>
      <c r="AQ11" s="228">
        <v>547.58000000000004</v>
      </c>
      <c r="AR11" s="228">
        <v>0</v>
      </c>
      <c r="AS11" s="230">
        <v>1345</v>
      </c>
      <c r="AT11" s="230">
        <v>1485</v>
      </c>
      <c r="AU11" s="228">
        <v>-140</v>
      </c>
      <c r="AV11" s="229">
        <v>-9.4200000000000006E-2</v>
      </c>
      <c r="AW11" s="228">
        <v>692</v>
      </c>
      <c r="AX11" s="228">
        <v>787</v>
      </c>
      <c r="AY11" s="228">
        <v>-95</v>
      </c>
      <c r="AZ11" s="229">
        <v>-0.1212</v>
      </c>
      <c r="BA11" s="228">
        <v>651</v>
      </c>
      <c r="BB11" s="228">
        <v>695</v>
      </c>
      <c r="BC11" s="228">
        <v>-44</v>
      </c>
      <c r="BD11" s="229">
        <v>-6.3600000000000004E-2</v>
      </c>
      <c r="BE11" s="228">
        <v>2</v>
      </c>
      <c r="BF11" s="228">
        <v>3</v>
      </c>
      <c r="BG11" s="228">
        <v>0</v>
      </c>
      <c r="BH11" s="229">
        <v>-8.8900000000000007E-2</v>
      </c>
      <c r="BI11" s="228">
        <v>580</v>
      </c>
      <c r="BJ11" s="228">
        <v>975</v>
      </c>
      <c r="BK11" s="228">
        <v>-395</v>
      </c>
      <c r="BL11" s="229">
        <v>-0.40500000000000003</v>
      </c>
      <c r="BM11" s="228">
        <v>329</v>
      </c>
      <c r="BN11" s="228">
        <v>433</v>
      </c>
      <c r="BO11" s="228">
        <v>-104</v>
      </c>
      <c r="BP11" s="229">
        <v>-0.23960000000000001</v>
      </c>
      <c r="BQ11" s="230">
        <v>2255</v>
      </c>
      <c r="BR11" s="230">
        <v>2893</v>
      </c>
      <c r="BS11" s="228">
        <v>-639</v>
      </c>
      <c r="BT11" s="229">
        <v>-0.22070000000000001</v>
      </c>
      <c r="BU11" s="230">
        <v>1955184</v>
      </c>
      <c r="BV11" s="230">
        <v>1775744</v>
      </c>
      <c r="BW11" s="230">
        <v>179440</v>
      </c>
      <c r="BX11" s="229">
        <v>0.1011</v>
      </c>
      <c r="BY11" s="230">
        <v>2721</v>
      </c>
      <c r="BZ11" s="230">
        <v>2737</v>
      </c>
      <c r="CA11" s="228">
        <v>-16</v>
      </c>
      <c r="CB11" s="229">
        <v>-5.7999999999999996E-3</v>
      </c>
      <c r="CC11" s="230">
        <v>1308</v>
      </c>
      <c r="CD11" s="230">
        <v>1861</v>
      </c>
      <c r="CE11" s="228">
        <v>-553</v>
      </c>
      <c r="CF11" s="229">
        <v>-0.29699999999999999</v>
      </c>
      <c r="CG11" s="230">
        <v>1398</v>
      </c>
      <c r="CH11" s="228">
        <v>862</v>
      </c>
      <c r="CI11" s="228">
        <v>536</v>
      </c>
      <c r="CJ11" s="229">
        <v>0.62129999999999996</v>
      </c>
      <c r="CK11" s="228">
        <v>15</v>
      </c>
      <c r="CL11" s="228">
        <v>14</v>
      </c>
      <c r="CM11" s="228">
        <v>1</v>
      </c>
      <c r="CN11" s="229">
        <v>6.5299999999999997E-2</v>
      </c>
      <c r="CO11" s="228">
        <v>795</v>
      </c>
      <c r="CP11" s="228">
        <v>833</v>
      </c>
      <c r="CQ11" s="228">
        <v>-38</v>
      </c>
      <c r="CR11" s="229">
        <v>-4.5499999999999999E-2</v>
      </c>
      <c r="CS11" s="228">
        <v>658</v>
      </c>
      <c r="CT11" s="228">
        <v>670</v>
      </c>
      <c r="CU11" s="228">
        <v>-12</v>
      </c>
      <c r="CV11" s="229">
        <v>-1.77E-2</v>
      </c>
      <c r="CW11" s="230">
        <v>4174</v>
      </c>
      <c r="CX11" s="230">
        <v>4239</v>
      </c>
      <c r="CY11" s="228">
        <v>-66</v>
      </c>
      <c r="CZ11" s="229">
        <v>-1.55E-2</v>
      </c>
      <c r="DA11" s="228">
        <v>26.55</v>
      </c>
      <c r="DB11" s="228">
        <v>24.73</v>
      </c>
      <c r="DC11" s="228">
        <v>1.82</v>
      </c>
      <c r="DD11" s="228">
        <v>1.82</v>
      </c>
      <c r="DE11" s="228">
        <v>30.98</v>
      </c>
      <c r="DF11" s="228">
        <v>30.99</v>
      </c>
      <c r="DG11" s="228">
        <v>-4.43</v>
      </c>
      <c r="DH11" s="228">
        <v>-0.01</v>
      </c>
      <c r="DI11" s="228">
        <v>26.54</v>
      </c>
      <c r="DJ11" s="228">
        <v>25.35</v>
      </c>
      <c r="DK11" s="228">
        <v>1.19</v>
      </c>
      <c r="DL11" s="228">
        <v>1.19</v>
      </c>
      <c r="DM11" s="228">
        <v>26.55</v>
      </c>
      <c r="DN11" s="228">
        <v>23.33</v>
      </c>
      <c r="DO11" s="228">
        <v>3.22</v>
      </c>
      <c r="DP11" s="228">
        <v>3.22</v>
      </c>
      <c r="DQ11" s="228">
        <v>0.83</v>
      </c>
      <c r="DR11" s="228">
        <v>0.8</v>
      </c>
      <c r="DS11" s="228">
        <v>0.03</v>
      </c>
      <c r="DT11" s="229">
        <v>3.7499999999999999E-2</v>
      </c>
      <c r="DU11" s="228">
        <v>550</v>
      </c>
      <c r="DV11" s="228">
        <v>550</v>
      </c>
      <c r="DW11" s="228">
        <v>0.56999999999999995</v>
      </c>
      <c r="DX11" s="228">
        <v>0.44</v>
      </c>
      <c r="DY11" s="228">
        <v>0.13</v>
      </c>
      <c r="DZ11" s="229">
        <v>0.29549999999999998</v>
      </c>
      <c r="EA11" s="229">
        <v>0.51929999999999998</v>
      </c>
      <c r="EB11" s="230">
        <v>16036650</v>
      </c>
      <c r="EC11" s="229">
        <v>5.0000000000000001E-3</v>
      </c>
      <c r="ED11" s="229">
        <v>0.51929999999999998</v>
      </c>
      <c r="EE11" s="228">
        <v>2.89</v>
      </c>
      <c r="EF11" s="229">
        <v>5.3E-3</v>
      </c>
      <c r="EG11" s="230">
        <v>1135934</v>
      </c>
      <c r="EH11" s="230">
        <v>768978</v>
      </c>
      <c r="EI11" s="229">
        <v>0.47720000000000001</v>
      </c>
      <c r="EJ11" s="229">
        <v>0.58099999999999996</v>
      </c>
      <c r="EK11" s="228">
        <v>599.84</v>
      </c>
      <c r="EL11" s="228">
        <v>328.38</v>
      </c>
      <c r="EM11" s="231">
        <v>1344.4</v>
      </c>
      <c r="EN11" s="228">
        <v>117.57</v>
      </c>
      <c r="EO11" s="231">
        <v>2272.62</v>
      </c>
      <c r="EP11" s="231">
        <v>2894.29</v>
      </c>
      <c r="EQ11" s="228">
        <v>-621.66999999999996</v>
      </c>
      <c r="ER11" s="229">
        <v>-0.21479999999999999</v>
      </c>
      <c r="ES11" s="228">
        <v>829.37</v>
      </c>
      <c r="ET11" s="228">
        <v>666.08</v>
      </c>
      <c r="EU11" s="231">
        <v>2728.26</v>
      </c>
      <c r="EV11" s="231">
        <v>79841849</v>
      </c>
      <c r="EW11" s="231">
        <v>4223.71</v>
      </c>
      <c r="EX11" s="231">
        <v>4245.51</v>
      </c>
      <c r="EY11" s="228">
        <v>-21.8</v>
      </c>
      <c r="EZ11" s="229">
        <v>-5.1000000000000004E-3</v>
      </c>
      <c r="FA11" s="229">
        <v>0.95660000000000001</v>
      </c>
      <c r="FB11" s="227" t="s">
        <v>556</v>
      </c>
      <c r="FC11">
        <f t="shared" si="0"/>
        <v>1413</v>
      </c>
    </row>
    <row r="12" spans="1:159" ht="17.25" thickBot="1" x14ac:dyDescent="0.3">
      <c r="A12" s="226">
        <v>46044</v>
      </c>
      <c r="B12" s="227" t="s">
        <v>175</v>
      </c>
      <c r="C12" s="227" t="s">
        <v>609</v>
      </c>
      <c r="D12" s="228">
        <v>250</v>
      </c>
      <c r="E12" s="228">
        <v>5</v>
      </c>
      <c r="F12" s="231">
        <v>2570.1</v>
      </c>
      <c r="G12" s="231">
        <v>2536.9</v>
      </c>
      <c r="H12" s="228">
        <v>33.200000000000003</v>
      </c>
      <c r="I12" s="229">
        <v>1.3100000000000001E-2</v>
      </c>
      <c r="J12" s="231">
        <v>2566.6</v>
      </c>
      <c r="K12" s="231">
        <v>2531.9</v>
      </c>
      <c r="L12" s="228">
        <v>34.700000000000003</v>
      </c>
      <c r="M12" s="229">
        <v>1.37E-2</v>
      </c>
      <c r="N12" s="231">
        <v>2570.1</v>
      </c>
      <c r="O12" s="231">
        <v>2536.9</v>
      </c>
      <c r="P12" s="228">
        <v>33.200000000000003</v>
      </c>
      <c r="Q12" s="229">
        <v>1.3100000000000001E-2</v>
      </c>
      <c r="R12" s="231">
        <v>2578.6</v>
      </c>
      <c r="S12" s="231">
        <v>2534</v>
      </c>
      <c r="T12" s="228">
        <v>44.6</v>
      </c>
      <c r="U12" s="229">
        <v>1.7600000000000001E-2</v>
      </c>
      <c r="V12" s="231">
        <v>2574.3000000000002</v>
      </c>
      <c r="W12" s="231">
        <v>2528.8000000000002</v>
      </c>
      <c r="X12" s="228">
        <v>45.5</v>
      </c>
      <c r="Y12" s="229">
        <v>1.7999999999999999E-2</v>
      </c>
      <c r="Z12" s="228">
        <v>3.5</v>
      </c>
      <c r="AA12" s="228">
        <v>5</v>
      </c>
      <c r="AB12" s="228">
        <v>-1.5</v>
      </c>
      <c r="AC12" s="229">
        <v>1.4E-3</v>
      </c>
      <c r="AD12" s="228">
        <v>3.5</v>
      </c>
      <c r="AE12" s="228">
        <v>5</v>
      </c>
      <c r="AF12" s="228">
        <v>-1.5</v>
      </c>
      <c r="AG12" s="229">
        <v>1.4E-3</v>
      </c>
      <c r="AH12" s="228">
        <v>12</v>
      </c>
      <c r="AI12" s="228">
        <v>2.1</v>
      </c>
      <c r="AJ12" s="228">
        <v>9.9</v>
      </c>
      <c r="AK12" s="229">
        <v>4.7000000000000002E-3</v>
      </c>
      <c r="AL12" s="228">
        <v>7.7</v>
      </c>
      <c r="AM12" s="228">
        <v>-3.1</v>
      </c>
      <c r="AN12" s="228">
        <v>10.8</v>
      </c>
      <c r="AO12" s="229">
        <v>3.0000000000000001E-3</v>
      </c>
      <c r="AP12" s="231">
        <v>2568.9499999999998</v>
      </c>
      <c r="AQ12" s="231">
        <v>2574.77</v>
      </c>
      <c r="AR12" s="228">
        <v>0</v>
      </c>
      <c r="AS12" s="228">
        <v>843</v>
      </c>
      <c r="AT12" s="228">
        <v>965</v>
      </c>
      <c r="AU12" s="228">
        <v>-122</v>
      </c>
      <c r="AV12" s="229">
        <v>-0.126</v>
      </c>
      <c r="AW12" s="228">
        <v>416</v>
      </c>
      <c r="AX12" s="228">
        <v>553</v>
      </c>
      <c r="AY12" s="228">
        <v>-137</v>
      </c>
      <c r="AZ12" s="229">
        <v>-0.24809999999999999</v>
      </c>
      <c r="BA12" s="228">
        <v>424</v>
      </c>
      <c r="BB12" s="228">
        <v>408</v>
      </c>
      <c r="BC12" s="228">
        <v>17</v>
      </c>
      <c r="BD12" s="229">
        <v>4.1000000000000002E-2</v>
      </c>
      <c r="BE12" s="228">
        <v>3</v>
      </c>
      <c r="BF12" s="228">
        <v>5</v>
      </c>
      <c r="BG12" s="228">
        <v>-1</v>
      </c>
      <c r="BH12" s="229">
        <v>-0.2535</v>
      </c>
      <c r="BI12" s="230">
        <v>2022</v>
      </c>
      <c r="BJ12" s="230">
        <v>2318</v>
      </c>
      <c r="BK12" s="228">
        <v>-295</v>
      </c>
      <c r="BL12" s="229">
        <v>-0.12740000000000001</v>
      </c>
      <c r="BM12" s="230">
        <v>1091</v>
      </c>
      <c r="BN12" s="230">
        <v>2221</v>
      </c>
      <c r="BO12" s="230">
        <v>-1130</v>
      </c>
      <c r="BP12" s="229">
        <v>-0.50890000000000002</v>
      </c>
      <c r="BQ12" s="230">
        <v>3956</v>
      </c>
      <c r="BR12" s="230">
        <v>5504</v>
      </c>
      <c r="BS12" s="230">
        <v>-1547</v>
      </c>
      <c r="BT12" s="229">
        <v>-0.28120000000000001</v>
      </c>
      <c r="BU12" s="230">
        <v>615154</v>
      </c>
      <c r="BV12" s="230">
        <v>1164387</v>
      </c>
      <c r="BW12" s="230">
        <v>-549233</v>
      </c>
      <c r="BX12" s="229">
        <v>-0.47170000000000001</v>
      </c>
      <c r="BY12" s="230">
        <v>1095</v>
      </c>
      <c r="BZ12" s="230">
        <v>1077</v>
      </c>
      <c r="CA12" s="228">
        <v>18</v>
      </c>
      <c r="CB12" s="229">
        <v>1.66E-2</v>
      </c>
      <c r="CC12" s="228">
        <v>538</v>
      </c>
      <c r="CD12" s="228">
        <v>734</v>
      </c>
      <c r="CE12" s="228">
        <v>-196</v>
      </c>
      <c r="CF12" s="229">
        <v>-0.26750000000000002</v>
      </c>
      <c r="CG12" s="228">
        <v>548</v>
      </c>
      <c r="CH12" s="228">
        <v>335</v>
      </c>
      <c r="CI12" s="228">
        <v>213</v>
      </c>
      <c r="CJ12" s="229">
        <v>0.63470000000000004</v>
      </c>
      <c r="CK12" s="228">
        <v>9</v>
      </c>
      <c r="CL12" s="228">
        <v>8</v>
      </c>
      <c r="CM12" s="228">
        <v>1</v>
      </c>
      <c r="CN12" s="229">
        <v>0.1709</v>
      </c>
      <c r="CO12" s="228">
        <v>786</v>
      </c>
      <c r="CP12" s="228">
        <v>862</v>
      </c>
      <c r="CQ12" s="228">
        <v>-76</v>
      </c>
      <c r="CR12" s="229">
        <v>-8.8200000000000001E-2</v>
      </c>
      <c r="CS12" s="228">
        <v>535</v>
      </c>
      <c r="CT12" s="228">
        <v>650</v>
      </c>
      <c r="CU12" s="228">
        <v>-115</v>
      </c>
      <c r="CV12" s="229">
        <v>-0.17649999999999999</v>
      </c>
      <c r="CW12" s="230">
        <v>2416</v>
      </c>
      <c r="CX12" s="230">
        <v>2589</v>
      </c>
      <c r="CY12" s="228">
        <v>-173</v>
      </c>
      <c r="CZ12" s="229">
        <v>-6.6799999999999998E-2</v>
      </c>
      <c r="DA12" s="228">
        <v>36.299999999999997</v>
      </c>
      <c r="DB12" s="228">
        <v>34.15</v>
      </c>
      <c r="DC12" s="228">
        <v>2.15</v>
      </c>
      <c r="DD12" s="228">
        <v>2.15</v>
      </c>
      <c r="DE12" s="228">
        <v>52.66</v>
      </c>
      <c r="DF12" s="228">
        <v>52.76</v>
      </c>
      <c r="DG12" s="228">
        <v>-16.36</v>
      </c>
      <c r="DH12" s="228">
        <v>-0.1</v>
      </c>
      <c r="DI12" s="228">
        <v>36.18</v>
      </c>
      <c r="DJ12" s="228">
        <v>36.75</v>
      </c>
      <c r="DK12" s="228">
        <v>-0.56999999999999995</v>
      </c>
      <c r="DL12" s="228">
        <v>-0.56999999999999995</v>
      </c>
      <c r="DM12" s="228">
        <v>36.57</v>
      </c>
      <c r="DN12" s="228">
        <v>31.43</v>
      </c>
      <c r="DO12" s="228">
        <v>5.14</v>
      </c>
      <c r="DP12" s="228">
        <v>5.14</v>
      </c>
      <c r="DQ12" s="228">
        <v>0.68</v>
      </c>
      <c r="DR12" s="228">
        <v>0.75</v>
      </c>
      <c r="DS12" s="228">
        <v>-7.0000000000000007E-2</v>
      </c>
      <c r="DT12" s="229">
        <v>-9.3299999999999994E-2</v>
      </c>
      <c r="DU12" s="231">
        <v>2700</v>
      </c>
      <c r="DV12" s="231">
        <v>2450</v>
      </c>
      <c r="DW12" s="228">
        <v>0.54</v>
      </c>
      <c r="DX12" s="228">
        <v>0.96</v>
      </c>
      <c r="DY12" s="228">
        <v>-0.42</v>
      </c>
      <c r="DZ12" s="229">
        <v>-0.4375</v>
      </c>
      <c r="EA12" s="229">
        <v>0.50900000000000001</v>
      </c>
      <c r="EB12" s="230">
        <v>1334500</v>
      </c>
      <c r="EC12" s="229">
        <v>3.3E-3</v>
      </c>
      <c r="ED12" s="229">
        <v>0.50900000000000001</v>
      </c>
      <c r="EE12" s="228">
        <v>5.82</v>
      </c>
      <c r="EF12" s="229">
        <v>2.3E-3</v>
      </c>
      <c r="EG12" s="230">
        <v>135213</v>
      </c>
      <c r="EH12" s="230">
        <v>281522</v>
      </c>
      <c r="EI12" s="229">
        <v>-0.51970000000000005</v>
      </c>
      <c r="EJ12" s="229">
        <v>0.2198</v>
      </c>
      <c r="EK12" s="231">
        <v>2127.0500000000002</v>
      </c>
      <c r="EL12" s="231">
        <v>1058.3399999999999</v>
      </c>
      <c r="EM12" s="228">
        <v>843.91</v>
      </c>
      <c r="EN12" s="228">
        <v>125.16</v>
      </c>
      <c r="EO12" s="231">
        <v>4029.29</v>
      </c>
      <c r="EP12" s="231">
        <v>5587.77</v>
      </c>
      <c r="EQ12" s="231">
        <v>-1558.47</v>
      </c>
      <c r="ER12" s="229">
        <v>-0.27889999999999998</v>
      </c>
      <c r="ES12" s="228">
        <v>831.48</v>
      </c>
      <c r="ET12" s="228">
        <v>513.33000000000004</v>
      </c>
      <c r="EU12" s="231">
        <v>1096.56</v>
      </c>
      <c r="EV12" s="231">
        <v>9673308</v>
      </c>
      <c r="EW12" s="231">
        <v>2441.38</v>
      </c>
      <c r="EX12" s="231">
        <v>2591.84</v>
      </c>
      <c r="EY12" s="228">
        <v>-150.46</v>
      </c>
      <c r="EZ12" s="229">
        <v>-5.8099999999999999E-2</v>
      </c>
      <c r="FA12" s="229">
        <v>0.97189999999999999</v>
      </c>
      <c r="FB12" s="227" t="s">
        <v>555</v>
      </c>
      <c r="FC12">
        <f t="shared" si="0"/>
        <v>557</v>
      </c>
    </row>
    <row r="13" spans="1:159" ht="17.25" thickBot="1" x14ac:dyDescent="0.3">
      <c r="A13" s="226">
        <v>46044</v>
      </c>
      <c r="B13" s="227" t="s">
        <v>227</v>
      </c>
      <c r="C13" s="227" t="s">
        <v>598</v>
      </c>
      <c r="D13" s="228">
        <v>350</v>
      </c>
      <c r="E13" s="228">
        <v>5</v>
      </c>
      <c r="F13" s="231">
        <v>1982</v>
      </c>
      <c r="G13" s="231">
        <v>1884.3</v>
      </c>
      <c r="H13" s="228">
        <v>97.7</v>
      </c>
      <c r="I13" s="229">
        <v>5.1799999999999999E-2</v>
      </c>
      <c r="J13" s="231">
        <v>1976</v>
      </c>
      <c r="K13" s="231">
        <v>1878.6</v>
      </c>
      <c r="L13" s="228">
        <v>97.4</v>
      </c>
      <c r="M13" s="229">
        <v>5.1799999999999999E-2</v>
      </c>
      <c r="N13" s="231">
        <v>1982</v>
      </c>
      <c r="O13" s="231">
        <v>1884.3</v>
      </c>
      <c r="P13" s="228">
        <v>97.7</v>
      </c>
      <c r="Q13" s="229">
        <v>5.1799999999999999E-2</v>
      </c>
      <c r="R13" s="231">
        <v>1990.9</v>
      </c>
      <c r="S13" s="231">
        <v>1892</v>
      </c>
      <c r="T13" s="228">
        <v>98.9</v>
      </c>
      <c r="U13" s="229">
        <v>5.2299999999999999E-2</v>
      </c>
      <c r="V13" s="231">
        <v>2005.8</v>
      </c>
      <c r="W13" s="231">
        <v>1900</v>
      </c>
      <c r="X13" s="228">
        <v>105.8</v>
      </c>
      <c r="Y13" s="229">
        <v>5.57E-2</v>
      </c>
      <c r="Z13" s="228">
        <v>6</v>
      </c>
      <c r="AA13" s="228">
        <v>5.7</v>
      </c>
      <c r="AB13" s="228">
        <v>0.3</v>
      </c>
      <c r="AC13" s="229">
        <v>3.0000000000000001E-3</v>
      </c>
      <c r="AD13" s="228">
        <v>6</v>
      </c>
      <c r="AE13" s="228">
        <v>5.7</v>
      </c>
      <c r="AF13" s="228">
        <v>0.3</v>
      </c>
      <c r="AG13" s="229">
        <v>3.0000000000000001E-3</v>
      </c>
      <c r="AH13" s="228">
        <v>14.9</v>
      </c>
      <c r="AI13" s="228">
        <v>13.4</v>
      </c>
      <c r="AJ13" s="228">
        <v>1.5</v>
      </c>
      <c r="AK13" s="229">
        <v>7.4999999999999997E-3</v>
      </c>
      <c r="AL13" s="228">
        <v>29.8</v>
      </c>
      <c r="AM13" s="228">
        <v>21.4</v>
      </c>
      <c r="AN13" s="228">
        <v>8.4</v>
      </c>
      <c r="AO13" s="229">
        <v>1.5100000000000001E-2</v>
      </c>
      <c r="AP13" s="231">
        <v>1955.16</v>
      </c>
      <c r="AQ13" s="231">
        <v>1965.58</v>
      </c>
      <c r="AR13" s="228">
        <v>0</v>
      </c>
      <c r="AS13" s="230">
        <v>1097</v>
      </c>
      <c r="AT13" s="230">
        <v>1069</v>
      </c>
      <c r="AU13" s="228">
        <v>28</v>
      </c>
      <c r="AV13" s="229">
        <v>2.6200000000000001E-2</v>
      </c>
      <c r="AW13" s="228">
        <v>570</v>
      </c>
      <c r="AX13" s="228">
        <v>588</v>
      </c>
      <c r="AY13" s="228">
        <v>-17</v>
      </c>
      <c r="AZ13" s="229">
        <v>-2.9600000000000001E-2</v>
      </c>
      <c r="BA13" s="228">
        <v>523</v>
      </c>
      <c r="BB13" s="228">
        <v>479</v>
      </c>
      <c r="BC13" s="228">
        <v>45</v>
      </c>
      <c r="BD13" s="229">
        <v>9.35E-2</v>
      </c>
      <c r="BE13" s="228">
        <v>4</v>
      </c>
      <c r="BF13" s="228">
        <v>3</v>
      </c>
      <c r="BG13" s="228">
        <v>1</v>
      </c>
      <c r="BH13" s="229">
        <v>0.24390000000000001</v>
      </c>
      <c r="BI13" s="230">
        <v>2395</v>
      </c>
      <c r="BJ13" s="228">
        <v>339</v>
      </c>
      <c r="BK13" s="230">
        <v>2056</v>
      </c>
      <c r="BL13" s="229">
        <v>6.0682</v>
      </c>
      <c r="BM13" s="228">
        <v>847</v>
      </c>
      <c r="BN13" s="228">
        <v>224</v>
      </c>
      <c r="BO13" s="228">
        <v>623</v>
      </c>
      <c r="BP13" s="229">
        <v>2.7785000000000002</v>
      </c>
      <c r="BQ13" s="230">
        <v>4340</v>
      </c>
      <c r="BR13" s="230">
        <v>1632</v>
      </c>
      <c r="BS13" s="230">
        <v>2708</v>
      </c>
      <c r="BT13" s="229">
        <v>1.6589</v>
      </c>
      <c r="BU13" s="230">
        <v>1320329</v>
      </c>
      <c r="BV13" s="230">
        <v>535185</v>
      </c>
      <c r="BW13" s="230">
        <v>785144</v>
      </c>
      <c r="BX13" s="229">
        <v>1.4671000000000001</v>
      </c>
      <c r="BY13" s="230">
        <v>2336</v>
      </c>
      <c r="BZ13" s="230">
        <v>2219</v>
      </c>
      <c r="CA13" s="228">
        <v>117</v>
      </c>
      <c r="CB13" s="229">
        <v>5.2699999999999997E-2</v>
      </c>
      <c r="CC13" s="230">
        <v>1396</v>
      </c>
      <c r="CD13" s="230">
        <v>1531</v>
      </c>
      <c r="CE13" s="228">
        <v>-135</v>
      </c>
      <c r="CF13" s="229">
        <v>-8.8099999999999998E-2</v>
      </c>
      <c r="CG13" s="228">
        <v>935</v>
      </c>
      <c r="CH13" s="228">
        <v>685</v>
      </c>
      <c r="CI13" s="228">
        <v>250</v>
      </c>
      <c r="CJ13" s="229">
        <v>0.36580000000000001</v>
      </c>
      <c r="CK13" s="228">
        <v>5</v>
      </c>
      <c r="CL13" s="228">
        <v>4</v>
      </c>
      <c r="CM13" s="228">
        <v>1</v>
      </c>
      <c r="CN13" s="229">
        <v>0.33960000000000001</v>
      </c>
      <c r="CO13" s="228">
        <v>415</v>
      </c>
      <c r="CP13" s="228">
        <v>371</v>
      </c>
      <c r="CQ13" s="228">
        <v>44</v>
      </c>
      <c r="CR13" s="229">
        <v>0.1193</v>
      </c>
      <c r="CS13" s="228">
        <v>250</v>
      </c>
      <c r="CT13" s="228">
        <v>204</v>
      </c>
      <c r="CU13" s="228">
        <v>46</v>
      </c>
      <c r="CV13" s="229">
        <v>0.22750000000000001</v>
      </c>
      <c r="CW13" s="230">
        <v>3002</v>
      </c>
      <c r="CX13" s="230">
        <v>2794</v>
      </c>
      <c r="CY13" s="228">
        <v>208</v>
      </c>
      <c r="CZ13" s="229">
        <v>7.4300000000000005E-2</v>
      </c>
      <c r="DA13" s="228">
        <v>29.24</v>
      </c>
      <c r="DB13" s="228">
        <v>38.18</v>
      </c>
      <c r="DC13" s="228">
        <v>-8.94</v>
      </c>
      <c r="DD13" s="228">
        <v>-8.94</v>
      </c>
      <c r="DE13" s="228">
        <v>32.299999999999997</v>
      </c>
      <c r="DF13" s="228">
        <v>31.65</v>
      </c>
      <c r="DG13" s="228">
        <v>-3.06</v>
      </c>
      <c r="DH13" s="228">
        <v>0.65</v>
      </c>
      <c r="DI13" s="228">
        <v>29.35</v>
      </c>
      <c r="DJ13" s="228">
        <v>39.25</v>
      </c>
      <c r="DK13" s="228">
        <v>-9.9</v>
      </c>
      <c r="DL13" s="228">
        <v>-9.9</v>
      </c>
      <c r="DM13" s="228">
        <v>29.07</v>
      </c>
      <c r="DN13" s="228">
        <v>36.58</v>
      </c>
      <c r="DO13" s="228">
        <v>-7.51</v>
      </c>
      <c r="DP13" s="228">
        <v>-7.51</v>
      </c>
      <c r="DQ13" s="228">
        <v>0.6</v>
      </c>
      <c r="DR13" s="228">
        <v>0.55000000000000004</v>
      </c>
      <c r="DS13" s="228">
        <v>0.05</v>
      </c>
      <c r="DT13" s="229">
        <v>9.0899999999999995E-2</v>
      </c>
      <c r="DU13" s="231">
        <v>2000</v>
      </c>
      <c r="DV13" s="231">
        <v>1900</v>
      </c>
      <c r="DW13" s="228">
        <v>0.35</v>
      </c>
      <c r="DX13" s="228">
        <v>0.66</v>
      </c>
      <c r="DY13" s="228">
        <v>-0.31</v>
      </c>
      <c r="DZ13" s="229">
        <v>-0.46970000000000001</v>
      </c>
      <c r="EA13" s="229">
        <v>0.40239999999999998</v>
      </c>
      <c r="EB13" s="230">
        <v>3473400</v>
      </c>
      <c r="EC13" s="229">
        <v>4.4999999999999997E-3</v>
      </c>
      <c r="ED13" s="229">
        <v>0.40239999999999998</v>
      </c>
      <c r="EE13" s="228">
        <v>10.42</v>
      </c>
      <c r="EF13" s="229">
        <v>5.3E-3</v>
      </c>
      <c r="EG13" s="230">
        <v>529985</v>
      </c>
      <c r="EH13" s="230">
        <v>218054</v>
      </c>
      <c r="EI13" s="229">
        <v>1.4305000000000001</v>
      </c>
      <c r="EJ13" s="229">
        <v>0.40139999999999998</v>
      </c>
      <c r="EK13" s="231">
        <v>2441.19</v>
      </c>
      <c r="EL13" s="228">
        <v>816.9</v>
      </c>
      <c r="EM13" s="231">
        <v>1084.8800000000001</v>
      </c>
      <c r="EN13" s="228">
        <v>79.25</v>
      </c>
      <c r="EO13" s="231">
        <v>4342.9799999999996</v>
      </c>
      <c r="EP13" s="231">
        <v>1568.61</v>
      </c>
      <c r="EQ13" s="231">
        <v>2774.37</v>
      </c>
      <c r="ER13" s="229">
        <v>1.7686999999999999</v>
      </c>
      <c r="ES13" s="228">
        <v>419.62</v>
      </c>
      <c r="ET13" s="228">
        <v>238.95</v>
      </c>
      <c r="EU13" s="231">
        <v>2340.64</v>
      </c>
      <c r="EV13" s="231">
        <v>23068453</v>
      </c>
      <c r="EW13" s="231">
        <v>2999.21</v>
      </c>
      <c r="EX13" s="231">
        <v>2676.89</v>
      </c>
      <c r="EY13" s="228">
        <v>322.32</v>
      </c>
      <c r="EZ13" s="229">
        <v>0.12039999999999999</v>
      </c>
      <c r="FA13" s="229">
        <v>0.65659999999999996</v>
      </c>
      <c r="FB13" s="227" t="s">
        <v>555</v>
      </c>
      <c r="FC13">
        <f t="shared" si="0"/>
        <v>940</v>
      </c>
    </row>
    <row r="14" spans="1:159" ht="17.25" thickBot="1" x14ac:dyDescent="0.3">
      <c r="A14" s="226">
        <v>46044</v>
      </c>
      <c r="B14" s="227" t="s">
        <v>170</v>
      </c>
      <c r="C14" s="227" t="s">
        <v>165</v>
      </c>
      <c r="D14" s="228">
        <v>125</v>
      </c>
      <c r="E14" s="228">
        <v>5</v>
      </c>
      <c r="F14" s="231">
        <v>6812.5</v>
      </c>
      <c r="G14" s="231">
        <v>6835</v>
      </c>
      <c r="H14" s="228">
        <v>-22.5</v>
      </c>
      <c r="I14" s="229">
        <v>-3.3E-3</v>
      </c>
      <c r="J14" s="231">
        <v>6797</v>
      </c>
      <c r="K14" s="231">
        <v>6826.5</v>
      </c>
      <c r="L14" s="228">
        <v>-29.5</v>
      </c>
      <c r="M14" s="229">
        <v>-4.3E-3</v>
      </c>
      <c r="N14" s="231">
        <v>6812.5</v>
      </c>
      <c r="O14" s="231">
        <v>6835</v>
      </c>
      <c r="P14" s="228">
        <v>-22.5</v>
      </c>
      <c r="Q14" s="229">
        <v>-3.3E-3</v>
      </c>
      <c r="R14" s="231">
        <v>6841.5</v>
      </c>
      <c r="S14" s="231">
        <v>6862.5</v>
      </c>
      <c r="T14" s="228">
        <v>-21</v>
      </c>
      <c r="U14" s="229">
        <v>-3.0999999999999999E-3</v>
      </c>
      <c r="V14" s="231">
        <v>6890.5</v>
      </c>
      <c r="W14" s="231">
        <v>6912</v>
      </c>
      <c r="X14" s="228">
        <v>-21.5</v>
      </c>
      <c r="Y14" s="229">
        <v>-3.0999999999999999E-3</v>
      </c>
      <c r="Z14" s="228">
        <v>15.5</v>
      </c>
      <c r="AA14" s="228">
        <v>8.5</v>
      </c>
      <c r="AB14" s="228">
        <v>7</v>
      </c>
      <c r="AC14" s="229">
        <v>2.3E-3</v>
      </c>
      <c r="AD14" s="228">
        <v>15.5</v>
      </c>
      <c r="AE14" s="228">
        <v>8.5</v>
      </c>
      <c r="AF14" s="228">
        <v>7</v>
      </c>
      <c r="AG14" s="229">
        <v>2.3E-3</v>
      </c>
      <c r="AH14" s="228">
        <v>44.5</v>
      </c>
      <c r="AI14" s="228">
        <v>36</v>
      </c>
      <c r="AJ14" s="228">
        <v>8.5</v>
      </c>
      <c r="AK14" s="229">
        <v>6.4999999999999997E-3</v>
      </c>
      <c r="AL14" s="228">
        <v>93.5</v>
      </c>
      <c r="AM14" s="228">
        <v>85.5</v>
      </c>
      <c r="AN14" s="228">
        <v>8</v>
      </c>
      <c r="AO14" s="229">
        <v>1.38E-2</v>
      </c>
      <c r="AP14" s="231">
        <v>6844.6</v>
      </c>
      <c r="AQ14" s="231">
        <v>6872.18</v>
      </c>
      <c r="AR14" s="228">
        <v>0</v>
      </c>
      <c r="AS14" s="230">
        <v>1689</v>
      </c>
      <c r="AT14" s="230">
        <v>1258</v>
      </c>
      <c r="AU14" s="228">
        <v>430</v>
      </c>
      <c r="AV14" s="229">
        <v>0.34200000000000003</v>
      </c>
      <c r="AW14" s="228">
        <v>780</v>
      </c>
      <c r="AX14" s="228">
        <v>693</v>
      </c>
      <c r="AY14" s="228">
        <v>87</v>
      </c>
      <c r="AZ14" s="229">
        <v>0.1249</v>
      </c>
      <c r="BA14" s="228">
        <v>901</v>
      </c>
      <c r="BB14" s="228">
        <v>559</v>
      </c>
      <c r="BC14" s="228">
        <v>342</v>
      </c>
      <c r="BD14" s="229">
        <v>0.6109</v>
      </c>
      <c r="BE14" s="228">
        <v>8</v>
      </c>
      <c r="BF14" s="228">
        <v>6</v>
      </c>
      <c r="BG14" s="228">
        <v>2</v>
      </c>
      <c r="BH14" s="229">
        <v>0.35820000000000002</v>
      </c>
      <c r="BI14" s="230">
        <v>3043</v>
      </c>
      <c r="BJ14" s="230">
        <v>3305</v>
      </c>
      <c r="BK14" s="228">
        <v>-262</v>
      </c>
      <c r="BL14" s="229">
        <v>-7.9200000000000007E-2</v>
      </c>
      <c r="BM14" s="230">
        <v>1106</v>
      </c>
      <c r="BN14" s="230">
        <v>1626</v>
      </c>
      <c r="BO14" s="228">
        <v>-520</v>
      </c>
      <c r="BP14" s="229">
        <v>-0.31990000000000002</v>
      </c>
      <c r="BQ14" s="230">
        <v>5837</v>
      </c>
      <c r="BR14" s="230">
        <v>6189</v>
      </c>
      <c r="BS14" s="228">
        <v>-352</v>
      </c>
      <c r="BT14" s="229">
        <v>-5.6800000000000003E-2</v>
      </c>
      <c r="BU14" s="230">
        <v>719841</v>
      </c>
      <c r="BV14" s="230">
        <v>637769</v>
      </c>
      <c r="BW14" s="230">
        <v>82072</v>
      </c>
      <c r="BX14" s="229">
        <v>0.12870000000000001</v>
      </c>
      <c r="BY14" s="230">
        <v>2714</v>
      </c>
      <c r="BZ14" s="230">
        <v>2424</v>
      </c>
      <c r="CA14" s="228">
        <v>290</v>
      </c>
      <c r="CB14" s="229">
        <v>0.1196</v>
      </c>
      <c r="CC14" s="230">
        <v>1386</v>
      </c>
      <c r="CD14" s="230">
        <v>1838</v>
      </c>
      <c r="CE14" s="228">
        <v>-452</v>
      </c>
      <c r="CF14" s="229">
        <v>-0.2457</v>
      </c>
      <c r="CG14" s="230">
        <v>1304</v>
      </c>
      <c r="CH14" s="228">
        <v>567</v>
      </c>
      <c r="CI14" s="228">
        <v>738</v>
      </c>
      <c r="CJ14" s="229">
        <v>1.302</v>
      </c>
      <c r="CK14" s="228">
        <v>24</v>
      </c>
      <c r="CL14" s="228">
        <v>20</v>
      </c>
      <c r="CM14" s="228">
        <v>4</v>
      </c>
      <c r="CN14" s="229">
        <v>0.2069</v>
      </c>
      <c r="CO14" s="230">
        <v>1368</v>
      </c>
      <c r="CP14" s="230">
        <v>1264</v>
      </c>
      <c r="CQ14" s="228">
        <v>104</v>
      </c>
      <c r="CR14" s="229">
        <v>8.2299999999999998E-2</v>
      </c>
      <c r="CS14" s="228">
        <v>746</v>
      </c>
      <c r="CT14" s="228">
        <v>736</v>
      </c>
      <c r="CU14" s="228">
        <v>10</v>
      </c>
      <c r="CV14" s="229">
        <v>1.38E-2</v>
      </c>
      <c r="CW14" s="230">
        <v>4829</v>
      </c>
      <c r="CX14" s="230">
        <v>4424</v>
      </c>
      <c r="CY14" s="228">
        <v>404</v>
      </c>
      <c r="CZ14" s="229">
        <v>9.1399999999999995E-2</v>
      </c>
      <c r="DA14" s="228">
        <v>24.25</v>
      </c>
      <c r="DB14" s="228">
        <v>22.49</v>
      </c>
      <c r="DC14" s="228">
        <v>1.76</v>
      </c>
      <c r="DD14" s="228">
        <v>1.76</v>
      </c>
      <c r="DE14" s="228">
        <v>25.03</v>
      </c>
      <c r="DF14" s="228">
        <v>25.09</v>
      </c>
      <c r="DG14" s="228">
        <v>-0.78</v>
      </c>
      <c r="DH14" s="228">
        <v>-0.06</v>
      </c>
      <c r="DI14" s="228">
        <v>24.29</v>
      </c>
      <c r="DJ14" s="228">
        <v>23.81</v>
      </c>
      <c r="DK14" s="228">
        <v>0.48</v>
      </c>
      <c r="DL14" s="228">
        <v>0.48</v>
      </c>
      <c r="DM14" s="228">
        <v>24.16</v>
      </c>
      <c r="DN14" s="228">
        <v>19.82</v>
      </c>
      <c r="DO14" s="228">
        <v>4.34</v>
      </c>
      <c r="DP14" s="228">
        <v>4.34</v>
      </c>
      <c r="DQ14" s="228">
        <v>0.55000000000000004</v>
      </c>
      <c r="DR14" s="228">
        <v>0.57999999999999996</v>
      </c>
      <c r="DS14" s="228">
        <v>-0.03</v>
      </c>
      <c r="DT14" s="229">
        <v>-5.1700000000000003E-2</v>
      </c>
      <c r="DU14" s="231">
        <v>7000</v>
      </c>
      <c r="DV14" s="231">
        <v>6700</v>
      </c>
      <c r="DW14" s="228">
        <v>0.36</v>
      </c>
      <c r="DX14" s="228">
        <v>0.49</v>
      </c>
      <c r="DY14" s="228">
        <v>-0.13</v>
      </c>
      <c r="DZ14" s="229">
        <v>-0.26529999999999998</v>
      </c>
      <c r="EA14" s="229">
        <v>0.48920000000000002</v>
      </c>
      <c r="EB14" s="230">
        <v>860625</v>
      </c>
      <c r="EC14" s="229">
        <v>4.3E-3</v>
      </c>
      <c r="ED14" s="229">
        <v>0.48920000000000002</v>
      </c>
      <c r="EE14" s="228">
        <v>27.58</v>
      </c>
      <c r="EF14" s="229">
        <v>4.0000000000000001E-3</v>
      </c>
      <c r="EG14" s="230">
        <v>545121</v>
      </c>
      <c r="EH14" s="230">
        <v>377155</v>
      </c>
      <c r="EI14" s="229">
        <v>0.44540000000000002</v>
      </c>
      <c r="EJ14" s="229">
        <v>0.75729999999999997</v>
      </c>
      <c r="EK14" s="231">
        <v>3173.24</v>
      </c>
      <c r="EL14" s="231">
        <v>1105.6600000000001</v>
      </c>
      <c r="EM14" s="231">
        <v>1700.24</v>
      </c>
      <c r="EN14" s="228">
        <v>68.8</v>
      </c>
      <c r="EO14" s="231">
        <v>5979.14</v>
      </c>
      <c r="EP14" s="231">
        <v>6349.73</v>
      </c>
      <c r="EQ14" s="228">
        <v>-370.59</v>
      </c>
      <c r="ER14" s="229">
        <v>-5.8400000000000001E-2</v>
      </c>
      <c r="ES14" s="231">
        <v>1467.66</v>
      </c>
      <c r="ET14" s="228">
        <v>760.15</v>
      </c>
      <c r="EU14" s="231">
        <v>2720.27</v>
      </c>
      <c r="EV14" s="231">
        <v>15524629</v>
      </c>
      <c r="EW14" s="231">
        <v>4948.08</v>
      </c>
      <c r="EX14" s="231">
        <v>4549.2700000000004</v>
      </c>
      <c r="EY14" s="228">
        <v>398.81</v>
      </c>
      <c r="EZ14" s="229">
        <v>8.77E-2</v>
      </c>
      <c r="FA14" s="229">
        <v>0.45650000000000002</v>
      </c>
      <c r="FB14" s="227" t="s">
        <v>567</v>
      </c>
      <c r="FC14">
        <f t="shared" si="0"/>
        <v>1328</v>
      </c>
    </row>
    <row r="15" spans="1:159" ht="17.25" thickBot="1" x14ac:dyDescent="0.3">
      <c r="A15" s="226">
        <v>46044</v>
      </c>
      <c r="B15" s="227" t="s">
        <v>162</v>
      </c>
      <c r="C15" s="227" t="s">
        <v>167</v>
      </c>
      <c r="D15" s="228">
        <v>5000</v>
      </c>
      <c r="E15" s="228">
        <v>5</v>
      </c>
      <c r="F15" s="228">
        <v>190.94</v>
      </c>
      <c r="G15" s="228">
        <v>181.81</v>
      </c>
      <c r="H15" s="228">
        <v>9.1300000000000008</v>
      </c>
      <c r="I15" s="229">
        <v>5.0200000000000002E-2</v>
      </c>
      <c r="J15" s="228">
        <v>190.28</v>
      </c>
      <c r="K15" s="228">
        <v>181.24</v>
      </c>
      <c r="L15" s="228">
        <v>9.0399999999999991</v>
      </c>
      <c r="M15" s="229">
        <v>4.99E-2</v>
      </c>
      <c r="N15" s="228">
        <v>190.94</v>
      </c>
      <c r="O15" s="228">
        <v>181.81</v>
      </c>
      <c r="P15" s="228">
        <v>9.1300000000000008</v>
      </c>
      <c r="Q15" s="229">
        <v>5.0200000000000002E-2</v>
      </c>
      <c r="R15" s="228">
        <v>188.3</v>
      </c>
      <c r="S15" s="228">
        <v>179.32</v>
      </c>
      <c r="T15" s="228">
        <v>8.98</v>
      </c>
      <c r="U15" s="229">
        <v>5.0099999999999999E-2</v>
      </c>
      <c r="V15" s="228">
        <v>187.07</v>
      </c>
      <c r="W15" s="228">
        <v>178.44</v>
      </c>
      <c r="X15" s="228">
        <v>8.6300000000000008</v>
      </c>
      <c r="Y15" s="229">
        <v>4.8399999999999999E-2</v>
      </c>
      <c r="Z15" s="228">
        <v>0.66</v>
      </c>
      <c r="AA15" s="228">
        <v>0.56999999999999995</v>
      </c>
      <c r="AB15" s="228">
        <v>0.09</v>
      </c>
      <c r="AC15" s="229">
        <v>3.5000000000000001E-3</v>
      </c>
      <c r="AD15" s="228">
        <v>0.66</v>
      </c>
      <c r="AE15" s="228">
        <v>0.56999999999999995</v>
      </c>
      <c r="AF15" s="228">
        <v>0.09</v>
      </c>
      <c r="AG15" s="229">
        <v>3.5000000000000001E-3</v>
      </c>
      <c r="AH15" s="228">
        <v>-1.98</v>
      </c>
      <c r="AI15" s="228">
        <v>-1.92</v>
      </c>
      <c r="AJ15" s="228">
        <v>-0.06</v>
      </c>
      <c r="AK15" s="229">
        <v>-1.04E-2</v>
      </c>
      <c r="AL15" s="228">
        <v>-3.21</v>
      </c>
      <c r="AM15" s="228">
        <v>-2.8</v>
      </c>
      <c r="AN15" s="228">
        <v>-0.41</v>
      </c>
      <c r="AO15" s="229">
        <v>-1.6899999999999998E-2</v>
      </c>
      <c r="AP15" s="228">
        <v>188.25</v>
      </c>
      <c r="AQ15" s="228">
        <v>185.55</v>
      </c>
      <c r="AR15" s="228">
        <v>0</v>
      </c>
      <c r="AS15" s="230">
        <v>3367</v>
      </c>
      <c r="AT15" s="230">
        <v>3151</v>
      </c>
      <c r="AU15" s="228">
        <v>217</v>
      </c>
      <c r="AV15" s="229">
        <v>6.88E-2</v>
      </c>
      <c r="AW15" s="230">
        <v>1795</v>
      </c>
      <c r="AX15" s="230">
        <v>1688</v>
      </c>
      <c r="AY15" s="228">
        <v>106</v>
      </c>
      <c r="AZ15" s="229">
        <v>6.2899999999999998E-2</v>
      </c>
      <c r="BA15" s="230">
        <v>1548</v>
      </c>
      <c r="BB15" s="230">
        <v>1455</v>
      </c>
      <c r="BC15" s="228">
        <v>93</v>
      </c>
      <c r="BD15" s="229">
        <v>6.4199999999999993E-2</v>
      </c>
      <c r="BE15" s="228">
        <v>24</v>
      </c>
      <c r="BF15" s="228">
        <v>7</v>
      </c>
      <c r="BG15" s="228">
        <v>17</v>
      </c>
      <c r="BH15" s="229">
        <v>2.4054000000000002</v>
      </c>
      <c r="BI15" s="230">
        <v>4963</v>
      </c>
      <c r="BJ15" s="230">
        <v>2607</v>
      </c>
      <c r="BK15" s="230">
        <v>2355</v>
      </c>
      <c r="BL15" s="229">
        <v>0.9032</v>
      </c>
      <c r="BM15" s="230">
        <v>2405</v>
      </c>
      <c r="BN15" s="230">
        <v>1684</v>
      </c>
      <c r="BO15" s="228">
        <v>721</v>
      </c>
      <c r="BP15" s="229">
        <v>0.4284</v>
      </c>
      <c r="BQ15" s="230">
        <v>10735</v>
      </c>
      <c r="BR15" s="230">
        <v>7442</v>
      </c>
      <c r="BS15" s="230">
        <v>3293</v>
      </c>
      <c r="BT15" s="229">
        <v>0.4425</v>
      </c>
      <c r="BU15" s="230">
        <v>21552797</v>
      </c>
      <c r="BV15" s="230">
        <v>21353145</v>
      </c>
      <c r="BW15" s="230">
        <v>199652</v>
      </c>
      <c r="BX15" s="229">
        <v>9.4000000000000004E-3</v>
      </c>
      <c r="BY15" s="230">
        <v>3430</v>
      </c>
      <c r="BZ15" s="230">
        <v>3710</v>
      </c>
      <c r="CA15" s="228">
        <v>-280</v>
      </c>
      <c r="CB15" s="229">
        <v>-7.5399999999999995E-2</v>
      </c>
      <c r="CC15" s="230">
        <v>1084</v>
      </c>
      <c r="CD15" s="230">
        <v>2103</v>
      </c>
      <c r="CE15" s="230">
        <v>-1019</v>
      </c>
      <c r="CF15" s="229">
        <v>-0.48459999999999998</v>
      </c>
      <c r="CG15" s="230">
        <v>2326</v>
      </c>
      <c r="CH15" s="230">
        <v>1583</v>
      </c>
      <c r="CI15" s="228">
        <v>742</v>
      </c>
      <c r="CJ15" s="229">
        <v>0.46879999999999999</v>
      </c>
      <c r="CK15" s="228">
        <v>20</v>
      </c>
      <c r="CL15" s="228">
        <v>23</v>
      </c>
      <c r="CM15" s="228">
        <v>-3</v>
      </c>
      <c r="CN15" s="229">
        <v>-0.123</v>
      </c>
      <c r="CO15" s="230">
        <v>1163</v>
      </c>
      <c r="CP15" s="230">
        <v>1492</v>
      </c>
      <c r="CQ15" s="228">
        <v>-329</v>
      </c>
      <c r="CR15" s="229">
        <v>-0.22059999999999999</v>
      </c>
      <c r="CS15" s="228">
        <v>883</v>
      </c>
      <c r="CT15" s="228">
        <v>807</v>
      </c>
      <c r="CU15" s="228">
        <v>76</v>
      </c>
      <c r="CV15" s="229">
        <v>9.4E-2</v>
      </c>
      <c r="CW15" s="230">
        <v>5476</v>
      </c>
      <c r="CX15" s="230">
        <v>6009</v>
      </c>
      <c r="CY15" s="228">
        <v>-533</v>
      </c>
      <c r="CZ15" s="229">
        <v>-8.8700000000000001E-2</v>
      </c>
      <c r="DA15" s="228">
        <v>34.46</v>
      </c>
      <c r="DB15" s="228">
        <v>28.45</v>
      </c>
      <c r="DC15" s="228">
        <v>6.01</v>
      </c>
      <c r="DD15" s="228">
        <v>6.01</v>
      </c>
      <c r="DE15" s="228">
        <v>35.299999999999997</v>
      </c>
      <c r="DF15" s="228">
        <v>34.770000000000003</v>
      </c>
      <c r="DG15" s="228">
        <v>-0.84</v>
      </c>
      <c r="DH15" s="228">
        <v>0.53</v>
      </c>
      <c r="DI15" s="228">
        <v>34.49</v>
      </c>
      <c r="DJ15" s="228">
        <v>29.16</v>
      </c>
      <c r="DK15" s="228">
        <v>5.33</v>
      </c>
      <c r="DL15" s="228">
        <v>5.33</v>
      </c>
      <c r="DM15" s="228">
        <v>34.39</v>
      </c>
      <c r="DN15" s="228">
        <v>27.36</v>
      </c>
      <c r="DO15" s="228">
        <v>7.03</v>
      </c>
      <c r="DP15" s="228">
        <v>7.03</v>
      </c>
      <c r="DQ15" s="228">
        <v>0.76</v>
      </c>
      <c r="DR15" s="228">
        <v>0.54</v>
      </c>
      <c r="DS15" s="228">
        <v>0.22</v>
      </c>
      <c r="DT15" s="229">
        <v>0.40739999999999998</v>
      </c>
      <c r="DU15" s="228">
        <v>200</v>
      </c>
      <c r="DV15" s="228">
        <v>185</v>
      </c>
      <c r="DW15" s="228">
        <v>0.48</v>
      </c>
      <c r="DX15" s="228">
        <v>0.65</v>
      </c>
      <c r="DY15" s="228">
        <v>-0.17</v>
      </c>
      <c r="DZ15" s="229">
        <v>-0.26150000000000001</v>
      </c>
      <c r="EA15" s="229">
        <v>0.68389999999999995</v>
      </c>
      <c r="EB15" s="230">
        <v>84145000</v>
      </c>
      <c r="EC15" s="229">
        <v>-1.38E-2</v>
      </c>
      <c r="ED15" s="229">
        <v>0.68389999999999995</v>
      </c>
      <c r="EE15" s="228">
        <v>-2.7</v>
      </c>
      <c r="EF15" s="229">
        <v>-1.43E-2</v>
      </c>
      <c r="EG15" s="230">
        <v>8078687</v>
      </c>
      <c r="EH15" s="230">
        <v>10278586</v>
      </c>
      <c r="EI15" s="229">
        <v>-0.214</v>
      </c>
      <c r="EJ15" s="229">
        <v>0.37480000000000002</v>
      </c>
      <c r="EK15" s="231">
        <v>5035.3900000000003</v>
      </c>
      <c r="EL15" s="231">
        <v>2307.0500000000002</v>
      </c>
      <c r="EM15" s="231">
        <v>3297.42</v>
      </c>
      <c r="EN15" s="228">
        <v>152.5</v>
      </c>
      <c r="EO15" s="231">
        <v>10639.86</v>
      </c>
      <c r="EP15" s="231">
        <v>7117.48</v>
      </c>
      <c r="EQ15" s="231">
        <v>3522.38</v>
      </c>
      <c r="ER15" s="229">
        <v>0.49490000000000001</v>
      </c>
      <c r="ES15" s="231">
        <v>1171.77</v>
      </c>
      <c r="ET15" s="228">
        <v>813.4</v>
      </c>
      <c r="EU15" s="231">
        <v>3397.67</v>
      </c>
      <c r="EV15" s="231">
        <v>423719104</v>
      </c>
      <c r="EW15" s="231">
        <v>5382.84</v>
      </c>
      <c r="EX15" s="231">
        <v>5739.66</v>
      </c>
      <c r="EY15" s="228">
        <v>-356.82</v>
      </c>
      <c r="EZ15" s="229">
        <v>-6.2199999999999998E-2</v>
      </c>
      <c r="FA15" s="229">
        <v>0.67679999999999996</v>
      </c>
      <c r="FB15" s="227" t="s">
        <v>556</v>
      </c>
      <c r="FC15">
        <f t="shared" si="0"/>
        <v>2346</v>
      </c>
    </row>
    <row r="16" spans="1:159" ht="17.25" thickBot="1" x14ac:dyDescent="0.3">
      <c r="A16" s="226">
        <v>46044</v>
      </c>
      <c r="B16" s="227" t="s">
        <v>168</v>
      </c>
      <c r="C16" s="227" t="s">
        <v>169</v>
      </c>
      <c r="D16" s="228">
        <v>250</v>
      </c>
      <c r="E16" s="228">
        <v>5</v>
      </c>
      <c r="F16" s="231">
        <v>2705.2</v>
      </c>
      <c r="G16" s="231">
        <v>2664.5</v>
      </c>
      <c r="H16" s="228">
        <v>40.700000000000003</v>
      </c>
      <c r="I16" s="229">
        <v>1.5299999999999999E-2</v>
      </c>
      <c r="J16" s="231">
        <v>2703.8</v>
      </c>
      <c r="K16" s="231">
        <v>2661.1</v>
      </c>
      <c r="L16" s="228">
        <v>42.7</v>
      </c>
      <c r="M16" s="229">
        <v>1.6E-2</v>
      </c>
      <c r="N16" s="231">
        <v>2705.2</v>
      </c>
      <c r="O16" s="231">
        <v>2664.5</v>
      </c>
      <c r="P16" s="228">
        <v>40.700000000000003</v>
      </c>
      <c r="Q16" s="229">
        <v>1.5299999999999999E-2</v>
      </c>
      <c r="R16" s="231">
        <v>2712.2</v>
      </c>
      <c r="S16" s="231">
        <v>2674.6</v>
      </c>
      <c r="T16" s="228">
        <v>37.6</v>
      </c>
      <c r="U16" s="229">
        <v>1.41E-2</v>
      </c>
      <c r="V16" s="231">
        <v>2727.3</v>
      </c>
      <c r="W16" s="231">
        <v>2694.6</v>
      </c>
      <c r="X16" s="228">
        <v>32.700000000000003</v>
      </c>
      <c r="Y16" s="229">
        <v>1.21E-2</v>
      </c>
      <c r="Z16" s="228">
        <v>1.4</v>
      </c>
      <c r="AA16" s="228">
        <v>3.4</v>
      </c>
      <c r="AB16" s="228">
        <v>-2</v>
      </c>
      <c r="AC16" s="229">
        <v>5.0000000000000001E-4</v>
      </c>
      <c r="AD16" s="228">
        <v>1.4</v>
      </c>
      <c r="AE16" s="228">
        <v>3.4</v>
      </c>
      <c r="AF16" s="228">
        <v>-2</v>
      </c>
      <c r="AG16" s="229">
        <v>5.0000000000000001E-4</v>
      </c>
      <c r="AH16" s="228">
        <v>8.4</v>
      </c>
      <c r="AI16" s="228">
        <v>13.5</v>
      </c>
      <c r="AJ16" s="228">
        <v>-5.0999999999999996</v>
      </c>
      <c r="AK16" s="229">
        <v>3.0999999999999999E-3</v>
      </c>
      <c r="AL16" s="228">
        <v>23.5</v>
      </c>
      <c r="AM16" s="228">
        <v>33.5</v>
      </c>
      <c r="AN16" s="228">
        <v>-10</v>
      </c>
      <c r="AO16" s="229">
        <v>8.6999999999999994E-3</v>
      </c>
      <c r="AP16" s="231">
        <v>2702.95</v>
      </c>
      <c r="AQ16" s="231">
        <v>2710.95</v>
      </c>
      <c r="AR16" s="228">
        <v>0</v>
      </c>
      <c r="AS16" s="230">
        <v>3072</v>
      </c>
      <c r="AT16" s="230">
        <v>2308</v>
      </c>
      <c r="AU16" s="228">
        <v>763</v>
      </c>
      <c r="AV16" s="229">
        <v>0.33069999999999999</v>
      </c>
      <c r="AW16" s="230">
        <v>1541</v>
      </c>
      <c r="AX16" s="230">
        <v>1204</v>
      </c>
      <c r="AY16" s="228">
        <v>337</v>
      </c>
      <c r="AZ16" s="229">
        <v>0.28010000000000002</v>
      </c>
      <c r="BA16" s="230">
        <v>1526</v>
      </c>
      <c r="BB16" s="230">
        <v>1100</v>
      </c>
      <c r="BC16" s="228">
        <v>426</v>
      </c>
      <c r="BD16" s="229">
        <v>0.38719999999999999</v>
      </c>
      <c r="BE16" s="228">
        <v>5</v>
      </c>
      <c r="BF16" s="228">
        <v>5</v>
      </c>
      <c r="BG16" s="228">
        <v>0</v>
      </c>
      <c r="BH16" s="229">
        <v>8.4500000000000006E-2</v>
      </c>
      <c r="BI16" s="230">
        <v>2485</v>
      </c>
      <c r="BJ16" s="230">
        <v>2033</v>
      </c>
      <c r="BK16" s="228">
        <v>453</v>
      </c>
      <c r="BL16" s="229">
        <v>0.22270000000000001</v>
      </c>
      <c r="BM16" s="230">
        <v>1986</v>
      </c>
      <c r="BN16" s="230">
        <v>1696</v>
      </c>
      <c r="BO16" s="228">
        <v>290</v>
      </c>
      <c r="BP16" s="229">
        <v>0.1709</v>
      </c>
      <c r="BQ16" s="230">
        <v>7543</v>
      </c>
      <c r="BR16" s="230">
        <v>6037</v>
      </c>
      <c r="BS16" s="230">
        <v>1506</v>
      </c>
      <c r="BT16" s="229">
        <v>0.24940000000000001</v>
      </c>
      <c r="BU16" s="230">
        <v>1362267</v>
      </c>
      <c r="BV16" s="230">
        <v>932206</v>
      </c>
      <c r="BW16" s="230">
        <v>430061</v>
      </c>
      <c r="BX16" s="229">
        <v>0.46129999999999999</v>
      </c>
      <c r="BY16" s="230">
        <v>3544</v>
      </c>
      <c r="BZ16" s="230">
        <v>3478</v>
      </c>
      <c r="CA16" s="228">
        <v>65</v>
      </c>
      <c r="CB16" s="229">
        <v>1.8800000000000001E-2</v>
      </c>
      <c r="CC16" s="230">
        <v>1287</v>
      </c>
      <c r="CD16" s="230">
        <v>2453</v>
      </c>
      <c r="CE16" s="230">
        <v>-1166</v>
      </c>
      <c r="CF16" s="229">
        <v>-0.4753</v>
      </c>
      <c r="CG16" s="230">
        <v>2232</v>
      </c>
      <c r="CH16" s="230">
        <v>1002</v>
      </c>
      <c r="CI16" s="230">
        <v>1230</v>
      </c>
      <c r="CJ16" s="229">
        <v>1.2279</v>
      </c>
      <c r="CK16" s="228">
        <v>24</v>
      </c>
      <c r="CL16" s="228">
        <v>23</v>
      </c>
      <c r="CM16" s="228">
        <v>1</v>
      </c>
      <c r="CN16" s="229">
        <v>4.0899999999999999E-2</v>
      </c>
      <c r="CO16" s="230">
        <v>1351</v>
      </c>
      <c r="CP16" s="230">
        <v>1408</v>
      </c>
      <c r="CQ16" s="228">
        <v>-57</v>
      </c>
      <c r="CR16" s="229">
        <v>-4.0399999999999998E-2</v>
      </c>
      <c r="CS16" s="228">
        <v>954</v>
      </c>
      <c r="CT16" s="228">
        <v>936</v>
      </c>
      <c r="CU16" s="228">
        <v>18</v>
      </c>
      <c r="CV16" s="229">
        <v>1.9E-2</v>
      </c>
      <c r="CW16" s="230">
        <v>5849</v>
      </c>
      <c r="CX16" s="230">
        <v>5822</v>
      </c>
      <c r="CY16" s="228">
        <v>26</v>
      </c>
      <c r="CZ16" s="229">
        <v>4.4999999999999997E-3</v>
      </c>
      <c r="DA16" s="228">
        <v>25.95</v>
      </c>
      <c r="DB16" s="228">
        <v>23.52</v>
      </c>
      <c r="DC16" s="228">
        <v>2.4300000000000002</v>
      </c>
      <c r="DD16" s="228">
        <v>2.4300000000000002</v>
      </c>
      <c r="DE16" s="228">
        <v>25.3</v>
      </c>
      <c r="DF16" s="228">
        <v>25.27</v>
      </c>
      <c r="DG16" s="228">
        <v>0.65</v>
      </c>
      <c r="DH16" s="228">
        <v>0.03</v>
      </c>
      <c r="DI16" s="228">
        <v>25.96</v>
      </c>
      <c r="DJ16" s="228">
        <v>24.93</v>
      </c>
      <c r="DK16" s="228">
        <v>1.03</v>
      </c>
      <c r="DL16" s="228">
        <v>1.03</v>
      </c>
      <c r="DM16" s="228">
        <v>25.92</v>
      </c>
      <c r="DN16" s="228">
        <v>21.84</v>
      </c>
      <c r="DO16" s="228">
        <v>4.08</v>
      </c>
      <c r="DP16" s="228">
        <v>4.08</v>
      </c>
      <c r="DQ16" s="228">
        <v>0.71</v>
      </c>
      <c r="DR16" s="228">
        <v>0.67</v>
      </c>
      <c r="DS16" s="228">
        <v>0.04</v>
      </c>
      <c r="DT16" s="229">
        <v>5.9700000000000003E-2</v>
      </c>
      <c r="DU16" s="231">
        <v>2800</v>
      </c>
      <c r="DV16" s="231">
        <v>2600</v>
      </c>
      <c r="DW16" s="228">
        <v>0.8</v>
      </c>
      <c r="DX16" s="228">
        <v>0.83</v>
      </c>
      <c r="DY16" s="228">
        <v>-0.03</v>
      </c>
      <c r="DZ16" s="229">
        <v>-3.61E-2</v>
      </c>
      <c r="EA16" s="229">
        <v>0.63680000000000003</v>
      </c>
      <c r="EB16" s="230">
        <v>3789500</v>
      </c>
      <c r="EC16" s="229">
        <v>2.5999999999999999E-3</v>
      </c>
      <c r="ED16" s="229">
        <v>0.63680000000000003</v>
      </c>
      <c r="EE16" s="228">
        <v>8</v>
      </c>
      <c r="EF16" s="229">
        <v>3.0000000000000001E-3</v>
      </c>
      <c r="EG16" s="230">
        <v>779808</v>
      </c>
      <c r="EH16" s="230">
        <v>546765</v>
      </c>
      <c r="EI16" s="229">
        <v>0.42620000000000002</v>
      </c>
      <c r="EJ16" s="229">
        <v>0.57240000000000002</v>
      </c>
      <c r="EK16" s="231">
        <v>2559.87</v>
      </c>
      <c r="EL16" s="231">
        <v>1970.99</v>
      </c>
      <c r="EM16" s="231">
        <v>3073.9</v>
      </c>
      <c r="EN16" s="228">
        <v>138.44999999999999</v>
      </c>
      <c r="EO16" s="231">
        <v>7604.76</v>
      </c>
      <c r="EP16" s="231">
        <v>6055.61</v>
      </c>
      <c r="EQ16" s="231">
        <v>1549.15</v>
      </c>
      <c r="ER16" s="229">
        <v>0.25580000000000003</v>
      </c>
      <c r="ES16" s="231">
        <v>1435.95</v>
      </c>
      <c r="ET16" s="228">
        <v>949.36</v>
      </c>
      <c r="EU16" s="231">
        <v>3549.58</v>
      </c>
      <c r="EV16" s="231">
        <v>49389162</v>
      </c>
      <c r="EW16" s="231">
        <v>5934.9</v>
      </c>
      <c r="EX16" s="231">
        <v>5857.81</v>
      </c>
      <c r="EY16" s="228">
        <v>77.09</v>
      </c>
      <c r="EZ16" s="229">
        <v>1.32E-2</v>
      </c>
      <c r="FA16" s="229">
        <v>0.43769999999999998</v>
      </c>
      <c r="FB16" s="227" t="s">
        <v>555</v>
      </c>
      <c r="FC16">
        <f t="shared" si="0"/>
        <v>2257</v>
      </c>
    </row>
    <row r="17" spans="1:159" ht="17.25" thickBot="1" x14ac:dyDescent="0.3">
      <c r="A17" s="226">
        <v>46044</v>
      </c>
      <c r="B17" s="227" t="s">
        <v>184</v>
      </c>
      <c r="C17" s="227" t="s">
        <v>503</v>
      </c>
      <c r="D17" s="228">
        <v>425</v>
      </c>
      <c r="E17" s="228">
        <v>5</v>
      </c>
      <c r="F17" s="231">
        <v>1408.3</v>
      </c>
      <c r="G17" s="231">
        <v>1344.2</v>
      </c>
      <c r="H17" s="228">
        <v>64.099999999999994</v>
      </c>
      <c r="I17" s="229">
        <v>4.7699999999999999E-2</v>
      </c>
      <c r="J17" s="231">
        <v>1413.2</v>
      </c>
      <c r="K17" s="231">
        <v>1347.8</v>
      </c>
      <c r="L17" s="228">
        <v>65.400000000000006</v>
      </c>
      <c r="M17" s="229">
        <v>4.8500000000000001E-2</v>
      </c>
      <c r="N17" s="231">
        <v>1408.3</v>
      </c>
      <c r="O17" s="231">
        <v>1344.2</v>
      </c>
      <c r="P17" s="228">
        <v>64.099999999999994</v>
      </c>
      <c r="Q17" s="229">
        <v>4.7699999999999999E-2</v>
      </c>
      <c r="R17" s="231">
        <v>1396.3</v>
      </c>
      <c r="S17" s="231">
        <v>1340.5</v>
      </c>
      <c r="T17" s="228">
        <v>55.8</v>
      </c>
      <c r="U17" s="229">
        <v>4.1599999999999998E-2</v>
      </c>
      <c r="V17" s="231">
        <v>1398.1</v>
      </c>
      <c r="W17" s="231">
        <v>1339.8</v>
      </c>
      <c r="X17" s="228">
        <v>58.3</v>
      </c>
      <c r="Y17" s="229">
        <v>4.3499999999999997E-2</v>
      </c>
      <c r="Z17" s="228">
        <v>-4.9000000000000004</v>
      </c>
      <c r="AA17" s="228">
        <v>-3.6</v>
      </c>
      <c r="AB17" s="228">
        <v>-1.3</v>
      </c>
      <c r="AC17" s="229">
        <v>-3.5000000000000001E-3</v>
      </c>
      <c r="AD17" s="228">
        <v>-4.9000000000000004</v>
      </c>
      <c r="AE17" s="228">
        <v>-3.6</v>
      </c>
      <c r="AF17" s="228">
        <v>-1.3</v>
      </c>
      <c r="AG17" s="229">
        <v>-3.5000000000000001E-3</v>
      </c>
      <c r="AH17" s="228">
        <v>-16.899999999999999</v>
      </c>
      <c r="AI17" s="228">
        <v>-7.3</v>
      </c>
      <c r="AJ17" s="228">
        <v>-9.6</v>
      </c>
      <c r="AK17" s="229">
        <v>-1.2E-2</v>
      </c>
      <c r="AL17" s="228">
        <v>-15.1</v>
      </c>
      <c r="AM17" s="228">
        <v>-8</v>
      </c>
      <c r="AN17" s="228">
        <v>-7.1</v>
      </c>
      <c r="AO17" s="229">
        <v>-1.0699999999999999E-2</v>
      </c>
      <c r="AP17" s="231">
        <v>1389.51</v>
      </c>
      <c r="AQ17" s="231">
        <v>1383.26</v>
      </c>
      <c r="AR17" s="228">
        <v>0</v>
      </c>
      <c r="AS17" s="230">
        <v>1305</v>
      </c>
      <c r="AT17" s="230">
        <v>1147</v>
      </c>
      <c r="AU17" s="228">
        <v>158</v>
      </c>
      <c r="AV17" s="229">
        <v>0.1381</v>
      </c>
      <c r="AW17" s="228">
        <v>639</v>
      </c>
      <c r="AX17" s="228">
        <v>608</v>
      </c>
      <c r="AY17" s="228">
        <v>30</v>
      </c>
      <c r="AZ17" s="229">
        <v>4.9500000000000002E-2</v>
      </c>
      <c r="BA17" s="228">
        <v>661</v>
      </c>
      <c r="BB17" s="228">
        <v>533</v>
      </c>
      <c r="BC17" s="228">
        <v>128</v>
      </c>
      <c r="BD17" s="229">
        <v>0.2407</v>
      </c>
      <c r="BE17" s="228">
        <v>5</v>
      </c>
      <c r="BF17" s="228">
        <v>5</v>
      </c>
      <c r="BG17" s="228">
        <v>0</v>
      </c>
      <c r="BH17" s="229">
        <v>-1.18E-2</v>
      </c>
      <c r="BI17" s="230">
        <v>1255</v>
      </c>
      <c r="BJ17" s="228">
        <v>964</v>
      </c>
      <c r="BK17" s="228">
        <v>291</v>
      </c>
      <c r="BL17" s="229">
        <v>0.30149999999999999</v>
      </c>
      <c r="BM17" s="228">
        <v>658</v>
      </c>
      <c r="BN17" s="230">
        <v>1241</v>
      </c>
      <c r="BO17" s="228">
        <v>-583</v>
      </c>
      <c r="BP17" s="229">
        <v>-0.46970000000000001</v>
      </c>
      <c r="BQ17" s="230">
        <v>3218</v>
      </c>
      <c r="BR17" s="230">
        <v>3352</v>
      </c>
      <c r="BS17" s="228">
        <v>-134</v>
      </c>
      <c r="BT17" s="229">
        <v>-0.04</v>
      </c>
      <c r="BU17" s="230">
        <v>647570</v>
      </c>
      <c r="BV17" s="230">
        <v>661687</v>
      </c>
      <c r="BW17" s="230">
        <v>-14117</v>
      </c>
      <c r="BX17" s="229">
        <v>-2.1299999999999999E-2</v>
      </c>
      <c r="BY17" s="230">
        <v>1084</v>
      </c>
      <c r="BZ17" s="230">
        <v>1171</v>
      </c>
      <c r="CA17" s="228">
        <v>-87</v>
      </c>
      <c r="CB17" s="229">
        <v>-7.4099999999999999E-2</v>
      </c>
      <c r="CC17" s="228">
        <v>309</v>
      </c>
      <c r="CD17" s="228">
        <v>672</v>
      </c>
      <c r="CE17" s="228">
        <v>-363</v>
      </c>
      <c r="CF17" s="229">
        <v>-0.54010000000000002</v>
      </c>
      <c r="CG17" s="228">
        <v>766</v>
      </c>
      <c r="CH17" s="228">
        <v>490</v>
      </c>
      <c r="CI17" s="228">
        <v>276</v>
      </c>
      <c r="CJ17" s="229">
        <v>0.56379999999999997</v>
      </c>
      <c r="CK17" s="228">
        <v>9</v>
      </c>
      <c r="CL17" s="228">
        <v>9</v>
      </c>
      <c r="CM17" s="228">
        <v>0</v>
      </c>
      <c r="CN17" s="229">
        <v>1.29E-2</v>
      </c>
      <c r="CO17" s="228">
        <v>490</v>
      </c>
      <c r="CP17" s="228">
        <v>454</v>
      </c>
      <c r="CQ17" s="228">
        <v>36</v>
      </c>
      <c r="CR17" s="229">
        <v>7.8399999999999997E-2</v>
      </c>
      <c r="CS17" s="228">
        <v>325</v>
      </c>
      <c r="CT17" s="228">
        <v>351</v>
      </c>
      <c r="CU17" s="228">
        <v>-26</v>
      </c>
      <c r="CV17" s="229">
        <v>-7.3400000000000007E-2</v>
      </c>
      <c r="CW17" s="230">
        <v>1899</v>
      </c>
      <c r="CX17" s="230">
        <v>1976</v>
      </c>
      <c r="CY17" s="228">
        <v>-77</v>
      </c>
      <c r="CZ17" s="229">
        <v>-3.8899999999999997E-2</v>
      </c>
      <c r="DA17" s="228">
        <v>31.29</v>
      </c>
      <c r="DB17" s="228">
        <v>31.84</v>
      </c>
      <c r="DC17" s="228">
        <v>-0.55000000000000004</v>
      </c>
      <c r="DD17" s="228">
        <v>-0.55000000000000004</v>
      </c>
      <c r="DE17" s="228">
        <v>34.229999999999997</v>
      </c>
      <c r="DF17" s="228">
        <v>33.729999999999997</v>
      </c>
      <c r="DG17" s="228">
        <v>-2.94</v>
      </c>
      <c r="DH17" s="228">
        <v>0.5</v>
      </c>
      <c r="DI17" s="228">
        <v>30.65</v>
      </c>
      <c r="DJ17" s="228">
        <v>33.04</v>
      </c>
      <c r="DK17" s="228">
        <v>-2.39</v>
      </c>
      <c r="DL17" s="228">
        <v>-2.39</v>
      </c>
      <c r="DM17" s="228">
        <v>32.19</v>
      </c>
      <c r="DN17" s="228">
        <v>30.91</v>
      </c>
      <c r="DO17" s="228">
        <v>1.28</v>
      </c>
      <c r="DP17" s="228">
        <v>1.28</v>
      </c>
      <c r="DQ17" s="228">
        <v>0.66</v>
      </c>
      <c r="DR17" s="228">
        <v>0.77</v>
      </c>
      <c r="DS17" s="228">
        <v>-0.11</v>
      </c>
      <c r="DT17" s="229">
        <v>-0.1429</v>
      </c>
      <c r="DU17" s="231">
        <v>1400</v>
      </c>
      <c r="DV17" s="231">
        <v>1300</v>
      </c>
      <c r="DW17" s="228">
        <v>0.52</v>
      </c>
      <c r="DX17" s="228">
        <v>1.29</v>
      </c>
      <c r="DY17" s="228">
        <v>-0.77</v>
      </c>
      <c r="DZ17" s="229">
        <v>-0.59689999999999999</v>
      </c>
      <c r="EA17" s="229">
        <v>0.71489999999999998</v>
      </c>
      <c r="EB17" s="230">
        <v>3542375</v>
      </c>
      <c r="EC17" s="229">
        <v>-8.5000000000000006E-3</v>
      </c>
      <c r="ED17" s="229">
        <v>0.71489999999999998</v>
      </c>
      <c r="EE17" s="228">
        <v>-6.25</v>
      </c>
      <c r="EF17" s="229">
        <v>-4.4999999999999997E-3</v>
      </c>
      <c r="EG17" s="230">
        <v>310183</v>
      </c>
      <c r="EH17" s="230">
        <v>250330</v>
      </c>
      <c r="EI17" s="229">
        <v>0.23910000000000001</v>
      </c>
      <c r="EJ17" s="229">
        <v>0.47899999999999998</v>
      </c>
      <c r="EK17" s="231">
        <v>1290.6199999999999</v>
      </c>
      <c r="EL17" s="228">
        <v>638.58000000000004</v>
      </c>
      <c r="EM17" s="231">
        <v>1284.55</v>
      </c>
      <c r="EN17" s="228">
        <v>86.81</v>
      </c>
      <c r="EO17" s="231">
        <v>3213.74</v>
      </c>
      <c r="EP17" s="231">
        <v>3276.52</v>
      </c>
      <c r="EQ17" s="228">
        <v>-62.78</v>
      </c>
      <c r="ER17" s="229">
        <v>-1.9199999999999998E-2</v>
      </c>
      <c r="ES17" s="228">
        <v>514.30999999999995</v>
      </c>
      <c r="ET17" s="228">
        <v>316.44</v>
      </c>
      <c r="EU17" s="231">
        <v>1077.46</v>
      </c>
      <c r="EV17" s="231">
        <v>18450534</v>
      </c>
      <c r="EW17" s="231">
        <v>1908.21</v>
      </c>
      <c r="EX17" s="231">
        <v>1932.51</v>
      </c>
      <c r="EY17" s="228">
        <v>-24.3</v>
      </c>
      <c r="EZ17" s="229">
        <v>-1.26E-2</v>
      </c>
      <c r="FA17" s="229">
        <v>0.73070000000000002</v>
      </c>
      <c r="FB17" s="227" t="s">
        <v>556</v>
      </c>
      <c r="FC17">
        <f t="shared" si="0"/>
        <v>775</v>
      </c>
    </row>
    <row r="18" spans="1:159" ht="17.25" thickBot="1" x14ac:dyDescent="0.3">
      <c r="A18" s="226">
        <v>46044</v>
      </c>
      <c r="B18" s="227" t="s">
        <v>172</v>
      </c>
      <c r="C18" s="227" t="s">
        <v>495</v>
      </c>
      <c r="D18" s="228">
        <v>1000</v>
      </c>
      <c r="E18" s="228">
        <v>5</v>
      </c>
      <c r="F18" s="231">
        <v>1002.7</v>
      </c>
      <c r="G18" s="228">
        <v>995.45</v>
      </c>
      <c r="H18" s="228">
        <v>7.25</v>
      </c>
      <c r="I18" s="229">
        <v>7.3000000000000001E-3</v>
      </c>
      <c r="J18" s="231">
        <v>1000.55</v>
      </c>
      <c r="K18" s="228">
        <v>994.9</v>
      </c>
      <c r="L18" s="228">
        <v>5.65</v>
      </c>
      <c r="M18" s="229">
        <v>5.7000000000000002E-3</v>
      </c>
      <c r="N18" s="231">
        <v>1002.7</v>
      </c>
      <c r="O18" s="228">
        <v>995.45</v>
      </c>
      <c r="P18" s="228">
        <v>7.25</v>
      </c>
      <c r="Q18" s="229">
        <v>7.3000000000000001E-3</v>
      </c>
      <c r="R18" s="231">
        <v>1007.85</v>
      </c>
      <c r="S18" s="231">
        <v>1000.55</v>
      </c>
      <c r="T18" s="228">
        <v>7.3</v>
      </c>
      <c r="U18" s="229">
        <v>7.3000000000000001E-3</v>
      </c>
      <c r="V18" s="231">
        <v>1011.55</v>
      </c>
      <c r="W18" s="231">
        <v>1005.3</v>
      </c>
      <c r="X18" s="228">
        <v>6.25</v>
      </c>
      <c r="Y18" s="229">
        <v>6.1999999999999998E-3</v>
      </c>
      <c r="Z18" s="228">
        <v>2.15</v>
      </c>
      <c r="AA18" s="228">
        <v>0.55000000000000004</v>
      </c>
      <c r="AB18" s="228">
        <v>1.6</v>
      </c>
      <c r="AC18" s="229">
        <v>2.0999999999999999E-3</v>
      </c>
      <c r="AD18" s="228">
        <v>2.15</v>
      </c>
      <c r="AE18" s="228">
        <v>0.55000000000000004</v>
      </c>
      <c r="AF18" s="228">
        <v>1.6</v>
      </c>
      <c r="AG18" s="229">
        <v>2.0999999999999999E-3</v>
      </c>
      <c r="AH18" s="228">
        <v>7.3</v>
      </c>
      <c r="AI18" s="228">
        <v>5.65</v>
      </c>
      <c r="AJ18" s="228">
        <v>1.65</v>
      </c>
      <c r="AK18" s="229">
        <v>7.3000000000000001E-3</v>
      </c>
      <c r="AL18" s="228">
        <v>11</v>
      </c>
      <c r="AM18" s="228">
        <v>10.4</v>
      </c>
      <c r="AN18" s="228">
        <v>0.6</v>
      </c>
      <c r="AO18" s="229">
        <v>1.0999999999999999E-2</v>
      </c>
      <c r="AP18" s="228">
        <v>998.36</v>
      </c>
      <c r="AQ18" s="231">
        <v>1003.28</v>
      </c>
      <c r="AR18" s="228">
        <v>0</v>
      </c>
      <c r="AS18" s="230">
        <v>2703</v>
      </c>
      <c r="AT18" s="230">
        <v>2902</v>
      </c>
      <c r="AU18" s="228">
        <v>-199</v>
      </c>
      <c r="AV18" s="229">
        <v>-6.8699999999999997E-2</v>
      </c>
      <c r="AW18" s="230">
        <v>1350</v>
      </c>
      <c r="AX18" s="230">
        <v>1703</v>
      </c>
      <c r="AY18" s="228">
        <v>-353</v>
      </c>
      <c r="AZ18" s="229">
        <v>-0.20730000000000001</v>
      </c>
      <c r="BA18" s="230">
        <v>1321</v>
      </c>
      <c r="BB18" s="230">
        <v>1182</v>
      </c>
      <c r="BC18" s="228">
        <v>139</v>
      </c>
      <c r="BD18" s="229">
        <v>0.1178</v>
      </c>
      <c r="BE18" s="228">
        <v>31</v>
      </c>
      <c r="BF18" s="228">
        <v>17</v>
      </c>
      <c r="BG18" s="228">
        <v>14</v>
      </c>
      <c r="BH18" s="229">
        <v>0.8256</v>
      </c>
      <c r="BI18" s="230">
        <v>3116</v>
      </c>
      <c r="BJ18" s="230">
        <v>8933</v>
      </c>
      <c r="BK18" s="230">
        <v>-5817</v>
      </c>
      <c r="BL18" s="229">
        <v>-0.6512</v>
      </c>
      <c r="BM18" s="230">
        <v>2074</v>
      </c>
      <c r="BN18" s="230">
        <v>6896</v>
      </c>
      <c r="BO18" s="230">
        <v>-4822</v>
      </c>
      <c r="BP18" s="229">
        <v>-0.69920000000000004</v>
      </c>
      <c r="BQ18" s="230">
        <v>7893</v>
      </c>
      <c r="BR18" s="230">
        <v>18731</v>
      </c>
      <c r="BS18" s="230">
        <v>-10838</v>
      </c>
      <c r="BT18" s="229">
        <v>-0.5786</v>
      </c>
      <c r="BU18" s="230">
        <v>1710186</v>
      </c>
      <c r="BV18" s="230">
        <v>5639225</v>
      </c>
      <c r="BW18" s="230">
        <v>-3929039</v>
      </c>
      <c r="BX18" s="229">
        <v>-0.69669999999999999</v>
      </c>
      <c r="BY18" s="230">
        <v>2638</v>
      </c>
      <c r="BZ18" s="230">
        <v>2664</v>
      </c>
      <c r="CA18" s="228">
        <v>-26</v>
      </c>
      <c r="CB18" s="229">
        <v>-9.7999999999999997E-3</v>
      </c>
      <c r="CC18" s="228">
        <v>806</v>
      </c>
      <c r="CD18" s="230">
        <v>1806</v>
      </c>
      <c r="CE18" s="230">
        <v>-1000</v>
      </c>
      <c r="CF18" s="229">
        <v>-0.55369999999999997</v>
      </c>
      <c r="CG18" s="230">
        <v>1815</v>
      </c>
      <c r="CH18" s="228">
        <v>843</v>
      </c>
      <c r="CI18" s="228">
        <v>972</v>
      </c>
      <c r="CJ18" s="229">
        <v>1.1523000000000001</v>
      </c>
      <c r="CK18" s="228">
        <v>16</v>
      </c>
      <c r="CL18" s="228">
        <v>14</v>
      </c>
      <c r="CM18" s="228">
        <v>2</v>
      </c>
      <c r="CN18" s="229">
        <v>0.125</v>
      </c>
      <c r="CO18" s="228">
        <v>991</v>
      </c>
      <c r="CP18" s="230">
        <v>1113</v>
      </c>
      <c r="CQ18" s="228">
        <v>-121</v>
      </c>
      <c r="CR18" s="229">
        <v>-0.1091</v>
      </c>
      <c r="CS18" s="228">
        <v>721</v>
      </c>
      <c r="CT18" s="228">
        <v>819</v>
      </c>
      <c r="CU18" s="228">
        <v>-98</v>
      </c>
      <c r="CV18" s="229">
        <v>-0.1198</v>
      </c>
      <c r="CW18" s="230">
        <v>4350</v>
      </c>
      <c r="CX18" s="230">
        <v>4595</v>
      </c>
      <c r="CY18" s="228">
        <v>-246</v>
      </c>
      <c r="CZ18" s="229">
        <v>-5.3400000000000003E-2</v>
      </c>
      <c r="DA18" s="228">
        <v>27.45</v>
      </c>
      <c r="DB18" s="228">
        <v>29.46</v>
      </c>
      <c r="DC18" s="228">
        <v>-2.0099999999999998</v>
      </c>
      <c r="DD18" s="228">
        <v>-2.0099999999999998</v>
      </c>
      <c r="DE18" s="228">
        <v>34.94</v>
      </c>
      <c r="DF18" s="228">
        <v>35.020000000000003</v>
      </c>
      <c r="DG18" s="228">
        <v>-7.49</v>
      </c>
      <c r="DH18" s="228">
        <v>-0.08</v>
      </c>
      <c r="DI18" s="228">
        <v>27.14</v>
      </c>
      <c r="DJ18" s="228">
        <v>30.2</v>
      </c>
      <c r="DK18" s="228">
        <v>-3.06</v>
      </c>
      <c r="DL18" s="228">
        <v>-3.06</v>
      </c>
      <c r="DM18" s="228">
        <v>27.87</v>
      </c>
      <c r="DN18" s="228">
        <v>28.5</v>
      </c>
      <c r="DO18" s="228">
        <v>-0.63</v>
      </c>
      <c r="DP18" s="228">
        <v>-0.63</v>
      </c>
      <c r="DQ18" s="228">
        <v>0.73</v>
      </c>
      <c r="DR18" s="228">
        <v>0.74</v>
      </c>
      <c r="DS18" s="228">
        <v>-0.01</v>
      </c>
      <c r="DT18" s="229">
        <v>-1.35E-2</v>
      </c>
      <c r="DU18" s="231">
        <v>1000</v>
      </c>
      <c r="DV18" s="231">
        <v>1000</v>
      </c>
      <c r="DW18" s="228">
        <v>0.67</v>
      </c>
      <c r="DX18" s="228">
        <v>0.77</v>
      </c>
      <c r="DY18" s="228">
        <v>-0.1</v>
      </c>
      <c r="DZ18" s="229">
        <v>-0.12989999999999999</v>
      </c>
      <c r="EA18" s="229">
        <v>0.69440000000000002</v>
      </c>
      <c r="EB18" s="230">
        <v>8556000</v>
      </c>
      <c r="EC18" s="229">
        <v>5.1000000000000004E-3</v>
      </c>
      <c r="ED18" s="229">
        <v>0.69440000000000002</v>
      </c>
      <c r="EE18" s="228">
        <v>4.92</v>
      </c>
      <c r="EF18" s="229">
        <v>4.8999999999999998E-3</v>
      </c>
      <c r="EG18" s="230">
        <v>625615</v>
      </c>
      <c r="EH18" s="230">
        <v>1555547</v>
      </c>
      <c r="EI18" s="229">
        <v>-0.5978</v>
      </c>
      <c r="EJ18" s="229">
        <v>0.36580000000000001</v>
      </c>
      <c r="EK18" s="231">
        <v>3208.6</v>
      </c>
      <c r="EL18" s="231">
        <v>2040.01</v>
      </c>
      <c r="EM18" s="231">
        <v>2697.46</v>
      </c>
      <c r="EN18" s="228">
        <v>149.01</v>
      </c>
      <c r="EO18" s="231">
        <v>7946.07</v>
      </c>
      <c r="EP18" s="231">
        <v>18952.07</v>
      </c>
      <c r="EQ18" s="231">
        <v>-11006</v>
      </c>
      <c r="ER18" s="229">
        <v>-0.58069999999999999</v>
      </c>
      <c r="ES18" s="231">
        <v>1027.27</v>
      </c>
      <c r="ET18" s="228">
        <v>693.17</v>
      </c>
      <c r="EU18" s="231">
        <v>2647.07</v>
      </c>
      <c r="EV18" s="231">
        <v>86371921</v>
      </c>
      <c r="EW18" s="231">
        <v>4367.51</v>
      </c>
      <c r="EX18" s="231">
        <v>4588.32</v>
      </c>
      <c r="EY18" s="228">
        <v>-220.81</v>
      </c>
      <c r="EZ18" s="229">
        <v>-4.8099999999999997E-2</v>
      </c>
      <c r="FA18" s="229">
        <v>0.50219999999999998</v>
      </c>
      <c r="FB18" s="227" t="s">
        <v>556</v>
      </c>
      <c r="FC18">
        <f t="shared" si="0"/>
        <v>1832</v>
      </c>
    </row>
    <row r="19" spans="1:159" ht="17.25" thickBot="1" x14ac:dyDescent="0.3">
      <c r="A19" s="226">
        <v>46044</v>
      </c>
      <c r="B19" s="227" t="s">
        <v>170</v>
      </c>
      <c r="C19" s="227" t="s">
        <v>171</v>
      </c>
      <c r="D19" s="228">
        <v>550</v>
      </c>
      <c r="E19" s="228">
        <v>5</v>
      </c>
      <c r="F19" s="231">
        <v>1144.0999999999999</v>
      </c>
      <c r="G19" s="231">
        <v>1120.5</v>
      </c>
      <c r="H19" s="228">
        <v>23.6</v>
      </c>
      <c r="I19" s="229">
        <v>2.1100000000000001E-2</v>
      </c>
      <c r="J19" s="231">
        <v>1145.3</v>
      </c>
      <c r="K19" s="231">
        <v>1121.7</v>
      </c>
      <c r="L19" s="228">
        <v>23.6</v>
      </c>
      <c r="M19" s="229">
        <v>2.1000000000000001E-2</v>
      </c>
      <c r="N19" s="231">
        <v>1144.0999999999999</v>
      </c>
      <c r="O19" s="231">
        <v>1120.5</v>
      </c>
      <c r="P19" s="228">
        <v>23.6</v>
      </c>
      <c r="Q19" s="229">
        <v>2.1100000000000001E-2</v>
      </c>
      <c r="R19" s="231">
        <v>1149.8</v>
      </c>
      <c r="S19" s="231">
        <v>1126.5</v>
      </c>
      <c r="T19" s="228">
        <v>23.3</v>
      </c>
      <c r="U19" s="229">
        <v>2.07E-2</v>
      </c>
      <c r="V19" s="231">
        <v>1158.7</v>
      </c>
      <c r="W19" s="231">
        <v>1132</v>
      </c>
      <c r="X19" s="228">
        <v>26.7</v>
      </c>
      <c r="Y19" s="229">
        <v>2.3599999999999999E-2</v>
      </c>
      <c r="Z19" s="228">
        <v>-1.2</v>
      </c>
      <c r="AA19" s="228">
        <v>-1.2</v>
      </c>
      <c r="AB19" s="228">
        <v>0</v>
      </c>
      <c r="AC19" s="229">
        <v>-1E-3</v>
      </c>
      <c r="AD19" s="228">
        <v>-1.2</v>
      </c>
      <c r="AE19" s="228">
        <v>-1.2</v>
      </c>
      <c r="AF19" s="228">
        <v>0</v>
      </c>
      <c r="AG19" s="229">
        <v>-1E-3</v>
      </c>
      <c r="AH19" s="228">
        <v>4.5</v>
      </c>
      <c r="AI19" s="228">
        <v>4.8</v>
      </c>
      <c r="AJ19" s="228">
        <v>-0.3</v>
      </c>
      <c r="AK19" s="229">
        <v>3.8999999999999998E-3</v>
      </c>
      <c r="AL19" s="228">
        <v>13.4</v>
      </c>
      <c r="AM19" s="228">
        <v>10.3</v>
      </c>
      <c r="AN19" s="228">
        <v>3.1</v>
      </c>
      <c r="AO19" s="229">
        <v>1.17E-2</v>
      </c>
      <c r="AP19" s="231">
        <v>1138.56</v>
      </c>
      <c r="AQ19" s="231">
        <v>1144.17</v>
      </c>
      <c r="AR19" s="228">
        <v>0</v>
      </c>
      <c r="AS19" s="230">
        <v>1309</v>
      </c>
      <c r="AT19" s="230">
        <v>1989</v>
      </c>
      <c r="AU19" s="228">
        <v>-680</v>
      </c>
      <c r="AV19" s="229">
        <v>-0.34200000000000003</v>
      </c>
      <c r="AW19" s="228">
        <v>668</v>
      </c>
      <c r="AX19" s="230">
        <v>1089</v>
      </c>
      <c r="AY19" s="228">
        <v>-422</v>
      </c>
      <c r="AZ19" s="229">
        <v>-0.3871</v>
      </c>
      <c r="BA19" s="228">
        <v>640</v>
      </c>
      <c r="BB19" s="228">
        <v>899</v>
      </c>
      <c r="BC19" s="228">
        <v>-258</v>
      </c>
      <c r="BD19" s="229">
        <v>-0.28760000000000002</v>
      </c>
      <c r="BE19" s="228">
        <v>1</v>
      </c>
      <c r="BF19" s="228">
        <v>1</v>
      </c>
      <c r="BG19" s="228">
        <v>0</v>
      </c>
      <c r="BH19" s="229">
        <v>0</v>
      </c>
      <c r="BI19" s="228">
        <v>499</v>
      </c>
      <c r="BJ19" s="228">
        <v>937</v>
      </c>
      <c r="BK19" s="228">
        <v>-438</v>
      </c>
      <c r="BL19" s="229">
        <v>-0.4672</v>
      </c>
      <c r="BM19" s="228">
        <v>256</v>
      </c>
      <c r="BN19" s="228">
        <v>652</v>
      </c>
      <c r="BO19" s="228">
        <v>-396</v>
      </c>
      <c r="BP19" s="229">
        <v>-0.60729999999999995</v>
      </c>
      <c r="BQ19" s="230">
        <v>2064</v>
      </c>
      <c r="BR19" s="230">
        <v>3578</v>
      </c>
      <c r="BS19" s="230">
        <v>-1514</v>
      </c>
      <c r="BT19" s="229">
        <v>-0.42309999999999998</v>
      </c>
      <c r="BU19" s="230">
        <v>627516</v>
      </c>
      <c r="BV19" s="230">
        <v>821408</v>
      </c>
      <c r="BW19" s="230">
        <v>-193892</v>
      </c>
      <c r="BX19" s="229">
        <v>-0.23599999999999999</v>
      </c>
      <c r="BY19" s="230">
        <v>2587</v>
      </c>
      <c r="BZ19" s="230">
        <v>2554</v>
      </c>
      <c r="CA19" s="228">
        <v>33</v>
      </c>
      <c r="CB19" s="229">
        <v>1.2999999999999999E-2</v>
      </c>
      <c r="CC19" s="228">
        <v>872</v>
      </c>
      <c r="CD19" s="230">
        <v>1372</v>
      </c>
      <c r="CE19" s="228">
        <v>-499</v>
      </c>
      <c r="CF19" s="229">
        <v>-0.36399999999999999</v>
      </c>
      <c r="CG19" s="230">
        <v>1710</v>
      </c>
      <c r="CH19" s="230">
        <v>1179</v>
      </c>
      <c r="CI19" s="228">
        <v>532</v>
      </c>
      <c r="CJ19" s="229">
        <v>0.45100000000000001</v>
      </c>
      <c r="CK19" s="228">
        <v>4</v>
      </c>
      <c r="CL19" s="228">
        <v>4</v>
      </c>
      <c r="CM19" s="228">
        <v>1</v>
      </c>
      <c r="CN19" s="229">
        <v>0.2281</v>
      </c>
      <c r="CO19" s="228">
        <v>703</v>
      </c>
      <c r="CP19" s="228">
        <v>745</v>
      </c>
      <c r="CQ19" s="228">
        <v>-42</v>
      </c>
      <c r="CR19" s="229">
        <v>-5.7000000000000002E-2</v>
      </c>
      <c r="CS19" s="228">
        <v>358</v>
      </c>
      <c r="CT19" s="228">
        <v>384</v>
      </c>
      <c r="CU19" s="228">
        <v>-26</v>
      </c>
      <c r="CV19" s="229">
        <v>-6.6600000000000006E-2</v>
      </c>
      <c r="CW19" s="230">
        <v>3648</v>
      </c>
      <c r="CX19" s="230">
        <v>3683</v>
      </c>
      <c r="CY19" s="228">
        <v>-35</v>
      </c>
      <c r="CZ19" s="229">
        <v>-9.4000000000000004E-3</v>
      </c>
      <c r="DA19" s="228">
        <v>29.82</v>
      </c>
      <c r="DB19" s="228">
        <v>29.74</v>
      </c>
      <c r="DC19" s="228">
        <v>0.08</v>
      </c>
      <c r="DD19" s="228">
        <v>0.08</v>
      </c>
      <c r="DE19" s="228">
        <v>32.33</v>
      </c>
      <c r="DF19" s="228">
        <v>32.29</v>
      </c>
      <c r="DG19" s="228">
        <v>-2.5099999999999998</v>
      </c>
      <c r="DH19" s="228">
        <v>0.04</v>
      </c>
      <c r="DI19" s="228">
        <v>29.95</v>
      </c>
      <c r="DJ19" s="228">
        <v>32.770000000000003</v>
      </c>
      <c r="DK19" s="228">
        <v>-2.82</v>
      </c>
      <c r="DL19" s="228">
        <v>-2.82</v>
      </c>
      <c r="DM19" s="228">
        <v>29.45</v>
      </c>
      <c r="DN19" s="228">
        <v>25.39</v>
      </c>
      <c r="DO19" s="228">
        <v>4.0599999999999996</v>
      </c>
      <c r="DP19" s="228">
        <v>4.0599999999999996</v>
      </c>
      <c r="DQ19" s="228">
        <v>0.51</v>
      </c>
      <c r="DR19" s="228">
        <v>0.51</v>
      </c>
      <c r="DS19" s="228">
        <v>0</v>
      </c>
      <c r="DT19" s="229">
        <v>0</v>
      </c>
      <c r="DU19" s="231">
        <v>1260</v>
      </c>
      <c r="DV19" s="231">
        <v>1100</v>
      </c>
      <c r="DW19" s="228">
        <v>0.51</v>
      </c>
      <c r="DX19" s="228">
        <v>0.7</v>
      </c>
      <c r="DY19" s="228">
        <v>-0.19</v>
      </c>
      <c r="DZ19" s="229">
        <v>-0.27139999999999997</v>
      </c>
      <c r="EA19" s="229">
        <v>0.66279999999999994</v>
      </c>
      <c r="EB19" s="230">
        <v>10334500</v>
      </c>
      <c r="EC19" s="229">
        <v>5.0000000000000001E-3</v>
      </c>
      <c r="ED19" s="229">
        <v>0.66279999999999994</v>
      </c>
      <c r="EE19" s="228">
        <v>5.61</v>
      </c>
      <c r="EF19" s="229">
        <v>4.8999999999999998E-3</v>
      </c>
      <c r="EG19" s="230">
        <v>253041</v>
      </c>
      <c r="EH19" s="230">
        <v>283437</v>
      </c>
      <c r="EI19" s="229">
        <v>-0.1072</v>
      </c>
      <c r="EJ19" s="229">
        <v>0.4032</v>
      </c>
      <c r="EK19" s="228">
        <v>522.85</v>
      </c>
      <c r="EL19" s="228">
        <v>258.68</v>
      </c>
      <c r="EM19" s="231">
        <v>1305.8499999999999</v>
      </c>
      <c r="EN19" s="228">
        <v>122.76</v>
      </c>
      <c r="EO19" s="231">
        <v>2087.37</v>
      </c>
      <c r="EP19" s="231">
        <v>3597.53</v>
      </c>
      <c r="EQ19" s="231">
        <v>-1510.16</v>
      </c>
      <c r="ER19" s="229">
        <v>-0.41980000000000001</v>
      </c>
      <c r="ES19" s="228">
        <v>760</v>
      </c>
      <c r="ET19" s="228">
        <v>363.79</v>
      </c>
      <c r="EU19" s="231">
        <v>2595.8200000000002</v>
      </c>
      <c r="EV19" s="231">
        <v>41977935</v>
      </c>
      <c r="EW19" s="231">
        <v>3719.61</v>
      </c>
      <c r="EX19" s="231">
        <v>3701.43</v>
      </c>
      <c r="EY19" s="228">
        <v>18.18</v>
      </c>
      <c r="EZ19" s="229">
        <v>4.8999999999999998E-3</v>
      </c>
      <c r="FA19" s="229">
        <v>0.75960000000000005</v>
      </c>
      <c r="FB19" s="227" t="s">
        <v>555</v>
      </c>
      <c r="FC19">
        <f t="shared" si="0"/>
        <v>1715</v>
      </c>
    </row>
    <row r="20" spans="1:159" ht="17.25" thickBot="1" x14ac:dyDescent="0.3">
      <c r="A20" s="226">
        <v>46044</v>
      </c>
      <c r="B20" s="227" t="s">
        <v>172</v>
      </c>
      <c r="C20" s="227" t="s">
        <v>173</v>
      </c>
      <c r="D20" s="228">
        <v>625</v>
      </c>
      <c r="E20" s="228">
        <v>5</v>
      </c>
      <c r="F20" s="231">
        <v>1297</v>
      </c>
      <c r="G20" s="231">
        <v>1283.5</v>
      </c>
      <c r="H20" s="228">
        <v>13.5</v>
      </c>
      <c r="I20" s="229">
        <v>1.0500000000000001E-2</v>
      </c>
      <c r="J20" s="231">
        <v>1294.8</v>
      </c>
      <c r="K20" s="231">
        <v>1284.9000000000001</v>
      </c>
      <c r="L20" s="228">
        <v>9.9</v>
      </c>
      <c r="M20" s="229">
        <v>7.7000000000000002E-3</v>
      </c>
      <c r="N20" s="231">
        <v>1297</v>
      </c>
      <c r="O20" s="231">
        <v>1283.5</v>
      </c>
      <c r="P20" s="228">
        <v>13.5</v>
      </c>
      <c r="Q20" s="229">
        <v>1.0500000000000001E-2</v>
      </c>
      <c r="R20" s="231">
        <v>1304.0999999999999</v>
      </c>
      <c r="S20" s="231">
        <v>1290.7</v>
      </c>
      <c r="T20" s="228">
        <v>13.4</v>
      </c>
      <c r="U20" s="229">
        <v>1.04E-2</v>
      </c>
      <c r="V20" s="231">
        <v>1312.6</v>
      </c>
      <c r="W20" s="231">
        <v>1298.0999999999999</v>
      </c>
      <c r="X20" s="228">
        <v>14.5</v>
      </c>
      <c r="Y20" s="229">
        <v>1.12E-2</v>
      </c>
      <c r="Z20" s="228">
        <v>2.2000000000000002</v>
      </c>
      <c r="AA20" s="228">
        <v>-1.4</v>
      </c>
      <c r="AB20" s="228">
        <v>3.6</v>
      </c>
      <c r="AC20" s="229">
        <v>1.6999999999999999E-3</v>
      </c>
      <c r="AD20" s="228">
        <v>2.2000000000000002</v>
      </c>
      <c r="AE20" s="228">
        <v>-1.4</v>
      </c>
      <c r="AF20" s="228">
        <v>3.6</v>
      </c>
      <c r="AG20" s="229">
        <v>1.6999999999999999E-3</v>
      </c>
      <c r="AH20" s="228">
        <v>9.3000000000000007</v>
      </c>
      <c r="AI20" s="228">
        <v>5.8</v>
      </c>
      <c r="AJ20" s="228">
        <v>3.5</v>
      </c>
      <c r="AK20" s="229">
        <v>7.1999999999999998E-3</v>
      </c>
      <c r="AL20" s="228">
        <v>17.8</v>
      </c>
      <c r="AM20" s="228">
        <v>13.2</v>
      </c>
      <c r="AN20" s="228">
        <v>4.5999999999999996</v>
      </c>
      <c r="AO20" s="229">
        <v>1.37E-2</v>
      </c>
      <c r="AP20" s="231">
        <v>1291.77</v>
      </c>
      <c r="AQ20" s="231">
        <v>1298.49</v>
      </c>
      <c r="AR20" s="228">
        <v>0</v>
      </c>
      <c r="AS20" s="230">
        <v>6580</v>
      </c>
      <c r="AT20" s="230">
        <v>6685</v>
      </c>
      <c r="AU20" s="228">
        <v>-105</v>
      </c>
      <c r="AV20" s="229">
        <v>-1.5699999999999999E-2</v>
      </c>
      <c r="AW20" s="230">
        <v>3359</v>
      </c>
      <c r="AX20" s="230">
        <v>3622</v>
      </c>
      <c r="AY20" s="228">
        <v>-263</v>
      </c>
      <c r="AZ20" s="229">
        <v>-7.2700000000000001E-2</v>
      </c>
      <c r="BA20" s="230">
        <v>3204</v>
      </c>
      <c r="BB20" s="230">
        <v>3042</v>
      </c>
      <c r="BC20" s="228">
        <v>162</v>
      </c>
      <c r="BD20" s="229">
        <v>5.3199999999999997E-2</v>
      </c>
      <c r="BE20" s="228">
        <v>17</v>
      </c>
      <c r="BF20" s="228">
        <v>21</v>
      </c>
      <c r="BG20" s="228">
        <v>-4</v>
      </c>
      <c r="BH20" s="229">
        <v>-0.17649999999999999</v>
      </c>
      <c r="BI20" s="230">
        <v>5340</v>
      </c>
      <c r="BJ20" s="230">
        <v>6674</v>
      </c>
      <c r="BK20" s="230">
        <v>-1334</v>
      </c>
      <c r="BL20" s="229">
        <v>-0.19989999999999999</v>
      </c>
      <c r="BM20" s="230">
        <v>3469</v>
      </c>
      <c r="BN20" s="230">
        <v>4596</v>
      </c>
      <c r="BO20" s="230">
        <v>-1127</v>
      </c>
      <c r="BP20" s="229">
        <v>-0.2452</v>
      </c>
      <c r="BQ20" s="230">
        <v>15388</v>
      </c>
      <c r="BR20" s="230">
        <v>17954</v>
      </c>
      <c r="BS20" s="230">
        <v>-2566</v>
      </c>
      <c r="BT20" s="229">
        <v>-0.1429</v>
      </c>
      <c r="BU20" s="230">
        <v>6185098</v>
      </c>
      <c r="BV20" s="230">
        <v>3936042</v>
      </c>
      <c r="BW20" s="230">
        <v>2249056</v>
      </c>
      <c r="BX20" s="229">
        <v>0.57140000000000002</v>
      </c>
      <c r="BY20" s="230">
        <v>10688</v>
      </c>
      <c r="BZ20" s="230">
        <v>10482</v>
      </c>
      <c r="CA20" s="228">
        <v>206</v>
      </c>
      <c r="CB20" s="229">
        <v>1.9599999999999999E-2</v>
      </c>
      <c r="CC20" s="230">
        <v>4150</v>
      </c>
      <c r="CD20" s="230">
        <v>6731</v>
      </c>
      <c r="CE20" s="230">
        <v>-2582</v>
      </c>
      <c r="CF20" s="229">
        <v>-0.38350000000000001</v>
      </c>
      <c r="CG20" s="230">
        <v>6255</v>
      </c>
      <c r="CH20" s="230">
        <v>3477</v>
      </c>
      <c r="CI20" s="230">
        <v>2778</v>
      </c>
      <c r="CJ20" s="229">
        <v>0.79879999999999995</v>
      </c>
      <c r="CK20" s="228">
        <v>284</v>
      </c>
      <c r="CL20" s="228">
        <v>274</v>
      </c>
      <c r="CM20" s="228">
        <v>10</v>
      </c>
      <c r="CN20" s="229">
        <v>3.5499999999999997E-2</v>
      </c>
      <c r="CO20" s="230">
        <v>4701</v>
      </c>
      <c r="CP20" s="230">
        <v>4687</v>
      </c>
      <c r="CQ20" s="228">
        <v>14</v>
      </c>
      <c r="CR20" s="229">
        <v>3.0000000000000001E-3</v>
      </c>
      <c r="CS20" s="230">
        <v>1938</v>
      </c>
      <c r="CT20" s="230">
        <v>1912</v>
      </c>
      <c r="CU20" s="228">
        <v>27</v>
      </c>
      <c r="CV20" s="229">
        <v>1.4E-2</v>
      </c>
      <c r="CW20" s="230">
        <v>17327</v>
      </c>
      <c r="CX20" s="230">
        <v>17081</v>
      </c>
      <c r="CY20" s="228">
        <v>247</v>
      </c>
      <c r="CZ20" s="229">
        <v>1.44E-2</v>
      </c>
      <c r="DA20" s="228">
        <v>22.96</v>
      </c>
      <c r="DB20" s="228">
        <v>22.97</v>
      </c>
      <c r="DC20" s="228">
        <v>-0.01</v>
      </c>
      <c r="DD20" s="228">
        <v>-0.01</v>
      </c>
      <c r="DE20" s="228">
        <v>25.48</v>
      </c>
      <c r="DF20" s="228">
        <v>25.52</v>
      </c>
      <c r="DG20" s="228">
        <v>-2.52</v>
      </c>
      <c r="DH20" s="228">
        <v>-0.04</v>
      </c>
      <c r="DI20" s="228">
        <v>22.18</v>
      </c>
      <c r="DJ20" s="228">
        <v>22.43</v>
      </c>
      <c r="DK20" s="228">
        <v>-0.25</v>
      </c>
      <c r="DL20" s="228">
        <v>-0.25</v>
      </c>
      <c r="DM20" s="228">
        <v>23.84</v>
      </c>
      <c r="DN20" s="228">
        <v>23.76</v>
      </c>
      <c r="DO20" s="228">
        <v>0.08</v>
      </c>
      <c r="DP20" s="228">
        <v>0.08</v>
      </c>
      <c r="DQ20" s="228">
        <v>0.41</v>
      </c>
      <c r="DR20" s="228">
        <v>0.41</v>
      </c>
      <c r="DS20" s="228">
        <v>0</v>
      </c>
      <c r="DT20" s="229">
        <v>0</v>
      </c>
      <c r="DU20" s="231">
        <v>1300</v>
      </c>
      <c r="DV20" s="231">
        <v>1300</v>
      </c>
      <c r="DW20" s="228">
        <v>0.65</v>
      </c>
      <c r="DX20" s="228">
        <v>0.69</v>
      </c>
      <c r="DY20" s="228">
        <v>-0.04</v>
      </c>
      <c r="DZ20" s="229">
        <v>-5.8000000000000003E-2</v>
      </c>
      <c r="EA20" s="229">
        <v>0.61170000000000002</v>
      </c>
      <c r="EB20" s="230">
        <v>28920625</v>
      </c>
      <c r="EC20" s="229">
        <v>5.4999999999999997E-3</v>
      </c>
      <c r="ED20" s="229">
        <v>0.61170000000000002</v>
      </c>
      <c r="EE20" s="228">
        <v>6.72</v>
      </c>
      <c r="EF20" s="229">
        <v>5.1999999999999998E-3</v>
      </c>
      <c r="EG20" s="230">
        <v>4214262</v>
      </c>
      <c r="EH20" s="230">
        <v>2255880</v>
      </c>
      <c r="EI20" s="229">
        <v>0.86809999999999998</v>
      </c>
      <c r="EJ20" s="229">
        <v>0.68140000000000001</v>
      </c>
      <c r="EK20" s="231">
        <v>5455.18</v>
      </c>
      <c r="EL20" s="231">
        <v>3426.3</v>
      </c>
      <c r="EM20" s="231">
        <v>6570.02</v>
      </c>
      <c r="EN20" s="228">
        <v>340.73</v>
      </c>
      <c r="EO20" s="231">
        <v>15451.5</v>
      </c>
      <c r="EP20" s="231">
        <v>17948.37</v>
      </c>
      <c r="EQ20" s="231">
        <v>-2496.87</v>
      </c>
      <c r="ER20" s="229">
        <v>-0.1391</v>
      </c>
      <c r="ES20" s="231">
        <v>4771.93</v>
      </c>
      <c r="ET20" s="231">
        <v>1872.2</v>
      </c>
      <c r="EU20" s="231">
        <v>10725.5</v>
      </c>
      <c r="EV20" s="231">
        <v>296371456</v>
      </c>
      <c r="EW20" s="231">
        <v>17369.63</v>
      </c>
      <c r="EX20" s="231">
        <v>16992.98</v>
      </c>
      <c r="EY20" s="228">
        <v>376.65</v>
      </c>
      <c r="EZ20" s="229">
        <v>2.2200000000000001E-2</v>
      </c>
      <c r="FA20" s="229">
        <v>0.45079999999999998</v>
      </c>
      <c r="FB20" s="227" t="s">
        <v>555</v>
      </c>
      <c r="FC20">
        <f t="shared" si="0"/>
        <v>6538</v>
      </c>
    </row>
    <row r="21" spans="1:159" ht="17.25" thickBot="1" x14ac:dyDescent="0.3">
      <c r="A21" s="226">
        <v>46044</v>
      </c>
      <c r="B21" s="227" t="s">
        <v>162</v>
      </c>
      <c r="C21" s="227" t="s">
        <v>174</v>
      </c>
      <c r="D21" s="228">
        <v>75</v>
      </c>
      <c r="E21" s="228">
        <v>5</v>
      </c>
      <c r="F21" s="231">
        <v>9383</v>
      </c>
      <c r="G21" s="231">
        <v>9193</v>
      </c>
      <c r="H21" s="228">
        <v>190</v>
      </c>
      <c r="I21" s="229">
        <v>2.07E-2</v>
      </c>
      <c r="J21" s="231">
        <v>9370</v>
      </c>
      <c r="K21" s="231">
        <v>9179</v>
      </c>
      <c r="L21" s="228">
        <v>191</v>
      </c>
      <c r="M21" s="229">
        <v>2.0799999999999999E-2</v>
      </c>
      <c r="N21" s="231">
        <v>9383</v>
      </c>
      <c r="O21" s="231">
        <v>9193</v>
      </c>
      <c r="P21" s="228">
        <v>190</v>
      </c>
      <c r="Q21" s="229">
        <v>2.07E-2</v>
      </c>
      <c r="R21" s="231">
        <v>9403.5</v>
      </c>
      <c r="S21" s="231">
        <v>9223.5</v>
      </c>
      <c r="T21" s="228">
        <v>180</v>
      </c>
      <c r="U21" s="229">
        <v>1.95E-2</v>
      </c>
      <c r="V21" s="231">
        <v>9438.5</v>
      </c>
      <c r="W21" s="231">
        <v>9253</v>
      </c>
      <c r="X21" s="228">
        <v>185.5</v>
      </c>
      <c r="Y21" s="229">
        <v>0.02</v>
      </c>
      <c r="Z21" s="228">
        <v>13</v>
      </c>
      <c r="AA21" s="228">
        <v>14</v>
      </c>
      <c r="AB21" s="228">
        <v>-1</v>
      </c>
      <c r="AC21" s="229">
        <v>1.4E-3</v>
      </c>
      <c r="AD21" s="228">
        <v>13</v>
      </c>
      <c r="AE21" s="228">
        <v>14</v>
      </c>
      <c r="AF21" s="228">
        <v>-1</v>
      </c>
      <c r="AG21" s="229">
        <v>1.4E-3</v>
      </c>
      <c r="AH21" s="228">
        <v>33.5</v>
      </c>
      <c r="AI21" s="228">
        <v>44.5</v>
      </c>
      <c r="AJ21" s="228">
        <v>-11</v>
      </c>
      <c r="AK21" s="229">
        <v>3.5999999999999999E-3</v>
      </c>
      <c r="AL21" s="228">
        <v>68.5</v>
      </c>
      <c r="AM21" s="228">
        <v>74</v>
      </c>
      <c r="AN21" s="228">
        <v>-5.5</v>
      </c>
      <c r="AO21" s="229">
        <v>7.3000000000000001E-3</v>
      </c>
      <c r="AP21" s="231">
        <v>9284.7199999999993</v>
      </c>
      <c r="AQ21" s="231">
        <v>9305.9</v>
      </c>
      <c r="AR21" s="228">
        <v>0</v>
      </c>
      <c r="AS21" s="230">
        <v>2992</v>
      </c>
      <c r="AT21" s="230">
        <v>3539</v>
      </c>
      <c r="AU21" s="228">
        <v>-548</v>
      </c>
      <c r="AV21" s="229">
        <v>-0.1547</v>
      </c>
      <c r="AW21" s="230">
        <v>1588</v>
      </c>
      <c r="AX21" s="230">
        <v>1863</v>
      </c>
      <c r="AY21" s="228">
        <v>-275</v>
      </c>
      <c r="AZ21" s="229">
        <v>-0.14779999999999999</v>
      </c>
      <c r="BA21" s="230">
        <v>1382</v>
      </c>
      <c r="BB21" s="230">
        <v>1670</v>
      </c>
      <c r="BC21" s="228">
        <v>-289</v>
      </c>
      <c r="BD21" s="229">
        <v>-0.17280000000000001</v>
      </c>
      <c r="BE21" s="228">
        <v>22</v>
      </c>
      <c r="BF21" s="228">
        <v>6</v>
      </c>
      <c r="BG21" s="228">
        <v>16</v>
      </c>
      <c r="BH21" s="229">
        <v>2.7412000000000001</v>
      </c>
      <c r="BI21" s="230">
        <v>2995</v>
      </c>
      <c r="BJ21" s="230">
        <v>2708</v>
      </c>
      <c r="BK21" s="228">
        <v>287</v>
      </c>
      <c r="BL21" s="229">
        <v>0.1061</v>
      </c>
      <c r="BM21" s="230">
        <v>1464</v>
      </c>
      <c r="BN21" s="230">
        <v>1471</v>
      </c>
      <c r="BO21" s="228">
        <v>-7</v>
      </c>
      <c r="BP21" s="229">
        <v>-4.8999999999999998E-3</v>
      </c>
      <c r="BQ21" s="230">
        <v>7451</v>
      </c>
      <c r="BR21" s="230">
        <v>7718</v>
      </c>
      <c r="BS21" s="228">
        <v>-267</v>
      </c>
      <c r="BT21" s="229">
        <v>-3.4700000000000002E-2</v>
      </c>
      <c r="BU21" s="230">
        <v>200593</v>
      </c>
      <c r="BV21" s="230">
        <v>328585</v>
      </c>
      <c r="BW21" s="230">
        <v>-127992</v>
      </c>
      <c r="BX21" s="229">
        <v>-0.38950000000000001</v>
      </c>
      <c r="BY21" s="230">
        <v>3471</v>
      </c>
      <c r="BZ21" s="230">
        <v>3708</v>
      </c>
      <c r="CA21" s="228">
        <v>-237</v>
      </c>
      <c r="CB21" s="229">
        <v>-6.3899999999999998E-2</v>
      </c>
      <c r="CC21" s="228">
        <v>964</v>
      </c>
      <c r="CD21" s="230">
        <v>2147</v>
      </c>
      <c r="CE21" s="230">
        <v>-1183</v>
      </c>
      <c r="CF21" s="229">
        <v>-0.55089999999999995</v>
      </c>
      <c r="CG21" s="230">
        <v>2464</v>
      </c>
      <c r="CH21" s="230">
        <v>1534</v>
      </c>
      <c r="CI21" s="228">
        <v>930</v>
      </c>
      <c r="CJ21" s="229">
        <v>0.60660000000000003</v>
      </c>
      <c r="CK21" s="228">
        <v>43</v>
      </c>
      <c r="CL21" s="228">
        <v>27</v>
      </c>
      <c r="CM21" s="228">
        <v>16</v>
      </c>
      <c r="CN21" s="229">
        <v>0.57469999999999999</v>
      </c>
      <c r="CO21" s="230">
        <v>1383</v>
      </c>
      <c r="CP21" s="230">
        <v>1597</v>
      </c>
      <c r="CQ21" s="228">
        <v>-214</v>
      </c>
      <c r="CR21" s="229">
        <v>-0.13420000000000001</v>
      </c>
      <c r="CS21" s="228">
        <v>825</v>
      </c>
      <c r="CT21" s="228">
        <v>874</v>
      </c>
      <c r="CU21" s="228">
        <v>-48</v>
      </c>
      <c r="CV21" s="229">
        <v>-5.5500000000000001E-2</v>
      </c>
      <c r="CW21" s="230">
        <v>5680</v>
      </c>
      <c r="CX21" s="230">
        <v>6179</v>
      </c>
      <c r="CY21" s="228">
        <v>-500</v>
      </c>
      <c r="CZ21" s="229">
        <v>-8.09E-2</v>
      </c>
      <c r="DA21" s="228">
        <v>25.25</v>
      </c>
      <c r="DB21" s="228">
        <v>24.24</v>
      </c>
      <c r="DC21" s="228">
        <v>1.01</v>
      </c>
      <c r="DD21" s="228">
        <v>1.01</v>
      </c>
      <c r="DE21" s="228">
        <v>27.97</v>
      </c>
      <c r="DF21" s="228">
        <v>27.9</v>
      </c>
      <c r="DG21" s="228">
        <v>-2.72</v>
      </c>
      <c r="DH21" s="228">
        <v>7.0000000000000007E-2</v>
      </c>
      <c r="DI21" s="228">
        <v>25.19</v>
      </c>
      <c r="DJ21" s="228">
        <v>25.31</v>
      </c>
      <c r="DK21" s="228">
        <v>-0.12</v>
      </c>
      <c r="DL21" s="228">
        <v>-0.12</v>
      </c>
      <c r="DM21" s="228">
        <v>25.39</v>
      </c>
      <c r="DN21" s="228">
        <v>22.29</v>
      </c>
      <c r="DO21" s="228">
        <v>3.1</v>
      </c>
      <c r="DP21" s="228">
        <v>3.1</v>
      </c>
      <c r="DQ21" s="228">
        <v>0.6</v>
      </c>
      <c r="DR21" s="228">
        <v>0.55000000000000004</v>
      </c>
      <c r="DS21" s="228">
        <v>0.05</v>
      </c>
      <c r="DT21" s="229">
        <v>9.0899999999999995E-2</v>
      </c>
      <c r="DU21" s="231">
        <v>10000</v>
      </c>
      <c r="DV21" s="231">
        <v>9100</v>
      </c>
      <c r="DW21" s="228">
        <v>0.49</v>
      </c>
      <c r="DX21" s="228">
        <v>0.54</v>
      </c>
      <c r="DY21" s="228">
        <v>-0.05</v>
      </c>
      <c r="DZ21" s="229">
        <v>-9.2600000000000002E-2</v>
      </c>
      <c r="EA21" s="229">
        <v>0.72230000000000005</v>
      </c>
      <c r="EB21" s="230">
        <v>1663800</v>
      </c>
      <c r="EC21" s="229">
        <v>2.2000000000000001E-3</v>
      </c>
      <c r="ED21" s="229">
        <v>0.72230000000000005</v>
      </c>
      <c r="EE21" s="228">
        <v>21.18</v>
      </c>
      <c r="EF21" s="229">
        <v>2.3E-3</v>
      </c>
      <c r="EG21" s="230">
        <v>80234</v>
      </c>
      <c r="EH21" s="230">
        <v>160682</v>
      </c>
      <c r="EI21" s="229">
        <v>-0.50070000000000003</v>
      </c>
      <c r="EJ21" s="229">
        <v>0.4</v>
      </c>
      <c r="EK21" s="231">
        <v>3054.51</v>
      </c>
      <c r="EL21" s="231">
        <v>1431.98</v>
      </c>
      <c r="EM21" s="231">
        <v>2963.65</v>
      </c>
      <c r="EN21" s="228">
        <v>177.59</v>
      </c>
      <c r="EO21" s="231">
        <v>7450.14</v>
      </c>
      <c r="EP21" s="231">
        <v>7660.13</v>
      </c>
      <c r="EQ21" s="228">
        <v>-209.99</v>
      </c>
      <c r="ER21" s="229">
        <v>-2.7400000000000001E-2</v>
      </c>
      <c r="ES21" s="231">
        <v>1448.46</v>
      </c>
      <c r="ET21" s="228">
        <v>798.71</v>
      </c>
      <c r="EU21" s="231">
        <v>3477.04</v>
      </c>
      <c r="EV21" s="231">
        <v>15906526</v>
      </c>
      <c r="EW21" s="231">
        <v>5724.22</v>
      </c>
      <c r="EX21" s="231">
        <v>6152.31</v>
      </c>
      <c r="EY21" s="228">
        <v>-428.09</v>
      </c>
      <c r="EZ21" s="229">
        <v>-6.9599999999999995E-2</v>
      </c>
      <c r="FA21" s="229">
        <v>0.3805</v>
      </c>
      <c r="FB21" s="227" t="s">
        <v>556</v>
      </c>
      <c r="FC21">
        <f t="shared" si="0"/>
        <v>2507</v>
      </c>
    </row>
    <row r="22" spans="1:159" ht="17.25" thickBot="1" x14ac:dyDescent="0.3">
      <c r="A22" s="226">
        <v>46044</v>
      </c>
      <c r="B22" s="227" t="s">
        <v>175</v>
      </c>
      <c r="C22" s="227" t="s">
        <v>176</v>
      </c>
      <c r="D22" s="228">
        <v>250</v>
      </c>
      <c r="E22" s="228">
        <v>5</v>
      </c>
      <c r="F22" s="231">
        <v>1991.3</v>
      </c>
      <c r="G22" s="231">
        <v>1958.4</v>
      </c>
      <c r="H22" s="228">
        <v>32.9</v>
      </c>
      <c r="I22" s="229">
        <v>1.6799999999999999E-2</v>
      </c>
      <c r="J22" s="231">
        <v>1993.1</v>
      </c>
      <c r="K22" s="231">
        <v>1959.9</v>
      </c>
      <c r="L22" s="228">
        <v>33.200000000000003</v>
      </c>
      <c r="M22" s="229">
        <v>1.6899999999999998E-2</v>
      </c>
      <c r="N22" s="231">
        <v>1991.3</v>
      </c>
      <c r="O22" s="231">
        <v>1958.4</v>
      </c>
      <c r="P22" s="228">
        <v>32.9</v>
      </c>
      <c r="Q22" s="229">
        <v>1.6799999999999999E-2</v>
      </c>
      <c r="R22" s="231">
        <v>2002</v>
      </c>
      <c r="S22" s="231">
        <v>1969.1</v>
      </c>
      <c r="T22" s="228">
        <v>32.9</v>
      </c>
      <c r="U22" s="229">
        <v>1.67E-2</v>
      </c>
      <c r="V22" s="231">
        <v>2018.3</v>
      </c>
      <c r="W22" s="231">
        <v>1983.3</v>
      </c>
      <c r="X22" s="228">
        <v>35</v>
      </c>
      <c r="Y22" s="229">
        <v>1.7600000000000001E-2</v>
      </c>
      <c r="Z22" s="228">
        <v>-1.8</v>
      </c>
      <c r="AA22" s="228">
        <v>-1.5</v>
      </c>
      <c r="AB22" s="228">
        <v>-0.3</v>
      </c>
      <c r="AC22" s="229">
        <v>-8.9999999999999998E-4</v>
      </c>
      <c r="AD22" s="228">
        <v>-1.8</v>
      </c>
      <c r="AE22" s="228">
        <v>-1.5</v>
      </c>
      <c r="AF22" s="228">
        <v>-0.3</v>
      </c>
      <c r="AG22" s="229">
        <v>-8.9999999999999998E-4</v>
      </c>
      <c r="AH22" s="228">
        <v>8.9</v>
      </c>
      <c r="AI22" s="228">
        <v>9.1999999999999993</v>
      </c>
      <c r="AJ22" s="228">
        <v>-0.3</v>
      </c>
      <c r="AK22" s="229">
        <v>4.4999999999999997E-3</v>
      </c>
      <c r="AL22" s="228">
        <v>25.2</v>
      </c>
      <c r="AM22" s="228">
        <v>23.4</v>
      </c>
      <c r="AN22" s="228">
        <v>1.8</v>
      </c>
      <c r="AO22" s="229">
        <v>1.26E-2</v>
      </c>
      <c r="AP22" s="231">
        <v>1981.1</v>
      </c>
      <c r="AQ22" s="231">
        <v>1991.7</v>
      </c>
      <c r="AR22" s="228">
        <v>0</v>
      </c>
      <c r="AS22" s="230">
        <v>1940</v>
      </c>
      <c r="AT22" s="230">
        <v>1367</v>
      </c>
      <c r="AU22" s="228">
        <v>573</v>
      </c>
      <c r="AV22" s="229">
        <v>0.41920000000000002</v>
      </c>
      <c r="AW22" s="230">
        <v>1028</v>
      </c>
      <c r="AX22" s="228">
        <v>726</v>
      </c>
      <c r="AY22" s="228">
        <v>302</v>
      </c>
      <c r="AZ22" s="229">
        <v>0.41570000000000001</v>
      </c>
      <c r="BA22" s="228">
        <v>908</v>
      </c>
      <c r="BB22" s="228">
        <v>637</v>
      </c>
      <c r="BC22" s="228">
        <v>271</v>
      </c>
      <c r="BD22" s="229">
        <v>0.42549999999999999</v>
      </c>
      <c r="BE22" s="228">
        <v>4</v>
      </c>
      <c r="BF22" s="228">
        <v>4</v>
      </c>
      <c r="BG22" s="228">
        <v>0</v>
      </c>
      <c r="BH22" s="229">
        <v>6.0199999999999997E-2</v>
      </c>
      <c r="BI22" s="228">
        <v>830</v>
      </c>
      <c r="BJ22" s="230">
        <v>1141</v>
      </c>
      <c r="BK22" s="228">
        <v>-310</v>
      </c>
      <c r="BL22" s="229">
        <v>-0.27189999999999998</v>
      </c>
      <c r="BM22" s="228">
        <v>386</v>
      </c>
      <c r="BN22" s="228">
        <v>750</v>
      </c>
      <c r="BO22" s="228">
        <v>-364</v>
      </c>
      <c r="BP22" s="229">
        <v>-0.48549999999999999</v>
      </c>
      <c r="BQ22" s="230">
        <v>3156</v>
      </c>
      <c r="BR22" s="230">
        <v>3257</v>
      </c>
      <c r="BS22" s="228">
        <v>-101</v>
      </c>
      <c r="BT22" s="229">
        <v>-3.1E-2</v>
      </c>
      <c r="BU22" s="230">
        <v>1129265</v>
      </c>
      <c r="BV22" s="230">
        <v>1160621</v>
      </c>
      <c r="BW22" s="230">
        <v>-31356</v>
      </c>
      <c r="BX22" s="229">
        <v>-2.7E-2</v>
      </c>
      <c r="BY22" s="230">
        <v>3207</v>
      </c>
      <c r="BZ22" s="230">
        <v>3278</v>
      </c>
      <c r="CA22" s="228">
        <v>-71</v>
      </c>
      <c r="CB22" s="229">
        <v>-2.18E-2</v>
      </c>
      <c r="CC22" s="230">
        <v>1659</v>
      </c>
      <c r="CD22" s="230">
        <v>2504</v>
      </c>
      <c r="CE22" s="228">
        <v>-844</v>
      </c>
      <c r="CF22" s="229">
        <v>-0.33729999999999999</v>
      </c>
      <c r="CG22" s="230">
        <v>1510</v>
      </c>
      <c r="CH22" s="228">
        <v>738</v>
      </c>
      <c r="CI22" s="228">
        <v>772</v>
      </c>
      <c r="CJ22" s="229">
        <v>1.0454000000000001</v>
      </c>
      <c r="CK22" s="228">
        <v>37</v>
      </c>
      <c r="CL22" s="228">
        <v>36</v>
      </c>
      <c r="CM22" s="228">
        <v>1</v>
      </c>
      <c r="CN22" s="229">
        <v>2.87E-2</v>
      </c>
      <c r="CO22" s="230">
        <v>1130</v>
      </c>
      <c r="CP22" s="230">
        <v>1173</v>
      </c>
      <c r="CQ22" s="228">
        <v>-43</v>
      </c>
      <c r="CR22" s="229">
        <v>-3.6400000000000002E-2</v>
      </c>
      <c r="CS22" s="228">
        <v>662</v>
      </c>
      <c r="CT22" s="228">
        <v>645</v>
      </c>
      <c r="CU22" s="228">
        <v>18</v>
      </c>
      <c r="CV22" s="229">
        <v>2.7300000000000001E-2</v>
      </c>
      <c r="CW22" s="230">
        <v>4999</v>
      </c>
      <c r="CX22" s="230">
        <v>5096</v>
      </c>
      <c r="CY22" s="228">
        <v>-97</v>
      </c>
      <c r="CZ22" s="229">
        <v>-1.9E-2</v>
      </c>
      <c r="DA22" s="228">
        <v>26.5</v>
      </c>
      <c r="DB22" s="228">
        <v>22.41</v>
      </c>
      <c r="DC22" s="228">
        <v>4.09</v>
      </c>
      <c r="DD22" s="228">
        <v>4.09</v>
      </c>
      <c r="DE22" s="228">
        <v>27.71</v>
      </c>
      <c r="DF22" s="228">
        <v>27.68</v>
      </c>
      <c r="DG22" s="228">
        <v>-1.21</v>
      </c>
      <c r="DH22" s="228">
        <v>0.03</v>
      </c>
      <c r="DI22" s="228">
        <v>25.88</v>
      </c>
      <c r="DJ22" s="228">
        <v>22.52</v>
      </c>
      <c r="DK22" s="228">
        <v>3.36</v>
      </c>
      <c r="DL22" s="228">
        <v>3.36</v>
      </c>
      <c r="DM22" s="228">
        <v>27.18</v>
      </c>
      <c r="DN22" s="228">
        <v>22.23</v>
      </c>
      <c r="DO22" s="228">
        <v>4.95</v>
      </c>
      <c r="DP22" s="228">
        <v>4.95</v>
      </c>
      <c r="DQ22" s="228">
        <v>0.59</v>
      </c>
      <c r="DR22" s="228">
        <v>0.55000000000000004</v>
      </c>
      <c r="DS22" s="228">
        <v>0.04</v>
      </c>
      <c r="DT22" s="229">
        <v>7.2700000000000001E-2</v>
      </c>
      <c r="DU22" s="231">
        <v>2080</v>
      </c>
      <c r="DV22" s="231">
        <v>2000</v>
      </c>
      <c r="DW22" s="228">
        <v>0.46</v>
      </c>
      <c r="DX22" s="228">
        <v>0.66</v>
      </c>
      <c r="DY22" s="228">
        <v>-0.2</v>
      </c>
      <c r="DZ22" s="229">
        <v>-0.30299999999999999</v>
      </c>
      <c r="EA22" s="229">
        <v>0.48270000000000002</v>
      </c>
      <c r="EB22" s="230">
        <v>3891000</v>
      </c>
      <c r="EC22" s="229">
        <v>5.4000000000000003E-3</v>
      </c>
      <c r="ED22" s="229">
        <v>0.48270000000000002</v>
      </c>
      <c r="EE22" s="228">
        <v>10.6</v>
      </c>
      <c r="EF22" s="229">
        <v>5.4000000000000003E-3</v>
      </c>
      <c r="EG22" s="230">
        <v>746804</v>
      </c>
      <c r="EH22" s="230">
        <v>738467</v>
      </c>
      <c r="EI22" s="229">
        <v>1.1299999999999999E-2</v>
      </c>
      <c r="EJ22" s="229">
        <v>0.6613</v>
      </c>
      <c r="EK22" s="228">
        <v>849.86</v>
      </c>
      <c r="EL22" s="228">
        <v>384.96</v>
      </c>
      <c r="EM22" s="231">
        <v>1934.83</v>
      </c>
      <c r="EN22" s="228">
        <v>120.39</v>
      </c>
      <c r="EO22" s="231">
        <v>3169.64</v>
      </c>
      <c r="EP22" s="231">
        <v>3247.09</v>
      </c>
      <c r="EQ22" s="228">
        <v>-77.45</v>
      </c>
      <c r="ER22" s="229">
        <v>-2.3900000000000001E-2</v>
      </c>
      <c r="ES22" s="231">
        <v>1178.31</v>
      </c>
      <c r="ET22" s="228">
        <v>654.85</v>
      </c>
      <c r="EU22" s="231">
        <v>3215.46</v>
      </c>
      <c r="EV22" s="231">
        <v>65701623</v>
      </c>
      <c r="EW22" s="231">
        <v>5048.63</v>
      </c>
      <c r="EX22" s="231">
        <v>5087.87</v>
      </c>
      <c r="EY22" s="228">
        <v>-39.24</v>
      </c>
      <c r="EZ22" s="229">
        <v>-7.7000000000000002E-3</v>
      </c>
      <c r="FA22" s="229">
        <v>0.3821</v>
      </c>
      <c r="FB22" s="227" t="s">
        <v>556</v>
      </c>
      <c r="FC22">
        <f t="shared" si="0"/>
        <v>1548</v>
      </c>
    </row>
    <row r="23" spans="1:159" ht="17.25" thickBot="1" x14ac:dyDescent="0.3">
      <c r="A23" s="226">
        <v>46044</v>
      </c>
      <c r="B23" s="227" t="s">
        <v>175</v>
      </c>
      <c r="C23" s="227" t="s">
        <v>691</v>
      </c>
      <c r="D23" s="228">
        <v>50</v>
      </c>
      <c r="E23" s="228">
        <v>5</v>
      </c>
      <c r="F23" s="231">
        <v>10739</v>
      </c>
      <c r="G23" s="231">
        <v>10610</v>
      </c>
      <c r="H23" s="228">
        <v>129</v>
      </c>
      <c r="I23" s="229">
        <v>1.2200000000000001E-2</v>
      </c>
      <c r="J23" s="231">
        <v>10735</v>
      </c>
      <c r="K23" s="231">
        <v>10613</v>
      </c>
      <c r="L23" s="228">
        <v>122</v>
      </c>
      <c r="M23" s="229">
        <v>1.15E-2</v>
      </c>
      <c r="N23" s="231">
        <v>10739</v>
      </c>
      <c r="O23" s="231">
        <v>10610</v>
      </c>
      <c r="P23" s="228">
        <v>129</v>
      </c>
      <c r="Q23" s="229">
        <v>1.2200000000000001E-2</v>
      </c>
      <c r="R23" s="231">
        <v>10794</v>
      </c>
      <c r="S23" s="231">
        <v>10669</v>
      </c>
      <c r="T23" s="228">
        <v>125</v>
      </c>
      <c r="U23" s="229">
        <v>1.17E-2</v>
      </c>
      <c r="V23" s="231">
        <v>10829</v>
      </c>
      <c r="W23" s="231">
        <v>10725</v>
      </c>
      <c r="X23" s="228">
        <v>104</v>
      </c>
      <c r="Y23" s="229">
        <v>9.7000000000000003E-3</v>
      </c>
      <c r="Z23" s="228">
        <v>4</v>
      </c>
      <c r="AA23" s="228">
        <v>-3</v>
      </c>
      <c r="AB23" s="228">
        <v>7</v>
      </c>
      <c r="AC23" s="229">
        <v>4.0000000000000002E-4</v>
      </c>
      <c r="AD23" s="228">
        <v>4</v>
      </c>
      <c r="AE23" s="228">
        <v>-3</v>
      </c>
      <c r="AF23" s="228">
        <v>7</v>
      </c>
      <c r="AG23" s="229">
        <v>4.0000000000000002E-4</v>
      </c>
      <c r="AH23" s="228">
        <v>59</v>
      </c>
      <c r="AI23" s="228">
        <v>56</v>
      </c>
      <c r="AJ23" s="228">
        <v>3</v>
      </c>
      <c r="AK23" s="229">
        <v>5.4999999999999997E-3</v>
      </c>
      <c r="AL23" s="228">
        <v>94</v>
      </c>
      <c r="AM23" s="228">
        <v>112</v>
      </c>
      <c r="AN23" s="228">
        <v>-18</v>
      </c>
      <c r="AO23" s="229">
        <v>8.8000000000000005E-3</v>
      </c>
      <c r="AP23" s="231">
        <v>10695.99</v>
      </c>
      <c r="AQ23" s="231">
        <v>10751.79</v>
      </c>
      <c r="AR23" s="228">
        <v>0</v>
      </c>
      <c r="AS23" s="228">
        <v>164</v>
      </c>
      <c r="AT23" s="228">
        <v>83</v>
      </c>
      <c r="AU23" s="228">
        <v>81</v>
      </c>
      <c r="AV23" s="229">
        <v>0.97609999999999997</v>
      </c>
      <c r="AW23" s="228">
        <v>87</v>
      </c>
      <c r="AX23" s="228">
        <v>53</v>
      </c>
      <c r="AY23" s="228">
        <v>34</v>
      </c>
      <c r="AZ23" s="229">
        <v>0.64700000000000002</v>
      </c>
      <c r="BA23" s="228">
        <v>77</v>
      </c>
      <c r="BB23" s="228">
        <v>30</v>
      </c>
      <c r="BC23" s="228">
        <v>47</v>
      </c>
      <c r="BD23" s="229">
        <v>1.548</v>
      </c>
      <c r="BE23" s="228">
        <v>0</v>
      </c>
      <c r="BF23" s="228">
        <v>0</v>
      </c>
      <c r="BG23" s="228">
        <v>0</v>
      </c>
      <c r="BH23" s="229">
        <v>3</v>
      </c>
      <c r="BI23" s="228">
        <v>371</v>
      </c>
      <c r="BJ23" s="228">
        <v>272</v>
      </c>
      <c r="BK23" s="228">
        <v>99</v>
      </c>
      <c r="BL23" s="229">
        <v>0.36349999999999999</v>
      </c>
      <c r="BM23" s="228">
        <v>49</v>
      </c>
      <c r="BN23" s="228">
        <v>30</v>
      </c>
      <c r="BO23" s="228">
        <v>19</v>
      </c>
      <c r="BP23" s="229">
        <v>0.65149999999999997</v>
      </c>
      <c r="BQ23" s="228">
        <v>584</v>
      </c>
      <c r="BR23" s="228">
        <v>385</v>
      </c>
      <c r="BS23" s="228">
        <v>199</v>
      </c>
      <c r="BT23" s="229">
        <v>0.51790000000000003</v>
      </c>
      <c r="BU23" s="230">
        <v>34073</v>
      </c>
      <c r="BV23" s="230">
        <v>44276</v>
      </c>
      <c r="BW23" s="230">
        <v>-10203</v>
      </c>
      <c r="BX23" s="229">
        <v>-0.23039999999999999</v>
      </c>
      <c r="BY23" s="228">
        <v>250</v>
      </c>
      <c r="BZ23" s="228">
        <v>258</v>
      </c>
      <c r="CA23" s="228">
        <v>-7</v>
      </c>
      <c r="CB23" s="229">
        <v>-2.8500000000000001E-2</v>
      </c>
      <c r="CC23" s="228">
        <v>150</v>
      </c>
      <c r="CD23" s="228">
        <v>221</v>
      </c>
      <c r="CE23" s="228">
        <v>-70</v>
      </c>
      <c r="CF23" s="229">
        <v>-0.31850000000000001</v>
      </c>
      <c r="CG23" s="228">
        <v>99</v>
      </c>
      <c r="CH23" s="228">
        <v>36</v>
      </c>
      <c r="CI23" s="228">
        <v>63</v>
      </c>
      <c r="CJ23" s="229">
        <v>1.7506999999999999</v>
      </c>
      <c r="CK23" s="228">
        <v>1</v>
      </c>
      <c r="CL23" s="228">
        <v>1</v>
      </c>
      <c r="CM23" s="228">
        <v>0</v>
      </c>
      <c r="CN23" s="229">
        <v>-0.05</v>
      </c>
      <c r="CO23" s="228">
        <v>187</v>
      </c>
      <c r="CP23" s="228">
        <v>258</v>
      </c>
      <c r="CQ23" s="228">
        <v>-71</v>
      </c>
      <c r="CR23" s="229">
        <v>-0.2737</v>
      </c>
      <c r="CS23" s="228">
        <v>94</v>
      </c>
      <c r="CT23" s="228">
        <v>87</v>
      </c>
      <c r="CU23" s="228">
        <v>8</v>
      </c>
      <c r="CV23" s="229">
        <v>9.06E-2</v>
      </c>
      <c r="CW23" s="228">
        <v>532</v>
      </c>
      <c r="CX23" s="228">
        <v>602</v>
      </c>
      <c r="CY23" s="228">
        <v>-70</v>
      </c>
      <c r="CZ23" s="229">
        <v>-0.1163</v>
      </c>
      <c r="DA23" s="228">
        <v>32.93</v>
      </c>
      <c r="DB23" s="228">
        <v>40.909999999999997</v>
      </c>
      <c r="DC23" s="228">
        <v>-7.98</v>
      </c>
      <c r="DD23" s="228">
        <v>-7.98</v>
      </c>
      <c r="DE23" s="228">
        <v>38.450000000000003</v>
      </c>
      <c r="DF23" s="228">
        <v>38.51</v>
      </c>
      <c r="DG23" s="228">
        <v>-5.52</v>
      </c>
      <c r="DH23" s="228">
        <v>-0.06</v>
      </c>
      <c r="DI23" s="228">
        <v>33.04</v>
      </c>
      <c r="DJ23" s="228">
        <v>42.02</v>
      </c>
      <c r="DK23" s="228">
        <v>-8.98</v>
      </c>
      <c r="DL23" s="228">
        <v>-8.98</v>
      </c>
      <c r="DM23" s="228">
        <v>32.76</v>
      </c>
      <c r="DN23" s="228">
        <v>30.76</v>
      </c>
      <c r="DO23" s="228">
        <v>2</v>
      </c>
      <c r="DP23" s="228">
        <v>2</v>
      </c>
      <c r="DQ23" s="228">
        <v>0.5</v>
      </c>
      <c r="DR23" s="228">
        <v>0.34</v>
      </c>
      <c r="DS23" s="228">
        <v>0.16</v>
      </c>
      <c r="DT23" s="229">
        <v>0.47060000000000002</v>
      </c>
      <c r="DU23" s="231">
        <v>13000</v>
      </c>
      <c r="DV23" s="231">
        <v>10500</v>
      </c>
      <c r="DW23" s="228">
        <v>0.13</v>
      </c>
      <c r="DX23" s="228">
        <v>0.11</v>
      </c>
      <c r="DY23" s="228">
        <v>0.02</v>
      </c>
      <c r="DZ23" s="229">
        <v>0.18179999999999999</v>
      </c>
      <c r="EA23" s="229">
        <v>0.39929999999999999</v>
      </c>
      <c r="EB23" s="230">
        <v>34500</v>
      </c>
      <c r="EC23" s="229">
        <v>5.1000000000000004E-3</v>
      </c>
      <c r="ED23" s="229">
        <v>0.39929999999999999</v>
      </c>
      <c r="EE23" s="228">
        <v>55.8</v>
      </c>
      <c r="EF23" s="229">
        <v>5.1999999999999998E-3</v>
      </c>
      <c r="EG23" s="230">
        <v>18883</v>
      </c>
      <c r="EH23" s="230">
        <v>19916</v>
      </c>
      <c r="EI23" s="229">
        <v>-5.1900000000000002E-2</v>
      </c>
      <c r="EJ23" s="229">
        <v>0.55420000000000003</v>
      </c>
      <c r="EK23" s="228">
        <v>401.44</v>
      </c>
      <c r="EL23" s="228">
        <v>46.35</v>
      </c>
      <c r="EM23" s="228">
        <v>163.78</v>
      </c>
      <c r="EN23" s="228">
        <v>9.02</v>
      </c>
      <c r="EO23" s="228">
        <v>611.57000000000005</v>
      </c>
      <c r="EP23" s="228">
        <v>409.06</v>
      </c>
      <c r="EQ23" s="228">
        <v>202.51</v>
      </c>
      <c r="ER23" s="229">
        <v>0.49509999999999998</v>
      </c>
      <c r="ES23" s="228">
        <v>203.19</v>
      </c>
      <c r="ET23" s="228">
        <v>94.19</v>
      </c>
      <c r="EU23" s="228">
        <v>250.9</v>
      </c>
      <c r="EV23" s="231">
        <v>5401993</v>
      </c>
      <c r="EW23" s="228">
        <v>548.28</v>
      </c>
      <c r="EX23" s="228">
        <v>622.19000000000005</v>
      </c>
      <c r="EY23" s="228">
        <v>-73.91</v>
      </c>
      <c r="EZ23" s="229">
        <v>-0.1188</v>
      </c>
      <c r="FA23" s="229">
        <v>9.1700000000000004E-2</v>
      </c>
      <c r="FB23" s="227" t="s">
        <v>556</v>
      </c>
      <c r="FC23">
        <f t="shared" si="0"/>
        <v>100</v>
      </c>
    </row>
    <row r="24" spans="1:159" ht="17.25" thickBot="1" x14ac:dyDescent="0.3">
      <c r="A24" s="226">
        <v>46044</v>
      </c>
      <c r="B24" s="227" t="s">
        <v>175</v>
      </c>
      <c r="C24" s="227" t="s">
        <v>177</v>
      </c>
      <c r="D24" s="228">
        <v>750</v>
      </c>
      <c r="E24" s="228">
        <v>5</v>
      </c>
      <c r="F24" s="228">
        <v>943.15</v>
      </c>
      <c r="G24" s="228">
        <v>936.65</v>
      </c>
      <c r="H24" s="228">
        <v>6.5</v>
      </c>
      <c r="I24" s="229">
        <v>6.8999999999999999E-3</v>
      </c>
      <c r="J24" s="228">
        <v>942.85</v>
      </c>
      <c r="K24" s="228">
        <v>936.25</v>
      </c>
      <c r="L24" s="228">
        <v>6.6</v>
      </c>
      <c r="M24" s="229">
        <v>7.0000000000000001E-3</v>
      </c>
      <c r="N24" s="228">
        <v>943.15</v>
      </c>
      <c r="O24" s="228">
        <v>936.65</v>
      </c>
      <c r="P24" s="228">
        <v>6.5</v>
      </c>
      <c r="Q24" s="229">
        <v>6.8999999999999999E-3</v>
      </c>
      <c r="R24" s="228">
        <v>948.4</v>
      </c>
      <c r="S24" s="228">
        <v>941.8</v>
      </c>
      <c r="T24" s="228">
        <v>6.6</v>
      </c>
      <c r="U24" s="229">
        <v>7.0000000000000001E-3</v>
      </c>
      <c r="V24" s="228">
        <v>957.25</v>
      </c>
      <c r="W24" s="228">
        <v>947.95</v>
      </c>
      <c r="X24" s="228">
        <v>9.3000000000000007</v>
      </c>
      <c r="Y24" s="229">
        <v>9.7999999999999997E-3</v>
      </c>
      <c r="Z24" s="228">
        <v>0.3</v>
      </c>
      <c r="AA24" s="228">
        <v>0.4</v>
      </c>
      <c r="AB24" s="228">
        <v>-0.1</v>
      </c>
      <c r="AC24" s="229">
        <v>2.9999999999999997E-4</v>
      </c>
      <c r="AD24" s="228">
        <v>0.3</v>
      </c>
      <c r="AE24" s="228">
        <v>0.4</v>
      </c>
      <c r="AF24" s="228">
        <v>-0.1</v>
      </c>
      <c r="AG24" s="229">
        <v>2.9999999999999997E-4</v>
      </c>
      <c r="AH24" s="228">
        <v>5.55</v>
      </c>
      <c r="AI24" s="228">
        <v>5.55</v>
      </c>
      <c r="AJ24" s="228">
        <v>0</v>
      </c>
      <c r="AK24" s="229">
        <v>5.8999999999999999E-3</v>
      </c>
      <c r="AL24" s="228">
        <v>14.4</v>
      </c>
      <c r="AM24" s="228">
        <v>11.7</v>
      </c>
      <c r="AN24" s="228">
        <v>2.7</v>
      </c>
      <c r="AO24" s="229">
        <v>1.5299999999999999E-2</v>
      </c>
      <c r="AP24" s="228">
        <v>940.76</v>
      </c>
      <c r="AQ24" s="228">
        <v>945.77</v>
      </c>
      <c r="AR24" s="228">
        <v>0</v>
      </c>
      <c r="AS24" s="230">
        <v>6159</v>
      </c>
      <c r="AT24" s="230">
        <v>4919</v>
      </c>
      <c r="AU24" s="230">
        <v>1239</v>
      </c>
      <c r="AV24" s="229">
        <v>0.25190000000000001</v>
      </c>
      <c r="AW24" s="230">
        <v>3116</v>
      </c>
      <c r="AX24" s="230">
        <v>2562</v>
      </c>
      <c r="AY24" s="228">
        <v>554</v>
      </c>
      <c r="AZ24" s="229">
        <v>0.21629999999999999</v>
      </c>
      <c r="BA24" s="230">
        <v>3024</v>
      </c>
      <c r="BB24" s="230">
        <v>2342</v>
      </c>
      <c r="BC24" s="228">
        <v>683</v>
      </c>
      <c r="BD24" s="229">
        <v>0.29149999999999998</v>
      </c>
      <c r="BE24" s="228">
        <v>18</v>
      </c>
      <c r="BF24" s="228">
        <v>15</v>
      </c>
      <c r="BG24" s="228">
        <v>2</v>
      </c>
      <c r="BH24" s="229">
        <v>0.15670000000000001</v>
      </c>
      <c r="BI24" s="230">
        <v>3296</v>
      </c>
      <c r="BJ24" s="230">
        <v>4405</v>
      </c>
      <c r="BK24" s="230">
        <v>-1108</v>
      </c>
      <c r="BL24" s="229">
        <v>-0.25169999999999998</v>
      </c>
      <c r="BM24" s="230">
        <v>1731</v>
      </c>
      <c r="BN24" s="230">
        <v>2794</v>
      </c>
      <c r="BO24" s="230">
        <v>-1063</v>
      </c>
      <c r="BP24" s="229">
        <v>-0.3805</v>
      </c>
      <c r="BQ24" s="230">
        <v>11186</v>
      </c>
      <c r="BR24" s="230">
        <v>12118</v>
      </c>
      <c r="BS24" s="228">
        <v>-932</v>
      </c>
      <c r="BT24" s="229">
        <v>-7.6899999999999996E-2</v>
      </c>
      <c r="BU24" s="230">
        <v>6227692</v>
      </c>
      <c r="BV24" s="230">
        <v>5940817</v>
      </c>
      <c r="BW24" s="230">
        <v>286875</v>
      </c>
      <c r="BX24" s="229">
        <v>4.8300000000000003E-2</v>
      </c>
      <c r="BY24" s="230">
        <v>8924</v>
      </c>
      <c r="BZ24" s="230">
        <v>8918</v>
      </c>
      <c r="CA24" s="228">
        <v>6</v>
      </c>
      <c r="CB24" s="229">
        <v>6.9999999999999999E-4</v>
      </c>
      <c r="CC24" s="230">
        <v>2883</v>
      </c>
      <c r="CD24" s="230">
        <v>5557</v>
      </c>
      <c r="CE24" s="230">
        <v>-2674</v>
      </c>
      <c r="CF24" s="229">
        <v>-0.48120000000000002</v>
      </c>
      <c r="CG24" s="230">
        <v>5764</v>
      </c>
      <c r="CH24" s="230">
        <v>3095</v>
      </c>
      <c r="CI24" s="230">
        <v>2670</v>
      </c>
      <c r="CJ24" s="229">
        <v>0.86260000000000003</v>
      </c>
      <c r="CK24" s="228">
        <v>277</v>
      </c>
      <c r="CL24" s="228">
        <v>266</v>
      </c>
      <c r="CM24" s="228">
        <v>10</v>
      </c>
      <c r="CN24" s="229">
        <v>3.9300000000000002E-2</v>
      </c>
      <c r="CO24" s="230">
        <v>2905</v>
      </c>
      <c r="CP24" s="230">
        <v>3030</v>
      </c>
      <c r="CQ24" s="228">
        <v>-125</v>
      </c>
      <c r="CR24" s="229">
        <v>-4.1099999999999998E-2</v>
      </c>
      <c r="CS24" s="230">
        <v>1787</v>
      </c>
      <c r="CT24" s="230">
        <v>1813</v>
      </c>
      <c r="CU24" s="228">
        <v>-26</v>
      </c>
      <c r="CV24" s="229">
        <v>-1.44E-2</v>
      </c>
      <c r="CW24" s="230">
        <v>13616</v>
      </c>
      <c r="CX24" s="230">
        <v>13760</v>
      </c>
      <c r="CY24" s="228">
        <v>-144</v>
      </c>
      <c r="CZ24" s="229">
        <v>-1.0500000000000001E-2</v>
      </c>
      <c r="DA24" s="228">
        <v>28.85</v>
      </c>
      <c r="DB24" s="228">
        <v>26.83</v>
      </c>
      <c r="DC24" s="228">
        <v>2.02</v>
      </c>
      <c r="DD24" s="228">
        <v>2.02</v>
      </c>
      <c r="DE24" s="228">
        <v>30.7</v>
      </c>
      <c r="DF24" s="228">
        <v>30.76</v>
      </c>
      <c r="DG24" s="228">
        <v>-1.85</v>
      </c>
      <c r="DH24" s="228">
        <v>-0.06</v>
      </c>
      <c r="DI24" s="228">
        <v>29.32</v>
      </c>
      <c r="DJ24" s="228">
        <v>26.68</v>
      </c>
      <c r="DK24" s="228">
        <v>2.64</v>
      </c>
      <c r="DL24" s="228">
        <v>2.64</v>
      </c>
      <c r="DM24" s="228">
        <v>28.19</v>
      </c>
      <c r="DN24" s="228">
        <v>27.08</v>
      </c>
      <c r="DO24" s="228">
        <v>1.1100000000000001</v>
      </c>
      <c r="DP24" s="228">
        <v>1.1100000000000001</v>
      </c>
      <c r="DQ24" s="228">
        <v>0.61</v>
      </c>
      <c r="DR24" s="228">
        <v>0.6</v>
      </c>
      <c r="DS24" s="228">
        <v>0.01</v>
      </c>
      <c r="DT24" s="229">
        <v>1.67E-2</v>
      </c>
      <c r="DU24" s="231">
        <v>1000</v>
      </c>
      <c r="DV24" s="231">
        <v>1000</v>
      </c>
      <c r="DW24" s="228">
        <v>0.53</v>
      </c>
      <c r="DX24" s="228">
        <v>0.63</v>
      </c>
      <c r="DY24" s="228">
        <v>-0.1</v>
      </c>
      <c r="DZ24" s="229">
        <v>-0.15870000000000001</v>
      </c>
      <c r="EA24" s="229">
        <v>0.67689999999999995</v>
      </c>
      <c r="EB24" s="230">
        <v>35636250</v>
      </c>
      <c r="EC24" s="229">
        <v>5.5999999999999999E-3</v>
      </c>
      <c r="ED24" s="229">
        <v>0.67689999999999995</v>
      </c>
      <c r="EE24" s="228">
        <v>5.01</v>
      </c>
      <c r="EF24" s="229">
        <v>5.3E-3</v>
      </c>
      <c r="EG24" s="230">
        <v>3711897</v>
      </c>
      <c r="EH24" s="230">
        <v>3179399</v>
      </c>
      <c r="EI24" s="229">
        <v>0.16750000000000001</v>
      </c>
      <c r="EJ24" s="229">
        <v>0.59599999999999997</v>
      </c>
      <c r="EK24" s="231">
        <v>3420.2</v>
      </c>
      <c r="EL24" s="231">
        <v>1748.69</v>
      </c>
      <c r="EM24" s="231">
        <v>6159.22</v>
      </c>
      <c r="EN24" s="228">
        <v>332.57</v>
      </c>
      <c r="EO24" s="231">
        <v>11328.1</v>
      </c>
      <c r="EP24" s="231">
        <v>12215.92</v>
      </c>
      <c r="EQ24" s="228">
        <v>-887.82</v>
      </c>
      <c r="ER24" s="229">
        <v>-7.2700000000000001E-2</v>
      </c>
      <c r="ES24" s="231">
        <v>3111.69</v>
      </c>
      <c r="ET24" s="231">
        <v>1826.19</v>
      </c>
      <c r="EU24" s="231">
        <v>8960.3799999999992</v>
      </c>
      <c r="EV24" s="231">
        <v>317526833</v>
      </c>
      <c r="EW24" s="231">
        <v>13898.26</v>
      </c>
      <c r="EX24" s="231">
        <v>13979.21</v>
      </c>
      <c r="EY24" s="228">
        <v>-80.95</v>
      </c>
      <c r="EZ24" s="229">
        <v>-5.7999999999999996E-3</v>
      </c>
      <c r="FA24" s="229">
        <v>0.45469999999999999</v>
      </c>
      <c r="FB24" s="227" t="s">
        <v>555</v>
      </c>
      <c r="FC24">
        <f t="shared" si="0"/>
        <v>6041</v>
      </c>
    </row>
    <row r="25" spans="1:159" ht="17.25" thickBot="1" x14ac:dyDescent="0.3">
      <c r="A25" s="226">
        <v>46044</v>
      </c>
      <c r="B25" s="227" t="s">
        <v>172</v>
      </c>
      <c r="C25" s="227" t="s">
        <v>179</v>
      </c>
      <c r="D25" s="228">
        <v>3600</v>
      </c>
      <c r="E25" s="228">
        <v>5</v>
      </c>
      <c r="F25" s="228">
        <v>142.34</v>
      </c>
      <c r="G25" s="228">
        <v>138.22999999999999</v>
      </c>
      <c r="H25" s="228">
        <v>4.1100000000000003</v>
      </c>
      <c r="I25" s="229">
        <v>2.9700000000000001E-2</v>
      </c>
      <c r="J25" s="228">
        <v>142.46</v>
      </c>
      <c r="K25" s="228">
        <v>137.97999999999999</v>
      </c>
      <c r="L25" s="228">
        <v>4.4800000000000004</v>
      </c>
      <c r="M25" s="229">
        <v>3.2500000000000001E-2</v>
      </c>
      <c r="N25" s="228">
        <v>142.34</v>
      </c>
      <c r="O25" s="228">
        <v>138.22999999999999</v>
      </c>
      <c r="P25" s="228">
        <v>4.1100000000000003</v>
      </c>
      <c r="Q25" s="229">
        <v>2.9700000000000001E-2</v>
      </c>
      <c r="R25" s="228">
        <v>142.82</v>
      </c>
      <c r="S25" s="228">
        <v>138.97</v>
      </c>
      <c r="T25" s="228">
        <v>3.85</v>
      </c>
      <c r="U25" s="229">
        <v>2.7699999999999999E-2</v>
      </c>
      <c r="V25" s="228">
        <v>143.94999999999999</v>
      </c>
      <c r="W25" s="228">
        <v>139.82</v>
      </c>
      <c r="X25" s="228">
        <v>4.13</v>
      </c>
      <c r="Y25" s="229">
        <v>2.9499999999999998E-2</v>
      </c>
      <c r="Z25" s="228">
        <v>-0.12</v>
      </c>
      <c r="AA25" s="228">
        <v>0.25</v>
      </c>
      <c r="AB25" s="228">
        <v>-0.37</v>
      </c>
      <c r="AC25" s="229">
        <v>-8.0000000000000004E-4</v>
      </c>
      <c r="AD25" s="228">
        <v>-0.12</v>
      </c>
      <c r="AE25" s="228">
        <v>0.25</v>
      </c>
      <c r="AF25" s="228">
        <v>-0.37</v>
      </c>
      <c r="AG25" s="229">
        <v>-8.0000000000000004E-4</v>
      </c>
      <c r="AH25" s="228">
        <v>0.36</v>
      </c>
      <c r="AI25" s="228">
        <v>0.99</v>
      </c>
      <c r="AJ25" s="228">
        <v>-0.63</v>
      </c>
      <c r="AK25" s="229">
        <v>2.5000000000000001E-3</v>
      </c>
      <c r="AL25" s="228">
        <v>1.49</v>
      </c>
      <c r="AM25" s="228">
        <v>1.84</v>
      </c>
      <c r="AN25" s="228">
        <v>-0.35</v>
      </c>
      <c r="AO25" s="229">
        <v>1.0500000000000001E-2</v>
      </c>
      <c r="AP25" s="228">
        <v>139.68</v>
      </c>
      <c r="AQ25" s="228">
        <v>140.16</v>
      </c>
      <c r="AR25" s="228">
        <v>0</v>
      </c>
      <c r="AS25" s="228">
        <v>316</v>
      </c>
      <c r="AT25" s="228">
        <v>764</v>
      </c>
      <c r="AU25" s="228">
        <v>-448</v>
      </c>
      <c r="AV25" s="229">
        <v>-0.58630000000000004</v>
      </c>
      <c r="AW25" s="228">
        <v>200</v>
      </c>
      <c r="AX25" s="228">
        <v>391</v>
      </c>
      <c r="AY25" s="228">
        <v>-191</v>
      </c>
      <c r="AZ25" s="229">
        <v>-0.48870000000000002</v>
      </c>
      <c r="BA25" s="228">
        <v>116</v>
      </c>
      <c r="BB25" s="228">
        <v>367</v>
      </c>
      <c r="BC25" s="228">
        <v>-252</v>
      </c>
      <c r="BD25" s="229">
        <v>-0.68540000000000001</v>
      </c>
      <c r="BE25" s="228">
        <v>1</v>
      </c>
      <c r="BF25" s="228">
        <v>6</v>
      </c>
      <c r="BG25" s="228">
        <v>-5</v>
      </c>
      <c r="BH25" s="229">
        <v>-0.86780000000000002</v>
      </c>
      <c r="BI25" s="228">
        <v>57</v>
      </c>
      <c r="BJ25" s="228">
        <v>549</v>
      </c>
      <c r="BK25" s="228">
        <v>-492</v>
      </c>
      <c r="BL25" s="229">
        <v>-0.89590000000000003</v>
      </c>
      <c r="BM25" s="228">
        <v>26</v>
      </c>
      <c r="BN25" s="228">
        <v>410</v>
      </c>
      <c r="BO25" s="228">
        <v>-384</v>
      </c>
      <c r="BP25" s="229">
        <v>-0.93730000000000002</v>
      </c>
      <c r="BQ25" s="228">
        <v>399</v>
      </c>
      <c r="BR25" s="230">
        <v>1723</v>
      </c>
      <c r="BS25" s="230">
        <v>-1324</v>
      </c>
      <c r="BT25" s="229">
        <v>-0.76839999999999997</v>
      </c>
      <c r="BU25" s="230">
        <v>12670246</v>
      </c>
      <c r="BV25" s="230">
        <v>13823624</v>
      </c>
      <c r="BW25" s="230">
        <v>-1153378</v>
      </c>
      <c r="BX25" s="229">
        <v>-8.3400000000000002E-2</v>
      </c>
      <c r="BY25" s="230">
        <v>1891</v>
      </c>
      <c r="BZ25" s="230">
        <v>1989</v>
      </c>
      <c r="CA25" s="228">
        <v>-98</v>
      </c>
      <c r="CB25" s="229">
        <v>-4.9299999999999997E-2</v>
      </c>
      <c r="CC25" s="228">
        <v>909</v>
      </c>
      <c r="CD25" s="230">
        <v>1070</v>
      </c>
      <c r="CE25" s="228">
        <v>-161</v>
      </c>
      <c r="CF25" s="229">
        <v>-0.1507</v>
      </c>
      <c r="CG25" s="228">
        <v>960</v>
      </c>
      <c r="CH25" s="228">
        <v>897</v>
      </c>
      <c r="CI25" s="228">
        <v>64</v>
      </c>
      <c r="CJ25" s="229">
        <v>7.0999999999999994E-2</v>
      </c>
      <c r="CK25" s="228">
        <v>22</v>
      </c>
      <c r="CL25" s="228">
        <v>22</v>
      </c>
      <c r="CM25" s="228">
        <v>0</v>
      </c>
      <c r="CN25" s="229">
        <v>-2.06E-2</v>
      </c>
      <c r="CO25" s="228">
        <v>547</v>
      </c>
      <c r="CP25" s="228">
        <v>577</v>
      </c>
      <c r="CQ25" s="228">
        <v>-30</v>
      </c>
      <c r="CR25" s="229">
        <v>-5.1400000000000001E-2</v>
      </c>
      <c r="CS25" s="228">
        <v>450</v>
      </c>
      <c r="CT25" s="228">
        <v>462</v>
      </c>
      <c r="CU25" s="228">
        <v>-12</v>
      </c>
      <c r="CV25" s="229">
        <v>-2.5700000000000001E-2</v>
      </c>
      <c r="CW25" s="230">
        <v>2887</v>
      </c>
      <c r="CX25" s="230">
        <v>3027</v>
      </c>
      <c r="CY25" s="228">
        <v>-140</v>
      </c>
      <c r="CZ25" s="229">
        <v>-4.6100000000000002E-2</v>
      </c>
      <c r="DA25" s="228">
        <v>32.93</v>
      </c>
      <c r="DB25" s="228">
        <v>48.1</v>
      </c>
      <c r="DC25" s="228">
        <v>-15.17</v>
      </c>
      <c r="DD25" s="228">
        <v>-15.17</v>
      </c>
      <c r="DE25" s="228">
        <v>40.71</v>
      </c>
      <c r="DF25" s="228">
        <v>40.619999999999997</v>
      </c>
      <c r="DG25" s="228">
        <v>-7.78</v>
      </c>
      <c r="DH25" s="228">
        <v>0.09</v>
      </c>
      <c r="DI25" s="228">
        <v>31.89</v>
      </c>
      <c r="DJ25" s="228">
        <v>48.86</v>
      </c>
      <c r="DK25" s="228">
        <v>-16.97</v>
      </c>
      <c r="DL25" s="228">
        <v>-16.97</v>
      </c>
      <c r="DM25" s="228">
        <v>34.409999999999997</v>
      </c>
      <c r="DN25" s="228">
        <v>47.08</v>
      </c>
      <c r="DO25" s="228">
        <v>-12.67</v>
      </c>
      <c r="DP25" s="228">
        <v>-12.67</v>
      </c>
      <c r="DQ25" s="228">
        <v>0.82</v>
      </c>
      <c r="DR25" s="228">
        <v>0.8</v>
      </c>
      <c r="DS25" s="228">
        <v>0.02</v>
      </c>
      <c r="DT25" s="229">
        <v>2.5000000000000001E-2</v>
      </c>
      <c r="DU25" s="228">
        <v>150</v>
      </c>
      <c r="DV25" s="228">
        <v>150</v>
      </c>
      <c r="DW25" s="228">
        <v>0.45</v>
      </c>
      <c r="DX25" s="228">
        <v>0.75</v>
      </c>
      <c r="DY25" s="228">
        <v>-0.3</v>
      </c>
      <c r="DZ25" s="229">
        <v>-0.4</v>
      </c>
      <c r="EA25" s="229">
        <v>0.51939999999999997</v>
      </c>
      <c r="EB25" s="230">
        <v>64555200</v>
      </c>
      <c r="EC25" s="229">
        <v>3.3999999999999998E-3</v>
      </c>
      <c r="ED25" s="229">
        <v>0.51939999999999997</v>
      </c>
      <c r="EE25" s="228">
        <v>0.48</v>
      </c>
      <c r="EF25" s="229">
        <v>3.3999999999999998E-3</v>
      </c>
      <c r="EG25" s="230">
        <v>5902034</v>
      </c>
      <c r="EH25" s="230">
        <v>6488665</v>
      </c>
      <c r="EI25" s="229">
        <v>-9.0399999999999994E-2</v>
      </c>
      <c r="EJ25" s="229">
        <v>0.46579999999999999</v>
      </c>
      <c r="EK25" s="228">
        <v>60.04</v>
      </c>
      <c r="EL25" s="228">
        <v>26.55</v>
      </c>
      <c r="EM25" s="228">
        <v>310.70999999999998</v>
      </c>
      <c r="EN25" s="228">
        <v>113.92</v>
      </c>
      <c r="EO25" s="228">
        <v>397.3</v>
      </c>
      <c r="EP25" s="231">
        <v>1737.29</v>
      </c>
      <c r="EQ25" s="231">
        <v>-1340</v>
      </c>
      <c r="ER25" s="229">
        <v>-0.77129999999999999</v>
      </c>
      <c r="ES25" s="228">
        <v>583.25</v>
      </c>
      <c r="ET25" s="228">
        <v>459.86</v>
      </c>
      <c r="EU25" s="231">
        <v>1894.13</v>
      </c>
      <c r="EV25" s="231">
        <v>144289555</v>
      </c>
      <c r="EW25" s="231">
        <v>2937.23</v>
      </c>
      <c r="EX25" s="231">
        <v>3022.48</v>
      </c>
      <c r="EY25" s="228">
        <v>-85.25</v>
      </c>
      <c r="EZ25" s="229">
        <v>-2.8199999999999999E-2</v>
      </c>
      <c r="FA25" s="229">
        <v>1.4058999999999999</v>
      </c>
      <c r="FB25" s="227" t="s">
        <v>556</v>
      </c>
      <c r="FC25">
        <f t="shared" si="0"/>
        <v>982</v>
      </c>
    </row>
    <row r="26" spans="1:159" ht="17.25" thickBot="1" x14ac:dyDescent="0.3">
      <c r="A26" s="226">
        <v>46044</v>
      </c>
      <c r="B26" s="227" t="s">
        <v>172</v>
      </c>
      <c r="C26" s="227" t="s">
        <v>180</v>
      </c>
      <c r="D26" s="228">
        <v>2925</v>
      </c>
      <c r="E26" s="228">
        <v>5</v>
      </c>
      <c r="F26" s="228">
        <v>305.64999999999998</v>
      </c>
      <c r="G26" s="228">
        <v>299.60000000000002</v>
      </c>
      <c r="H26" s="228">
        <v>6.05</v>
      </c>
      <c r="I26" s="229">
        <v>2.0199999999999999E-2</v>
      </c>
      <c r="J26" s="228">
        <v>305.3</v>
      </c>
      <c r="K26" s="228">
        <v>299.05</v>
      </c>
      <c r="L26" s="228">
        <v>6.25</v>
      </c>
      <c r="M26" s="229">
        <v>2.0899999999999998E-2</v>
      </c>
      <c r="N26" s="228">
        <v>305.64999999999998</v>
      </c>
      <c r="O26" s="228">
        <v>299.60000000000002</v>
      </c>
      <c r="P26" s="228">
        <v>6.05</v>
      </c>
      <c r="Q26" s="229">
        <v>2.0199999999999999E-2</v>
      </c>
      <c r="R26" s="228">
        <v>307.25</v>
      </c>
      <c r="S26" s="228">
        <v>301.2</v>
      </c>
      <c r="T26" s="228">
        <v>6.05</v>
      </c>
      <c r="U26" s="229">
        <v>2.01E-2</v>
      </c>
      <c r="V26" s="228">
        <v>309.5</v>
      </c>
      <c r="W26" s="228">
        <v>303.05</v>
      </c>
      <c r="X26" s="228">
        <v>6.45</v>
      </c>
      <c r="Y26" s="229">
        <v>2.1299999999999999E-2</v>
      </c>
      <c r="Z26" s="228">
        <v>0.35</v>
      </c>
      <c r="AA26" s="228">
        <v>0.55000000000000004</v>
      </c>
      <c r="AB26" s="228">
        <v>-0.2</v>
      </c>
      <c r="AC26" s="229">
        <v>1.1000000000000001E-3</v>
      </c>
      <c r="AD26" s="228">
        <v>0.35</v>
      </c>
      <c r="AE26" s="228">
        <v>0.55000000000000004</v>
      </c>
      <c r="AF26" s="228">
        <v>-0.2</v>
      </c>
      <c r="AG26" s="229">
        <v>1.1000000000000001E-3</v>
      </c>
      <c r="AH26" s="228">
        <v>1.95</v>
      </c>
      <c r="AI26" s="228">
        <v>2.15</v>
      </c>
      <c r="AJ26" s="228">
        <v>-0.2</v>
      </c>
      <c r="AK26" s="229">
        <v>6.4000000000000003E-3</v>
      </c>
      <c r="AL26" s="228">
        <v>4.2</v>
      </c>
      <c r="AM26" s="228">
        <v>4</v>
      </c>
      <c r="AN26" s="228">
        <v>0.2</v>
      </c>
      <c r="AO26" s="229">
        <v>1.38E-2</v>
      </c>
      <c r="AP26" s="228">
        <v>305.89</v>
      </c>
      <c r="AQ26" s="228">
        <v>307.41000000000003</v>
      </c>
      <c r="AR26" s="228">
        <v>0</v>
      </c>
      <c r="AS26" s="230">
        <v>2148</v>
      </c>
      <c r="AT26" s="230">
        <v>1530</v>
      </c>
      <c r="AU26" s="228">
        <v>618</v>
      </c>
      <c r="AV26" s="229">
        <v>0.40379999999999999</v>
      </c>
      <c r="AW26" s="230">
        <v>1108</v>
      </c>
      <c r="AX26" s="228">
        <v>873</v>
      </c>
      <c r="AY26" s="228">
        <v>235</v>
      </c>
      <c r="AZ26" s="229">
        <v>0.26960000000000001</v>
      </c>
      <c r="BA26" s="230">
        <v>1024</v>
      </c>
      <c r="BB26" s="228">
        <v>639</v>
      </c>
      <c r="BC26" s="228">
        <v>386</v>
      </c>
      <c r="BD26" s="229">
        <v>0.60389999999999999</v>
      </c>
      <c r="BE26" s="228">
        <v>16</v>
      </c>
      <c r="BF26" s="228">
        <v>19</v>
      </c>
      <c r="BG26" s="228">
        <v>-3</v>
      </c>
      <c r="BH26" s="229">
        <v>-0.16270000000000001</v>
      </c>
      <c r="BI26" s="230">
        <v>2219</v>
      </c>
      <c r="BJ26" s="230">
        <v>2510</v>
      </c>
      <c r="BK26" s="228">
        <v>-291</v>
      </c>
      <c r="BL26" s="229">
        <v>-0.1158</v>
      </c>
      <c r="BM26" s="230">
        <v>1371</v>
      </c>
      <c r="BN26" s="230">
        <v>1816</v>
      </c>
      <c r="BO26" s="228">
        <v>-445</v>
      </c>
      <c r="BP26" s="229">
        <v>-0.245</v>
      </c>
      <c r="BQ26" s="230">
        <v>5738</v>
      </c>
      <c r="BR26" s="230">
        <v>5856</v>
      </c>
      <c r="BS26" s="228">
        <v>-118</v>
      </c>
      <c r="BT26" s="229">
        <v>-2.01E-2</v>
      </c>
      <c r="BU26" s="230">
        <v>8385427</v>
      </c>
      <c r="BV26" s="230">
        <v>8377124</v>
      </c>
      <c r="BW26" s="230">
        <v>8303</v>
      </c>
      <c r="BX26" s="229">
        <v>1E-3</v>
      </c>
      <c r="BY26" s="230">
        <v>2423</v>
      </c>
      <c r="BZ26" s="230">
        <v>2404</v>
      </c>
      <c r="CA26" s="228">
        <v>19</v>
      </c>
      <c r="CB26" s="229">
        <v>8.0999999999999996E-3</v>
      </c>
      <c r="CC26" s="228">
        <v>905</v>
      </c>
      <c r="CD26" s="230">
        <v>1601</v>
      </c>
      <c r="CE26" s="228">
        <v>-696</v>
      </c>
      <c r="CF26" s="229">
        <v>-0.43480000000000002</v>
      </c>
      <c r="CG26" s="230">
        <v>1485</v>
      </c>
      <c r="CH26" s="228">
        <v>773</v>
      </c>
      <c r="CI26" s="228">
        <v>712</v>
      </c>
      <c r="CJ26" s="229">
        <v>0.9204</v>
      </c>
      <c r="CK26" s="228">
        <v>33</v>
      </c>
      <c r="CL26" s="228">
        <v>30</v>
      </c>
      <c r="CM26" s="228">
        <v>3</v>
      </c>
      <c r="CN26" s="229">
        <v>0.1178</v>
      </c>
      <c r="CO26" s="230">
        <v>1750</v>
      </c>
      <c r="CP26" s="230">
        <v>2007</v>
      </c>
      <c r="CQ26" s="228">
        <v>-256</v>
      </c>
      <c r="CR26" s="229">
        <v>-0.12770000000000001</v>
      </c>
      <c r="CS26" s="230">
        <v>1293</v>
      </c>
      <c r="CT26" s="230">
        <v>1328</v>
      </c>
      <c r="CU26" s="228">
        <v>-35</v>
      </c>
      <c r="CV26" s="229">
        <v>-2.64E-2</v>
      </c>
      <c r="CW26" s="230">
        <v>5467</v>
      </c>
      <c r="CX26" s="230">
        <v>5739</v>
      </c>
      <c r="CY26" s="228">
        <v>-272</v>
      </c>
      <c r="CZ26" s="229">
        <v>-4.7399999999999998E-2</v>
      </c>
      <c r="DA26" s="228">
        <v>30.31</v>
      </c>
      <c r="DB26" s="228">
        <v>28.27</v>
      </c>
      <c r="DC26" s="228">
        <v>2.04</v>
      </c>
      <c r="DD26" s="228">
        <v>2.04</v>
      </c>
      <c r="DE26" s="228">
        <v>32.950000000000003</v>
      </c>
      <c r="DF26" s="228">
        <v>32.92</v>
      </c>
      <c r="DG26" s="228">
        <v>-2.64</v>
      </c>
      <c r="DH26" s="228">
        <v>0.03</v>
      </c>
      <c r="DI26" s="228">
        <v>30.18</v>
      </c>
      <c r="DJ26" s="228">
        <v>28.33</v>
      </c>
      <c r="DK26" s="228">
        <v>1.85</v>
      </c>
      <c r="DL26" s="228">
        <v>1.85</v>
      </c>
      <c r="DM26" s="228">
        <v>30.47</v>
      </c>
      <c r="DN26" s="228">
        <v>28.18</v>
      </c>
      <c r="DO26" s="228">
        <v>2.29</v>
      </c>
      <c r="DP26" s="228">
        <v>2.29</v>
      </c>
      <c r="DQ26" s="228">
        <v>0.74</v>
      </c>
      <c r="DR26" s="228">
        <v>0.66</v>
      </c>
      <c r="DS26" s="228">
        <v>0.08</v>
      </c>
      <c r="DT26" s="229">
        <v>0.1212</v>
      </c>
      <c r="DU26" s="228">
        <v>320</v>
      </c>
      <c r="DV26" s="228">
        <v>300</v>
      </c>
      <c r="DW26" s="228">
        <v>0.62</v>
      </c>
      <c r="DX26" s="228">
        <v>0.72</v>
      </c>
      <c r="DY26" s="228">
        <v>-0.1</v>
      </c>
      <c r="DZ26" s="229">
        <v>-0.1389</v>
      </c>
      <c r="EA26" s="229">
        <v>0.62660000000000005</v>
      </c>
      <c r="EB26" s="230">
        <v>26272350</v>
      </c>
      <c r="EC26" s="229">
        <v>5.1999999999999998E-3</v>
      </c>
      <c r="ED26" s="229">
        <v>0.62660000000000005</v>
      </c>
      <c r="EE26" s="228">
        <v>1.52</v>
      </c>
      <c r="EF26" s="229">
        <v>5.0000000000000001E-3</v>
      </c>
      <c r="EG26" s="230">
        <v>4193806</v>
      </c>
      <c r="EH26" s="230">
        <v>3168475</v>
      </c>
      <c r="EI26" s="229">
        <v>0.3236</v>
      </c>
      <c r="EJ26" s="229">
        <v>0.50009999999999999</v>
      </c>
      <c r="EK26" s="231">
        <v>2284.59</v>
      </c>
      <c r="EL26" s="231">
        <v>1351.39</v>
      </c>
      <c r="EM26" s="231">
        <v>2154.5100000000002</v>
      </c>
      <c r="EN26" s="228">
        <v>127.58</v>
      </c>
      <c r="EO26" s="231">
        <v>5790.48</v>
      </c>
      <c r="EP26" s="231">
        <v>5834.71</v>
      </c>
      <c r="EQ26" s="228">
        <v>-44.23</v>
      </c>
      <c r="ER26" s="229">
        <v>-7.6E-3</v>
      </c>
      <c r="ES26" s="231">
        <v>1796.56</v>
      </c>
      <c r="ET26" s="231">
        <v>1243.6600000000001</v>
      </c>
      <c r="EU26" s="231">
        <v>2431.27</v>
      </c>
      <c r="EV26" s="231">
        <v>279476623</v>
      </c>
      <c r="EW26" s="231">
        <v>5471.5</v>
      </c>
      <c r="EX26" s="231">
        <v>5697.88</v>
      </c>
      <c r="EY26" s="228">
        <v>-226.38</v>
      </c>
      <c r="EZ26" s="229">
        <v>-3.9699999999999999E-2</v>
      </c>
      <c r="FA26" s="229">
        <v>0.64</v>
      </c>
      <c r="FB26" s="227" t="s">
        <v>555</v>
      </c>
      <c r="FC26">
        <f t="shared" si="0"/>
        <v>1518</v>
      </c>
    </row>
    <row r="27" spans="1:159" ht="17.25" thickBot="1" x14ac:dyDescent="0.3">
      <c r="A27" s="226">
        <v>46044</v>
      </c>
      <c r="B27" s="227" t="s">
        <v>172</v>
      </c>
      <c r="C27" s="227" t="s">
        <v>602</v>
      </c>
      <c r="D27" s="228">
        <v>5200</v>
      </c>
      <c r="E27" s="228">
        <v>5</v>
      </c>
      <c r="F27" s="228">
        <v>166.26</v>
      </c>
      <c r="G27" s="228">
        <v>157.44999999999999</v>
      </c>
      <c r="H27" s="228">
        <v>8.81</v>
      </c>
      <c r="I27" s="229">
        <v>5.6000000000000001E-2</v>
      </c>
      <c r="J27" s="228">
        <v>166.42</v>
      </c>
      <c r="K27" s="228">
        <v>157.47999999999999</v>
      </c>
      <c r="L27" s="228">
        <v>8.94</v>
      </c>
      <c r="M27" s="229">
        <v>5.6800000000000003E-2</v>
      </c>
      <c r="N27" s="228">
        <v>166.26</v>
      </c>
      <c r="O27" s="228">
        <v>157.44999999999999</v>
      </c>
      <c r="P27" s="228">
        <v>8.81</v>
      </c>
      <c r="Q27" s="229">
        <v>5.6000000000000001E-2</v>
      </c>
      <c r="R27" s="228">
        <v>167.2</v>
      </c>
      <c r="S27" s="228">
        <v>158.26</v>
      </c>
      <c r="T27" s="228">
        <v>8.94</v>
      </c>
      <c r="U27" s="229">
        <v>5.6500000000000002E-2</v>
      </c>
      <c r="V27" s="228">
        <v>168.18</v>
      </c>
      <c r="W27" s="228">
        <v>159.38</v>
      </c>
      <c r="X27" s="228">
        <v>8.8000000000000007</v>
      </c>
      <c r="Y27" s="229">
        <v>5.5199999999999999E-2</v>
      </c>
      <c r="Z27" s="228">
        <v>-0.16</v>
      </c>
      <c r="AA27" s="228">
        <v>-0.03</v>
      </c>
      <c r="AB27" s="228">
        <v>-0.13</v>
      </c>
      <c r="AC27" s="229">
        <v>-1E-3</v>
      </c>
      <c r="AD27" s="228">
        <v>-0.16</v>
      </c>
      <c r="AE27" s="228">
        <v>-0.03</v>
      </c>
      <c r="AF27" s="228">
        <v>-0.13</v>
      </c>
      <c r="AG27" s="229">
        <v>-1E-3</v>
      </c>
      <c r="AH27" s="228">
        <v>0.78</v>
      </c>
      <c r="AI27" s="228">
        <v>0.78</v>
      </c>
      <c r="AJ27" s="228">
        <v>0</v>
      </c>
      <c r="AK27" s="229">
        <v>4.7000000000000002E-3</v>
      </c>
      <c r="AL27" s="228">
        <v>1.76</v>
      </c>
      <c r="AM27" s="228">
        <v>1.9</v>
      </c>
      <c r="AN27" s="228">
        <v>-0.14000000000000001</v>
      </c>
      <c r="AO27" s="229">
        <v>1.06E-2</v>
      </c>
      <c r="AP27" s="228">
        <v>165.55</v>
      </c>
      <c r="AQ27" s="228">
        <v>166.56</v>
      </c>
      <c r="AR27" s="228">
        <v>0</v>
      </c>
      <c r="AS27" s="230">
        <v>1518</v>
      </c>
      <c r="AT27" s="228">
        <v>765</v>
      </c>
      <c r="AU27" s="228">
        <v>753</v>
      </c>
      <c r="AV27" s="229">
        <v>0.98409999999999997</v>
      </c>
      <c r="AW27" s="228">
        <v>756</v>
      </c>
      <c r="AX27" s="228">
        <v>453</v>
      </c>
      <c r="AY27" s="228">
        <v>303</v>
      </c>
      <c r="AZ27" s="229">
        <v>0.66879999999999995</v>
      </c>
      <c r="BA27" s="228">
        <v>743</v>
      </c>
      <c r="BB27" s="228">
        <v>300</v>
      </c>
      <c r="BC27" s="228">
        <v>443</v>
      </c>
      <c r="BD27" s="229">
        <v>1.4789000000000001</v>
      </c>
      <c r="BE27" s="228">
        <v>19</v>
      </c>
      <c r="BF27" s="228">
        <v>12</v>
      </c>
      <c r="BG27" s="228">
        <v>7</v>
      </c>
      <c r="BH27" s="229">
        <v>0.53900000000000003</v>
      </c>
      <c r="BI27" s="230">
        <v>3742</v>
      </c>
      <c r="BJ27" s="230">
        <v>1289</v>
      </c>
      <c r="BK27" s="230">
        <v>2453</v>
      </c>
      <c r="BL27" s="229">
        <v>1.9020999999999999</v>
      </c>
      <c r="BM27" s="230">
        <v>1597</v>
      </c>
      <c r="BN27" s="228">
        <v>908</v>
      </c>
      <c r="BO27" s="228">
        <v>689</v>
      </c>
      <c r="BP27" s="229">
        <v>0.75890000000000002</v>
      </c>
      <c r="BQ27" s="230">
        <v>6856</v>
      </c>
      <c r="BR27" s="230">
        <v>2962</v>
      </c>
      <c r="BS27" s="230">
        <v>3894</v>
      </c>
      <c r="BT27" s="229">
        <v>1.3147</v>
      </c>
      <c r="BU27" s="230">
        <v>44972291</v>
      </c>
      <c r="BV27" s="230">
        <v>18186924</v>
      </c>
      <c r="BW27" s="230">
        <v>26785367</v>
      </c>
      <c r="BX27" s="229">
        <v>1.4728000000000001</v>
      </c>
      <c r="BY27" s="228">
        <v>932</v>
      </c>
      <c r="BZ27" s="228">
        <v>913</v>
      </c>
      <c r="CA27" s="228">
        <v>19</v>
      </c>
      <c r="CB27" s="229">
        <v>2.1000000000000001E-2</v>
      </c>
      <c r="CC27" s="228">
        <v>345</v>
      </c>
      <c r="CD27" s="228">
        <v>658</v>
      </c>
      <c r="CE27" s="228">
        <v>-313</v>
      </c>
      <c r="CF27" s="229">
        <v>-0.47510000000000002</v>
      </c>
      <c r="CG27" s="228">
        <v>574</v>
      </c>
      <c r="CH27" s="228">
        <v>242</v>
      </c>
      <c r="CI27" s="228">
        <v>332</v>
      </c>
      <c r="CJ27" s="229">
        <v>1.3718999999999999</v>
      </c>
      <c r="CK27" s="228">
        <v>13</v>
      </c>
      <c r="CL27" s="228">
        <v>13</v>
      </c>
      <c r="CM27" s="228">
        <v>0</v>
      </c>
      <c r="CN27" s="229">
        <v>-1.34E-2</v>
      </c>
      <c r="CO27" s="228">
        <v>710</v>
      </c>
      <c r="CP27" s="228">
        <v>769</v>
      </c>
      <c r="CQ27" s="228">
        <v>-59</v>
      </c>
      <c r="CR27" s="229">
        <v>-7.6600000000000001E-2</v>
      </c>
      <c r="CS27" s="228">
        <v>572</v>
      </c>
      <c r="CT27" s="228">
        <v>589</v>
      </c>
      <c r="CU27" s="228">
        <v>-17</v>
      </c>
      <c r="CV27" s="229">
        <v>-2.93E-2</v>
      </c>
      <c r="CW27" s="230">
        <v>2214</v>
      </c>
      <c r="CX27" s="230">
        <v>2271</v>
      </c>
      <c r="CY27" s="228">
        <v>-57</v>
      </c>
      <c r="CZ27" s="229">
        <v>-2.5100000000000001E-2</v>
      </c>
      <c r="DA27" s="228">
        <v>36.49</v>
      </c>
      <c r="DB27" s="228">
        <v>50.1</v>
      </c>
      <c r="DC27" s="228">
        <v>-13.61</v>
      </c>
      <c r="DD27" s="228">
        <v>-13.61</v>
      </c>
      <c r="DE27" s="228">
        <v>38.69</v>
      </c>
      <c r="DF27" s="228">
        <v>38.08</v>
      </c>
      <c r="DG27" s="228">
        <v>-2.2000000000000002</v>
      </c>
      <c r="DH27" s="228">
        <v>0.61</v>
      </c>
      <c r="DI27" s="228">
        <v>36.409999999999997</v>
      </c>
      <c r="DJ27" s="228">
        <v>50.26</v>
      </c>
      <c r="DK27" s="228">
        <v>-13.85</v>
      </c>
      <c r="DL27" s="228">
        <v>-13.85</v>
      </c>
      <c r="DM27" s="228">
        <v>36.630000000000003</v>
      </c>
      <c r="DN27" s="228">
        <v>49.86</v>
      </c>
      <c r="DO27" s="228">
        <v>-13.23</v>
      </c>
      <c r="DP27" s="228">
        <v>-13.23</v>
      </c>
      <c r="DQ27" s="228">
        <v>0.81</v>
      </c>
      <c r="DR27" s="228">
        <v>0.77</v>
      </c>
      <c r="DS27" s="228">
        <v>0.04</v>
      </c>
      <c r="DT27" s="229">
        <v>5.1900000000000002E-2</v>
      </c>
      <c r="DU27" s="228">
        <v>170</v>
      </c>
      <c r="DV27" s="228">
        <v>160</v>
      </c>
      <c r="DW27" s="228">
        <v>0.43</v>
      </c>
      <c r="DX27" s="228">
        <v>0.7</v>
      </c>
      <c r="DY27" s="228">
        <v>-0.27</v>
      </c>
      <c r="DZ27" s="229">
        <v>-0.38569999999999999</v>
      </c>
      <c r="EA27" s="229">
        <v>0.62939999999999996</v>
      </c>
      <c r="EB27" s="230">
        <v>15329600</v>
      </c>
      <c r="EC27" s="229">
        <v>5.7000000000000002E-3</v>
      </c>
      <c r="ED27" s="229">
        <v>0.62939999999999996</v>
      </c>
      <c r="EE27" s="228">
        <v>1.01</v>
      </c>
      <c r="EF27" s="229">
        <v>6.1000000000000004E-3</v>
      </c>
      <c r="EG27" s="230">
        <v>14896298</v>
      </c>
      <c r="EH27" s="230">
        <v>5851125</v>
      </c>
      <c r="EI27" s="229">
        <v>1.5459000000000001</v>
      </c>
      <c r="EJ27" s="229">
        <v>0.33119999999999999</v>
      </c>
      <c r="EK27" s="231">
        <v>3852.5</v>
      </c>
      <c r="EL27" s="231">
        <v>1523.98</v>
      </c>
      <c r="EM27" s="231">
        <v>1515.95</v>
      </c>
      <c r="EN27" s="228">
        <v>79.09</v>
      </c>
      <c r="EO27" s="231">
        <v>6892.43</v>
      </c>
      <c r="EP27" s="231">
        <v>2881.28</v>
      </c>
      <c r="EQ27" s="231">
        <v>4011.15</v>
      </c>
      <c r="ER27" s="229">
        <v>1.3920999999999999</v>
      </c>
      <c r="ES27" s="228">
        <v>701.8</v>
      </c>
      <c r="ET27" s="228">
        <v>521.28</v>
      </c>
      <c r="EU27" s="228">
        <v>935.47</v>
      </c>
      <c r="EV27" s="231">
        <v>181770921</v>
      </c>
      <c r="EW27" s="231">
        <v>2158.54</v>
      </c>
      <c r="EX27" s="231">
        <v>2146.8000000000002</v>
      </c>
      <c r="EY27" s="228">
        <v>11.74</v>
      </c>
      <c r="EZ27" s="229">
        <v>5.4999999999999997E-3</v>
      </c>
      <c r="FA27" s="229">
        <v>0.73260000000000003</v>
      </c>
      <c r="FB27" s="227" t="s">
        <v>555</v>
      </c>
      <c r="FC27">
        <f t="shared" si="0"/>
        <v>587</v>
      </c>
    </row>
    <row r="28" spans="1:159" ht="17.25" thickBot="1" x14ac:dyDescent="0.3">
      <c r="A28" s="226">
        <v>46044</v>
      </c>
      <c r="B28" s="227" t="s">
        <v>181</v>
      </c>
      <c r="C28" s="227" t="s">
        <v>182</v>
      </c>
      <c r="D28" s="228">
        <v>30</v>
      </c>
      <c r="E28" s="228">
        <v>5</v>
      </c>
      <c r="F28" s="231">
        <v>59343.199999999997</v>
      </c>
      <c r="G28" s="231">
        <v>58855.8</v>
      </c>
      <c r="H28" s="228">
        <v>487.4</v>
      </c>
      <c r="I28" s="229">
        <v>8.3000000000000001E-3</v>
      </c>
      <c r="J28" s="231">
        <v>59200.1</v>
      </c>
      <c r="K28" s="231">
        <v>58800.3</v>
      </c>
      <c r="L28" s="228">
        <v>399.8</v>
      </c>
      <c r="M28" s="229">
        <v>6.7999999999999996E-3</v>
      </c>
      <c r="N28" s="231">
        <v>59343.199999999997</v>
      </c>
      <c r="O28" s="231">
        <v>58855.8</v>
      </c>
      <c r="P28" s="228">
        <v>487.4</v>
      </c>
      <c r="Q28" s="229">
        <v>8.3000000000000001E-3</v>
      </c>
      <c r="R28" s="231">
        <v>59627.6</v>
      </c>
      <c r="S28" s="231">
        <v>59201.599999999999</v>
      </c>
      <c r="T28" s="228">
        <v>426</v>
      </c>
      <c r="U28" s="229">
        <v>7.1999999999999998E-3</v>
      </c>
      <c r="V28" s="231">
        <v>60035.4</v>
      </c>
      <c r="W28" s="231">
        <v>59614.6</v>
      </c>
      <c r="X28" s="228">
        <v>420.8</v>
      </c>
      <c r="Y28" s="229">
        <v>7.1000000000000004E-3</v>
      </c>
      <c r="Z28" s="228">
        <v>143.1</v>
      </c>
      <c r="AA28" s="228">
        <v>55.5</v>
      </c>
      <c r="AB28" s="228">
        <v>87.6</v>
      </c>
      <c r="AC28" s="229">
        <v>2.3999999999999998E-3</v>
      </c>
      <c r="AD28" s="228">
        <v>143.1</v>
      </c>
      <c r="AE28" s="228">
        <v>55.5</v>
      </c>
      <c r="AF28" s="228">
        <v>87.6</v>
      </c>
      <c r="AG28" s="229">
        <v>2.3999999999999998E-3</v>
      </c>
      <c r="AH28" s="228">
        <v>427.5</v>
      </c>
      <c r="AI28" s="228">
        <v>401.3</v>
      </c>
      <c r="AJ28" s="228">
        <v>26.2</v>
      </c>
      <c r="AK28" s="229">
        <v>7.1999999999999998E-3</v>
      </c>
      <c r="AL28" s="228">
        <v>835.3</v>
      </c>
      <c r="AM28" s="228">
        <v>814.3</v>
      </c>
      <c r="AN28" s="228">
        <v>21</v>
      </c>
      <c r="AO28" s="229">
        <v>1.41E-2</v>
      </c>
      <c r="AP28" s="231">
        <v>59290.46</v>
      </c>
      <c r="AQ28" s="231">
        <v>59570.67</v>
      </c>
      <c r="AR28" s="228">
        <v>0</v>
      </c>
      <c r="AS28" s="230">
        <v>9592</v>
      </c>
      <c r="AT28" s="230">
        <v>10865</v>
      </c>
      <c r="AU28" s="230">
        <v>-1273</v>
      </c>
      <c r="AV28" s="229">
        <v>-0.1171</v>
      </c>
      <c r="AW28" s="230">
        <v>6494</v>
      </c>
      <c r="AX28" s="230">
        <v>7723</v>
      </c>
      <c r="AY28" s="230">
        <v>-1229</v>
      </c>
      <c r="AZ28" s="229">
        <v>-0.15920000000000001</v>
      </c>
      <c r="BA28" s="230">
        <v>2793</v>
      </c>
      <c r="BB28" s="230">
        <v>2691</v>
      </c>
      <c r="BC28" s="228">
        <v>102</v>
      </c>
      <c r="BD28" s="229">
        <v>3.7999999999999999E-2</v>
      </c>
      <c r="BE28" s="228">
        <v>305</v>
      </c>
      <c r="BF28" s="228">
        <v>451</v>
      </c>
      <c r="BG28" s="228">
        <v>-145</v>
      </c>
      <c r="BH28" s="229">
        <v>-0.32250000000000001</v>
      </c>
      <c r="BI28" s="230">
        <v>768023</v>
      </c>
      <c r="BJ28" s="230">
        <v>950804</v>
      </c>
      <c r="BK28" s="230">
        <v>-182781</v>
      </c>
      <c r="BL28" s="229">
        <v>-0.19220000000000001</v>
      </c>
      <c r="BM28" s="230">
        <v>690804</v>
      </c>
      <c r="BN28" s="230">
        <v>930313</v>
      </c>
      <c r="BO28" s="230">
        <v>-239509</v>
      </c>
      <c r="BP28" s="229">
        <v>-0.25740000000000002</v>
      </c>
      <c r="BQ28" s="230">
        <v>1468419</v>
      </c>
      <c r="BR28" s="230">
        <v>1891982</v>
      </c>
      <c r="BS28" s="230">
        <v>-423563</v>
      </c>
      <c r="BT28" s="229">
        <v>-0.22389999999999999</v>
      </c>
      <c r="BU28" s="228">
        <v>0</v>
      </c>
      <c r="BV28" s="228">
        <v>0</v>
      </c>
      <c r="BW28" s="228">
        <v>0</v>
      </c>
      <c r="BX28" s="229">
        <v>0</v>
      </c>
      <c r="BY28" s="230">
        <v>9363</v>
      </c>
      <c r="BZ28" s="230">
        <v>9455</v>
      </c>
      <c r="CA28" s="228">
        <v>-92</v>
      </c>
      <c r="CB28" s="229">
        <v>-9.7000000000000003E-3</v>
      </c>
      <c r="CC28" s="230">
        <v>5489</v>
      </c>
      <c r="CD28" s="230">
        <v>6685</v>
      </c>
      <c r="CE28" s="230">
        <v>-1197</v>
      </c>
      <c r="CF28" s="229">
        <v>-0.17899999999999999</v>
      </c>
      <c r="CG28" s="230">
        <v>3370</v>
      </c>
      <c r="CH28" s="230">
        <v>2267</v>
      </c>
      <c r="CI28" s="230">
        <v>1103</v>
      </c>
      <c r="CJ28" s="229">
        <v>0.4864</v>
      </c>
      <c r="CK28" s="228">
        <v>504</v>
      </c>
      <c r="CL28" s="228">
        <v>503</v>
      </c>
      <c r="CM28" s="228">
        <v>2</v>
      </c>
      <c r="CN28" s="229">
        <v>3.5000000000000001E-3</v>
      </c>
      <c r="CO28" s="230">
        <v>128779</v>
      </c>
      <c r="CP28" s="230">
        <v>128597</v>
      </c>
      <c r="CQ28" s="228">
        <v>182</v>
      </c>
      <c r="CR28" s="229">
        <v>1.4E-3</v>
      </c>
      <c r="CS28" s="230">
        <v>104321</v>
      </c>
      <c r="CT28" s="230">
        <v>94904</v>
      </c>
      <c r="CU28" s="230">
        <v>9417</v>
      </c>
      <c r="CV28" s="229">
        <v>9.9199999999999997E-2</v>
      </c>
      <c r="CW28" s="230">
        <v>242463</v>
      </c>
      <c r="CX28" s="230">
        <v>232956</v>
      </c>
      <c r="CY28" s="230">
        <v>9507</v>
      </c>
      <c r="CZ28" s="229">
        <v>4.0800000000000003E-2</v>
      </c>
      <c r="DA28" s="228">
        <v>13.84</v>
      </c>
      <c r="DB28" s="228">
        <v>14.61</v>
      </c>
      <c r="DC28" s="228">
        <v>-0.77</v>
      </c>
      <c r="DD28" s="228">
        <v>-0.77</v>
      </c>
      <c r="DE28" s="228">
        <v>15.41</v>
      </c>
      <c r="DF28" s="228">
        <v>15.42</v>
      </c>
      <c r="DG28" s="228">
        <v>-1.57</v>
      </c>
      <c r="DH28" s="228">
        <v>-0.01</v>
      </c>
      <c r="DI28" s="228">
        <v>13.22</v>
      </c>
      <c r="DJ28" s="228">
        <v>14.73</v>
      </c>
      <c r="DK28" s="228">
        <v>-1.51</v>
      </c>
      <c r="DL28" s="228">
        <v>-1.51</v>
      </c>
      <c r="DM28" s="228">
        <v>14.42</v>
      </c>
      <c r="DN28" s="228">
        <v>14.49</v>
      </c>
      <c r="DO28" s="228">
        <v>-7.0000000000000007E-2</v>
      </c>
      <c r="DP28" s="228">
        <v>-7.0000000000000007E-2</v>
      </c>
      <c r="DQ28" s="228">
        <v>0.81</v>
      </c>
      <c r="DR28" s="228">
        <v>0.74</v>
      </c>
      <c r="DS28" s="228">
        <v>7.0000000000000007E-2</v>
      </c>
      <c r="DT28" s="229">
        <v>9.4600000000000004E-2</v>
      </c>
      <c r="DU28" s="231">
        <v>60000</v>
      </c>
      <c r="DV28" s="231">
        <v>60000</v>
      </c>
      <c r="DW28" s="228">
        <v>0.9</v>
      </c>
      <c r="DX28" s="228">
        <v>0.98</v>
      </c>
      <c r="DY28" s="228">
        <v>-0.08</v>
      </c>
      <c r="DZ28" s="229">
        <v>-8.1600000000000006E-2</v>
      </c>
      <c r="EA28" s="229">
        <v>0.4138</v>
      </c>
      <c r="EB28" s="230">
        <v>466710</v>
      </c>
      <c r="EC28" s="229">
        <v>4.7999999999999996E-3</v>
      </c>
      <c r="ED28" s="229">
        <v>0.4138</v>
      </c>
      <c r="EE28" s="228">
        <v>280.20999999999998</v>
      </c>
      <c r="EF28" s="229">
        <v>4.7000000000000002E-3</v>
      </c>
      <c r="EG28" s="228">
        <v>0</v>
      </c>
      <c r="EH28" s="228">
        <v>0</v>
      </c>
      <c r="EI28" s="229">
        <v>0</v>
      </c>
      <c r="EJ28" s="229">
        <v>0</v>
      </c>
      <c r="EK28" s="231">
        <v>779932.01</v>
      </c>
      <c r="EL28" s="231">
        <v>682365.74</v>
      </c>
      <c r="EM28" s="231">
        <v>9600.4500000000007</v>
      </c>
      <c r="EN28" s="228">
        <v>0</v>
      </c>
      <c r="EO28" s="231">
        <v>1471898.21</v>
      </c>
      <c r="EP28" s="231">
        <v>1894153.85</v>
      </c>
      <c r="EQ28" s="231">
        <v>-422255.65</v>
      </c>
      <c r="ER28" s="229">
        <v>-0.22289999999999999</v>
      </c>
      <c r="ES28" s="231">
        <v>132248.57999999999</v>
      </c>
      <c r="ET28" s="231">
        <v>101992.28</v>
      </c>
      <c r="EU28" s="231">
        <v>9384.7900000000009</v>
      </c>
      <c r="EV28" s="228">
        <v>0</v>
      </c>
      <c r="EW28" s="231">
        <v>243625.65</v>
      </c>
      <c r="EX28" s="231">
        <v>234074.28</v>
      </c>
      <c r="EY28" s="231">
        <v>9551.3700000000008</v>
      </c>
      <c r="EZ28" s="229">
        <v>4.0800000000000003E-2</v>
      </c>
      <c r="FA28" s="229">
        <v>0</v>
      </c>
      <c r="FB28" s="227" t="s">
        <v>556</v>
      </c>
      <c r="FC28">
        <f t="shared" si="0"/>
        <v>3874</v>
      </c>
    </row>
    <row r="29" spans="1:159" s="195" customFormat="1" ht="17.25" thickBot="1" x14ac:dyDescent="0.3">
      <c r="A29" s="226">
        <v>46044</v>
      </c>
      <c r="B29" s="227" t="s">
        <v>184</v>
      </c>
      <c r="C29" s="227" t="s">
        <v>671</v>
      </c>
      <c r="D29" s="228">
        <v>350</v>
      </c>
      <c r="E29" s="228">
        <v>5</v>
      </c>
      <c r="F29" s="231">
        <v>1452.9</v>
      </c>
      <c r="G29" s="231">
        <v>1423.8</v>
      </c>
      <c r="H29" s="228">
        <v>29.1</v>
      </c>
      <c r="I29" s="229">
        <v>2.0400000000000001E-2</v>
      </c>
      <c r="J29" s="231">
        <v>1451.2</v>
      </c>
      <c r="K29" s="231">
        <v>1419.2</v>
      </c>
      <c r="L29" s="228">
        <v>32</v>
      </c>
      <c r="M29" s="229">
        <v>2.2499999999999999E-2</v>
      </c>
      <c r="N29" s="231">
        <v>1452.9</v>
      </c>
      <c r="O29" s="231">
        <v>1423.8</v>
      </c>
      <c r="P29" s="228">
        <v>29.1</v>
      </c>
      <c r="Q29" s="229">
        <v>2.0400000000000001E-2</v>
      </c>
      <c r="R29" s="231">
        <v>1455.7</v>
      </c>
      <c r="S29" s="231">
        <v>1425.8</v>
      </c>
      <c r="T29" s="228">
        <v>29.9</v>
      </c>
      <c r="U29" s="229">
        <v>2.1000000000000001E-2</v>
      </c>
      <c r="V29" s="231">
        <v>1463.8</v>
      </c>
      <c r="W29" s="231">
        <v>1435.4</v>
      </c>
      <c r="X29" s="228">
        <v>28.4</v>
      </c>
      <c r="Y29" s="229">
        <v>1.9800000000000002E-2</v>
      </c>
      <c r="Z29" s="228">
        <v>1.7</v>
      </c>
      <c r="AA29" s="228">
        <v>4.5999999999999996</v>
      </c>
      <c r="AB29" s="228">
        <v>-2.9</v>
      </c>
      <c r="AC29" s="229">
        <v>1.1999999999999999E-3</v>
      </c>
      <c r="AD29" s="228">
        <v>1.7</v>
      </c>
      <c r="AE29" s="228">
        <v>4.5999999999999996</v>
      </c>
      <c r="AF29" s="228">
        <v>-2.9</v>
      </c>
      <c r="AG29" s="229">
        <v>1.1999999999999999E-3</v>
      </c>
      <c r="AH29" s="228">
        <v>4.5</v>
      </c>
      <c r="AI29" s="228">
        <v>6.6</v>
      </c>
      <c r="AJ29" s="228">
        <v>-2.1</v>
      </c>
      <c r="AK29" s="229">
        <v>3.0999999999999999E-3</v>
      </c>
      <c r="AL29" s="228">
        <v>12.6</v>
      </c>
      <c r="AM29" s="228">
        <v>16.2</v>
      </c>
      <c r="AN29" s="228">
        <v>-3.6</v>
      </c>
      <c r="AO29" s="229">
        <v>8.6999999999999994E-3</v>
      </c>
      <c r="AP29" s="231">
        <v>1449.46</v>
      </c>
      <c r="AQ29" s="231">
        <v>1451.21</v>
      </c>
      <c r="AR29" s="228">
        <v>0</v>
      </c>
      <c r="AS29" s="228">
        <v>521</v>
      </c>
      <c r="AT29" s="228">
        <v>393</v>
      </c>
      <c r="AU29" s="228">
        <v>128</v>
      </c>
      <c r="AV29" s="229">
        <v>0.32619999999999999</v>
      </c>
      <c r="AW29" s="228">
        <v>295</v>
      </c>
      <c r="AX29" s="228">
        <v>217</v>
      </c>
      <c r="AY29" s="228">
        <v>78</v>
      </c>
      <c r="AZ29" s="229">
        <v>0.35949999999999999</v>
      </c>
      <c r="BA29" s="228">
        <v>223</v>
      </c>
      <c r="BB29" s="228">
        <v>172</v>
      </c>
      <c r="BC29" s="228">
        <v>51</v>
      </c>
      <c r="BD29" s="229">
        <v>0.2959</v>
      </c>
      <c r="BE29" s="228">
        <v>3</v>
      </c>
      <c r="BF29" s="228">
        <v>4</v>
      </c>
      <c r="BG29" s="228">
        <v>-1</v>
      </c>
      <c r="BH29" s="229">
        <v>-0.1772</v>
      </c>
      <c r="BI29" s="228">
        <v>840</v>
      </c>
      <c r="BJ29" s="230">
        <v>1528</v>
      </c>
      <c r="BK29" s="228">
        <v>-688</v>
      </c>
      <c r="BL29" s="229">
        <v>-0.45029999999999998</v>
      </c>
      <c r="BM29" s="228">
        <v>325</v>
      </c>
      <c r="BN29" s="228">
        <v>739</v>
      </c>
      <c r="BO29" s="228">
        <v>-414</v>
      </c>
      <c r="BP29" s="229">
        <v>-0.56020000000000003</v>
      </c>
      <c r="BQ29" s="230">
        <v>1685</v>
      </c>
      <c r="BR29" s="230">
        <v>2659</v>
      </c>
      <c r="BS29" s="228">
        <v>-974</v>
      </c>
      <c r="BT29" s="229">
        <v>-0.36609999999999998</v>
      </c>
      <c r="BU29" s="230">
        <v>865809</v>
      </c>
      <c r="BV29" s="230">
        <v>1587560</v>
      </c>
      <c r="BW29" s="230">
        <v>-721751</v>
      </c>
      <c r="BX29" s="229">
        <v>-0.4546</v>
      </c>
      <c r="BY29" s="228">
        <v>747</v>
      </c>
      <c r="BZ29" s="228">
        <v>792</v>
      </c>
      <c r="CA29" s="228">
        <v>-45</v>
      </c>
      <c r="CB29" s="229">
        <v>-5.6399999999999999E-2</v>
      </c>
      <c r="CC29" s="228">
        <v>425</v>
      </c>
      <c r="CD29" s="228">
        <v>563</v>
      </c>
      <c r="CE29" s="228">
        <v>-138</v>
      </c>
      <c r="CF29" s="229">
        <v>-0.24560000000000001</v>
      </c>
      <c r="CG29" s="228">
        <v>302</v>
      </c>
      <c r="CH29" s="228">
        <v>210</v>
      </c>
      <c r="CI29" s="228">
        <v>92</v>
      </c>
      <c r="CJ29" s="229">
        <v>0.4395</v>
      </c>
      <c r="CK29" s="228">
        <v>20</v>
      </c>
      <c r="CL29" s="228">
        <v>18</v>
      </c>
      <c r="CM29" s="228">
        <v>1</v>
      </c>
      <c r="CN29" s="229">
        <v>8.1000000000000003E-2</v>
      </c>
      <c r="CO29" s="228">
        <v>737</v>
      </c>
      <c r="CP29" s="228">
        <v>750</v>
      </c>
      <c r="CQ29" s="228">
        <v>-13</v>
      </c>
      <c r="CR29" s="229">
        <v>-1.6799999999999999E-2</v>
      </c>
      <c r="CS29" s="228">
        <v>393</v>
      </c>
      <c r="CT29" s="228">
        <v>400</v>
      </c>
      <c r="CU29" s="228">
        <v>-7</v>
      </c>
      <c r="CV29" s="229">
        <v>-1.6400000000000001E-2</v>
      </c>
      <c r="CW29" s="230">
        <v>1877</v>
      </c>
      <c r="CX29" s="230">
        <v>1941</v>
      </c>
      <c r="CY29" s="228">
        <v>-64</v>
      </c>
      <c r="CZ29" s="229">
        <v>-3.2899999999999999E-2</v>
      </c>
      <c r="DA29" s="228">
        <v>41.8</v>
      </c>
      <c r="DB29" s="228">
        <v>34.76</v>
      </c>
      <c r="DC29" s="228">
        <v>7.04</v>
      </c>
      <c r="DD29" s="228">
        <v>7.04</v>
      </c>
      <c r="DE29" s="228">
        <v>49.63</v>
      </c>
      <c r="DF29" s="228">
        <v>49.68</v>
      </c>
      <c r="DG29" s="228">
        <v>-7.83</v>
      </c>
      <c r="DH29" s="228">
        <v>-0.05</v>
      </c>
      <c r="DI29" s="228">
        <v>41.85</v>
      </c>
      <c r="DJ29" s="228">
        <v>37.19</v>
      </c>
      <c r="DK29" s="228">
        <v>4.66</v>
      </c>
      <c r="DL29" s="228">
        <v>4.66</v>
      </c>
      <c r="DM29" s="228">
        <v>41.69</v>
      </c>
      <c r="DN29" s="228">
        <v>29.74</v>
      </c>
      <c r="DO29" s="228">
        <v>11.95</v>
      </c>
      <c r="DP29" s="228">
        <v>11.95</v>
      </c>
      <c r="DQ29" s="228">
        <v>0.53</v>
      </c>
      <c r="DR29" s="228">
        <v>0.53</v>
      </c>
      <c r="DS29" s="228">
        <v>0</v>
      </c>
      <c r="DT29" s="229">
        <v>0</v>
      </c>
      <c r="DU29" s="231">
        <v>1600</v>
      </c>
      <c r="DV29" s="231">
        <v>1380</v>
      </c>
      <c r="DW29" s="228">
        <v>0.39</v>
      </c>
      <c r="DX29" s="228">
        <v>0.48</v>
      </c>
      <c r="DY29" s="228">
        <v>-0.09</v>
      </c>
      <c r="DZ29" s="229">
        <v>-0.1875</v>
      </c>
      <c r="EA29" s="229">
        <v>0.43080000000000002</v>
      </c>
      <c r="EB29" s="230">
        <v>1569750</v>
      </c>
      <c r="EC29" s="229">
        <v>1.9E-3</v>
      </c>
      <c r="ED29" s="229">
        <v>0.43080000000000002</v>
      </c>
      <c r="EE29" s="228">
        <v>1.75</v>
      </c>
      <c r="EF29" s="229">
        <v>1.1999999999999999E-3</v>
      </c>
      <c r="EG29" s="230">
        <v>235453</v>
      </c>
      <c r="EH29" s="230">
        <v>336310</v>
      </c>
      <c r="EI29" s="229">
        <v>-0.2999</v>
      </c>
      <c r="EJ29" s="229">
        <v>0.27189999999999998</v>
      </c>
      <c r="EK29" s="228">
        <v>884.78</v>
      </c>
      <c r="EL29" s="228">
        <v>322.11</v>
      </c>
      <c r="EM29" s="228">
        <v>519.88</v>
      </c>
      <c r="EN29" s="228">
        <v>67.37</v>
      </c>
      <c r="EO29" s="231">
        <v>1726.77</v>
      </c>
      <c r="EP29" s="231">
        <v>2721.89</v>
      </c>
      <c r="EQ29" s="228">
        <v>-995.11</v>
      </c>
      <c r="ER29" s="229">
        <v>-0.36559999999999998</v>
      </c>
      <c r="ES29" s="228">
        <v>789.5</v>
      </c>
      <c r="ET29" s="228">
        <v>390.56</v>
      </c>
      <c r="EU29" s="228">
        <v>747.64</v>
      </c>
      <c r="EV29" s="231">
        <v>13786716</v>
      </c>
      <c r="EW29" s="231">
        <v>1927.7</v>
      </c>
      <c r="EX29" s="231">
        <v>1976.27</v>
      </c>
      <c r="EY29" s="228">
        <v>-48.57</v>
      </c>
      <c r="EZ29" s="229">
        <v>-2.46E-2</v>
      </c>
      <c r="FA29" s="229">
        <v>0.93720000000000003</v>
      </c>
      <c r="FB29" s="227" t="s">
        <v>556</v>
      </c>
      <c r="FC29" s="195">
        <f t="shared" si="0"/>
        <v>322</v>
      </c>
    </row>
    <row r="30" spans="1:159" ht="17.25" thickBot="1" x14ac:dyDescent="0.3">
      <c r="A30" s="226">
        <v>46044</v>
      </c>
      <c r="B30" s="227" t="s">
        <v>184</v>
      </c>
      <c r="C30" s="227" t="s">
        <v>185</v>
      </c>
      <c r="D30" s="228">
        <v>1425</v>
      </c>
      <c r="E30" s="228">
        <v>5</v>
      </c>
      <c r="F30" s="228">
        <v>417.15</v>
      </c>
      <c r="G30" s="228">
        <v>402.5</v>
      </c>
      <c r="H30" s="228">
        <v>14.65</v>
      </c>
      <c r="I30" s="229">
        <v>3.6400000000000002E-2</v>
      </c>
      <c r="J30" s="228">
        <v>417.3</v>
      </c>
      <c r="K30" s="228">
        <v>402.65</v>
      </c>
      <c r="L30" s="228">
        <v>14.65</v>
      </c>
      <c r="M30" s="229">
        <v>3.6400000000000002E-2</v>
      </c>
      <c r="N30" s="228">
        <v>417.15</v>
      </c>
      <c r="O30" s="228">
        <v>402.5</v>
      </c>
      <c r="P30" s="228">
        <v>14.65</v>
      </c>
      <c r="Q30" s="229">
        <v>3.6400000000000002E-2</v>
      </c>
      <c r="R30" s="228">
        <v>419.1</v>
      </c>
      <c r="S30" s="228">
        <v>404.6</v>
      </c>
      <c r="T30" s="228">
        <v>14.5</v>
      </c>
      <c r="U30" s="229">
        <v>3.5799999999999998E-2</v>
      </c>
      <c r="V30" s="228">
        <v>420.3</v>
      </c>
      <c r="W30" s="228">
        <v>405.95</v>
      </c>
      <c r="X30" s="228">
        <v>14.35</v>
      </c>
      <c r="Y30" s="229">
        <v>3.5299999999999998E-2</v>
      </c>
      <c r="Z30" s="228">
        <v>-0.15</v>
      </c>
      <c r="AA30" s="228">
        <v>-0.15</v>
      </c>
      <c r="AB30" s="228">
        <v>0</v>
      </c>
      <c r="AC30" s="229">
        <v>-4.0000000000000002E-4</v>
      </c>
      <c r="AD30" s="228">
        <v>-0.15</v>
      </c>
      <c r="AE30" s="228">
        <v>-0.15</v>
      </c>
      <c r="AF30" s="228">
        <v>0</v>
      </c>
      <c r="AG30" s="229">
        <v>-4.0000000000000002E-4</v>
      </c>
      <c r="AH30" s="228">
        <v>1.8</v>
      </c>
      <c r="AI30" s="228">
        <v>1.95</v>
      </c>
      <c r="AJ30" s="228">
        <v>-0.15</v>
      </c>
      <c r="AK30" s="229">
        <v>4.3E-3</v>
      </c>
      <c r="AL30" s="228">
        <v>3</v>
      </c>
      <c r="AM30" s="228">
        <v>3.3</v>
      </c>
      <c r="AN30" s="228">
        <v>-0.3</v>
      </c>
      <c r="AO30" s="229">
        <v>7.1999999999999998E-3</v>
      </c>
      <c r="AP30" s="228">
        <v>413.44</v>
      </c>
      <c r="AQ30" s="228">
        <v>415.59</v>
      </c>
      <c r="AR30" s="228">
        <v>0</v>
      </c>
      <c r="AS30" s="230">
        <v>3346</v>
      </c>
      <c r="AT30" s="230">
        <v>2220</v>
      </c>
      <c r="AU30" s="230">
        <v>1126</v>
      </c>
      <c r="AV30" s="229">
        <v>0.50700000000000001</v>
      </c>
      <c r="AW30" s="230">
        <v>1755</v>
      </c>
      <c r="AX30" s="230">
        <v>1189</v>
      </c>
      <c r="AY30" s="228">
        <v>567</v>
      </c>
      <c r="AZ30" s="229">
        <v>0.4768</v>
      </c>
      <c r="BA30" s="230">
        <v>1562</v>
      </c>
      <c r="BB30" s="230">
        <v>1001</v>
      </c>
      <c r="BC30" s="228">
        <v>561</v>
      </c>
      <c r="BD30" s="229">
        <v>0.56079999999999997</v>
      </c>
      <c r="BE30" s="228">
        <v>29</v>
      </c>
      <c r="BF30" s="228">
        <v>31</v>
      </c>
      <c r="BG30" s="228">
        <v>-2</v>
      </c>
      <c r="BH30" s="229">
        <v>-7.0999999999999994E-2</v>
      </c>
      <c r="BI30" s="230">
        <v>6927</v>
      </c>
      <c r="BJ30" s="230">
        <v>6787</v>
      </c>
      <c r="BK30" s="228">
        <v>140</v>
      </c>
      <c r="BL30" s="229">
        <v>2.07E-2</v>
      </c>
      <c r="BM30" s="230">
        <v>3480</v>
      </c>
      <c r="BN30" s="230">
        <v>4708</v>
      </c>
      <c r="BO30" s="230">
        <v>-1228</v>
      </c>
      <c r="BP30" s="229">
        <v>-0.26090000000000002</v>
      </c>
      <c r="BQ30" s="230">
        <v>13753</v>
      </c>
      <c r="BR30" s="230">
        <v>13715</v>
      </c>
      <c r="BS30" s="228">
        <v>38</v>
      </c>
      <c r="BT30" s="229">
        <v>2.8E-3</v>
      </c>
      <c r="BU30" s="230">
        <v>20541979</v>
      </c>
      <c r="BV30" s="230">
        <v>20128972</v>
      </c>
      <c r="BW30" s="230">
        <v>413007</v>
      </c>
      <c r="BX30" s="229">
        <v>2.0500000000000001E-2</v>
      </c>
      <c r="BY30" s="230">
        <v>5110</v>
      </c>
      <c r="BZ30" s="230">
        <v>5286</v>
      </c>
      <c r="CA30" s="228">
        <v>-176</v>
      </c>
      <c r="CB30" s="229">
        <v>-3.3399999999999999E-2</v>
      </c>
      <c r="CC30" s="230">
        <v>2438</v>
      </c>
      <c r="CD30" s="230">
        <v>3760</v>
      </c>
      <c r="CE30" s="230">
        <v>-1322</v>
      </c>
      <c r="CF30" s="229">
        <v>-0.35160000000000002</v>
      </c>
      <c r="CG30" s="230">
        <v>2566</v>
      </c>
      <c r="CH30" s="230">
        <v>1422</v>
      </c>
      <c r="CI30" s="230">
        <v>1144</v>
      </c>
      <c r="CJ30" s="229">
        <v>0.80459999999999998</v>
      </c>
      <c r="CK30" s="228">
        <v>106</v>
      </c>
      <c r="CL30" s="228">
        <v>105</v>
      </c>
      <c r="CM30" s="228">
        <v>2</v>
      </c>
      <c r="CN30" s="229">
        <v>1.47E-2</v>
      </c>
      <c r="CO30" s="230">
        <v>2388</v>
      </c>
      <c r="CP30" s="230">
        <v>2565</v>
      </c>
      <c r="CQ30" s="228">
        <v>-176</v>
      </c>
      <c r="CR30" s="229">
        <v>-6.88E-2</v>
      </c>
      <c r="CS30" s="230">
        <v>1481</v>
      </c>
      <c r="CT30" s="230">
        <v>1462</v>
      </c>
      <c r="CU30" s="228">
        <v>19</v>
      </c>
      <c r="CV30" s="229">
        <v>1.29E-2</v>
      </c>
      <c r="CW30" s="230">
        <v>8980</v>
      </c>
      <c r="CX30" s="230">
        <v>9313</v>
      </c>
      <c r="CY30" s="228">
        <v>-334</v>
      </c>
      <c r="CZ30" s="229">
        <v>-3.5799999999999998E-2</v>
      </c>
      <c r="DA30" s="228">
        <v>33.880000000000003</v>
      </c>
      <c r="DB30" s="228">
        <v>29.04</v>
      </c>
      <c r="DC30" s="228">
        <v>4.84</v>
      </c>
      <c r="DD30" s="228">
        <v>4.84</v>
      </c>
      <c r="DE30" s="228">
        <v>35.18</v>
      </c>
      <c r="DF30" s="228">
        <v>34.93</v>
      </c>
      <c r="DG30" s="228">
        <v>-1.3</v>
      </c>
      <c r="DH30" s="228">
        <v>0.25</v>
      </c>
      <c r="DI30" s="228">
        <v>33.82</v>
      </c>
      <c r="DJ30" s="228">
        <v>29.62</v>
      </c>
      <c r="DK30" s="228">
        <v>4.2</v>
      </c>
      <c r="DL30" s="228">
        <v>4.2</v>
      </c>
      <c r="DM30" s="228">
        <v>34.04</v>
      </c>
      <c r="DN30" s="228">
        <v>28.2</v>
      </c>
      <c r="DO30" s="228">
        <v>5.84</v>
      </c>
      <c r="DP30" s="228">
        <v>5.84</v>
      </c>
      <c r="DQ30" s="228">
        <v>0.62</v>
      </c>
      <c r="DR30" s="228">
        <v>0.56999999999999995</v>
      </c>
      <c r="DS30" s="228">
        <v>0.05</v>
      </c>
      <c r="DT30" s="229">
        <v>8.77E-2</v>
      </c>
      <c r="DU30" s="228">
        <v>420</v>
      </c>
      <c r="DV30" s="228">
        <v>400</v>
      </c>
      <c r="DW30" s="228">
        <v>0.5</v>
      </c>
      <c r="DX30" s="228">
        <v>0.69</v>
      </c>
      <c r="DY30" s="228">
        <v>-0.19</v>
      </c>
      <c r="DZ30" s="229">
        <v>-0.27539999999999998</v>
      </c>
      <c r="EA30" s="229">
        <v>0.52300000000000002</v>
      </c>
      <c r="EB30" s="230">
        <v>36599700</v>
      </c>
      <c r="EC30" s="229">
        <v>4.7000000000000002E-3</v>
      </c>
      <c r="ED30" s="229">
        <v>0.52300000000000002</v>
      </c>
      <c r="EE30" s="228">
        <v>2.15</v>
      </c>
      <c r="EF30" s="229">
        <v>5.1999999999999998E-3</v>
      </c>
      <c r="EG30" s="230">
        <v>11822657</v>
      </c>
      <c r="EH30" s="230">
        <v>8356275</v>
      </c>
      <c r="EI30" s="229">
        <v>0.4148</v>
      </c>
      <c r="EJ30" s="229">
        <v>0.57550000000000001</v>
      </c>
      <c r="EK30" s="231">
        <v>7068.78</v>
      </c>
      <c r="EL30" s="231">
        <v>3401.94</v>
      </c>
      <c r="EM30" s="231">
        <v>3324.64</v>
      </c>
      <c r="EN30" s="228">
        <v>223.75</v>
      </c>
      <c r="EO30" s="231">
        <v>13795.36</v>
      </c>
      <c r="EP30" s="231">
        <v>13515.16</v>
      </c>
      <c r="EQ30" s="228">
        <v>280.2</v>
      </c>
      <c r="ER30" s="229">
        <v>2.07E-2</v>
      </c>
      <c r="ES30" s="231">
        <v>2441.87</v>
      </c>
      <c r="ET30" s="231">
        <v>1416.31</v>
      </c>
      <c r="EU30" s="231">
        <v>5122.95</v>
      </c>
      <c r="EV30" s="231">
        <v>535778534</v>
      </c>
      <c r="EW30" s="231">
        <v>8981.1299999999992</v>
      </c>
      <c r="EX30" s="231">
        <v>9113.83</v>
      </c>
      <c r="EY30" s="228">
        <v>-132.69999999999999</v>
      </c>
      <c r="EZ30" s="229">
        <v>-1.46E-2</v>
      </c>
      <c r="FA30" s="229">
        <v>0.40179999999999999</v>
      </c>
      <c r="FB30" s="227" t="s">
        <v>556</v>
      </c>
      <c r="FC30">
        <f t="shared" si="0"/>
        <v>2672</v>
      </c>
    </row>
    <row r="31" spans="1:159" ht="17.25" thickBot="1" x14ac:dyDescent="0.3">
      <c r="A31" s="226">
        <v>46044</v>
      </c>
      <c r="B31" s="227" t="s">
        <v>162</v>
      </c>
      <c r="C31" s="227" t="s">
        <v>187</v>
      </c>
      <c r="D31" s="228">
        <v>500</v>
      </c>
      <c r="E31" s="228">
        <v>5</v>
      </c>
      <c r="F31" s="231">
        <v>1433.5</v>
      </c>
      <c r="G31" s="231">
        <v>1382.6</v>
      </c>
      <c r="H31" s="228">
        <v>50.9</v>
      </c>
      <c r="I31" s="229">
        <v>3.6799999999999999E-2</v>
      </c>
      <c r="J31" s="231">
        <v>1431.5</v>
      </c>
      <c r="K31" s="231">
        <v>1380</v>
      </c>
      <c r="L31" s="228">
        <v>51.5</v>
      </c>
      <c r="M31" s="229">
        <v>3.73E-2</v>
      </c>
      <c r="N31" s="231">
        <v>1433.5</v>
      </c>
      <c r="O31" s="231">
        <v>1382.6</v>
      </c>
      <c r="P31" s="228">
        <v>50.9</v>
      </c>
      <c r="Q31" s="229">
        <v>3.6799999999999999E-2</v>
      </c>
      <c r="R31" s="231">
        <v>1435.6</v>
      </c>
      <c r="S31" s="231">
        <v>1387.6</v>
      </c>
      <c r="T31" s="228">
        <v>48</v>
      </c>
      <c r="U31" s="229">
        <v>3.4599999999999999E-2</v>
      </c>
      <c r="V31" s="231">
        <v>1443.1</v>
      </c>
      <c r="W31" s="231">
        <v>1393.3</v>
      </c>
      <c r="X31" s="228">
        <v>49.8</v>
      </c>
      <c r="Y31" s="229">
        <v>3.5700000000000003E-2</v>
      </c>
      <c r="Z31" s="228">
        <v>2</v>
      </c>
      <c r="AA31" s="228">
        <v>2.6</v>
      </c>
      <c r="AB31" s="228">
        <v>-0.6</v>
      </c>
      <c r="AC31" s="229">
        <v>1.4E-3</v>
      </c>
      <c r="AD31" s="228">
        <v>2</v>
      </c>
      <c r="AE31" s="228">
        <v>2.6</v>
      </c>
      <c r="AF31" s="228">
        <v>-0.6</v>
      </c>
      <c r="AG31" s="229">
        <v>1.4E-3</v>
      </c>
      <c r="AH31" s="228">
        <v>4.0999999999999996</v>
      </c>
      <c r="AI31" s="228">
        <v>7.6</v>
      </c>
      <c r="AJ31" s="228">
        <v>-3.5</v>
      </c>
      <c r="AK31" s="229">
        <v>2.8999999999999998E-3</v>
      </c>
      <c r="AL31" s="228">
        <v>11.6</v>
      </c>
      <c r="AM31" s="228">
        <v>13.3</v>
      </c>
      <c r="AN31" s="228">
        <v>-1.7</v>
      </c>
      <c r="AO31" s="229">
        <v>8.0999999999999996E-3</v>
      </c>
      <c r="AP31" s="231">
        <v>1423.6</v>
      </c>
      <c r="AQ31" s="231">
        <v>1427.46</v>
      </c>
      <c r="AR31" s="228">
        <v>0</v>
      </c>
      <c r="AS31" s="230">
        <v>1263</v>
      </c>
      <c r="AT31" s="228">
        <v>731</v>
      </c>
      <c r="AU31" s="228">
        <v>533</v>
      </c>
      <c r="AV31" s="229">
        <v>0.72909999999999997</v>
      </c>
      <c r="AW31" s="228">
        <v>649</v>
      </c>
      <c r="AX31" s="228">
        <v>429</v>
      </c>
      <c r="AY31" s="228">
        <v>220</v>
      </c>
      <c r="AZ31" s="229">
        <v>0.51429999999999998</v>
      </c>
      <c r="BA31" s="228">
        <v>613</v>
      </c>
      <c r="BB31" s="228">
        <v>300</v>
      </c>
      <c r="BC31" s="228">
        <v>313</v>
      </c>
      <c r="BD31" s="229">
        <v>1.0432999999999999</v>
      </c>
      <c r="BE31" s="228">
        <v>2</v>
      </c>
      <c r="BF31" s="228">
        <v>2</v>
      </c>
      <c r="BG31" s="228">
        <v>-1</v>
      </c>
      <c r="BH31" s="229">
        <v>-0.2258</v>
      </c>
      <c r="BI31" s="230">
        <v>1489</v>
      </c>
      <c r="BJ31" s="228">
        <v>759</v>
      </c>
      <c r="BK31" s="228">
        <v>730</v>
      </c>
      <c r="BL31" s="229">
        <v>0.96220000000000006</v>
      </c>
      <c r="BM31" s="228">
        <v>607</v>
      </c>
      <c r="BN31" s="228">
        <v>460</v>
      </c>
      <c r="BO31" s="228">
        <v>148</v>
      </c>
      <c r="BP31" s="229">
        <v>0.32079999999999997</v>
      </c>
      <c r="BQ31" s="230">
        <v>3359</v>
      </c>
      <c r="BR31" s="230">
        <v>1949</v>
      </c>
      <c r="BS31" s="230">
        <v>1410</v>
      </c>
      <c r="BT31" s="229">
        <v>0.72350000000000003</v>
      </c>
      <c r="BU31" s="230">
        <v>701093</v>
      </c>
      <c r="BV31" s="230">
        <v>922901</v>
      </c>
      <c r="BW31" s="230">
        <v>-221808</v>
      </c>
      <c r="BX31" s="229">
        <v>-0.24030000000000001</v>
      </c>
      <c r="BY31" s="230">
        <v>1076</v>
      </c>
      <c r="BZ31" s="230">
        <v>1094</v>
      </c>
      <c r="CA31" s="228">
        <v>-19</v>
      </c>
      <c r="CB31" s="229">
        <v>-1.7100000000000001E-2</v>
      </c>
      <c r="CC31" s="228">
        <v>457</v>
      </c>
      <c r="CD31" s="228">
        <v>849</v>
      </c>
      <c r="CE31" s="228">
        <v>-392</v>
      </c>
      <c r="CF31" s="229">
        <v>-0.4622</v>
      </c>
      <c r="CG31" s="228">
        <v>614</v>
      </c>
      <c r="CH31" s="228">
        <v>240</v>
      </c>
      <c r="CI31" s="228">
        <v>373</v>
      </c>
      <c r="CJ31" s="229">
        <v>1.5538000000000001</v>
      </c>
      <c r="CK31" s="228">
        <v>5</v>
      </c>
      <c r="CL31" s="228">
        <v>5</v>
      </c>
      <c r="CM31" s="228">
        <v>0</v>
      </c>
      <c r="CN31" s="229">
        <v>5.6300000000000003E-2</v>
      </c>
      <c r="CO31" s="228">
        <v>598</v>
      </c>
      <c r="CP31" s="228">
        <v>654</v>
      </c>
      <c r="CQ31" s="228">
        <v>-56</v>
      </c>
      <c r="CR31" s="229">
        <v>-8.6300000000000002E-2</v>
      </c>
      <c r="CS31" s="228">
        <v>320</v>
      </c>
      <c r="CT31" s="228">
        <v>359</v>
      </c>
      <c r="CU31" s="228">
        <v>-39</v>
      </c>
      <c r="CV31" s="229">
        <v>-0.1079</v>
      </c>
      <c r="CW31" s="230">
        <v>1993</v>
      </c>
      <c r="CX31" s="230">
        <v>2107</v>
      </c>
      <c r="CY31" s="228">
        <v>-114</v>
      </c>
      <c r="CZ31" s="229">
        <v>-5.3999999999999999E-2</v>
      </c>
      <c r="DA31" s="228">
        <v>31.75</v>
      </c>
      <c r="DB31" s="228">
        <v>30.11</v>
      </c>
      <c r="DC31" s="228">
        <v>1.64</v>
      </c>
      <c r="DD31" s="228">
        <v>1.64</v>
      </c>
      <c r="DE31" s="228">
        <v>36.01</v>
      </c>
      <c r="DF31" s="228">
        <v>35.76</v>
      </c>
      <c r="DG31" s="228">
        <v>-4.26</v>
      </c>
      <c r="DH31" s="228">
        <v>0.25</v>
      </c>
      <c r="DI31" s="228">
        <v>31.59</v>
      </c>
      <c r="DJ31" s="228">
        <v>31.42</v>
      </c>
      <c r="DK31" s="228">
        <v>0.17</v>
      </c>
      <c r="DL31" s="228">
        <v>0.17</v>
      </c>
      <c r="DM31" s="228">
        <v>31.99</v>
      </c>
      <c r="DN31" s="228">
        <v>27.93</v>
      </c>
      <c r="DO31" s="228">
        <v>4.0599999999999996</v>
      </c>
      <c r="DP31" s="228">
        <v>4.0599999999999996</v>
      </c>
      <c r="DQ31" s="228">
        <v>0.54</v>
      </c>
      <c r="DR31" s="228">
        <v>0.55000000000000004</v>
      </c>
      <c r="DS31" s="228">
        <v>-0.01</v>
      </c>
      <c r="DT31" s="229">
        <v>-1.8200000000000001E-2</v>
      </c>
      <c r="DU31" s="231">
        <v>1500</v>
      </c>
      <c r="DV31" s="231">
        <v>1400</v>
      </c>
      <c r="DW31" s="228">
        <v>0.41</v>
      </c>
      <c r="DX31" s="228">
        <v>0.61</v>
      </c>
      <c r="DY31" s="228">
        <v>-0.2</v>
      </c>
      <c r="DZ31" s="229">
        <v>-0.32790000000000002</v>
      </c>
      <c r="EA31" s="229">
        <v>0.57550000000000001</v>
      </c>
      <c r="EB31" s="230">
        <v>1712000</v>
      </c>
      <c r="EC31" s="229">
        <v>1.5E-3</v>
      </c>
      <c r="ED31" s="229">
        <v>0.57550000000000001</v>
      </c>
      <c r="EE31" s="228">
        <v>3.86</v>
      </c>
      <c r="EF31" s="229">
        <v>2.7000000000000001E-3</v>
      </c>
      <c r="EG31" s="230">
        <v>239090</v>
      </c>
      <c r="EH31" s="230">
        <v>472656</v>
      </c>
      <c r="EI31" s="229">
        <v>-0.49419999999999997</v>
      </c>
      <c r="EJ31" s="229">
        <v>0.34100000000000003</v>
      </c>
      <c r="EK31" s="231">
        <v>1543.88</v>
      </c>
      <c r="EL31" s="228">
        <v>599.87</v>
      </c>
      <c r="EM31" s="231">
        <v>1256.21</v>
      </c>
      <c r="EN31" s="228">
        <v>54.29</v>
      </c>
      <c r="EO31" s="231">
        <v>3399.96</v>
      </c>
      <c r="EP31" s="231">
        <v>1923.56</v>
      </c>
      <c r="EQ31" s="231">
        <v>1476.39</v>
      </c>
      <c r="ER31" s="229">
        <v>0.76749999999999996</v>
      </c>
      <c r="ES31" s="228">
        <v>624.66999999999996</v>
      </c>
      <c r="ET31" s="228">
        <v>312.02999999999997</v>
      </c>
      <c r="EU31" s="231">
        <v>1076.71</v>
      </c>
      <c r="EV31" s="231">
        <v>40107751</v>
      </c>
      <c r="EW31" s="231">
        <v>2013.4</v>
      </c>
      <c r="EX31" s="231">
        <v>2087.8200000000002</v>
      </c>
      <c r="EY31" s="228">
        <v>-74.42</v>
      </c>
      <c r="EZ31" s="229">
        <v>-3.56E-2</v>
      </c>
      <c r="FA31" s="229">
        <v>0.34670000000000001</v>
      </c>
      <c r="FB31" s="227" t="s">
        <v>556</v>
      </c>
      <c r="FC31">
        <f t="shared" si="0"/>
        <v>619</v>
      </c>
    </row>
    <row r="32" spans="1:159" ht="17.25" thickBot="1" x14ac:dyDescent="0.3">
      <c r="A32" s="226">
        <v>46044</v>
      </c>
      <c r="B32" s="227" t="s">
        <v>188</v>
      </c>
      <c r="C32" s="227" t="s">
        <v>189</v>
      </c>
      <c r="D32" s="228">
        <v>475</v>
      </c>
      <c r="E32" s="228">
        <v>5</v>
      </c>
      <c r="F32" s="231">
        <v>2006</v>
      </c>
      <c r="G32" s="231">
        <v>1995.5</v>
      </c>
      <c r="H32" s="228">
        <v>10.5</v>
      </c>
      <c r="I32" s="229">
        <v>5.3E-3</v>
      </c>
      <c r="J32" s="231">
        <v>2002.2</v>
      </c>
      <c r="K32" s="231">
        <v>1996.1</v>
      </c>
      <c r="L32" s="228">
        <v>6.1</v>
      </c>
      <c r="M32" s="229">
        <v>3.0999999999999999E-3</v>
      </c>
      <c r="N32" s="231">
        <v>2006</v>
      </c>
      <c r="O32" s="231">
        <v>1995.5</v>
      </c>
      <c r="P32" s="228">
        <v>10.5</v>
      </c>
      <c r="Q32" s="229">
        <v>5.3E-3</v>
      </c>
      <c r="R32" s="231">
        <v>2017</v>
      </c>
      <c r="S32" s="231">
        <v>2006.2</v>
      </c>
      <c r="T32" s="228">
        <v>10.8</v>
      </c>
      <c r="U32" s="229">
        <v>5.4000000000000003E-3</v>
      </c>
      <c r="V32" s="231">
        <v>2025.2</v>
      </c>
      <c r="W32" s="231">
        <v>2014.7</v>
      </c>
      <c r="X32" s="228">
        <v>10.5</v>
      </c>
      <c r="Y32" s="229">
        <v>5.1999999999999998E-3</v>
      </c>
      <c r="Z32" s="228">
        <v>3.8</v>
      </c>
      <c r="AA32" s="228">
        <v>-0.6</v>
      </c>
      <c r="AB32" s="228">
        <v>4.4000000000000004</v>
      </c>
      <c r="AC32" s="229">
        <v>1.9E-3</v>
      </c>
      <c r="AD32" s="228">
        <v>3.8</v>
      </c>
      <c r="AE32" s="228">
        <v>-0.6</v>
      </c>
      <c r="AF32" s="228">
        <v>4.4000000000000004</v>
      </c>
      <c r="AG32" s="229">
        <v>1.9E-3</v>
      </c>
      <c r="AH32" s="228">
        <v>14.8</v>
      </c>
      <c r="AI32" s="228">
        <v>10.1</v>
      </c>
      <c r="AJ32" s="228">
        <v>4.7</v>
      </c>
      <c r="AK32" s="229">
        <v>7.4000000000000003E-3</v>
      </c>
      <c r="AL32" s="228">
        <v>23</v>
      </c>
      <c r="AM32" s="228">
        <v>18.600000000000001</v>
      </c>
      <c r="AN32" s="228">
        <v>4.4000000000000004</v>
      </c>
      <c r="AO32" s="229">
        <v>1.15E-2</v>
      </c>
      <c r="AP32" s="231">
        <v>2003.64</v>
      </c>
      <c r="AQ32" s="231">
        <v>2014.3</v>
      </c>
      <c r="AR32" s="228">
        <v>0</v>
      </c>
      <c r="AS32" s="230">
        <v>7877</v>
      </c>
      <c r="AT32" s="230">
        <v>4970</v>
      </c>
      <c r="AU32" s="230">
        <v>2907</v>
      </c>
      <c r="AV32" s="229">
        <v>0.58479999999999999</v>
      </c>
      <c r="AW32" s="230">
        <v>4010</v>
      </c>
      <c r="AX32" s="230">
        <v>2644</v>
      </c>
      <c r="AY32" s="230">
        <v>1366</v>
      </c>
      <c r="AZ32" s="229">
        <v>0.51649999999999996</v>
      </c>
      <c r="BA32" s="230">
        <v>3784</v>
      </c>
      <c r="BB32" s="230">
        <v>2289</v>
      </c>
      <c r="BC32" s="230">
        <v>1495</v>
      </c>
      <c r="BD32" s="229">
        <v>0.65280000000000005</v>
      </c>
      <c r="BE32" s="228">
        <v>83</v>
      </c>
      <c r="BF32" s="228">
        <v>37</v>
      </c>
      <c r="BG32" s="228">
        <v>46</v>
      </c>
      <c r="BH32" s="229">
        <v>1.2525999999999999</v>
      </c>
      <c r="BI32" s="230">
        <v>5925</v>
      </c>
      <c r="BJ32" s="230">
        <v>6269</v>
      </c>
      <c r="BK32" s="228">
        <v>-344</v>
      </c>
      <c r="BL32" s="229">
        <v>-5.4899999999999997E-2</v>
      </c>
      <c r="BM32" s="230">
        <v>3039</v>
      </c>
      <c r="BN32" s="230">
        <v>3860</v>
      </c>
      <c r="BO32" s="228">
        <v>-821</v>
      </c>
      <c r="BP32" s="229">
        <v>-0.2127</v>
      </c>
      <c r="BQ32" s="230">
        <v>16841</v>
      </c>
      <c r="BR32" s="230">
        <v>15100</v>
      </c>
      <c r="BS32" s="230">
        <v>1742</v>
      </c>
      <c r="BT32" s="229">
        <v>0.1154</v>
      </c>
      <c r="BU32" s="230">
        <v>7416968</v>
      </c>
      <c r="BV32" s="230">
        <v>8262799</v>
      </c>
      <c r="BW32" s="230">
        <v>-845831</v>
      </c>
      <c r="BX32" s="229">
        <v>-0.1024</v>
      </c>
      <c r="BY32" s="230">
        <v>10774</v>
      </c>
      <c r="BZ32" s="230">
        <v>10640</v>
      </c>
      <c r="CA32" s="228">
        <v>134</v>
      </c>
      <c r="CB32" s="229">
        <v>1.26E-2</v>
      </c>
      <c r="CC32" s="230">
        <v>4068</v>
      </c>
      <c r="CD32" s="230">
        <v>7362</v>
      </c>
      <c r="CE32" s="230">
        <v>-3294</v>
      </c>
      <c r="CF32" s="229">
        <v>-0.44740000000000002</v>
      </c>
      <c r="CG32" s="230">
        <v>6385</v>
      </c>
      <c r="CH32" s="230">
        <v>3012</v>
      </c>
      <c r="CI32" s="230">
        <v>3373</v>
      </c>
      <c r="CJ32" s="229">
        <v>1.1200000000000001</v>
      </c>
      <c r="CK32" s="228">
        <v>321</v>
      </c>
      <c r="CL32" s="228">
        <v>266</v>
      </c>
      <c r="CM32" s="228">
        <v>55</v>
      </c>
      <c r="CN32" s="229">
        <v>0.20599999999999999</v>
      </c>
      <c r="CO32" s="230">
        <v>3104</v>
      </c>
      <c r="CP32" s="230">
        <v>3332</v>
      </c>
      <c r="CQ32" s="228">
        <v>-228</v>
      </c>
      <c r="CR32" s="229">
        <v>-6.8500000000000005E-2</v>
      </c>
      <c r="CS32" s="230">
        <v>1451</v>
      </c>
      <c r="CT32" s="230">
        <v>1502</v>
      </c>
      <c r="CU32" s="228">
        <v>-51</v>
      </c>
      <c r="CV32" s="229">
        <v>-3.3700000000000001E-2</v>
      </c>
      <c r="CW32" s="230">
        <v>15330</v>
      </c>
      <c r="CX32" s="230">
        <v>15474</v>
      </c>
      <c r="CY32" s="228">
        <v>-144</v>
      </c>
      <c r="CZ32" s="229">
        <v>-9.2999999999999992E-3</v>
      </c>
      <c r="DA32" s="228">
        <v>21.58</v>
      </c>
      <c r="DB32" s="228">
        <v>19.88</v>
      </c>
      <c r="DC32" s="228">
        <v>1.7</v>
      </c>
      <c r="DD32" s="228">
        <v>1.7</v>
      </c>
      <c r="DE32" s="228">
        <v>23.81</v>
      </c>
      <c r="DF32" s="228">
        <v>23.87</v>
      </c>
      <c r="DG32" s="228">
        <v>-2.23</v>
      </c>
      <c r="DH32" s="228">
        <v>-0.06</v>
      </c>
      <c r="DI32" s="228">
        <v>21.26</v>
      </c>
      <c r="DJ32" s="228">
        <v>19.54</v>
      </c>
      <c r="DK32" s="228">
        <v>1.72</v>
      </c>
      <c r="DL32" s="228">
        <v>1.72</v>
      </c>
      <c r="DM32" s="228">
        <v>22.04</v>
      </c>
      <c r="DN32" s="228">
        <v>20.440000000000001</v>
      </c>
      <c r="DO32" s="228">
        <v>1.6</v>
      </c>
      <c r="DP32" s="228">
        <v>1.6</v>
      </c>
      <c r="DQ32" s="228">
        <v>0.47</v>
      </c>
      <c r="DR32" s="228">
        <v>0.45</v>
      </c>
      <c r="DS32" s="228">
        <v>0.02</v>
      </c>
      <c r="DT32" s="229">
        <v>4.4400000000000002E-2</v>
      </c>
      <c r="DU32" s="231">
        <v>2100</v>
      </c>
      <c r="DV32" s="231">
        <v>2000</v>
      </c>
      <c r="DW32" s="228">
        <v>0.51</v>
      </c>
      <c r="DX32" s="228">
        <v>0.62</v>
      </c>
      <c r="DY32" s="228">
        <v>-0.11</v>
      </c>
      <c r="DZ32" s="229">
        <v>-0.1774</v>
      </c>
      <c r="EA32" s="229">
        <v>0.62239999999999995</v>
      </c>
      <c r="EB32" s="230">
        <v>16341425</v>
      </c>
      <c r="EC32" s="229">
        <v>5.4999999999999997E-3</v>
      </c>
      <c r="ED32" s="229">
        <v>0.62239999999999995</v>
      </c>
      <c r="EE32" s="228">
        <v>10.66</v>
      </c>
      <c r="EF32" s="229">
        <v>5.3E-3</v>
      </c>
      <c r="EG32" s="230">
        <v>4391282</v>
      </c>
      <c r="EH32" s="230">
        <v>4784310</v>
      </c>
      <c r="EI32" s="229">
        <v>-8.2100000000000006E-2</v>
      </c>
      <c r="EJ32" s="229">
        <v>0.59209999999999996</v>
      </c>
      <c r="EK32" s="231">
        <v>6086.09</v>
      </c>
      <c r="EL32" s="231">
        <v>3021.82</v>
      </c>
      <c r="EM32" s="231">
        <v>7888.83</v>
      </c>
      <c r="EN32" s="228">
        <v>228.57</v>
      </c>
      <c r="EO32" s="231">
        <v>16996.740000000002</v>
      </c>
      <c r="EP32" s="231">
        <v>15175.36</v>
      </c>
      <c r="EQ32" s="231">
        <v>1821.37</v>
      </c>
      <c r="ER32" s="229">
        <v>0.12</v>
      </c>
      <c r="ES32" s="231">
        <v>3285.37</v>
      </c>
      <c r="ET32" s="231">
        <v>1448.21</v>
      </c>
      <c r="EU32" s="231">
        <v>10812.53</v>
      </c>
      <c r="EV32" s="231">
        <v>367085962</v>
      </c>
      <c r="EW32" s="231">
        <v>15546.11</v>
      </c>
      <c r="EX32" s="231">
        <v>15627.11</v>
      </c>
      <c r="EY32" s="228">
        <v>-81</v>
      </c>
      <c r="EZ32" s="229">
        <v>-5.1999999999999998E-3</v>
      </c>
      <c r="FA32" s="229">
        <v>0.2082</v>
      </c>
      <c r="FB32" s="227" t="s">
        <v>555</v>
      </c>
      <c r="FC32">
        <f t="shared" si="0"/>
        <v>6706</v>
      </c>
    </row>
    <row r="33" spans="1:159" ht="17.25" thickBot="1" x14ac:dyDescent="0.3">
      <c r="A33" s="226">
        <v>46044</v>
      </c>
      <c r="B33" s="227" t="s">
        <v>184</v>
      </c>
      <c r="C33" s="227" t="s">
        <v>190</v>
      </c>
      <c r="D33" s="228">
        <v>2625</v>
      </c>
      <c r="E33" s="228">
        <v>5</v>
      </c>
      <c r="F33" s="228">
        <v>251.75</v>
      </c>
      <c r="G33" s="228">
        <v>252.45</v>
      </c>
      <c r="H33" s="228">
        <v>-0.7</v>
      </c>
      <c r="I33" s="229">
        <v>-2.8E-3</v>
      </c>
      <c r="J33" s="228">
        <v>251.55</v>
      </c>
      <c r="K33" s="228">
        <v>252.35</v>
      </c>
      <c r="L33" s="228">
        <v>-0.8</v>
      </c>
      <c r="M33" s="229">
        <v>-3.2000000000000002E-3</v>
      </c>
      <c r="N33" s="228">
        <v>251.75</v>
      </c>
      <c r="O33" s="228">
        <v>252.45</v>
      </c>
      <c r="P33" s="228">
        <v>-0.7</v>
      </c>
      <c r="Q33" s="229">
        <v>-2.8E-3</v>
      </c>
      <c r="R33" s="228">
        <v>252.95</v>
      </c>
      <c r="S33" s="228">
        <v>253.7</v>
      </c>
      <c r="T33" s="228">
        <v>-0.75</v>
      </c>
      <c r="U33" s="229">
        <v>-3.0000000000000001E-3</v>
      </c>
      <c r="V33" s="228">
        <v>254.65</v>
      </c>
      <c r="W33" s="228">
        <v>255.3</v>
      </c>
      <c r="X33" s="228">
        <v>-0.65</v>
      </c>
      <c r="Y33" s="229">
        <v>-2.5000000000000001E-3</v>
      </c>
      <c r="Z33" s="228">
        <v>0.2</v>
      </c>
      <c r="AA33" s="228">
        <v>0.1</v>
      </c>
      <c r="AB33" s="228">
        <v>0.1</v>
      </c>
      <c r="AC33" s="229">
        <v>8.0000000000000004E-4</v>
      </c>
      <c r="AD33" s="228">
        <v>0.2</v>
      </c>
      <c r="AE33" s="228">
        <v>0.1</v>
      </c>
      <c r="AF33" s="228">
        <v>0.1</v>
      </c>
      <c r="AG33" s="229">
        <v>8.0000000000000004E-4</v>
      </c>
      <c r="AH33" s="228">
        <v>1.4</v>
      </c>
      <c r="AI33" s="228">
        <v>1.35</v>
      </c>
      <c r="AJ33" s="228">
        <v>0.05</v>
      </c>
      <c r="AK33" s="229">
        <v>5.5999999999999999E-3</v>
      </c>
      <c r="AL33" s="228">
        <v>3.1</v>
      </c>
      <c r="AM33" s="228">
        <v>2.95</v>
      </c>
      <c r="AN33" s="228">
        <v>0.15</v>
      </c>
      <c r="AO33" s="229">
        <v>1.23E-2</v>
      </c>
      <c r="AP33" s="228">
        <v>252.63</v>
      </c>
      <c r="AQ33" s="228">
        <v>253.83</v>
      </c>
      <c r="AR33" s="228">
        <v>0</v>
      </c>
      <c r="AS33" s="230">
        <v>1256</v>
      </c>
      <c r="AT33" s="230">
        <v>1267</v>
      </c>
      <c r="AU33" s="228">
        <v>-11</v>
      </c>
      <c r="AV33" s="229">
        <v>-8.5000000000000006E-3</v>
      </c>
      <c r="AW33" s="228">
        <v>656</v>
      </c>
      <c r="AX33" s="228">
        <v>815</v>
      </c>
      <c r="AY33" s="228">
        <v>-159</v>
      </c>
      <c r="AZ33" s="229">
        <v>-0.1956</v>
      </c>
      <c r="BA33" s="228">
        <v>593</v>
      </c>
      <c r="BB33" s="228">
        <v>437</v>
      </c>
      <c r="BC33" s="228">
        <v>155</v>
      </c>
      <c r="BD33" s="229">
        <v>0.35549999999999998</v>
      </c>
      <c r="BE33" s="228">
        <v>7</v>
      </c>
      <c r="BF33" s="228">
        <v>14</v>
      </c>
      <c r="BG33" s="228">
        <v>-7</v>
      </c>
      <c r="BH33" s="229">
        <v>-0.49049999999999999</v>
      </c>
      <c r="BI33" s="230">
        <v>2847</v>
      </c>
      <c r="BJ33" s="230">
        <v>5639</v>
      </c>
      <c r="BK33" s="230">
        <v>-2792</v>
      </c>
      <c r="BL33" s="229">
        <v>-0.49509999999999998</v>
      </c>
      <c r="BM33" s="230">
        <v>1257</v>
      </c>
      <c r="BN33" s="230">
        <v>2896</v>
      </c>
      <c r="BO33" s="230">
        <v>-1639</v>
      </c>
      <c r="BP33" s="229">
        <v>-0.56610000000000005</v>
      </c>
      <c r="BQ33" s="230">
        <v>5360</v>
      </c>
      <c r="BR33" s="230">
        <v>9801</v>
      </c>
      <c r="BS33" s="230">
        <v>-4442</v>
      </c>
      <c r="BT33" s="229">
        <v>-0.45319999999999999</v>
      </c>
      <c r="BU33" s="230">
        <v>6605120</v>
      </c>
      <c r="BV33" s="230">
        <v>15071485</v>
      </c>
      <c r="BW33" s="230">
        <v>-8466365</v>
      </c>
      <c r="BX33" s="229">
        <v>-0.56169999999999998</v>
      </c>
      <c r="BY33" s="230">
        <v>2185</v>
      </c>
      <c r="BZ33" s="230">
        <v>2186</v>
      </c>
      <c r="CA33" s="228">
        <v>-1</v>
      </c>
      <c r="CB33" s="229">
        <v>-4.0000000000000002E-4</v>
      </c>
      <c r="CC33" s="230">
        <v>1222</v>
      </c>
      <c r="CD33" s="230">
        <v>1596</v>
      </c>
      <c r="CE33" s="228">
        <v>-374</v>
      </c>
      <c r="CF33" s="229">
        <v>-0.23419999999999999</v>
      </c>
      <c r="CG33" s="228">
        <v>927</v>
      </c>
      <c r="CH33" s="228">
        <v>556</v>
      </c>
      <c r="CI33" s="228">
        <v>372</v>
      </c>
      <c r="CJ33" s="229">
        <v>0.66900000000000004</v>
      </c>
      <c r="CK33" s="228">
        <v>35</v>
      </c>
      <c r="CL33" s="228">
        <v>34</v>
      </c>
      <c r="CM33" s="228">
        <v>1</v>
      </c>
      <c r="CN33" s="229">
        <v>3.6799999999999999E-2</v>
      </c>
      <c r="CO33" s="230">
        <v>2764</v>
      </c>
      <c r="CP33" s="230">
        <v>2812</v>
      </c>
      <c r="CQ33" s="228">
        <v>-47</v>
      </c>
      <c r="CR33" s="229">
        <v>-1.6899999999999998E-2</v>
      </c>
      <c r="CS33" s="230">
        <v>1094</v>
      </c>
      <c r="CT33" s="230">
        <v>1155</v>
      </c>
      <c r="CU33" s="228">
        <v>-61</v>
      </c>
      <c r="CV33" s="229">
        <v>-5.2600000000000001E-2</v>
      </c>
      <c r="CW33" s="230">
        <v>6043</v>
      </c>
      <c r="CX33" s="230">
        <v>6152</v>
      </c>
      <c r="CY33" s="228">
        <v>-109</v>
      </c>
      <c r="CZ33" s="229">
        <v>-1.77E-2</v>
      </c>
      <c r="DA33" s="228">
        <v>38.770000000000003</v>
      </c>
      <c r="DB33" s="228">
        <v>36.21</v>
      </c>
      <c r="DC33" s="228">
        <v>2.56</v>
      </c>
      <c r="DD33" s="228">
        <v>2.56</v>
      </c>
      <c r="DE33" s="228">
        <v>45.46</v>
      </c>
      <c r="DF33" s="228">
        <v>45.57</v>
      </c>
      <c r="DG33" s="228">
        <v>-6.69</v>
      </c>
      <c r="DH33" s="228">
        <v>-0.11</v>
      </c>
      <c r="DI33" s="228">
        <v>38.950000000000003</v>
      </c>
      <c r="DJ33" s="228">
        <v>38</v>
      </c>
      <c r="DK33" s="228">
        <v>0.95</v>
      </c>
      <c r="DL33" s="228">
        <v>0.95</v>
      </c>
      <c r="DM33" s="228">
        <v>38.25</v>
      </c>
      <c r="DN33" s="228">
        <v>32.74</v>
      </c>
      <c r="DO33" s="228">
        <v>5.51</v>
      </c>
      <c r="DP33" s="228">
        <v>5.51</v>
      </c>
      <c r="DQ33" s="228">
        <v>0.4</v>
      </c>
      <c r="DR33" s="228">
        <v>0.41</v>
      </c>
      <c r="DS33" s="228">
        <v>-0.01</v>
      </c>
      <c r="DT33" s="229">
        <v>-2.4400000000000002E-2</v>
      </c>
      <c r="DU33" s="228">
        <v>300</v>
      </c>
      <c r="DV33" s="228">
        <v>250</v>
      </c>
      <c r="DW33" s="228">
        <v>0.44</v>
      </c>
      <c r="DX33" s="228">
        <v>0.51</v>
      </c>
      <c r="DY33" s="228">
        <v>-7.0000000000000007E-2</v>
      </c>
      <c r="DZ33" s="229">
        <v>-0.13730000000000001</v>
      </c>
      <c r="EA33" s="229">
        <v>0.44069999999999998</v>
      </c>
      <c r="EB33" s="230">
        <v>23428125</v>
      </c>
      <c r="EC33" s="229">
        <v>4.7999999999999996E-3</v>
      </c>
      <c r="ED33" s="229">
        <v>0.44069999999999998</v>
      </c>
      <c r="EE33" s="228">
        <v>1.2</v>
      </c>
      <c r="EF33" s="229">
        <v>4.7999999999999996E-3</v>
      </c>
      <c r="EG33" s="230">
        <v>2031417</v>
      </c>
      <c r="EH33" s="230">
        <v>2937886</v>
      </c>
      <c r="EI33" s="229">
        <v>-0.3085</v>
      </c>
      <c r="EJ33" s="229">
        <v>0.30759999999999998</v>
      </c>
      <c r="EK33" s="231">
        <v>3057.77</v>
      </c>
      <c r="EL33" s="231">
        <v>1269.02</v>
      </c>
      <c r="EM33" s="231">
        <v>1263.19</v>
      </c>
      <c r="EN33" s="228">
        <v>171.25</v>
      </c>
      <c r="EO33" s="231">
        <v>5589.98</v>
      </c>
      <c r="EP33" s="231">
        <v>10222.57</v>
      </c>
      <c r="EQ33" s="231">
        <v>-4632.59</v>
      </c>
      <c r="ER33" s="229">
        <v>-0.45319999999999999</v>
      </c>
      <c r="ES33" s="231">
        <v>3145.89</v>
      </c>
      <c r="ET33" s="231">
        <v>1142.44</v>
      </c>
      <c r="EU33" s="231">
        <v>2189.7800000000002</v>
      </c>
      <c r="EV33" s="231">
        <v>192361942</v>
      </c>
      <c r="EW33" s="231">
        <v>6478.1</v>
      </c>
      <c r="EX33" s="231">
        <v>6604.24</v>
      </c>
      <c r="EY33" s="228">
        <v>-126.14</v>
      </c>
      <c r="EZ33" s="229">
        <v>-1.9099999999999999E-2</v>
      </c>
      <c r="FA33" s="229">
        <v>1.2479</v>
      </c>
      <c r="FB33" s="227" t="s">
        <v>568</v>
      </c>
      <c r="FC33">
        <f t="shared" si="0"/>
        <v>963</v>
      </c>
    </row>
    <row r="34" spans="1:159" ht="17.25" thickBot="1" x14ac:dyDescent="0.3">
      <c r="A34" s="226">
        <v>46044</v>
      </c>
      <c r="B34" s="227" t="s">
        <v>170</v>
      </c>
      <c r="C34" s="227" t="s">
        <v>191</v>
      </c>
      <c r="D34" s="228">
        <v>2500</v>
      </c>
      <c r="E34" s="228">
        <v>5</v>
      </c>
      <c r="F34" s="228">
        <v>372.95</v>
      </c>
      <c r="G34" s="228">
        <v>364.95</v>
      </c>
      <c r="H34" s="228">
        <v>8</v>
      </c>
      <c r="I34" s="229">
        <v>2.1899999999999999E-2</v>
      </c>
      <c r="J34" s="228">
        <v>373</v>
      </c>
      <c r="K34" s="228">
        <v>364.85</v>
      </c>
      <c r="L34" s="228">
        <v>8.15</v>
      </c>
      <c r="M34" s="229">
        <v>2.23E-2</v>
      </c>
      <c r="N34" s="228">
        <v>372.95</v>
      </c>
      <c r="O34" s="228">
        <v>364.95</v>
      </c>
      <c r="P34" s="228">
        <v>8</v>
      </c>
      <c r="Q34" s="229">
        <v>2.1899999999999999E-2</v>
      </c>
      <c r="R34" s="228">
        <v>374.8</v>
      </c>
      <c r="S34" s="228">
        <v>366.75</v>
      </c>
      <c r="T34" s="228">
        <v>8.0500000000000007</v>
      </c>
      <c r="U34" s="229">
        <v>2.1899999999999999E-2</v>
      </c>
      <c r="V34" s="228">
        <v>377.35</v>
      </c>
      <c r="W34" s="228">
        <v>369.65</v>
      </c>
      <c r="X34" s="228">
        <v>7.7</v>
      </c>
      <c r="Y34" s="229">
        <v>2.0799999999999999E-2</v>
      </c>
      <c r="Z34" s="228">
        <v>-0.05</v>
      </c>
      <c r="AA34" s="228">
        <v>0.1</v>
      </c>
      <c r="AB34" s="228">
        <v>-0.15</v>
      </c>
      <c r="AC34" s="229">
        <v>-1E-4</v>
      </c>
      <c r="AD34" s="228">
        <v>-0.05</v>
      </c>
      <c r="AE34" s="228">
        <v>0.1</v>
      </c>
      <c r="AF34" s="228">
        <v>-0.15</v>
      </c>
      <c r="AG34" s="229">
        <v>-1E-4</v>
      </c>
      <c r="AH34" s="228">
        <v>1.8</v>
      </c>
      <c r="AI34" s="228">
        <v>1.9</v>
      </c>
      <c r="AJ34" s="228">
        <v>-0.1</v>
      </c>
      <c r="AK34" s="229">
        <v>4.7999999999999996E-3</v>
      </c>
      <c r="AL34" s="228">
        <v>4.3499999999999996</v>
      </c>
      <c r="AM34" s="228">
        <v>4.8</v>
      </c>
      <c r="AN34" s="228">
        <v>-0.45</v>
      </c>
      <c r="AO34" s="229">
        <v>1.17E-2</v>
      </c>
      <c r="AP34" s="228">
        <v>372.09</v>
      </c>
      <c r="AQ34" s="228">
        <v>374.07</v>
      </c>
      <c r="AR34" s="228">
        <v>0</v>
      </c>
      <c r="AS34" s="228">
        <v>791</v>
      </c>
      <c r="AT34" s="228">
        <v>623</v>
      </c>
      <c r="AU34" s="228">
        <v>168</v>
      </c>
      <c r="AV34" s="229">
        <v>0.27060000000000001</v>
      </c>
      <c r="AW34" s="228">
        <v>413</v>
      </c>
      <c r="AX34" s="228">
        <v>368</v>
      </c>
      <c r="AY34" s="228">
        <v>45</v>
      </c>
      <c r="AZ34" s="229">
        <v>0.1222</v>
      </c>
      <c r="BA34" s="228">
        <v>373</v>
      </c>
      <c r="BB34" s="228">
        <v>251</v>
      </c>
      <c r="BC34" s="228">
        <v>122</v>
      </c>
      <c r="BD34" s="229">
        <v>0.48720000000000002</v>
      </c>
      <c r="BE34" s="228">
        <v>5</v>
      </c>
      <c r="BF34" s="228">
        <v>4</v>
      </c>
      <c r="BG34" s="228">
        <v>1</v>
      </c>
      <c r="BH34" s="229">
        <v>0.31709999999999999</v>
      </c>
      <c r="BI34" s="228">
        <v>952</v>
      </c>
      <c r="BJ34" s="230">
        <v>1363</v>
      </c>
      <c r="BK34" s="228">
        <v>-411</v>
      </c>
      <c r="BL34" s="229">
        <v>-0.30149999999999999</v>
      </c>
      <c r="BM34" s="228">
        <v>510</v>
      </c>
      <c r="BN34" s="228">
        <v>675</v>
      </c>
      <c r="BO34" s="228">
        <v>-165</v>
      </c>
      <c r="BP34" s="229">
        <v>-0.24479999999999999</v>
      </c>
      <c r="BQ34" s="230">
        <v>2253</v>
      </c>
      <c r="BR34" s="230">
        <v>2660</v>
      </c>
      <c r="BS34" s="228">
        <v>-408</v>
      </c>
      <c r="BT34" s="229">
        <v>-0.1532</v>
      </c>
      <c r="BU34" s="230">
        <v>1739712</v>
      </c>
      <c r="BV34" s="230">
        <v>2732250</v>
      </c>
      <c r="BW34" s="230">
        <v>-992538</v>
      </c>
      <c r="BX34" s="229">
        <v>-0.36330000000000001</v>
      </c>
      <c r="BY34" s="230">
        <v>1889</v>
      </c>
      <c r="BZ34" s="230">
        <v>1899</v>
      </c>
      <c r="CA34" s="228">
        <v>-10</v>
      </c>
      <c r="CB34" s="229">
        <v>-5.3E-3</v>
      </c>
      <c r="CC34" s="230">
        <v>1236</v>
      </c>
      <c r="CD34" s="230">
        <v>1478</v>
      </c>
      <c r="CE34" s="228">
        <v>-242</v>
      </c>
      <c r="CF34" s="229">
        <v>-0.16400000000000001</v>
      </c>
      <c r="CG34" s="228">
        <v>636</v>
      </c>
      <c r="CH34" s="228">
        <v>406</v>
      </c>
      <c r="CI34" s="228">
        <v>230</v>
      </c>
      <c r="CJ34" s="229">
        <v>0.56720000000000004</v>
      </c>
      <c r="CK34" s="228">
        <v>18</v>
      </c>
      <c r="CL34" s="228">
        <v>15</v>
      </c>
      <c r="CM34" s="228">
        <v>2</v>
      </c>
      <c r="CN34" s="229">
        <v>0.14630000000000001</v>
      </c>
      <c r="CO34" s="230">
        <v>1108</v>
      </c>
      <c r="CP34" s="230">
        <v>1210</v>
      </c>
      <c r="CQ34" s="228">
        <v>-102</v>
      </c>
      <c r="CR34" s="229">
        <v>-8.4699999999999998E-2</v>
      </c>
      <c r="CS34" s="228">
        <v>505</v>
      </c>
      <c r="CT34" s="228">
        <v>522</v>
      </c>
      <c r="CU34" s="228">
        <v>-16</v>
      </c>
      <c r="CV34" s="229">
        <v>-3.1099999999999999E-2</v>
      </c>
      <c r="CW34" s="230">
        <v>3502</v>
      </c>
      <c r="CX34" s="230">
        <v>3631</v>
      </c>
      <c r="CY34" s="228">
        <v>-129</v>
      </c>
      <c r="CZ34" s="229">
        <v>-3.5400000000000001E-2</v>
      </c>
      <c r="DA34" s="228">
        <v>31.37</v>
      </c>
      <c r="DB34" s="228">
        <v>30.55</v>
      </c>
      <c r="DC34" s="228">
        <v>0.82</v>
      </c>
      <c r="DD34" s="228">
        <v>0.82</v>
      </c>
      <c r="DE34" s="228">
        <v>37.25</v>
      </c>
      <c r="DF34" s="228">
        <v>37.229999999999997</v>
      </c>
      <c r="DG34" s="228">
        <v>-5.88</v>
      </c>
      <c r="DH34" s="228">
        <v>0.02</v>
      </c>
      <c r="DI34" s="228">
        <v>31.28</v>
      </c>
      <c r="DJ34" s="228">
        <v>31.56</v>
      </c>
      <c r="DK34" s="228">
        <v>-0.28000000000000003</v>
      </c>
      <c r="DL34" s="228">
        <v>-0.28000000000000003</v>
      </c>
      <c r="DM34" s="228">
        <v>31.5</v>
      </c>
      <c r="DN34" s="228">
        <v>28.53</v>
      </c>
      <c r="DO34" s="228">
        <v>2.97</v>
      </c>
      <c r="DP34" s="228">
        <v>2.97</v>
      </c>
      <c r="DQ34" s="228">
        <v>0.46</v>
      </c>
      <c r="DR34" s="228">
        <v>0.43</v>
      </c>
      <c r="DS34" s="228">
        <v>0.03</v>
      </c>
      <c r="DT34" s="229">
        <v>6.9800000000000001E-2</v>
      </c>
      <c r="DU34" s="228">
        <v>400</v>
      </c>
      <c r="DV34" s="228">
        <v>380</v>
      </c>
      <c r="DW34" s="228">
        <v>0.54</v>
      </c>
      <c r="DX34" s="228">
        <v>0.5</v>
      </c>
      <c r="DY34" s="228">
        <v>0.04</v>
      </c>
      <c r="DZ34" s="229">
        <v>0.08</v>
      </c>
      <c r="EA34" s="229">
        <v>0.34589999999999999</v>
      </c>
      <c r="EB34" s="230">
        <v>11292500</v>
      </c>
      <c r="EC34" s="229">
        <v>5.0000000000000001E-3</v>
      </c>
      <c r="ED34" s="229">
        <v>0.34589999999999999</v>
      </c>
      <c r="EE34" s="228">
        <v>1.98</v>
      </c>
      <c r="EF34" s="229">
        <v>5.3E-3</v>
      </c>
      <c r="EG34" s="230">
        <v>768385</v>
      </c>
      <c r="EH34" s="230">
        <v>1204240</v>
      </c>
      <c r="EI34" s="229">
        <v>-0.3619</v>
      </c>
      <c r="EJ34" s="229">
        <v>0.44169999999999998</v>
      </c>
      <c r="EK34" s="228">
        <v>994.74</v>
      </c>
      <c r="EL34" s="228">
        <v>510.7</v>
      </c>
      <c r="EM34" s="228">
        <v>791.25</v>
      </c>
      <c r="EN34" s="228">
        <v>54</v>
      </c>
      <c r="EO34" s="231">
        <v>2296.6799999999998</v>
      </c>
      <c r="EP34" s="231">
        <v>2677.63</v>
      </c>
      <c r="EQ34" s="228">
        <v>-380.95</v>
      </c>
      <c r="ER34" s="229">
        <v>-0.14230000000000001</v>
      </c>
      <c r="ES34" s="231">
        <v>1190.3800000000001</v>
      </c>
      <c r="ET34" s="228">
        <v>505.32</v>
      </c>
      <c r="EU34" s="231">
        <v>1892.73</v>
      </c>
      <c r="EV34" s="231">
        <v>91057772</v>
      </c>
      <c r="EW34" s="231">
        <v>3588.43</v>
      </c>
      <c r="EX34" s="231">
        <v>3684.15</v>
      </c>
      <c r="EY34" s="228">
        <v>-95.72</v>
      </c>
      <c r="EZ34" s="229">
        <v>-2.5999999999999999E-2</v>
      </c>
      <c r="FA34" s="229">
        <v>1.0314000000000001</v>
      </c>
      <c r="FB34" s="227" t="s">
        <v>556</v>
      </c>
      <c r="FC34">
        <f t="shared" si="0"/>
        <v>653</v>
      </c>
    </row>
    <row r="35" spans="1:159" ht="17.25" thickBot="1" x14ac:dyDescent="0.3">
      <c r="A35" s="226">
        <v>46044</v>
      </c>
      <c r="B35" s="227" t="s">
        <v>184</v>
      </c>
      <c r="C35" s="227" t="s">
        <v>679</v>
      </c>
      <c r="D35" s="228">
        <v>325</v>
      </c>
      <c r="E35" s="228">
        <v>5</v>
      </c>
      <c r="F35" s="231">
        <v>1714.4</v>
      </c>
      <c r="G35" s="231">
        <v>1710.7</v>
      </c>
      <c r="H35" s="228">
        <v>3.7</v>
      </c>
      <c r="I35" s="229">
        <v>2.2000000000000001E-3</v>
      </c>
      <c r="J35" s="231">
        <v>1709.3</v>
      </c>
      <c r="K35" s="231">
        <v>1713.7</v>
      </c>
      <c r="L35" s="228">
        <v>-4.4000000000000004</v>
      </c>
      <c r="M35" s="229">
        <v>-2.5999999999999999E-3</v>
      </c>
      <c r="N35" s="231">
        <v>1714.4</v>
      </c>
      <c r="O35" s="231">
        <v>1710.7</v>
      </c>
      <c r="P35" s="228">
        <v>3.7</v>
      </c>
      <c r="Q35" s="229">
        <v>2.2000000000000001E-3</v>
      </c>
      <c r="R35" s="231">
        <v>1717.6</v>
      </c>
      <c r="S35" s="231">
        <v>1707.5</v>
      </c>
      <c r="T35" s="228">
        <v>10.1</v>
      </c>
      <c r="U35" s="229">
        <v>5.8999999999999999E-3</v>
      </c>
      <c r="V35" s="231">
        <v>1740.5</v>
      </c>
      <c r="W35" s="231">
        <v>1721</v>
      </c>
      <c r="X35" s="228">
        <v>19.5</v>
      </c>
      <c r="Y35" s="229">
        <v>1.1299999999999999E-2</v>
      </c>
      <c r="Z35" s="228">
        <v>5.0999999999999996</v>
      </c>
      <c r="AA35" s="228">
        <v>-3</v>
      </c>
      <c r="AB35" s="228">
        <v>8.1</v>
      </c>
      <c r="AC35" s="229">
        <v>3.0000000000000001E-3</v>
      </c>
      <c r="AD35" s="228">
        <v>5.0999999999999996</v>
      </c>
      <c r="AE35" s="228">
        <v>-3</v>
      </c>
      <c r="AF35" s="228">
        <v>8.1</v>
      </c>
      <c r="AG35" s="229">
        <v>3.0000000000000001E-3</v>
      </c>
      <c r="AH35" s="228">
        <v>8.3000000000000007</v>
      </c>
      <c r="AI35" s="228">
        <v>-6.2</v>
      </c>
      <c r="AJ35" s="228">
        <v>14.5</v>
      </c>
      <c r="AK35" s="229">
        <v>4.8999999999999998E-3</v>
      </c>
      <c r="AL35" s="228">
        <v>31.2</v>
      </c>
      <c r="AM35" s="228">
        <v>7.3</v>
      </c>
      <c r="AN35" s="228">
        <v>23.9</v>
      </c>
      <c r="AO35" s="229">
        <v>1.83E-2</v>
      </c>
      <c r="AP35" s="231">
        <v>1726.66</v>
      </c>
      <c r="AQ35" s="231">
        <v>1727.74</v>
      </c>
      <c r="AR35" s="228">
        <v>0</v>
      </c>
      <c r="AS35" s="228">
        <v>376</v>
      </c>
      <c r="AT35" s="228">
        <v>503</v>
      </c>
      <c r="AU35" s="228">
        <v>-127</v>
      </c>
      <c r="AV35" s="229">
        <v>-0.253</v>
      </c>
      <c r="AW35" s="228">
        <v>195</v>
      </c>
      <c r="AX35" s="228">
        <v>280</v>
      </c>
      <c r="AY35" s="228">
        <v>-85</v>
      </c>
      <c r="AZ35" s="229">
        <v>-0.3029</v>
      </c>
      <c r="BA35" s="228">
        <v>180</v>
      </c>
      <c r="BB35" s="228">
        <v>223</v>
      </c>
      <c r="BC35" s="228">
        <v>-42</v>
      </c>
      <c r="BD35" s="229">
        <v>-0.1905</v>
      </c>
      <c r="BE35" s="228">
        <v>0</v>
      </c>
      <c r="BF35" s="228">
        <v>0</v>
      </c>
      <c r="BG35" s="228">
        <v>0</v>
      </c>
      <c r="BH35" s="229">
        <v>0</v>
      </c>
      <c r="BI35" s="228">
        <v>174</v>
      </c>
      <c r="BJ35" s="228">
        <v>352</v>
      </c>
      <c r="BK35" s="228">
        <v>-177</v>
      </c>
      <c r="BL35" s="229">
        <v>-0.504</v>
      </c>
      <c r="BM35" s="228">
        <v>116</v>
      </c>
      <c r="BN35" s="228">
        <v>569</v>
      </c>
      <c r="BO35" s="228">
        <v>-453</v>
      </c>
      <c r="BP35" s="229">
        <v>-0.79630000000000001</v>
      </c>
      <c r="BQ35" s="228">
        <v>666</v>
      </c>
      <c r="BR35" s="230">
        <v>1424</v>
      </c>
      <c r="BS35" s="228">
        <v>-758</v>
      </c>
      <c r="BT35" s="229">
        <v>-0.53220000000000001</v>
      </c>
      <c r="BU35" s="230">
        <v>253506</v>
      </c>
      <c r="BV35" s="230">
        <v>720117</v>
      </c>
      <c r="BW35" s="230">
        <v>-466611</v>
      </c>
      <c r="BX35" s="229">
        <v>-0.64800000000000002</v>
      </c>
      <c r="BY35" s="228">
        <v>490</v>
      </c>
      <c r="BZ35" s="228">
        <v>513</v>
      </c>
      <c r="CA35" s="228">
        <v>-23</v>
      </c>
      <c r="CB35" s="229">
        <v>-4.5199999999999997E-2</v>
      </c>
      <c r="CC35" s="228">
        <v>166</v>
      </c>
      <c r="CD35" s="228">
        <v>302</v>
      </c>
      <c r="CE35" s="228">
        <v>-135</v>
      </c>
      <c r="CF35" s="229">
        <v>-0.44869999999999999</v>
      </c>
      <c r="CG35" s="228">
        <v>323</v>
      </c>
      <c r="CH35" s="228">
        <v>211</v>
      </c>
      <c r="CI35" s="228">
        <v>112</v>
      </c>
      <c r="CJ35" s="229">
        <v>0.5302</v>
      </c>
      <c r="CK35" s="228">
        <v>0</v>
      </c>
      <c r="CL35" s="228">
        <v>0</v>
      </c>
      <c r="CM35" s="228">
        <v>0</v>
      </c>
      <c r="CN35" s="229">
        <v>1</v>
      </c>
      <c r="CO35" s="228">
        <v>166</v>
      </c>
      <c r="CP35" s="228">
        <v>162</v>
      </c>
      <c r="CQ35" s="228">
        <v>4</v>
      </c>
      <c r="CR35" s="229">
        <v>2.2700000000000001E-2</v>
      </c>
      <c r="CS35" s="228">
        <v>162</v>
      </c>
      <c r="CT35" s="228">
        <v>162</v>
      </c>
      <c r="CU35" s="228">
        <v>-1</v>
      </c>
      <c r="CV35" s="229">
        <v>-3.0999999999999999E-3</v>
      </c>
      <c r="CW35" s="228">
        <v>817</v>
      </c>
      <c r="CX35" s="228">
        <v>837</v>
      </c>
      <c r="CY35" s="228">
        <v>-20</v>
      </c>
      <c r="CZ35" s="229">
        <v>-2.3900000000000001E-2</v>
      </c>
      <c r="DA35" s="228">
        <v>33.56</v>
      </c>
      <c r="DB35" s="228">
        <v>25.76</v>
      </c>
      <c r="DC35" s="228">
        <v>7.8</v>
      </c>
      <c r="DD35" s="228">
        <v>7.8</v>
      </c>
      <c r="DE35" s="228">
        <v>38.85</v>
      </c>
      <c r="DF35" s="228">
        <v>38.950000000000003</v>
      </c>
      <c r="DG35" s="228">
        <v>-5.29</v>
      </c>
      <c r="DH35" s="228">
        <v>-0.1</v>
      </c>
      <c r="DI35" s="228">
        <v>34.58</v>
      </c>
      <c r="DJ35" s="228">
        <v>27.2</v>
      </c>
      <c r="DK35" s="228">
        <v>7.38</v>
      </c>
      <c r="DL35" s="228">
        <v>7.38</v>
      </c>
      <c r="DM35" s="228">
        <v>32.79</v>
      </c>
      <c r="DN35" s="228">
        <v>24.87</v>
      </c>
      <c r="DO35" s="228">
        <v>7.92</v>
      </c>
      <c r="DP35" s="228">
        <v>7.92</v>
      </c>
      <c r="DQ35" s="228">
        <v>0.98</v>
      </c>
      <c r="DR35" s="228">
        <v>1</v>
      </c>
      <c r="DS35" s="228">
        <v>-0.02</v>
      </c>
      <c r="DT35" s="229">
        <v>-0.02</v>
      </c>
      <c r="DU35" s="231">
        <v>1760</v>
      </c>
      <c r="DV35" s="231">
        <v>1660</v>
      </c>
      <c r="DW35" s="228">
        <v>0.66</v>
      </c>
      <c r="DX35" s="228">
        <v>1.62</v>
      </c>
      <c r="DY35" s="228">
        <v>-0.96</v>
      </c>
      <c r="DZ35" s="229">
        <v>-0.59260000000000002</v>
      </c>
      <c r="EA35" s="229">
        <v>0.66049999999999998</v>
      </c>
      <c r="EB35" s="230">
        <v>1233375</v>
      </c>
      <c r="EC35" s="229">
        <v>1.9E-3</v>
      </c>
      <c r="ED35" s="229">
        <v>0.66049999999999998</v>
      </c>
      <c r="EE35" s="228">
        <v>1.08</v>
      </c>
      <c r="EF35" s="229">
        <v>5.9999999999999995E-4</v>
      </c>
      <c r="EG35" s="230">
        <v>132185</v>
      </c>
      <c r="EH35" s="230">
        <v>383233</v>
      </c>
      <c r="EI35" s="229">
        <v>-0.65510000000000002</v>
      </c>
      <c r="EJ35" s="229">
        <v>0.52139999999999997</v>
      </c>
      <c r="EK35" s="228">
        <v>183.28</v>
      </c>
      <c r="EL35" s="228">
        <v>112.81</v>
      </c>
      <c r="EM35" s="228">
        <v>378.45</v>
      </c>
      <c r="EN35" s="228">
        <v>37.71</v>
      </c>
      <c r="EO35" s="228">
        <v>674.54</v>
      </c>
      <c r="EP35" s="231">
        <v>1424.56</v>
      </c>
      <c r="EQ35" s="228">
        <v>-750.02</v>
      </c>
      <c r="ER35" s="229">
        <v>-0.52649999999999997</v>
      </c>
      <c r="ES35" s="228">
        <v>178.29</v>
      </c>
      <c r="ET35" s="228">
        <v>159.47999999999999</v>
      </c>
      <c r="EU35" s="228">
        <v>490.54</v>
      </c>
      <c r="EV35" s="231">
        <v>17213286</v>
      </c>
      <c r="EW35" s="228">
        <v>828.3</v>
      </c>
      <c r="EX35" s="228">
        <v>845.87</v>
      </c>
      <c r="EY35" s="228">
        <v>-17.57</v>
      </c>
      <c r="EZ35" s="229">
        <v>-2.0799999999999999E-2</v>
      </c>
      <c r="FA35" s="229">
        <v>0.27700000000000002</v>
      </c>
      <c r="FB35" s="227" t="s">
        <v>556</v>
      </c>
      <c r="FC35">
        <f t="shared" si="0"/>
        <v>324</v>
      </c>
    </row>
    <row r="36" spans="1:159" ht="17.25" thickBot="1" x14ac:dyDescent="0.3">
      <c r="A36" s="226">
        <v>46044</v>
      </c>
      <c r="B36" s="227" t="s">
        <v>162</v>
      </c>
      <c r="C36" s="227" t="s">
        <v>192</v>
      </c>
      <c r="D36" s="228">
        <v>25</v>
      </c>
      <c r="E36" s="228">
        <v>5</v>
      </c>
      <c r="F36" s="231">
        <v>35825</v>
      </c>
      <c r="G36" s="231">
        <v>35175</v>
      </c>
      <c r="H36" s="228">
        <v>650</v>
      </c>
      <c r="I36" s="229">
        <v>1.8499999999999999E-2</v>
      </c>
      <c r="J36" s="231">
        <v>35710</v>
      </c>
      <c r="K36" s="231">
        <v>35130</v>
      </c>
      <c r="L36" s="228">
        <v>580</v>
      </c>
      <c r="M36" s="229">
        <v>1.6500000000000001E-2</v>
      </c>
      <c r="N36" s="231">
        <v>35825</v>
      </c>
      <c r="O36" s="231">
        <v>35175</v>
      </c>
      <c r="P36" s="228">
        <v>650</v>
      </c>
      <c r="Q36" s="229">
        <v>1.8499999999999999E-2</v>
      </c>
      <c r="R36" s="231">
        <v>35885</v>
      </c>
      <c r="S36" s="231">
        <v>35230</v>
      </c>
      <c r="T36" s="228">
        <v>655</v>
      </c>
      <c r="U36" s="229">
        <v>1.8599999999999998E-2</v>
      </c>
      <c r="V36" s="231">
        <v>35910</v>
      </c>
      <c r="W36" s="231">
        <v>35365</v>
      </c>
      <c r="X36" s="228">
        <v>545</v>
      </c>
      <c r="Y36" s="229">
        <v>1.54E-2</v>
      </c>
      <c r="Z36" s="228">
        <v>115</v>
      </c>
      <c r="AA36" s="228">
        <v>45</v>
      </c>
      <c r="AB36" s="228">
        <v>70</v>
      </c>
      <c r="AC36" s="229">
        <v>3.2000000000000002E-3</v>
      </c>
      <c r="AD36" s="228">
        <v>115</v>
      </c>
      <c r="AE36" s="228">
        <v>45</v>
      </c>
      <c r="AF36" s="228">
        <v>70</v>
      </c>
      <c r="AG36" s="229">
        <v>3.2000000000000002E-3</v>
      </c>
      <c r="AH36" s="228">
        <v>175</v>
      </c>
      <c r="AI36" s="228">
        <v>100</v>
      </c>
      <c r="AJ36" s="228">
        <v>75</v>
      </c>
      <c r="AK36" s="229">
        <v>4.8999999999999998E-3</v>
      </c>
      <c r="AL36" s="228">
        <v>200</v>
      </c>
      <c r="AM36" s="228">
        <v>235</v>
      </c>
      <c r="AN36" s="228">
        <v>-35</v>
      </c>
      <c r="AO36" s="229">
        <v>5.5999999999999999E-3</v>
      </c>
      <c r="AP36" s="231">
        <v>35683.56</v>
      </c>
      <c r="AQ36" s="231">
        <v>35750.9</v>
      </c>
      <c r="AR36" s="228">
        <v>0</v>
      </c>
      <c r="AS36" s="228">
        <v>628</v>
      </c>
      <c r="AT36" s="228">
        <v>541</v>
      </c>
      <c r="AU36" s="228">
        <v>86</v>
      </c>
      <c r="AV36" s="229">
        <v>0.15970000000000001</v>
      </c>
      <c r="AW36" s="228">
        <v>367</v>
      </c>
      <c r="AX36" s="228">
        <v>328</v>
      </c>
      <c r="AY36" s="228">
        <v>40</v>
      </c>
      <c r="AZ36" s="229">
        <v>0.122</v>
      </c>
      <c r="BA36" s="228">
        <v>259</v>
      </c>
      <c r="BB36" s="228">
        <v>212</v>
      </c>
      <c r="BC36" s="228">
        <v>48</v>
      </c>
      <c r="BD36" s="229">
        <v>0.22559999999999999</v>
      </c>
      <c r="BE36" s="228">
        <v>1</v>
      </c>
      <c r="BF36" s="228">
        <v>2</v>
      </c>
      <c r="BG36" s="228">
        <v>-1</v>
      </c>
      <c r="BH36" s="229">
        <v>-0.60870000000000002</v>
      </c>
      <c r="BI36" s="230">
        <v>2626</v>
      </c>
      <c r="BJ36" s="230">
        <v>2234</v>
      </c>
      <c r="BK36" s="228">
        <v>392</v>
      </c>
      <c r="BL36" s="229">
        <v>0.17560000000000001</v>
      </c>
      <c r="BM36" s="228">
        <v>445</v>
      </c>
      <c r="BN36" s="228">
        <v>769</v>
      </c>
      <c r="BO36" s="228">
        <v>-325</v>
      </c>
      <c r="BP36" s="229">
        <v>-0.42209999999999998</v>
      </c>
      <c r="BQ36" s="230">
        <v>3698</v>
      </c>
      <c r="BR36" s="230">
        <v>3545</v>
      </c>
      <c r="BS36" s="228">
        <v>154</v>
      </c>
      <c r="BT36" s="229">
        <v>4.3400000000000001E-2</v>
      </c>
      <c r="BU36" s="230">
        <v>21826</v>
      </c>
      <c r="BV36" s="230">
        <v>35327</v>
      </c>
      <c r="BW36" s="230">
        <v>-13501</v>
      </c>
      <c r="BX36" s="229">
        <v>-0.38219999999999998</v>
      </c>
      <c r="BY36" s="228">
        <v>781</v>
      </c>
      <c r="BZ36" s="228">
        <v>784</v>
      </c>
      <c r="CA36" s="228">
        <v>-3</v>
      </c>
      <c r="CB36" s="229">
        <v>-4.1000000000000003E-3</v>
      </c>
      <c r="CC36" s="228">
        <v>456</v>
      </c>
      <c r="CD36" s="228">
        <v>615</v>
      </c>
      <c r="CE36" s="228">
        <v>-159</v>
      </c>
      <c r="CF36" s="229">
        <v>-0.25900000000000001</v>
      </c>
      <c r="CG36" s="228">
        <v>321</v>
      </c>
      <c r="CH36" s="228">
        <v>165</v>
      </c>
      <c r="CI36" s="228">
        <v>156</v>
      </c>
      <c r="CJ36" s="229">
        <v>0.94199999999999995</v>
      </c>
      <c r="CK36" s="228">
        <v>5</v>
      </c>
      <c r="CL36" s="228">
        <v>5</v>
      </c>
      <c r="CM36" s="228">
        <v>0</v>
      </c>
      <c r="CN36" s="229">
        <v>9.8000000000000004E-2</v>
      </c>
      <c r="CO36" s="230">
        <v>1484</v>
      </c>
      <c r="CP36" s="230">
        <v>1500</v>
      </c>
      <c r="CQ36" s="228">
        <v>-17</v>
      </c>
      <c r="CR36" s="229">
        <v>-1.0999999999999999E-2</v>
      </c>
      <c r="CS36" s="228">
        <v>402</v>
      </c>
      <c r="CT36" s="228">
        <v>410</v>
      </c>
      <c r="CU36" s="228">
        <v>-8</v>
      </c>
      <c r="CV36" s="229">
        <v>-1.9E-2</v>
      </c>
      <c r="CW36" s="230">
        <v>2667</v>
      </c>
      <c r="CX36" s="230">
        <v>2694</v>
      </c>
      <c r="CY36" s="228">
        <v>-28</v>
      </c>
      <c r="CZ36" s="229">
        <v>-1.0200000000000001E-2</v>
      </c>
      <c r="DA36" s="228">
        <v>28.92</v>
      </c>
      <c r="DB36" s="228">
        <v>29.32</v>
      </c>
      <c r="DC36" s="228">
        <v>-0.4</v>
      </c>
      <c r="DD36" s="228">
        <v>-0.4</v>
      </c>
      <c r="DE36" s="228">
        <v>29.18</v>
      </c>
      <c r="DF36" s="228">
        <v>29.15</v>
      </c>
      <c r="DG36" s="228">
        <v>-0.26</v>
      </c>
      <c r="DH36" s="228">
        <v>0.03</v>
      </c>
      <c r="DI36" s="228">
        <v>28.37</v>
      </c>
      <c r="DJ36" s="228">
        <v>30.66</v>
      </c>
      <c r="DK36" s="228">
        <v>-2.29</v>
      </c>
      <c r="DL36" s="228">
        <v>-2.29</v>
      </c>
      <c r="DM36" s="228">
        <v>30.03</v>
      </c>
      <c r="DN36" s="228">
        <v>25.41</v>
      </c>
      <c r="DO36" s="228">
        <v>4.62</v>
      </c>
      <c r="DP36" s="228">
        <v>4.62</v>
      </c>
      <c r="DQ36" s="228">
        <v>0.27</v>
      </c>
      <c r="DR36" s="228">
        <v>0.27</v>
      </c>
      <c r="DS36" s="228">
        <v>0</v>
      </c>
      <c r="DT36" s="229">
        <v>0</v>
      </c>
      <c r="DU36" s="231">
        <v>40000</v>
      </c>
      <c r="DV36" s="231">
        <v>38000</v>
      </c>
      <c r="DW36" s="228">
        <v>0.17</v>
      </c>
      <c r="DX36" s="228">
        <v>0.34</v>
      </c>
      <c r="DY36" s="228">
        <v>-0.17</v>
      </c>
      <c r="DZ36" s="229">
        <v>-0.5</v>
      </c>
      <c r="EA36" s="229">
        <v>0.41689999999999999</v>
      </c>
      <c r="EB36" s="230">
        <v>47375</v>
      </c>
      <c r="EC36" s="229">
        <v>1.6999999999999999E-3</v>
      </c>
      <c r="ED36" s="229">
        <v>0.41689999999999999</v>
      </c>
      <c r="EE36" s="228">
        <v>67.34</v>
      </c>
      <c r="EF36" s="229">
        <v>1.9E-3</v>
      </c>
      <c r="EG36" s="230">
        <v>7397</v>
      </c>
      <c r="EH36" s="230">
        <v>9985</v>
      </c>
      <c r="EI36" s="229">
        <v>-0.25919999999999999</v>
      </c>
      <c r="EJ36" s="229">
        <v>0.33889999999999998</v>
      </c>
      <c r="EK36" s="231">
        <v>2843.74</v>
      </c>
      <c r="EL36" s="228">
        <v>433.54</v>
      </c>
      <c r="EM36" s="228">
        <v>625.66999999999996</v>
      </c>
      <c r="EN36" s="228">
        <v>32.4</v>
      </c>
      <c r="EO36" s="231">
        <v>3902.95</v>
      </c>
      <c r="EP36" s="231">
        <v>3714.85</v>
      </c>
      <c r="EQ36" s="228">
        <v>188.1</v>
      </c>
      <c r="ER36" s="229">
        <v>5.0599999999999999E-2</v>
      </c>
      <c r="ES36" s="231">
        <v>1649.72</v>
      </c>
      <c r="ET36" s="228">
        <v>404.97</v>
      </c>
      <c r="EU36" s="228">
        <v>781.8</v>
      </c>
      <c r="EV36" s="231">
        <v>882048</v>
      </c>
      <c r="EW36" s="231">
        <v>2836.49</v>
      </c>
      <c r="EX36" s="231">
        <v>2850.57</v>
      </c>
      <c r="EY36" s="228">
        <v>-14.08</v>
      </c>
      <c r="EZ36" s="229">
        <v>-4.8999999999999998E-3</v>
      </c>
      <c r="FA36" s="229">
        <v>0.84399999999999997</v>
      </c>
      <c r="FB36" s="227" t="s">
        <v>556</v>
      </c>
      <c r="FC36">
        <f t="shared" si="0"/>
        <v>325</v>
      </c>
    </row>
    <row r="37" spans="1:159" ht="17.25" thickBot="1" x14ac:dyDescent="0.3">
      <c r="A37" s="226">
        <v>46044</v>
      </c>
      <c r="B37" s="227" t="s">
        <v>193</v>
      </c>
      <c r="C37" s="227" t="s">
        <v>194</v>
      </c>
      <c r="D37" s="228">
        <v>1975</v>
      </c>
      <c r="E37" s="228">
        <v>5</v>
      </c>
      <c r="F37" s="228">
        <v>354.1</v>
      </c>
      <c r="G37" s="228">
        <v>351.3</v>
      </c>
      <c r="H37" s="228">
        <v>2.8</v>
      </c>
      <c r="I37" s="229">
        <v>8.0000000000000002E-3</v>
      </c>
      <c r="J37" s="228">
        <v>354.15</v>
      </c>
      <c r="K37" s="228">
        <v>351.95</v>
      </c>
      <c r="L37" s="228">
        <v>2.2000000000000002</v>
      </c>
      <c r="M37" s="229">
        <v>6.3E-3</v>
      </c>
      <c r="N37" s="228">
        <v>354.1</v>
      </c>
      <c r="O37" s="228">
        <v>351.3</v>
      </c>
      <c r="P37" s="228">
        <v>2.8</v>
      </c>
      <c r="Q37" s="229">
        <v>8.0000000000000002E-3</v>
      </c>
      <c r="R37" s="228">
        <v>353.75</v>
      </c>
      <c r="S37" s="228">
        <v>348.45</v>
      </c>
      <c r="T37" s="228">
        <v>5.3</v>
      </c>
      <c r="U37" s="229">
        <v>1.52E-2</v>
      </c>
      <c r="V37" s="228">
        <v>355.95</v>
      </c>
      <c r="W37" s="228">
        <v>350</v>
      </c>
      <c r="X37" s="228">
        <v>5.95</v>
      </c>
      <c r="Y37" s="229">
        <v>1.7000000000000001E-2</v>
      </c>
      <c r="Z37" s="228">
        <v>-0.05</v>
      </c>
      <c r="AA37" s="228">
        <v>-0.65</v>
      </c>
      <c r="AB37" s="228">
        <v>0.6</v>
      </c>
      <c r="AC37" s="229">
        <v>-1E-4</v>
      </c>
      <c r="AD37" s="228">
        <v>-0.05</v>
      </c>
      <c r="AE37" s="228">
        <v>-0.65</v>
      </c>
      <c r="AF37" s="228">
        <v>0.6</v>
      </c>
      <c r="AG37" s="229">
        <v>-1E-4</v>
      </c>
      <c r="AH37" s="228">
        <v>-0.4</v>
      </c>
      <c r="AI37" s="228">
        <v>-3.5</v>
      </c>
      <c r="AJ37" s="228">
        <v>3.1</v>
      </c>
      <c r="AK37" s="229">
        <v>-1.1000000000000001E-3</v>
      </c>
      <c r="AL37" s="228">
        <v>1.8</v>
      </c>
      <c r="AM37" s="228">
        <v>-1.95</v>
      </c>
      <c r="AN37" s="228">
        <v>3.75</v>
      </c>
      <c r="AO37" s="229">
        <v>5.1000000000000004E-3</v>
      </c>
      <c r="AP37" s="228">
        <v>355.25</v>
      </c>
      <c r="AQ37" s="228">
        <v>354.12</v>
      </c>
      <c r="AR37" s="228">
        <v>0</v>
      </c>
      <c r="AS37" s="228">
        <v>643</v>
      </c>
      <c r="AT37" s="228">
        <v>778</v>
      </c>
      <c r="AU37" s="228">
        <v>-135</v>
      </c>
      <c r="AV37" s="229">
        <v>-0.17369999999999999</v>
      </c>
      <c r="AW37" s="228">
        <v>364</v>
      </c>
      <c r="AX37" s="228">
        <v>431</v>
      </c>
      <c r="AY37" s="228">
        <v>-68</v>
      </c>
      <c r="AZ37" s="229">
        <v>-0.15679999999999999</v>
      </c>
      <c r="BA37" s="228">
        <v>278</v>
      </c>
      <c r="BB37" s="228">
        <v>342</v>
      </c>
      <c r="BC37" s="228">
        <v>-64</v>
      </c>
      <c r="BD37" s="229">
        <v>-0.18690000000000001</v>
      </c>
      <c r="BE37" s="228">
        <v>1</v>
      </c>
      <c r="BF37" s="228">
        <v>5</v>
      </c>
      <c r="BG37" s="228">
        <v>-4</v>
      </c>
      <c r="BH37" s="229">
        <v>-0.72219999999999995</v>
      </c>
      <c r="BI37" s="228">
        <v>848</v>
      </c>
      <c r="BJ37" s="230">
        <v>1063</v>
      </c>
      <c r="BK37" s="228">
        <v>-215</v>
      </c>
      <c r="BL37" s="229">
        <v>-0.20219999999999999</v>
      </c>
      <c r="BM37" s="228">
        <v>692</v>
      </c>
      <c r="BN37" s="228">
        <v>809</v>
      </c>
      <c r="BO37" s="228">
        <v>-118</v>
      </c>
      <c r="BP37" s="229">
        <v>-0.14549999999999999</v>
      </c>
      <c r="BQ37" s="230">
        <v>2183</v>
      </c>
      <c r="BR37" s="230">
        <v>2651</v>
      </c>
      <c r="BS37" s="228">
        <v>-468</v>
      </c>
      <c r="BT37" s="229">
        <v>-0.17649999999999999</v>
      </c>
      <c r="BU37" s="230">
        <v>4769810</v>
      </c>
      <c r="BV37" s="230">
        <v>6328761</v>
      </c>
      <c r="BW37" s="230">
        <v>-1558951</v>
      </c>
      <c r="BX37" s="229">
        <v>-0.24629999999999999</v>
      </c>
      <c r="BY37" s="230">
        <v>1070</v>
      </c>
      <c r="BZ37" s="230">
        <v>1082</v>
      </c>
      <c r="CA37" s="228">
        <v>-12</v>
      </c>
      <c r="CB37" s="229">
        <v>-1.1299999999999999E-2</v>
      </c>
      <c r="CC37" s="228">
        <v>627</v>
      </c>
      <c r="CD37" s="228">
        <v>796</v>
      </c>
      <c r="CE37" s="228">
        <v>-169</v>
      </c>
      <c r="CF37" s="229">
        <v>-0.2127</v>
      </c>
      <c r="CG37" s="228">
        <v>430</v>
      </c>
      <c r="CH37" s="228">
        <v>274</v>
      </c>
      <c r="CI37" s="228">
        <v>157</v>
      </c>
      <c r="CJ37" s="229">
        <v>0.57250000000000001</v>
      </c>
      <c r="CK37" s="228">
        <v>13</v>
      </c>
      <c r="CL37" s="228">
        <v>12</v>
      </c>
      <c r="CM37" s="228">
        <v>0</v>
      </c>
      <c r="CN37" s="229">
        <v>3.95E-2</v>
      </c>
      <c r="CO37" s="228">
        <v>775</v>
      </c>
      <c r="CP37" s="228">
        <v>849</v>
      </c>
      <c r="CQ37" s="228">
        <v>-73</v>
      </c>
      <c r="CR37" s="229">
        <v>-8.6400000000000005E-2</v>
      </c>
      <c r="CS37" s="228">
        <v>438</v>
      </c>
      <c r="CT37" s="228">
        <v>451</v>
      </c>
      <c r="CU37" s="228">
        <v>-13</v>
      </c>
      <c r="CV37" s="229">
        <v>-2.8400000000000002E-2</v>
      </c>
      <c r="CW37" s="230">
        <v>2283</v>
      </c>
      <c r="CX37" s="230">
        <v>2381</v>
      </c>
      <c r="CY37" s="228">
        <v>-98</v>
      </c>
      <c r="CZ37" s="229">
        <v>-4.1300000000000003E-2</v>
      </c>
      <c r="DA37" s="228">
        <v>29.81</v>
      </c>
      <c r="DB37" s="228">
        <v>35.03</v>
      </c>
      <c r="DC37" s="228">
        <v>-5.22</v>
      </c>
      <c r="DD37" s="228">
        <v>-5.22</v>
      </c>
      <c r="DE37" s="228">
        <v>32.07</v>
      </c>
      <c r="DF37" s="228">
        <v>32.14</v>
      </c>
      <c r="DG37" s="228">
        <v>-2.2599999999999998</v>
      </c>
      <c r="DH37" s="228">
        <v>-7.0000000000000007E-2</v>
      </c>
      <c r="DI37" s="228">
        <v>29.44</v>
      </c>
      <c r="DJ37" s="228">
        <v>35.42</v>
      </c>
      <c r="DK37" s="228">
        <v>-5.98</v>
      </c>
      <c r="DL37" s="228">
        <v>-5.98</v>
      </c>
      <c r="DM37" s="228">
        <v>30.22</v>
      </c>
      <c r="DN37" s="228">
        <v>34.5</v>
      </c>
      <c r="DO37" s="228">
        <v>-4.28</v>
      </c>
      <c r="DP37" s="228">
        <v>-4.28</v>
      </c>
      <c r="DQ37" s="228">
        <v>0.56000000000000005</v>
      </c>
      <c r="DR37" s="228">
        <v>0.53</v>
      </c>
      <c r="DS37" s="228">
        <v>0.03</v>
      </c>
      <c r="DT37" s="229">
        <v>5.6599999999999998E-2</v>
      </c>
      <c r="DU37" s="228">
        <v>380</v>
      </c>
      <c r="DV37" s="228">
        <v>360</v>
      </c>
      <c r="DW37" s="228">
        <v>0.82</v>
      </c>
      <c r="DX37" s="228">
        <v>0.76</v>
      </c>
      <c r="DY37" s="228">
        <v>0.06</v>
      </c>
      <c r="DZ37" s="229">
        <v>7.8899999999999998E-2</v>
      </c>
      <c r="EA37" s="229">
        <v>0.41410000000000002</v>
      </c>
      <c r="EB37" s="230">
        <v>8073800</v>
      </c>
      <c r="EC37" s="229">
        <v>-1E-3</v>
      </c>
      <c r="ED37" s="229">
        <v>0.41410000000000002</v>
      </c>
      <c r="EE37" s="228">
        <v>-1.1299999999999999</v>
      </c>
      <c r="EF37" s="229">
        <v>-3.2000000000000002E-3</v>
      </c>
      <c r="EG37" s="230">
        <v>2752287</v>
      </c>
      <c r="EH37" s="230">
        <v>2846030</v>
      </c>
      <c r="EI37" s="229">
        <v>-3.2899999999999999E-2</v>
      </c>
      <c r="EJ37" s="229">
        <v>0.57699999999999996</v>
      </c>
      <c r="EK37" s="228">
        <v>885.01</v>
      </c>
      <c r="EL37" s="228">
        <v>687.48</v>
      </c>
      <c r="EM37" s="228">
        <v>644.39</v>
      </c>
      <c r="EN37" s="228">
        <v>62.33</v>
      </c>
      <c r="EO37" s="231">
        <v>2216.87</v>
      </c>
      <c r="EP37" s="231">
        <v>2679.08</v>
      </c>
      <c r="EQ37" s="228">
        <v>-462.21</v>
      </c>
      <c r="ER37" s="229">
        <v>-0.17249999999999999</v>
      </c>
      <c r="ES37" s="228">
        <v>831.3</v>
      </c>
      <c r="ET37" s="228">
        <v>433.18</v>
      </c>
      <c r="EU37" s="231">
        <v>1069.29</v>
      </c>
      <c r="EV37" s="231">
        <v>306020745</v>
      </c>
      <c r="EW37" s="231">
        <v>2333.77</v>
      </c>
      <c r="EX37" s="231">
        <v>2424.65</v>
      </c>
      <c r="EY37" s="228">
        <v>-90.88</v>
      </c>
      <c r="EZ37" s="229">
        <v>-3.7499999999999999E-2</v>
      </c>
      <c r="FA37" s="229">
        <v>0.2107</v>
      </c>
      <c r="FB37" s="227" t="s">
        <v>556</v>
      </c>
      <c r="FC37">
        <f t="shared" si="0"/>
        <v>443</v>
      </c>
    </row>
    <row r="38" spans="1:159" ht="17.25" thickBot="1" x14ac:dyDescent="0.3">
      <c r="A38" s="226">
        <v>46044</v>
      </c>
      <c r="B38" s="227" t="s">
        <v>168</v>
      </c>
      <c r="C38" s="227" t="s">
        <v>195</v>
      </c>
      <c r="D38" s="228">
        <v>125</v>
      </c>
      <c r="E38" s="228">
        <v>5</v>
      </c>
      <c r="F38" s="231">
        <v>5937.5</v>
      </c>
      <c r="G38" s="231">
        <v>5818</v>
      </c>
      <c r="H38" s="228">
        <v>119.5</v>
      </c>
      <c r="I38" s="229">
        <v>2.0500000000000001E-2</v>
      </c>
      <c r="J38" s="231">
        <v>5932</v>
      </c>
      <c r="K38" s="231">
        <v>5802.5</v>
      </c>
      <c r="L38" s="228">
        <v>129.5</v>
      </c>
      <c r="M38" s="229">
        <v>2.23E-2</v>
      </c>
      <c r="N38" s="231">
        <v>5937.5</v>
      </c>
      <c r="O38" s="231">
        <v>5818</v>
      </c>
      <c r="P38" s="228">
        <v>119.5</v>
      </c>
      <c r="Q38" s="229">
        <v>2.0500000000000001E-2</v>
      </c>
      <c r="R38" s="231">
        <v>5969.5</v>
      </c>
      <c r="S38" s="231">
        <v>5846.5</v>
      </c>
      <c r="T38" s="228">
        <v>123</v>
      </c>
      <c r="U38" s="229">
        <v>2.1000000000000001E-2</v>
      </c>
      <c r="V38" s="231">
        <v>6030</v>
      </c>
      <c r="W38" s="231">
        <v>5885</v>
      </c>
      <c r="X38" s="228">
        <v>145</v>
      </c>
      <c r="Y38" s="229">
        <v>2.46E-2</v>
      </c>
      <c r="Z38" s="228">
        <v>5.5</v>
      </c>
      <c r="AA38" s="228">
        <v>15.5</v>
      </c>
      <c r="AB38" s="228">
        <v>-10</v>
      </c>
      <c r="AC38" s="229">
        <v>8.9999999999999998E-4</v>
      </c>
      <c r="AD38" s="228">
        <v>5.5</v>
      </c>
      <c r="AE38" s="228">
        <v>15.5</v>
      </c>
      <c r="AF38" s="228">
        <v>-10</v>
      </c>
      <c r="AG38" s="229">
        <v>8.9999999999999998E-4</v>
      </c>
      <c r="AH38" s="228">
        <v>37.5</v>
      </c>
      <c r="AI38" s="228">
        <v>44</v>
      </c>
      <c r="AJ38" s="228">
        <v>-6.5</v>
      </c>
      <c r="AK38" s="229">
        <v>6.3E-3</v>
      </c>
      <c r="AL38" s="228">
        <v>98</v>
      </c>
      <c r="AM38" s="228">
        <v>82.5</v>
      </c>
      <c r="AN38" s="228">
        <v>15.5</v>
      </c>
      <c r="AO38" s="229">
        <v>1.6500000000000001E-2</v>
      </c>
      <c r="AP38" s="231">
        <v>5924.65</v>
      </c>
      <c r="AQ38" s="231">
        <v>5957.1</v>
      </c>
      <c r="AR38" s="228">
        <v>0</v>
      </c>
      <c r="AS38" s="230">
        <v>1881</v>
      </c>
      <c r="AT38" s="230">
        <v>1203</v>
      </c>
      <c r="AU38" s="228">
        <v>678</v>
      </c>
      <c r="AV38" s="229">
        <v>0.56320000000000003</v>
      </c>
      <c r="AW38" s="228">
        <v>925</v>
      </c>
      <c r="AX38" s="228">
        <v>608</v>
      </c>
      <c r="AY38" s="228">
        <v>317</v>
      </c>
      <c r="AZ38" s="229">
        <v>0.52149999999999996</v>
      </c>
      <c r="BA38" s="228">
        <v>955</v>
      </c>
      <c r="BB38" s="228">
        <v>594</v>
      </c>
      <c r="BC38" s="228">
        <v>361</v>
      </c>
      <c r="BD38" s="229">
        <v>0.60670000000000002</v>
      </c>
      <c r="BE38" s="228">
        <v>1</v>
      </c>
      <c r="BF38" s="228">
        <v>1</v>
      </c>
      <c r="BG38" s="228">
        <v>0</v>
      </c>
      <c r="BH38" s="229">
        <v>0.1875</v>
      </c>
      <c r="BI38" s="230">
        <v>1140</v>
      </c>
      <c r="BJ38" s="228">
        <v>799</v>
      </c>
      <c r="BK38" s="228">
        <v>341</v>
      </c>
      <c r="BL38" s="229">
        <v>0.42630000000000001</v>
      </c>
      <c r="BM38" s="228">
        <v>562</v>
      </c>
      <c r="BN38" s="228">
        <v>558</v>
      </c>
      <c r="BO38" s="228">
        <v>4</v>
      </c>
      <c r="BP38" s="229">
        <v>6.7999999999999996E-3</v>
      </c>
      <c r="BQ38" s="230">
        <v>3583</v>
      </c>
      <c r="BR38" s="230">
        <v>2561</v>
      </c>
      <c r="BS38" s="230">
        <v>1022</v>
      </c>
      <c r="BT38" s="229">
        <v>0.3992</v>
      </c>
      <c r="BU38" s="230">
        <v>443913</v>
      </c>
      <c r="BV38" s="230">
        <v>670344</v>
      </c>
      <c r="BW38" s="230">
        <v>-226431</v>
      </c>
      <c r="BX38" s="229">
        <v>-0.33779999999999999</v>
      </c>
      <c r="BY38" s="230">
        <v>1832</v>
      </c>
      <c r="BZ38" s="230">
        <v>1880</v>
      </c>
      <c r="CA38" s="228">
        <v>-49</v>
      </c>
      <c r="CB38" s="229">
        <v>-2.5899999999999999E-2</v>
      </c>
      <c r="CC38" s="228">
        <v>628</v>
      </c>
      <c r="CD38" s="230">
        <v>1392</v>
      </c>
      <c r="CE38" s="228">
        <v>-764</v>
      </c>
      <c r="CF38" s="229">
        <v>-0.54900000000000004</v>
      </c>
      <c r="CG38" s="230">
        <v>1201</v>
      </c>
      <c r="CH38" s="228">
        <v>485</v>
      </c>
      <c r="CI38" s="228">
        <v>715</v>
      </c>
      <c r="CJ38" s="229">
        <v>1.4735</v>
      </c>
      <c r="CK38" s="228">
        <v>3</v>
      </c>
      <c r="CL38" s="228">
        <v>3</v>
      </c>
      <c r="CM38" s="228">
        <v>0</v>
      </c>
      <c r="CN38" s="229">
        <v>0.1429</v>
      </c>
      <c r="CO38" s="228">
        <v>572</v>
      </c>
      <c r="CP38" s="228">
        <v>683</v>
      </c>
      <c r="CQ38" s="228">
        <v>-111</v>
      </c>
      <c r="CR38" s="229">
        <v>-0.16309999999999999</v>
      </c>
      <c r="CS38" s="228">
        <v>345</v>
      </c>
      <c r="CT38" s="228">
        <v>321</v>
      </c>
      <c r="CU38" s="228">
        <v>24</v>
      </c>
      <c r="CV38" s="229">
        <v>7.5600000000000001E-2</v>
      </c>
      <c r="CW38" s="230">
        <v>2749</v>
      </c>
      <c r="CX38" s="230">
        <v>2884</v>
      </c>
      <c r="CY38" s="228">
        <v>-136</v>
      </c>
      <c r="CZ38" s="229">
        <v>-4.7100000000000003E-2</v>
      </c>
      <c r="DA38" s="228">
        <v>24.76</v>
      </c>
      <c r="DB38" s="228">
        <v>22.83</v>
      </c>
      <c r="DC38" s="228">
        <v>1.93</v>
      </c>
      <c r="DD38" s="228">
        <v>1.93</v>
      </c>
      <c r="DE38" s="228">
        <v>23.63</v>
      </c>
      <c r="DF38" s="228">
        <v>23.5</v>
      </c>
      <c r="DG38" s="228">
        <v>1.1299999999999999</v>
      </c>
      <c r="DH38" s="228">
        <v>0.13</v>
      </c>
      <c r="DI38" s="228">
        <v>24.87</v>
      </c>
      <c r="DJ38" s="228">
        <v>24.23</v>
      </c>
      <c r="DK38" s="228">
        <v>0.64</v>
      </c>
      <c r="DL38" s="228">
        <v>0.64</v>
      </c>
      <c r="DM38" s="228">
        <v>24.49</v>
      </c>
      <c r="DN38" s="228">
        <v>20.83</v>
      </c>
      <c r="DO38" s="228">
        <v>3.66</v>
      </c>
      <c r="DP38" s="228">
        <v>3.66</v>
      </c>
      <c r="DQ38" s="228">
        <v>0.6</v>
      </c>
      <c r="DR38" s="228">
        <v>0.47</v>
      </c>
      <c r="DS38" s="228">
        <v>0.13</v>
      </c>
      <c r="DT38" s="229">
        <v>0.27660000000000001</v>
      </c>
      <c r="DU38" s="231">
        <v>6600</v>
      </c>
      <c r="DV38" s="231">
        <v>5800</v>
      </c>
      <c r="DW38" s="228">
        <v>0.49</v>
      </c>
      <c r="DX38" s="228">
        <v>0.7</v>
      </c>
      <c r="DY38" s="228">
        <v>-0.21</v>
      </c>
      <c r="DZ38" s="229">
        <v>-0.3</v>
      </c>
      <c r="EA38" s="229">
        <v>0.65720000000000001</v>
      </c>
      <c r="EB38" s="230">
        <v>822000</v>
      </c>
      <c r="EC38" s="229">
        <v>5.4000000000000003E-3</v>
      </c>
      <c r="ED38" s="229">
        <v>0.65720000000000001</v>
      </c>
      <c r="EE38" s="228">
        <v>32.450000000000003</v>
      </c>
      <c r="EF38" s="229">
        <v>5.4999999999999997E-3</v>
      </c>
      <c r="EG38" s="230">
        <v>265136</v>
      </c>
      <c r="EH38" s="230">
        <v>462886</v>
      </c>
      <c r="EI38" s="229">
        <v>-0.42720000000000002</v>
      </c>
      <c r="EJ38" s="229">
        <v>0.59730000000000005</v>
      </c>
      <c r="EK38" s="231">
        <v>1176.18</v>
      </c>
      <c r="EL38" s="228">
        <v>554.23</v>
      </c>
      <c r="EM38" s="231">
        <v>1882.46</v>
      </c>
      <c r="EN38" s="228">
        <v>60.5</v>
      </c>
      <c r="EO38" s="231">
        <v>3612.88</v>
      </c>
      <c r="EP38" s="231">
        <v>2558.63</v>
      </c>
      <c r="EQ38" s="231">
        <v>1054.25</v>
      </c>
      <c r="ER38" s="229">
        <v>0.41199999999999998</v>
      </c>
      <c r="ES38" s="228">
        <v>605.42999999999995</v>
      </c>
      <c r="ET38" s="228">
        <v>339.71</v>
      </c>
      <c r="EU38" s="231">
        <v>1838.24</v>
      </c>
      <c r="EV38" s="231">
        <v>16370935</v>
      </c>
      <c r="EW38" s="231">
        <v>2783.38</v>
      </c>
      <c r="EX38" s="231">
        <v>2881.37</v>
      </c>
      <c r="EY38" s="228">
        <v>-97.99</v>
      </c>
      <c r="EZ38" s="229">
        <v>-3.4000000000000002E-2</v>
      </c>
      <c r="FA38" s="229">
        <v>0.2828</v>
      </c>
      <c r="FB38" s="227" t="s">
        <v>556</v>
      </c>
      <c r="FC38">
        <f t="shared" si="0"/>
        <v>1204</v>
      </c>
    </row>
    <row r="39" spans="1:159" ht="17.25" thickBot="1" x14ac:dyDescent="0.3">
      <c r="A39" s="226">
        <v>46044</v>
      </c>
      <c r="B39" s="227" t="s">
        <v>175</v>
      </c>
      <c r="C39" s="227" t="s">
        <v>584</v>
      </c>
      <c r="D39" s="228">
        <v>375</v>
      </c>
      <c r="E39" s="228">
        <v>5</v>
      </c>
      <c r="F39" s="231">
        <v>2707.5</v>
      </c>
      <c r="G39" s="231">
        <v>2627.6</v>
      </c>
      <c r="H39" s="228">
        <v>79.900000000000006</v>
      </c>
      <c r="I39" s="229">
        <v>3.04E-2</v>
      </c>
      <c r="J39" s="231">
        <v>2708.6</v>
      </c>
      <c r="K39" s="231">
        <v>2628.8</v>
      </c>
      <c r="L39" s="228">
        <v>79.8</v>
      </c>
      <c r="M39" s="229">
        <v>3.04E-2</v>
      </c>
      <c r="N39" s="231">
        <v>2707.5</v>
      </c>
      <c r="O39" s="231">
        <v>2627.6</v>
      </c>
      <c r="P39" s="228">
        <v>79.900000000000006</v>
      </c>
      <c r="Q39" s="229">
        <v>3.04E-2</v>
      </c>
      <c r="R39" s="231">
        <v>2721</v>
      </c>
      <c r="S39" s="231">
        <v>2641.1</v>
      </c>
      <c r="T39" s="228">
        <v>79.900000000000006</v>
      </c>
      <c r="U39" s="229">
        <v>3.0300000000000001E-2</v>
      </c>
      <c r="V39" s="231">
        <v>2737.6</v>
      </c>
      <c r="W39" s="231">
        <v>2661.9</v>
      </c>
      <c r="X39" s="228">
        <v>75.7</v>
      </c>
      <c r="Y39" s="229">
        <v>2.8400000000000002E-2</v>
      </c>
      <c r="Z39" s="228">
        <v>-1.1000000000000001</v>
      </c>
      <c r="AA39" s="228">
        <v>-1.2</v>
      </c>
      <c r="AB39" s="228">
        <v>0.1</v>
      </c>
      <c r="AC39" s="229">
        <v>-4.0000000000000002E-4</v>
      </c>
      <c r="AD39" s="228">
        <v>-1.1000000000000001</v>
      </c>
      <c r="AE39" s="228">
        <v>-1.2</v>
      </c>
      <c r="AF39" s="228">
        <v>0.1</v>
      </c>
      <c r="AG39" s="229">
        <v>-4.0000000000000002E-4</v>
      </c>
      <c r="AH39" s="228">
        <v>12.4</v>
      </c>
      <c r="AI39" s="228">
        <v>12.3</v>
      </c>
      <c r="AJ39" s="228">
        <v>0.1</v>
      </c>
      <c r="AK39" s="229">
        <v>4.5999999999999999E-3</v>
      </c>
      <c r="AL39" s="228">
        <v>29</v>
      </c>
      <c r="AM39" s="228">
        <v>33.1</v>
      </c>
      <c r="AN39" s="228">
        <v>-4.0999999999999996</v>
      </c>
      <c r="AO39" s="229">
        <v>1.0699999999999999E-2</v>
      </c>
      <c r="AP39" s="231">
        <v>2701.19</v>
      </c>
      <c r="AQ39" s="231">
        <v>2715.3</v>
      </c>
      <c r="AR39" s="228">
        <v>0</v>
      </c>
      <c r="AS39" s="230">
        <v>2295</v>
      </c>
      <c r="AT39" s="230">
        <v>2198</v>
      </c>
      <c r="AU39" s="228">
        <v>97</v>
      </c>
      <c r="AV39" s="229">
        <v>4.41E-2</v>
      </c>
      <c r="AW39" s="230">
        <v>1205</v>
      </c>
      <c r="AX39" s="230">
        <v>1296</v>
      </c>
      <c r="AY39" s="228">
        <v>-90</v>
      </c>
      <c r="AZ39" s="229">
        <v>-6.9699999999999998E-2</v>
      </c>
      <c r="BA39" s="230">
        <v>1062</v>
      </c>
      <c r="BB39" s="228">
        <v>873</v>
      </c>
      <c r="BC39" s="228">
        <v>190</v>
      </c>
      <c r="BD39" s="229">
        <v>0.2175</v>
      </c>
      <c r="BE39" s="228">
        <v>28</v>
      </c>
      <c r="BF39" s="228">
        <v>30</v>
      </c>
      <c r="BG39" s="228">
        <v>-2</v>
      </c>
      <c r="BH39" s="229">
        <v>-8.1100000000000005E-2</v>
      </c>
      <c r="BI39" s="230">
        <v>7348</v>
      </c>
      <c r="BJ39" s="230">
        <v>7399</v>
      </c>
      <c r="BK39" s="228">
        <v>-51</v>
      </c>
      <c r="BL39" s="229">
        <v>-6.8999999999999999E-3</v>
      </c>
      <c r="BM39" s="230">
        <v>3597</v>
      </c>
      <c r="BN39" s="230">
        <v>5713</v>
      </c>
      <c r="BO39" s="230">
        <v>-2116</v>
      </c>
      <c r="BP39" s="229">
        <v>-0.37040000000000001</v>
      </c>
      <c r="BQ39" s="230">
        <v>13240</v>
      </c>
      <c r="BR39" s="230">
        <v>15310</v>
      </c>
      <c r="BS39" s="230">
        <v>-2070</v>
      </c>
      <c r="BT39" s="229">
        <v>-0.13519999999999999</v>
      </c>
      <c r="BU39" s="230">
        <v>3689628</v>
      </c>
      <c r="BV39" s="230">
        <v>3743082</v>
      </c>
      <c r="BW39" s="230">
        <v>-53454</v>
      </c>
      <c r="BX39" s="229">
        <v>-1.43E-2</v>
      </c>
      <c r="BY39" s="230">
        <v>3097</v>
      </c>
      <c r="BZ39" s="230">
        <v>3219</v>
      </c>
      <c r="CA39" s="228">
        <v>-122</v>
      </c>
      <c r="CB39" s="229">
        <v>-3.78E-2</v>
      </c>
      <c r="CC39" s="230">
        <v>1484</v>
      </c>
      <c r="CD39" s="230">
        <v>2163</v>
      </c>
      <c r="CE39" s="228">
        <v>-679</v>
      </c>
      <c r="CF39" s="229">
        <v>-0.314</v>
      </c>
      <c r="CG39" s="230">
        <v>1559</v>
      </c>
      <c r="CH39" s="230">
        <v>1006</v>
      </c>
      <c r="CI39" s="228">
        <v>553</v>
      </c>
      <c r="CJ39" s="229">
        <v>0.54949999999999999</v>
      </c>
      <c r="CK39" s="228">
        <v>54</v>
      </c>
      <c r="CL39" s="228">
        <v>50</v>
      </c>
      <c r="CM39" s="228">
        <v>4</v>
      </c>
      <c r="CN39" s="229">
        <v>8.72E-2</v>
      </c>
      <c r="CO39" s="230">
        <v>2379</v>
      </c>
      <c r="CP39" s="230">
        <v>2984</v>
      </c>
      <c r="CQ39" s="228">
        <v>-605</v>
      </c>
      <c r="CR39" s="229">
        <v>-0.20269999999999999</v>
      </c>
      <c r="CS39" s="230">
        <v>1412</v>
      </c>
      <c r="CT39" s="230">
        <v>1504</v>
      </c>
      <c r="CU39" s="228">
        <v>-91</v>
      </c>
      <c r="CV39" s="229">
        <v>-6.08E-2</v>
      </c>
      <c r="CW39" s="230">
        <v>6889</v>
      </c>
      <c r="CX39" s="230">
        <v>7707</v>
      </c>
      <c r="CY39" s="228">
        <v>-818</v>
      </c>
      <c r="CZ39" s="229">
        <v>-0.1061</v>
      </c>
      <c r="DA39" s="228">
        <v>41.82</v>
      </c>
      <c r="DB39" s="228">
        <v>38.68</v>
      </c>
      <c r="DC39" s="228">
        <v>3.14</v>
      </c>
      <c r="DD39" s="228">
        <v>3.14</v>
      </c>
      <c r="DE39" s="228">
        <v>58.44</v>
      </c>
      <c r="DF39" s="228">
        <v>58.45</v>
      </c>
      <c r="DG39" s="228">
        <v>-16.62</v>
      </c>
      <c r="DH39" s="228">
        <v>-0.01</v>
      </c>
      <c r="DI39" s="228">
        <v>41.63</v>
      </c>
      <c r="DJ39" s="228">
        <v>40.54</v>
      </c>
      <c r="DK39" s="228">
        <v>1.0900000000000001</v>
      </c>
      <c r="DL39" s="228">
        <v>1.0900000000000001</v>
      </c>
      <c r="DM39" s="228">
        <v>42.17</v>
      </c>
      <c r="DN39" s="228">
        <v>36.270000000000003</v>
      </c>
      <c r="DO39" s="228">
        <v>5.9</v>
      </c>
      <c r="DP39" s="228">
        <v>5.9</v>
      </c>
      <c r="DQ39" s="228">
        <v>0.59</v>
      </c>
      <c r="DR39" s="228">
        <v>0.5</v>
      </c>
      <c r="DS39" s="228">
        <v>0.09</v>
      </c>
      <c r="DT39" s="229">
        <v>0.18</v>
      </c>
      <c r="DU39" s="231">
        <v>2900</v>
      </c>
      <c r="DV39" s="231">
        <v>2600</v>
      </c>
      <c r="DW39" s="228">
        <v>0.49</v>
      </c>
      <c r="DX39" s="228">
        <v>0.77</v>
      </c>
      <c r="DY39" s="228">
        <v>-0.28000000000000003</v>
      </c>
      <c r="DZ39" s="229">
        <v>-0.36359999999999998</v>
      </c>
      <c r="EA39" s="229">
        <v>0.52100000000000002</v>
      </c>
      <c r="EB39" s="230">
        <v>3901500</v>
      </c>
      <c r="EC39" s="229">
        <v>5.0000000000000001E-3</v>
      </c>
      <c r="ED39" s="229">
        <v>0.52100000000000002</v>
      </c>
      <c r="EE39" s="228">
        <v>14.11</v>
      </c>
      <c r="EF39" s="229">
        <v>5.1999999999999998E-3</v>
      </c>
      <c r="EG39" s="230">
        <v>1182956</v>
      </c>
      <c r="EH39" s="230">
        <v>789081</v>
      </c>
      <c r="EI39" s="229">
        <v>0.49919999999999998</v>
      </c>
      <c r="EJ39" s="229">
        <v>0.3206</v>
      </c>
      <c r="EK39" s="231">
        <v>7736.96</v>
      </c>
      <c r="EL39" s="231">
        <v>3502.42</v>
      </c>
      <c r="EM39" s="231">
        <v>2295.8200000000002</v>
      </c>
      <c r="EN39" s="228">
        <v>146.88999999999999</v>
      </c>
      <c r="EO39" s="231">
        <v>13535.2</v>
      </c>
      <c r="EP39" s="231">
        <v>15265.38</v>
      </c>
      <c r="EQ39" s="231">
        <v>-1730.18</v>
      </c>
      <c r="ER39" s="229">
        <v>-0.1133</v>
      </c>
      <c r="ES39" s="231">
        <v>2541.46</v>
      </c>
      <c r="ET39" s="231">
        <v>1363.9</v>
      </c>
      <c r="EU39" s="231">
        <v>3105.59</v>
      </c>
      <c r="EV39" s="231">
        <v>61094861</v>
      </c>
      <c r="EW39" s="231">
        <v>7010.94</v>
      </c>
      <c r="EX39" s="231">
        <v>7775.5</v>
      </c>
      <c r="EY39" s="228">
        <v>-764.56</v>
      </c>
      <c r="EZ39" s="229">
        <v>-9.8299999999999998E-2</v>
      </c>
      <c r="FA39" s="229">
        <v>0.41649999999999998</v>
      </c>
      <c r="FB39" s="227" t="s">
        <v>556</v>
      </c>
      <c r="FC39">
        <f t="shared" si="0"/>
        <v>1613</v>
      </c>
    </row>
    <row r="40" spans="1:159" ht="17.25" thickBot="1" x14ac:dyDescent="0.3">
      <c r="A40" s="226">
        <v>46044</v>
      </c>
      <c r="B40" s="227" t="s">
        <v>175</v>
      </c>
      <c r="C40" s="227" t="s">
        <v>611</v>
      </c>
      <c r="D40" s="228">
        <v>750</v>
      </c>
      <c r="E40" s="228">
        <v>5</v>
      </c>
      <c r="F40" s="228">
        <v>710.4</v>
      </c>
      <c r="G40" s="228">
        <v>701.25</v>
      </c>
      <c r="H40" s="228">
        <v>9.15</v>
      </c>
      <c r="I40" s="229">
        <v>1.2999999999999999E-2</v>
      </c>
      <c r="J40" s="228">
        <v>707.75</v>
      </c>
      <c r="K40" s="228">
        <v>700.6</v>
      </c>
      <c r="L40" s="228">
        <v>7.15</v>
      </c>
      <c r="M40" s="229">
        <v>1.0200000000000001E-2</v>
      </c>
      <c r="N40" s="228">
        <v>710.4</v>
      </c>
      <c r="O40" s="228">
        <v>701.25</v>
      </c>
      <c r="P40" s="228">
        <v>9.15</v>
      </c>
      <c r="Q40" s="229">
        <v>1.2999999999999999E-2</v>
      </c>
      <c r="R40" s="228">
        <v>709.2</v>
      </c>
      <c r="S40" s="228">
        <v>697.8</v>
      </c>
      <c r="T40" s="228">
        <v>11.4</v>
      </c>
      <c r="U40" s="229">
        <v>1.6299999999999999E-2</v>
      </c>
      <c r="V40" s="228">
        <v>712.5</v>
      </c>
      <c r="W40" s="228">
        <v>699.75</v>
      </c>
      <c r="X40" s="228">
        <v>12.75</v>
      </c>
      <c r="Y40" s="229">
        <v>1.8200000000000001E-2</v>
      </c>
      <c r="Z40" s="228">
        <v>2.65</v>
      </c>
      <c r="AA40" s="228">
        <v>0.65</v>
      </c>
      <c r="AB40" s="228">
        <v>2</v>
      </c>
      <c r="AC40" s="229">
        <v>3.7000000000000002E-3</v>
      </c>
      <c r="AD40" s="228">
        <v>2.65</v>
      </c>
      <c r="AE40" s="228">
        <v>0.65</v>
      </c>
      <c r="AF40" s="228">
        <v>2</v>
      </c>
      <c r="AG40" s="229">
        <v>3.7000000000000002E-3</v>
      </c>
      <c r="AH40" s="228">
        <v>1.45</v>
      </c>
      <c r="AI40" s="228">
        <v>-2.8</v>
      </c>
      <c r="AJ40" s="228">
        <v>4.25</v>
      </c>
      <c r="AK40" s="229">
        <v>2E-3</v>
      </c>
      <c r="AL40" s="228">
        <v>4.75</v>
      </c>
      <c r="AM40" s="228">
        <v>-0.85</v>
      </c>
      <c r="AN40" s="228">
        <v>5.6</v>
      </c>
      <c r="AO40" s="229">
        <v>6.7000000000000002E-3</v>
      </c>
      <c r="AP40" s="228">
        <v>719.67</v>
      </c>
      <c r="AQ40" s="228">
        <v>718.58</v>
      </c>
      <c r="AR40" s="228">
        <v>0</v>
      </c>
      <c r="AS40" s="228">
        <v>851</v>
      </c>
      <c r="AT40" s="228">
        <v>451</v>
      </c>
      <c r="AU40" s="228">
        <v>399</v>
      </c>
      <c r="AV40" s="229">
        <v>0.88460000000000005</v>
      </c>
      <c r="AW40" s="228">
        <v>411</v>
      </c>
      <c r="AX40" s="228">
        <v>249</v>
      </c>
      <c r="AY40" s="228">
        <v>161</v>
      </c>
      <c r="AZ40" s="229">
        <v>0.64670000000000005</v>
      </c>
      <c r="BA40" s="228">
        <v>433</v>
      </c>
      <c r="BB40" s="228">
        <v>198</v>
      </c>
      <c r="BC40" s="228">
        <v>235</v>
      </c>
      <c r="BD40" s="229">
        <v>1.1873</v>
      </c>
      <c r="BE40" s="228">
        <v>7</v>
      </c>
      <c r="BF40" s="228">
        <v>4</v>
      </c>
      <c r="BG40" s="228">
        <v>3</v>
      </c>
      <c r="BH40" s="229">
        <v>0.73419999999999996</v>
      </c>
      <c r="BI40" s="230">
        <v>2466</v>
      </c>
      <c r="BJ40" s="228">
        <v>391</v>
      </c>
      <c r="BK40" s="230">
        <v>2075</v>
      </c>
      <c r="BL40" s="229">
        <v>5.3093000000000004</v>
      </c>
      <c r="BM40" s="230">
        <v>1244</v>
      </c>
      <c r="BN40" s="228">
        <v>475</v>
      </c>
      <c r="BO40" s="228">
        <v>770</v>
      </c>
      <c r="BP40" s="229">
        <v>1.6215999999999999</v>
      </c>
      <c r="BQ40" s="230">
        <v>4561</v>
      </c>
      <c r="BR40" s="230">
        <v>1317</v>
      </c>
      <c r="BS40" s="230">
        <v>3244</v>
      </c>
      <c r="BT40" s="229">
        <v>2.4634999999999998</v>
      </c>
      <c r="BU40" s="230">
        <v>4090185</v>
      </c>
      <c r="BV40" s="230">
        <v>1421062</v>
      </c>
      <c r="BW40" s="230">
        <v>2669123</v>
      </c>
      <c r="BX40" s="229">
        <v>1.8783000000000001</v>
      </c>
      <c r="BY40" s="228">
        <v>515</v>
      </c>
      <c r="BZ40" s="228">
        <v>495</v>
      </c>
      <c r="CA40" s="228">
        <v>20</v>
      </c>
      <c r="CB40" s="229">
        <v>4.1000000000000002E-2</v>
      </c>
      <c r="CC40" s="228">
        <v>215</v>
      </c>
      <c r="CD40" s="228">
        <v>344</v>
      </c>
      <c r="CE40" s="228">
        <v>-129</v>
      </c>
      <c r="CF40" s="229">
        <v>-0.3745</v>
      </c>
      <c r="CG40" s="228">
        <v>294</v>
      </c>
      <c r="CH40" s="228">
        <v>145</v>
      </c>
      <c r="CI40" s="228">
        <v>149</v>
      </c>
      <c r="CJ40" s="229">
        <v>1.0239</v>
      </c>
      <c r="CK40" s="228">
        <v>7</v>
      </c>
      <c r="CL40" s="228">
        <v>6</v>
      </c>
      <c r="CM40" s="228">
        <v>0</v>
      </c>
      <c r="CN40" s="229">
        <v>6.0900000000000003E-2</v>
      </c>
      <c r="CO40" s="228">
        <v>387</v>
      </c>
      <c r="CP40" s="228">
        <v>322</v>
      </c>
      <c r="CQ40" s="228">
        <v>65</v>
      </c>
      <c r="CR40" s="229">
        <v>0.20169999999999999</v>
      </c>
      <c r="CS40" s="228">
        <v>261</v>
      </c>
      <c r="CT40" s="228">
        <v>241</v>
      </c>
      <c r="CU40" s="228">
        <v>20</v>
      </c>
      <c r="CV40" s="229">
        <v>8.3400000000000002E-2</v>
      </c>
      <c r="CW40" s="230">
        <v>1163</v>
      </c>
      <c r="CX40" s="230">
        <v>1058</v>
      </c>
      <c r="CY40" s="228">
        <v>105</v>
      </c>
      <c r="CZ40" s="229">
        <v>9.9599999999999994E-2</v>
      </c>
      <c r="DA40" s="228">
        <v>31.16</v>
      </c>
      <c r="DB40" s="228">
        <v>37.5</v>
      </c>
      <c r="DC40" s="228">
        <v>-6.34</v>
      </c>
      <c r="DD40" s="228">
        <v>-6.34</v>
      </c>
      <c r="DE40" s="228">
        <v>39.28</v>
      </c>
      <c r="DF40" s="228">
        <v>39.340000000000003</v>
      </c>
      <c r="DG40" s="228">
        <v>-8.1199999999999992</v>
      </c>
      <c r="DH40" s="228">
        <v>-0.06</v>
      </c>
      <c r="DI40" s="228">
        <v>31.63</v>
      </c>
      <c r="DJ40" s="228">
        <v>38.700000000000003</v>
      </c>
      <c r="DK40" s="228">
        <v>-7.07</v>
      </c>
      <c r="DL40" s="228">
        <v>-7.07</v>
      </c>
      <c r="DM40" s="228">
        <v>30.42</v>
      </c>
      <c r="DN40" s="228">
        <v>36.51</v>
      </c>
      <c r="DO40" s="228">
        <v>-6.09</v>
      </c>
      <c r="DP40" s="228">
        <v>-6.09</v>
      </c>
      <c r="DQ40" s="228">
        <v>0.67</v>
      </c>
      <c r="DR40" s="228">
        <v>0.75</v>
      </c>
      <c r="DS40" s="228">
        <v>-0.08</v>
      </c>
      <c r="DT40" s="229">
        <v>-0.1067</v>
      </c>
      <c r="DU40" s="228">
        <v>760</v>
      </c>
      <c r="DV40" s="228">
        <v>680</v>
      </c>
      <c r="DW40" s="228">
        <v>0.5</v>
      </c>
      <c r="DX40" s="228">
        <v>1.21</v>
      </c>
      <c r="DY40" s="228">
        <v>-0.71</v>
      </c>
      <c r="DZ40" s="229">
        <v>-0.58679999999999999</v>
      </c>
      <c r="EA40" s="229">
        <v>0.58279999999999998</v>
      </c>
      <c r="EB40" s="230">
        <v>2130000</v>
      </c>
      <c r="EC40" s="229">
        <v>-1.6999999999999999E-3</v>
      </c>
      <c r="ED40" s="229">
        <v>0.58279999999999998</v>
      </c>
      <c r="EE40" s="228">
        <v>-1.0900000000000001</v>
      </c>
      <c r="EF40" s="229">
        <v>-1.5E-3</v>
      </c>
      <c r="EG40" s="230">
        <v>1074494</v>
      </c>
      <c r="EH40" s="230">
        <v>474311</v>
      </c>
      <c r="EI40" s="229">
        <v>1.2654000000000001</v>
      </c>
      <c r="EJ40" s="229">
        <v>0.26269999999999999</v>
      </c>
      <c r="EK40" s="231">
        <v>2630.16</v>
      </c>
      <c r="EL40" s="231">
        <v>1244.72</v>
      </c>
      <c r="EM40" s="228">
        <v>861.21</v>
      </c>
      <c r="EN40" s="228">
        <v>43.56</v>
      </c>
      <c r="EO40" s="231">
        <v>4736.1000000000004</v>
      </c>
      <c r="EP40" s="231">
        <v>1325.99</v>
      </c>
      <c r="EQ40" s="231">
        <v>3410.11</v>
      </c>
      <c r="ER40" s="229">
        <v>2.5716999999999999</v>
      </c>
      <c r="ES40" s="228">
        <v>416.6</v>
      </c>
      <c r="ET40" s="228">
        <v>261.36</v>
      </c>
      <c r="EU40" s="228">
        <v>514.85</v>
      </c>
      <c r="EV40" s="231">
        <v>37122288</v>
      </c>
      <c r="EW40" s="231">
        <v>1192.8</v>
      </c>
      <c r="EX40" s="231">
        <v>1076.45</v>
      </c>
      <c r="EY40" s="228">
        <v>116.35</v>
      </c>
      <c r="EZ40" s="229">
        <v>0.1081</v>
      </c>
      <c r="FA40" s="229">
        <v>0.44090000000000001</v>
      </c>
      <c r="FB40" s="227" t="s">
        <v>555</v>
      </c>
      <c r="FC40">
        <f t="shared" si="0"/>
        <v>300</v>
      </c>
    </row>
    <row r="41" spans="1:159" ht="17.25" thickBot="1" x14ac:dyDescent="0.3">
      <c r="A41" s="226">
        <v>46044</v>
      </c>
      <c r="B41" s="227" t="s">
        <v>172</v>
      </c>
      <c r="C41" s="227" t="s">
        <v>196</v>
      </c>
      <c r="D41" s="228">
        <v>6750</v>
      </c>
      <c r="E41" s="228">
        <v>5</v>
      </c>
      <c r="F41" s="228">
        <v>154.6</v>
      </c>
      <c r="G41" s="228">
        <v>151.21</v>
      </c>
      <c r="H41" s="228">
        <v>3.39</v>
      </c>
      <c r="I41" s="229">
        <v>2.24E-2</v>
      </c>
      <c r="J41" s="228">
        <v>154.68</v>
      </c>
      <c r="K41" s="228">
        <v>150.76</v>
      </c>
      <c r="L41" s="228">
        <v>3.92</v>
      </c>
      <c r="M41" s="229">
        <v>2.5999999999999999E-2</v>
      </c>
      <c r="N41" s="228">
        <v>154.6</v>
      </c>
      <c r="O41" s="228">
        <v>151.21</v>
      </c>
      <c r="P41" s="228">
        <v>3.39</v>
      </c>
      <c r="Q41" s="229">
        <v>2.24E-2</v>
      </c>
      <c r="R41" s="228">
        <v>154.75</v>
      </c>
      <c r="S41" s="228">
        <v>151.09</v>
      </c>
      <c r="T41" s="228">
        <v>3.66</v>
      </c>
      <c r="U41" s="229">
        <v>2.4199999999999999E-2</v>
      </c>
      <c r="V41" s="228">
        <v>155.31</v>
      </c>
      <c r="W41" s="228">
        <v>151.53</v>
      </c>
      <c r="X41" s="228">
        <v>3.78</v>
      </c>
      <c r="Y41" s="229">
        <v>2.4899999999999999E-2</v>
      </c>
      <c r="Z41" s="228">
        <v>-0.08</v>
      </c>
      <c r="AA41" s="228">
        <v>0.45</v>
      </c>
      <c r="AB41" s="228">
        <v>-0.53</v>
      </c>
      <c r="AC41" s="229">
        <v>-5.0000000000000001E-4</v>
      </c>
      <c r="AD41" s="228">
        <v>-0.08</v>
      </c>
      <c r="AE41" s="228">
        <v>0.45</v>
      </c>
      <c r="AF41" s="228">
        <v>-0.53</v>
      </c>
      <c r="AG41" s="229">
        <v>-5.0000000000000001E-4</v>
      </c>
      <c r="AH41" s="228">
        <v>7.0000000000000007E-2</v>
      </c>
      <c r="AI41" s="228">
        <v>0.33</v>
      </c>
      <c r="AJ41" s="228">
        <v>-0.26</v>
      </c>
      <c r="AK41" s="229">
        <v>5.0000000000000001E-4</v>
      </c>
      <c r="AL41" s="228">
        <v>0.63</v>
      </c>
      <c r="AM41" s="228">
        <v>0.77</v>
      </c>
      <c r="AN41" s="228">
        <v>-0.14000000000000001</v>
      </c>
      <c r="AO41" s="229">
        <v>4.1000000000000003E-3</v>
      </c>
      <c r="AP41" s="228">
        <v>154.54</v>
      </c>
      <c r="AQ41" s="228">
        <v>154.66</v>
      </c>
      <c r="AR41" s="228">
        <v>0</v>
      </c>
      <c r="AS41" s="230">
        <v>1987</v>
      </c>
      <c r="AT41" s="230">
        <v>2402</v>
      </c>
      <c r="AU41" s="228">
        <v>-415</v>
      </c>
      <c r="AV41" s="229">
        <v>-0.17280000000000001</v>
      </c>
      <c r="AW41" s="230">
        <v>1006</v>
      </c>
      <c r="AX41" s="230">
        <v>1346</v>
      </c>
      <c r="AY41" s="228">
        <v>-340</v>
      </c>
      <c r="AZ41" s="229">
        <v>-0.25280000000000002</v>
      </c>
      <c r="BA41" s="228">
        <v>956</v>
      </c>
      <c r="BB41" s="230">
        <v>1029</v>
      </c>
      <c r="BC41" s="228">
        <v>-73</v>
      </c>
      <c r="BD41" s="229">
        <v>-7.0699999999999999E-2</v>
      </c>
      <c r="BE41" s="228">
        <v>24</v>
      </c>
      <c r="BF41" s="228">
        <v>26</v>
      </c>
      <c r="BG41" s="228">
        <v>-2</v>
      </c>
      <c r="BH41" s="229">
        <v>-7.1999999999999995E-2</v>
      </c>
      <c r="BI41" s="230">
        <v>2522</v>
      </c>
      <c r="BJ41" s="230">
        <v>4246</v>
      </c>
      <c r="BK41" s="230">
        <v>-1724</v>
      </c>
      <c r="BL41" s="229">
        <v>-0.40610000000000002</v>
      </c>
      <c r="BM41" s="230">
        <v>1647</v>
      </c>
      <c r="BN41" s="230">
        <v>2276</v>
      </c>
      <c r="BO41" s="228">
        <v>-628</v>
      </c>
      <c r="BP41" s="229">
        <v>-0.27610000000000001</v>
      </c>
      <c r="BQ41" s="230">
        <v>6155</v>
      </c>
      <c r="BR41" s="230">
        <v>8923</v>
      </c>
      <c r="BS41" s="230">
        <v>-2767</v>
      </c>
      <c r="BT41" s="229">
        <v>-0.31019999999999998</v>
      </c>
      <c r="BU41" s="230">
        <v>19843641</v>
      </c>
      <c r="BV41" s="230">
        <v>25079668</v>
      </c>
      <c r="BW41" s="230">
        <v>-5236027</v>
      </c>
      <c r="BX41" s="229">
        <v>-0.20880000000000001</v>
      </c>
      <c r="BY41" s="230">
        <v>2552</v>
      </c>
      <c r="BZ41" s="230">
        <v>2466</v>
      </c>
      <c r="CA41" s="228">
        <v>86</v>
      </c>
      <c r="CB41" s="229">
        <v>3.4799999999999998E-2</v>
      </c>
      <c r="CC41" s="228">
        <v>925</v>
      </c>
      <c r="CD41" s="230">
        <v>1320</v>
      </c>
      <c r="CE41" s="228">
        <v>-395</v>
      </c>
      <c r="CF41" s="229">
        <v>-0.29920000000000002</v>
      </c>
      <c r="CG41" s="230">
        <v>1577</v>
      </c>
      <c r="CH41" s="230">
        <v>1100</v>
      </c>
      <c r="CI41" s="228">
        <v>477</v>
      </c>
      <c r="CJ41" s="229">
        <v>0.43309999999999998</v>
      </c>
      <c r="CK41" s="228">
        <v>50</v>
      </c>
      <c r="CL41" s="228">
        <v>46</v>
      </c>
      <c r="CM41" s="228">
        <v>4</v>
      </c>
      <c r="CN41" s="229">
        <v>9.6100000000000005E-2</v>
      </c>
      <c r="CO41" s="230">
        <v>1603</v>
      </c>
      <c r="CP41" s="230">
        <v>1778</v>
      </c>
      <c r="CQ41" s="228">
        <v>-175</v>
      </c>
      <c r="CR41" s="229">
        <v>-9.8400000000000001E-2</v>
      </c>
      <c r="CS41" s="230">
        <v>1447</v>
      </c>
      <c r="CT41" s="230">
        <v>1432</v>
      </c>
      <c r="CU41" s="228">
        <v>15</v>
      </c>
      <c r="CV41" s="229">
        <v>1.0500000000000001E-2</v>
      </c>
      <c r="CW41" s="230">
        <v>5602</v>
      </c>
      <c r="CX41" s="230">
        <v>5676</v>
      </c>
      <c r="CY41" s="228">
        <v>-74</v>
      </c>
      <c r="CZ41" s="229">
        <v>-1.2999999999999999E-2</v>
      </c>
      <c r="DA41" s="228">
        <v>34.78</v>
      </c>
      <c r="DB41" s="228">
        <v>32.56</v>
      </c>
      <c r="DC41" s="228">
        <v>2.2200000000000002</v>
      </c>
      <c r="DD41" s="228">
        <v>2.2200000000000002</v>
      </c>
      <c r="DE41" s="228">
        <v>34.840000000000003</v>
      </c>
      <c r="DF41" s="228">
        <v>34.75</v>
      </c>
      <c r="DG41" s="228">
        <v>-0.06</v>
      </c>
      <c r="DH41" s="228">
        <v>0.09</v>
      </c>
      <c r="DI41" s="228">
        <v>34.56</v>
      </c>
      <c r="DJ41" s="228">
        <v>32.130000000000003</v>
      </c>
      <c r="DK41" s="228">
        <v>2.4300000000000002</v>
      </c>
      <c r="DL41" s="228">
        <v>2.4300000000000002</v>
      </c>
      <c r="DM41" s="228">
        <v>35.11</v>
      </c>
      <c r="DN41" s="228">
        <v>33.340000000000003</v>
      </c>
      <c r="DO41" s="228">
        <v>1.77</v>
      </c>
      <c r="DP41" s="228">
        <v>1.77</v>
      </c>
      <c r="DQ41" s="228">
        <v>0.9</v>
      </c>
      <c r="DR41" s="228">
        <v>0.81</v>
      </c>
      <c r="DS41" s="228">
        <v>0.09</v>
      </c>
      <c r="DT41" s="229">
        <v>0.1111</v>
      </c>
      <c r="DU41" s="228">
        <v>160</v>
      </c>
      <c r="DV41" s="228">
        <v>150</v>
      </c>
      <c r="DW41" s="228">
        <v>0.65</v>
      </c>
      <c r="DX41" s="228">
        <v>0.54</v>
      </c>
      <c r="DY41" s="228">
        <v>0.11</v>
      </c>
      <c r="DZ41" s="229">
        <v>0.20369999999999999</v>
      </c>
      <c r="EA41" s="229">
        <v>0.63749999999999996</v>
      </c>
      <c r="EB41" s="230">
        <v>74121750</v>
      </c>
      <c r="EC41" s="229">
        <v>1E-3</v>
      </c>
      <c r="ED41" s="229">
        <v>0.63749999999999996</v>
      </c>
      <c r="EE41" s="228">
        <v>0.12</v>
      </c>
      <c r="EF41" s="229">
        <v>8.0000000000000004E-4</v>
      </c>
      <c r="EG41" s="230">
        <v>8174155</v>
      </c>
      <c r="EH41" s="230">
        <v>9382018</v>
      </c>
      <c r="EI41" s="229">
        <v>-0.12870000000000001</v>
      </c>
      <c r="EJ41" s="229">
        <v>0.41189999999999999</v>
      </c>
      <c r="EK41" s="231">
        <v>2605.2399999999998</v>
      </c>
      <c r="EL41" s="231">
        <v>1604.58</v>
      </c>
      <c r="EM41" s="231">
        <v>1986.55</v>
      </c>
      <c r="EN41" s="228">
        <v>159.15</v>
      </c>
      <c r="EO41" s="231">
        <v>6196.36</v>
      </c>
      <c r="EP41" s="231">
        <v>8927.99</v>
      </c>
      <c r="EQ41" s="231">
        <v>-2731.63</v>
      </c>
      <c r="ER41" s="229">
        <v>-0.30599999999999999</v>
      </c>
      <c r="ES41" s="231">
        <v>1646.79</v>
      </c>
      <c r="ET41" s="231">
        <v>1384.17</v>
      </c>
      <c r="EU41" s="231">
        <v>2553.87</v>
      </c>
      <c r="EV41" s="231">
        <v>504315430</v>
      </c>
      <c r="EW41" s="231">
        <v>5584.83</v>
      </c>
      <c r="EX41" s="231">
        <v>5602.85</v>
      </c>
      <c r="EY41" s="228">
        <v>-18.02</v>
      </c>
      <c r="EZ41" s="229">
        <v>-3.2000000000000002E-3</v>
      </c>
      <c r="FA41" s="229">
        <v>0.71850000000000003</v>
      </c>
      <c r="FB41" s="227" t="s">
        <v>555</v>
      </c>
      <c r="FC41">
        <f t="shared" si="0"/>
        <v>1627</v>
      </c>
    </row>
    <row r="42" spans="1:159" ht="17.25" thickBot="1" x14ac:dyDescent="0.3">
      <c r="A42" s="226">
        <v>46044</v>
      </c>
      <c r="B42" s="227" t="s">
        <v>175</v>
      </c>
      <c r="C42" s="227" t="s">
        <v>597</v>
      </c>
      <c r="D42" s="228">
        <v>475</v>
      </c>
      <c r="E42" s="228">
        <v>5</v>
      </c>
      <c r="F42" s="231">
        <v>1359.6</v>
      </c>
      <c r="G42" s="231">
        <v>1337.6</v>
      </c>
      <c r="H42" s="228">
        <v>22</v>
      </c>
      <c r="I42" s="229">
        <v>1.6400000000000001E-2</v>
      </c>
      <c r="J42" s="231">
        <v>1356.6</v>
      </c>
      <c r="K42" s="231">
        <v>1333.8</v>
      </c>
      <c r="L42" s="228">
        <v>22.8</v>
      </c>
      <c r="M42" s="229">
        <v>1.7100000000000001E-2</v>
      </c>
      <c r="N42" s="231">
        <v>1359.6</v>
      </c>
      <c r="O42" s="231">
        <v>1337.6</v>
      </c>
      <c r="P42" s="228">
        <v>22</v>
      </c>
      <c r="Q42" s="229">
        <v>1.6400000000000001E-2</v>
      </c>
      <c r="R42" s="231">
        <v>1361</v>
      </c>
      <c r="S42" s="231">
        <v>1339.3</v>
      </c>
      <c r="T42" s="228">
        <v>21.7</v>
      </c>
      <c r="U42" s="229">
        <v>1.6199999999999999E-2</v>
      </c>
      <c r="V42" s="231">
        <v>1366</v>
      </c>
      <c r="W42" s="231">
        <v>1346.9</v>
      </c>
      <c r="X42" s="228">
        <v>19.100000000000001</v>
      </c>
      <c r="Y42" s="229">
        <v>1.4200000000000001E-2</v>
      </c>
      <c r="Z42" s="228">
        <v>3</v>
      </c>
      <c r="AA42" s="228">
        <v>3.8</v>
      </c>
      <c r="AB42" s="228">
        <v>-0.8</v>
      </c>
      <c r="AC42" s="229">
        <v>2.2000000000000001E-3</v>
      </c>
      <c r="AD42" s="228">
        <v>3</v>
      </c>
      <c r="AE42" s="228">
        <v>3.8</v>
      </c>
      <c r="AF42" s="228">
        <v>-0.8</v>
      </c>
      <c r="AG42" s="229">
        <v>2.2000000000000001E-3</v>
      </c>
      <c r="AH42" s="228">
        <v>4.4000000000000004</v>
      </c>
      <c r="AI42" s="228">
        <v>5.5</v>
      </c>
      <c r="AJ42" s="228">
        <v>-1.1000000000000001</v>
      </c>
      <c r="AK42" s="229">
        <v>3.2000000000000002E-3</v>
      </c>
      <c r="AL42" s="228">
        <v>9.4</v>
      </c>
      <c r="AM42" s="228">
        <v>13.1</v>
      </c>
      <c r="AN42" s="228">
        <v>-3.7</v>
      </c>
      <c r="AO42" s="229">
        <v>6.8999999999999999E-3</v>
      </c>
      <c r="AP42" s="231">
        <v>1368.47</v>
      </c>
      <c r="AQ42" s="231">
        <v>1369.78</v>
      </c>
      <c r="AR42" s="228">
        <v>0</v>
      </c>
      <c r="AS42" s="230">
        <v>1235</v>
      </c>
      <c r="AT42" s="230">
        <v>1135</v>
      </c>
      <c r="AU42" s="228">
        <v>100</v>
      </c>
      <c r="AV42" s="229">
        <v>8.7800000000000003E-2</v>
      </c>
      <c r="AW42" s="228">
        <v>628</v>
      </c>
      <c r="AX42" s="228">
        <v>599</v>
      </c>
      <c r="AY42" s="228">
        <v>28</v>
      </c>
      <c r="AZ42" s="229">
        <v>4.7100000000000003E-2</v>
      </c>
      <c r="BA42" s="228">
        <v>594</v>
      </c>
      <c r="BB42" s="228">
        <v>526</v>
      </c>
      <c r="BC42" s="228">
        <v>69</v>
      </c>
      <c r="BD42" s="229">
        <v>0.1305</v>
      </c>
      <c r="BE42" s="228">
        <v>13</v>
      </c>
      <c r="BF42" s="228">
        <v>10</v>
      </c>
      <c r="BG42" s="228">
        <v>3</v>
      </c>
      <c r="BH42" s="229">
        <v>0.27160000000000001</v>
      </c>
      <c r="BI42" s="230">
        <v>2131</v>
      </c>
      <c r="BJ42" s="230">
        <v>2606</v>
      </c>
      <c r="BK42" s="228">
        <v>-475</v>
      </c>
      <c r="BL42" s="229">
        <v>-0.18240000000000001</v>
      </c>
      <c r="BM42" s="228">
        <v>747</v>
      </c>
      <c r="BN42" s="230">
        <v>1617</v>
      </c>
      <c r="BO42" s="228">
        <v>-870</v>
      </c>
      <c r="BP42" s="229">
        <v>-0.53820000000000001</v>
      </c>
      <c r="BQ42" s="230">
        <v>4113</v>
      </c>
      <c r="BR42" s="230">
        <v>5359</v>
      </c>
      <c r="BS42" s="230">
        <v>-1246</v>
      </c>
      <c r="BT42" s="229">
        <v>-0.23250000000000001</v>
      </c>
      <c r="BU42" s="230">
        <v>1454883</v>
      </c>
      <c r="BV42" s="230">
        <v>2164548</v>
      </c>
      <c r="BW42" s="230">
        <v>-709665</v>
      </c>
      <c r="BX42" s="229">
        <v>-0.32790000000000002</v>
      </c>
      <c r="BY42" s="230">
        <v>1580</v>
      </c>
      <c r="BZ42" s="230">
        <v>1588</v>
      </c>
      <c r="CA42" s="228">
        <v>-8</v>
      </c>
      <c r="CB42" s="229">
        <v>-5.1999999999999998E-3</v>
      </c>
      <c r="CC42" s="228">
        <v>699</v>
      </c>
      <c r="CD42" s="230">
        <v>1009</v>
      </c>
      <c r="CE42" s="228">
        <v>-310</v>
      </c>
      <c r="CF42" s="229">
        <v>-0.30709999999999998</v>
      </c>
      <c r="CG42" s="228">
        <v>851</v>
      </c>
      <c r="CH42" s="228">
        <v>552</v>
      </c>
      <c r="CI42" s="228">
        <v>299</v>
      </c>
      <c r="CJ42" s="229">
        <v>0.54120000000000001</v>
      </c>
      <c r="CK42" s="228">
        <v>30</v>
      </c>
      <c r="CL42" s="228">
        <v>27</v>
      </c>
      <c r="CM42" s="228">
        <v>3</v>
      </c>
      <c r="CN42" s="229">
        <v>0.1079</v>
      </c>
      <c r="CO42" s="230">
        <v>1264</v>
      </c>
      <c r="CP42" s="230">
        <v>1460</v>
      </c>
      <c r="CQ42" s="228">
        <v>-197</v>
      </c>
      <c r="CR42" s="229">
        <v>-0.1346</v>
      </c>
      <c r="CS42" s="228">
        <v>801</v>
      </c>
      <c r="CT42" s="228">
        <v>781</v>
      </c>
      <c r="CU42" s="228">
        <v>20</v>
      </c>
      <c r="CV42" s="229">
        <v>2.53E-2</v>
      </c>
      <c r="CW42" s="230">
        <v>3644</v>
      </c>
      <c r="CX42" s="230">
        <v>3830</v>
      </c>
      <c r="CY42" s="228">
        <v>-185</v>
      </c>
      <c r="CZ42" s="229">
        <v>-4.8300000000000003E-2</v>
      </c>
      <c r="DA42" s="228">
        <v>36.11</v>
      </c>
      <c r="DB42" s="228">
        <v>35</v>
      </c>
      <c r="DC42" s="228">
        <v>1.1100000000000001</v>
      </c>
      <c r="DD42" s="228">
        <v>1.1100000000000001</v>
      </c>
      <c r="DE42" s="228">
        <v>43.75</v>
      </c>
      <c r="DF42" s="228">
        <v>43.8</v>
      </c>
      <c r="DG42" s="228">
        <v>-7.64</v>
      </c>
      <c r="DH42" s="228">
        <v>-0.05</v>
      </c>
      <c r="DI42" s="228">
        <v>36.36</v>
      </c>
      <c r="DJ42" s="228">
        <v>35.799999999999997</v>
      </c>
      <c r="DK42" s="228">
        <v>0.56000000000000005</v>
      </c>
      <c r="DL42" s="228">
        <v>0.56000000000000005</v>
      </c>
      <c r="DM42" s="228">
        <v>35.700000000000003</v>
      </c>
      <c r="DN42" s="228">
        <v>33.72</v>
      </c>
      <c r="DO42" s="228">
        <v>1.98</v>
      </c>
      <c r="DP42" s="228">
        <v>1.98</v>
      </c>
      <c r="DQ42" s="228">
        <v>0.63</v>
      </c>
      <c r="DR42" s="228">
        <v>0.53</v>
      </c>
      <c r="DS42" s="228">
        <v>0.1</v>
      </c>
      <c r="DT42" s="229">
        <v>0.18870000000000001</v>
      </c>
      <c r="DU42" s="231">
        <v>1400</v>
      </c>
      <c r="DV42" s="231">
        <v>1500</v>
      </c>
      <c r="DW42" s="228">
        <v>0.35</v>
      </c>
      <c r="DX42" s="228">
        <v>0.62</v>
      </c>
      <c r="DY42" s="228">
        <v>-0.27</v>
      </c>
      <c r="DZ42" s="229">
        <v>-0.4355</v>
      </c>
      <c r="EA42" s="229">
        <v>0.55740000000000001</v>
      </c>
      <c r="EB42" s="230">
        <v>4257900</v>
      </c>
      <c r="EC42" s="229">
        <v>1E-3</v>
      </c>
      <c r="ED42" s="229">
        <v>0.55740000000000001</v>
      </c>
      <c r="EE42" s="228">
        <v>1.31</v>
      </c>
      <c r="EF42" s="229">
        <v>1E-3</v>
      </c>
      <c r="EG42" s="230">
        <v>374825</v>
      </c>
      <c r="EH42" s="230">
        <v>555011</v>
      </c>
      <c r="EI42" s="229">
        <v>-0.32469999999999999</v>
      </c>
      <c r="EJ42" s="229">
        <v>0.2576</v>
      </c>
      <c r="EK42" s="231">
        <v>2279.0100000000002</v>
      </c>
      <c r="EL42" s="228">
        <v>755.76</v>
      </c>
      <c r="EM42" s="231">
        <v>1243.74</v>
      </c>
      <c r="EN42" s="228">
        <v>103.7</v>
      </c>
      <c r="EO42" s="231">
        <v>4278.51</v>
      </c>
      <c r="EP42" s="231">
        <v>5452.39</v>
      </c>
      <c r="EQ42" s="231">
        <v>-1173.8800000000001</v>
      </c>
      <c r="ER42" s="229">
        <v>-0.21529999999999999</v>
      </c>
      <c r="ES42" s="231">
        <v>1379.11</v>
      </c>
      <c r="ET42" s="228">
        <v>835.28</v>
      </c>
      <c r="EU42" s="231">
        <v>1580.73</v>
      </c>
      <c r="EV42" s="231">
        <v>26647500</v>
      </c>
      <c r="EW42" s="231">
        <v>3795.12</v>
      </c>
      <c r="EX42" s="231">
        <v>3980.69</v>
      </c>
      <c r="EY42" s="228">
        <v>-185.57</v>
      </c>
      <c r="EZ42" s="229">
        <v>-4.6600000000000003E-2</v>
      </c>
      <c r="FA42" s="229">
        <v>1.0059</v>
      </c>
      <c r="FB42" s="227" t="s">
        <v>556</v>
      </c>
      <c r="FC42">
        <f t="shared" si="0"/>
        <v>881</v>
      </c>
    </row>
    <row r="43" spans="1:159" ht="17.25" thickBot="1" x14ac:dyDescent="0.3">
      <c r="A43" s="226">
        <v>46044</v>
      </c>
      <c r="B43" s="227" t="s">
        <v>161</v>
      </c>
      <c r="C43" s="227" t="s">
        <v>612</v>
      </c>
      <c r="D43" s="228">
        <v>850</v>
      </c>
      <c r="E43" s="228">
        <v>5</v>
      </c>
      <c r="F43" s="228">
        <v>575.1</v>
      </c>
      <c r="G43" s="228">
        <v>575.15</v>
      </c>
      <c r="H43" s="228">
        <v>-0.05</v>
      </c>
      <c r="I43" s="229">
        <v>-1E-4</v>
      </c>
      <c r="J43" s="228">
        <v>574.25</v>
      </c>
      <c r="K43" s="228">
        <v>575.29999999999995</v>
      </c>
      <c r="L43" s="228">
        <v>-1.05</v>
      </c>
      <c r="M43" s="229">
        <v>-1.8E-3</v>
      </c>
      <c r="N43" s="228">
        <v>575.1</v>
      </c>
      <c r="O43" s="228">
        <v>575.15</v>
      </c>
      <c r="P43" s="228">
        <v>-0.05</v>
      </c>
      <c r="Q43" s="229">
        <v>-1E-4</v>
      </c>
      <c r="R43" s="228">
        <v>576.65</v>
      </c>
      <c r="S43" s="228">
        <v>576.70000000000005</v>
      </c>
      <c r="T43" s="228">
        <v>-0.05</v>
      </c>
      <c r="U43" s="229">
        <v>-1E-4</v>
      </c>
      <c r="V43" s="228">
        <v>579.85</v>
      </c>
      <c r="W43" s="228">
        <v>579.95000000000005</v>
      </c>
      <c r="X43" s="228">
        <v>-0.1</v>
      </c>
      <c r="Y43" s="229">
        <v>-2.0000000000000001E-4</v>
      </c>
      <c r="Z43" s="228">
        <v>0.85</v>
      </c>
      <c r="AA43" s="228">
        <v>-0.15</v>
      </c>
      <c r="AB43" s="228">
        <v>1</v>
      </c>
      <c r="AC43" s="229">
        <v>1.5E-3</v>
      </c>
      <c r="AD43" s="228">
        <v>0.85</v>
      </c>
      <c r="AE43" s="228">
        <v>-0.15</v>
      </c>
      <c r="AF43" s="228">
        <v>1</v>
      </c>
      <c r="AG43" s="229">
        <v>1.5E-3</v>
      </c>
      <c r="AH43" s="228">
        <v>2.4</v>
      </c>
      <c r="AI43" s="228">
        <v>1.4</v>
      </c>
      <c r="AJ43" s="228">
        <v>1</v>
      </c>
      <c r="AK43" s="229">
        <v>4.1999999999999997E-3</v>
      </c>
      <c r="AL43" s="228">
        <v>5.6</v>
      </c>
      <c r="AM43" s="228">
        <v>4.6500000000000004</v>
      </c>
      <c r="AN43" s="228">
        <v>0.95</v>
      </c>
      <c r="AO43" s="229">
        <v>9.7999999999999997E-3</v>
      </c>
      <c r="AP43" s="228">
        <v>572.88</v>
      </c>
      <c r="AQ43" s="228">
        <v>574.5</v>
      </c>
      <c r="AR43" s="228">
        <v>0</v>
      </c>
      <c r="AS43" s="228">
        <v>901</v>
      </c>
      <c r="AT43" s="228">
        <v>774</v>
      </c>
      <c r="AU43" s="228">
        <v>127</v>
      </c>
      <c r="AV43" s="229">
        <v>0.16470000000000001</v>
      </c>
      <c r="AW43" s="228">
        <v>474</v>
      </c>
      <c r="AX43" s="228">
        <v>474</v>
      </c>
      <c r="AY43" s="228">
        <v>0</v>
      </c>
      <c r="AZ43" s="229">
        <v>8.0000000000000004E-4</v>
      </c>
      <c r="BA43" s="228">
        <v>425</v>
      </c>
      <c r="BB43" s="228">
        <v>298</v>
      </c>
      <c r="BC43" s="228">
        <v>127</v>
      </c>
      <c r="BD43" s="229">
        <v>0.42720000000000002</v>
      </c>
      <c r="BE43" s="228">
        <v>3</v>
      </c>
      <c r="BF43" s="228">
        <v>3</v>
      </c>
      <c r="BG43" s="228">
        <v>0</v>
      </c>
      <c r="BH43" s="229">
        <v>-1.89E-2</v>
      </c>
      <c r="BI43" s="228">
        <v>818</v>
      </c>
      <c r="BJ43" s="230">
        <v>1560</v>
      </c>
      <c r="BK43" s="228">
        <v>-742</v>
      </c>
      <c r="BL43" s="229">
        <v>-0.47549999999999998</v>
      </c>
      <c r="BM43" s="228">
        <v>373</v>
      </c>
      <c r="BN43" s="228">
        <v>975</v>
      </c>
      <c r="BO43" s="228">
        <v>-602</v>
      </c>
      <c r="BP43" s="229">
        <v>-0.61780000000000002</v>
      </c>
      <c r="BQ43" s="230">
        <v>2092</v>
      </c>
      <c r="BR43" s="230">
        <v>3309</v>
      </c>
      <c r="BS43" s="230">
        <v>-1217</v>
      </c>
      <c r="BT43" s="229">
        <v>-0.36770000000000003</v>
      </c>
      <c r="BU43" s="230">
        <v>1699974</v>
      </c>
      <c r="BV43" s="230">
        <v>5524916</v>
      </c>
      <c r="BW43" s="230">
        <v>-3824942</v>
      </c>
      <c r="BX43" s="229">
        <v>-0.69230000000000003</v>
      </c>
      <c r="BY43" s="230">
        <v>1068</v>
      </c>
      <c r="BZ43" s="230">
        <v>1132</v>
      </c>
      <c r="CA43" s="228">
        <v>-64</v>
      </c>
      <c r="CB43" s="229">
        <v>-5.6899999999999999E-2</v>
      </c>
      <c r="CC43" s="228">
        <v>505</v>
      </c>
      <c r="CD43" s="228">
        <v>828</v>
      </c>
      <c r="CE43" s="228">
        <v>-323</v>
      </c>
      <c r="CF43" s="229">
        <v>-0.39019999999999999</v>
      </c>
      <c r="CG43" s="228">
        <v>551</v>
      </c>
      <c r="CH43" s="228">
        <v>293</v>
      </c>
      <c r="CI43" s="228">
        <v>257</v>
      </c>
      <c r="CJ43" s="229">
        <v>0.87839999999999996</v>
      </c>
      <c r="CK43" s="228">
        <v>12</v>
      </c>
      <c r="CL43" s="228">
        <v>11</v>
      </c>
      <c r="CM43" s="228">
        <v>1</v>
      </c>
      <c r="CN43" s="229">
        <v>0.12330000000000001</v>
      </c>
      <c r="CO43" s="228">
        <v>880</v>
      </c>
      <c r="CP43" s="228">
        <v>954</v>
      </c>
      <c r="CQ43" s="228">
        <v>-75</v>
      </c>
      <c r="CR43" s="229">
        <v>-7.8200000000000006E-2</v>
      </c>
      <c r="CS43" s="228">
        <v>451</v>
      </c>
      <c r="CT43" s="228">
        <v>483</v>
      </c>
      <c r="CU43" s="228">
        <v>-32</v>
      </c>
      <c r="CV43" s="229">
        <v>-6.5699999999999995E-2</v>
      </c>
      <c r="CW43" s="230">
        <v>2399</v>
      </c>
      <c r="CX43" s="230">
        <v>2570</v>
      </c>
      <c r="CY43" s="228">
        <v>-171</v>
      </c>
      <c r="CZ43" s="229">
        <v>-6.6500000000000004E-2</v>
      </c>
      <c r="DA43" s="228">
        <v>40.65</v>
      </c>
      <c r="DB43" s="228">
        <v>36.5</v>
      </c>
      <c r="DC43" s="228">
        <v>4.1500000000000004</v>
      </c>
      <c r="DD43" s="228">
        <v>4.1500000000000004</v>
      </c>
      <c r="DE43" s="228">
        <v>38.9</v>
      </c>
      <c r="DF43" s="228">
        <v>39</v>
      </c>
      <c r="DG43" s="228">
        <v>1.75</v>
      </c>
      <c r="DH43" s="228">
        <v>-0.1</v>
      </c>
      <c r="DI43" s="228">
        <v>39.950000000000003</v>
      </c>
      <c r="DJ43" s="228">
        <v>37.43</v>
      </c>
      <c r="DK43" s="228">
        <v>2.52</v>
      </c>
      <c r="DL43" s="228">
        <v>2.52</v>
      </c>
      <c r="DM43" s="228">
        <v>41.77</v>
      </c>
      <c r="DN43" s="228">
        <v>35</v>
      </c>
      <c r="DO43" s="228">
        <v>6.77</v>
      </c>
      <c r="DP43" s="228">
        <v>6.77</v>
      </c>
      <c r="DQ43" s="228">
        <v>0.51</v>
      </c>
      <c r="DR43" s="228">
        <v>0.51</v>
      </c>
      <c r="DS43" s="228">
        <v>0</v>
      </c>
      <c r="DT43" s="229">
        <v>0</v>
      </c>
      <c r="DU43" s="228">
        <v>650</v>
      </c>
      <c r="DV43" s="228">
        <v>550</v>
      </c>
      <c r="DW43" s="228">
        <v>0.46</v>
      </c>
      <c r="DX43" s="228">
        <v>0.62</v>
      </c>
      <c r="DY43" s="228">
        <v>-0.16</v>
      </c>
      <c r="DZ43" s="229">
        <v>-0.2581</v>
      </c>
      <c r="EA43" s="229">
        <v>0.52690000000000003</v>
      </c>
      <c r="EB43" s="230">
        <v>5282750</v>
      </c>
      <c r="EC43" s="229">
        <v>2.7000000000000001E-3</v>
      </c>
      <c r="ED43" s="229">
        <v>0.52690000000000003</v>
      </c>
      <c r="EE43" s="228">
        <v>1.62</v>
      </c>
      <c r="EF43" s="229">
        <v>2.8E-3</v>
      </c>
      <c r="EG43" s="230">
        <v>681438</v>
      </c>
      <c r="EH43" s="230">
        <v>2305807</v>
      </c>
      <c r="EI43" s="229">
        <v>-0.70450000000000002</v>
      </c>
      <c r="EJ43" s="229">
        <v>0.40089999999999998</v>
      </c>
      <c r="EK43" s="228">
        <v>871.58</v>
      </c>
      <c r="EL43" s="228">
        <v>373.14</v>
      </c>
      <c r="EM43" s="228">
        <v>899.22</v>
      </c>
      <c r="EN43" s="228">
        <v>109.68</v>
      </c>
      <c r="EO43" s="231">
        <v>2143.94</v>
      </c>
      <c r="EP43" s="231">
        <v>3362.56</v>
      </c>
      <c r="EQ43" s="231">
        <v>-1218.6199999999999</v>
      </c>
      <c r="ER43" s="229">
        <v>-0.3624</v>
      </c>
      <c r="ES43" s="228">
        <v>982.22</v>
      </c>
      <c r="ET43" s="228">
        <v>468.21</v>
      </c>
      <c r="EU43" s="231">
        <v>1069.3900000000001</v>
      </c>
      <c r="EV43" s="231">
        <v>103060454</v>
      </c>
      <c r="EW43" s="231">
        <v>2519.8200000000002</v>
      </c>
      <c r="EX43" s="231">
        <v>2698.17</v>
      </c>
      <c r="EY43" s="228">
        <v>-178.35</v>
      </c>
      <c r="EZ43" s="229">
        <v>-6.6100000000000006E-2</v>
      </c>
      <c r="FA43" s="229">
        <v>0.4047</v>
      </c>
      <c r="FB43" s="227" t="s">
        <v>568</v>
      </c>
      <c r="FC43">
        <f t="shared" si="0"/>
        <v>563</v>
      </c>
    </row>
    <row r="44" spans="1:159" ht="17.25" thickBot="1" x14ac:dyDescent="0.3">
      <c r="A44" s="226">
        <v>46044</v>
      </c>
      <c r="B44" s="227" t="s">
        <v>175</v>
      </c>
      <c r="C44" s="227" t="s">
        <v>198</v>
      </c>
      <c r="D44" s="228">
        <v>625</v>
      </c>
      <c r="E44" s="228">
        <v>5</v>
      </c>
      <c r="F44" s="231">
        <v>1665.2</v>
      </c>
      <c r="G44" s="231">
        <v>1629.8</v>
      </c>
      <c r="H44" s="228">
        <v>35.4</v>
      </c>
      <c r="I44" s="229">
        <v>2.1700000000000001E-2</v>
      </c>
      <c r="J44" s="231">
        <v>1664</v>
      </c>
      <c r="K44" s="231">
        <v>1627.8</v>
      </c>
      <c r="L44" s="228">
        <v>36.200000000000003</v>
      </c>
      <c r="M44" s="229">
        <v>2.2200000000000001E-2</v>
      </c>
      <c r="N44" s="231">
        <v>1665.2</v>
      </c>
      <c r="O44" s="231">
        <v>1629.8</v>
      </c>
      <c r="P44" s="228">
        <v>35.4</v>
      </c>
      <c r="Q44" s="229">
        <v>2.1700000000000001E-2</v>
      </c>
      <c r="R44" s="231">
        <v>1673</v>
      </c>
      <c r="S44" s="231">
        <v>1637.6</v>
      </c>
      <c r="T44" s="228">
        <v>35.4</v>
      </c>
      <c r="U44" s="229">
        <v>2.1600000000000001E-2</v>
      </c>
      <c r="V44" s="231">
        <v>1676.9</v>
      </c>
      <c r="W44" s="231">
        <v>1646</v>
      </c>
      <c r="X44" s="228">
        <v>30.9</v>
      </c>
      <c r="Y44" s="229">
        <v>1.8800000000000001E-2</v>
      </c>
      <c r="Z44" s="228">
        <v>1.2</v>
      </c>
      <c r="AA44" s="228">
        <v>2</v>
      </c>
      <c r="AB44" s="228">
        <v>-0.8</v>
      </c>
      <c r="AC44" s="229">
        <v>6.9999999999999999E-4</v>
      </c>
      <c r="AD44" s="228">
        <v>1.2</v>
      </c>
      <c r="AE44" s="228">
        <v>2</v>
      </c>
      <c r="AF44" s="228">
        <v>-0.8</v>
      </c>
      <c r="AG44" s="229">
        <v>6.9999999999999999E-4</v>
      </c>
      <c r="AH44" s="228">
        <v>9</v>
      </c>
      <c r="AI44" s="228">
        <v>9.8000000000000007</v>
      </c>
      <c r="AJ44" s="228">
        <v>-0.8</v>
      </c>
      <c r="AK44" s="229">
        <v>5.4000000000000003E-3</v>
      </c>
      <c r="AL44" s="228">
        <v>12.9</v>
      </c>
      <c r="AM44" s="228">
        <v>18.2</v>
      </c>
      <c r="AN44" s="228">
        <v>-5.3</v>
      </c>
      <c r="AO44" s="229">
        <v>7.7999999999999996E-3</v>
      </c>
      <c r="AP44" s="231">
        <v>1654.51</v>
      </c>
      <c r="AQ44" s="231">
        <v>1662.27</v>
      </c>
      <c r="AR44" s="228">
        <v>0</v>
      </c>
      <c r="AS44" s="230">
        <v>2146</v>
      </c>
      <c r="AT44" s="230">
        <v>1381</v>
      </c>
      <c r="AU44" s="228">
        <v>765</v>
      </c>
      <c r="AV44" s="229">
        <v>0.55430000000000001</v>
      </c>
      <c r="AW44" s="230">
        <v>1056</v>
      </c>
      <c r="AX44" s="228">
        <v>740</v>
      </c>
      <c r="AY44" s="228">
        <v>315</v>
      </c>
      <c r="AZ44" s="229">
        <v>0.42620000000000002</v>
      </c>
      <c r="BA44" s="230">
        <v>1089</v>
      </c>
      <c r="BB44" s="228">
        <v>639</v>
      </c>
      <c r="BC44" s="228">
        <v>450</v>
      </c>
      <c r="BD44" s="229">
        <v>0.70369999999999999</v>
      </c>
      <c r="BE44" s="228">
        <v>2</v>
      </c>
      <c r="BF44" s="228">
        <v>2</v>
      </c>
      <c r="BG44" s="228">
        <v>0</v>
      </c>
      <c r="BH44" s="229">
        <v>0.17649999999999999</v>
      </c>
      <c r="BI44" s="228">
        <v>971</v>
      </c>
      <c r="BJ44" s="230">
        <v>1021</v>
      </c>
      <c r="BK44" s="228">
        <v>-49</v>
      </c>
      <c r="BL44" s="229">
        <v>-4.8300000000000003E-2</v>
      </c>
      <c r="BM44" s="228">
        <v>552</v>
      </c>
      <c r="BN44" s="228">
        <v>745</v>
      </c>
      <c r="BO44" s="228">
        <v>-193</v>
      </c>
      <c r="BP44" s="229">
        <v>-0.25900000000000001</v>
      </c>
      <c r="BQ44" s="230">
        <v>3670</v>
      </c>
      <c r="BR44" s="230">
        <v>3147</v>
      </c>
      <c r="BS44" s="228">
        <v>523</v>
      </c>
      <c r="BT44" s="229">
        <v>0.16619999999999999</v>
      </c>
      <c r="BU44" s="230">
        <v>1272980</v>
      </c>
      <c r="BV44" s="230">
        <v>1071437</v>
      </c>
      <c r="BW44" s="230">
        <v>201543</v>
      </c>
      <c r="BX44" s="229">
        <v>0.18809999999999999</v>
      </c>
      <c r="BY44" s="230">
        <v>2603</v>
      </c>
      <c r="BZ44" s="230">
        <v>2577</v>
      </c>
      <c r="CA44" s="228">
        <v>26</v>
      </c>
      <c r="CB44" s="229">
        <v>1.01E-2</v>
      </c>
      <c r="CC44" s="230">
        <v>1056</v>
      </c>
      <c r="CD44" s="230">
        <v>1921</v>
      </c>
      <c r="CE44" s="228">
        <v>-865</v>
      </c>
      <c r="CF44" s="229">
        <v>-0.4501</v>
      </c>
      <c r="CG44" s="230">
        <v>1539</v>
      </c>
      <c r="CH44" s="228">
        <v>649</v>
      </c>
      <c r="CI44" s="228">
        <v>890</v>
      </c>
      <c r="CJ44" s="229">
        <v>1.3715999999999999</v>
      </c>
      <c r="CK44" s="228">
        <v>8</v>
      </c>
      <c r="CL44" s="228">
        <v>8</v>
      </c>
      <c r="CM44" s="228">
        <v>0</v>
      </c>
      <c r="CN44" s="229">
        <v>0.04</v>
      </c>
      <c r="CO44" s="228">
        <v>802</v>
      </c>
      <c r="CP44" s="228">
        <v>920</v>
      </c>
      <c r="CQ44" s="228">
        <v>-117</v>
      </c>
      <c r="CR44" s="229">
        <v>-0.12759999999999999</v>
      </c>
      <c r="CS44" s="228">
        <v>575</v>
      </c>
      <c r="CT44" s="228">
        <v>606</v>
      </c>
      <c r="CU44" s="228">
        <v>-31</v>
      </c>
      <c r="CV44" s="229">
        <v>-5.1200000000000002E-2</v>
      </c>
      <c r="CW44" s="230">
        <v>3981</v>
      </c>
      <c r="CX44" s="230">
        <v>4103</v>
      </c>
      <c r="CY44" s="228">
        <v>-122</v>
      </c>
      <c r="CZ44" s="229">
        <v>-2.9899999999999999E-2</v>
      </c>
      <c r="DA44" s="228">
        <v>32.979999999999997</v>
      </c>
      <c r="DB44" s="228">
        <v>30.63</v>
      </c>
      <c r="DC44" s="228">
        <v>2.35</v>
      </c>
      <c r="DD44" s="228">
        <v>2.35</v>
      </c>
      <c r="DE44" s="228">
        <v>37.07</v>
      </c>
      <c r="DF44" s="228">
        <v>37.04</v>
      </c>
      <c r="DG44" s="228">
        <v>-4.09</v>
      </c>
      <c r="DH44" s="228">
        <v>0.03</v>
      </c>
      <c r="DI44" s="228">
        <v>32.22</v>
      </c>
      <c r="DJ44" s="228">
        <v>31.47</v>
      </c>
      <c r="DK44" s="228">
        <v>0.75</v>
      </c>
      <c r="DL44" s="228">
        <v>0.75</v>
      </c>
      <c r="DM44" s="228">
        <v>33.93</v>
      </c>
      <c r="DN44" s="228">
        <v>29.48</v>
      </c>
      <c r="DO44" s="228">
        <v>4.45</v>
      </c>
      <c r="DP44" s="228">
        <v>4.45</v>
      </c>
      <c r="DQ44" s="228">
        <v>0.72</v>
      </c>
      <c r="DR44" s="228">
        <v>0.66</v>
      </c>
      <c r="DS44" s="228">
        <v>0.06</v>
      </c>
      <c r="DT44" s="229">
        <v>9.0899999999999995E-2</v>
      </c>
      <c r="DU44" s="231">
        <v>1720</v>
      </c>
      <c r="DV44" s="231">
        <v>1600</v>
      </c>
      <c r="DW44" s="228">
        <v>0.56999999999999995</v>
      </c>
      <c r="DX44" s="228">
        <v>0.73</v>
      </c>
      <c r="DY44" s="228">
        <v>-0.16</v>
      </c>
      <c r="DZ44" s="229">
        <v>-0.21920000000000001</v>
      </c>
      <c r="EA44" s="229">
        <v>0.59430000000000005</v>
      </c>
      <c r="EB44" s="230">
        <v>3944375</v>
      </c>
      <c r="EC44" s="229">
        <v>4.7000000000000002E-3</v>
      </c>
      <c r="ED44" s="229">
        <v>0.59430000000000005</v>
      </c>
      <c r="EE44" s="228">
        <v>7.76</v>
      </c>
      <c r="EF44" s="229">
        <v>4.7000000000000002E-3</v>
      </c>
      <c r="EG44" s="230">
        <v>812437</v>
      </c>
      <c r="EH44" s="230">
        <v>570410</v>
      </c>
      <c r="EI44" s="229">
        <v>0.42430000000000001</v>
      </c>
      <c r="EJ44" s="229">
        <v>0.63819999999999999</v>
      </c>
      <c r="EK44" s="231">
        <v>1011.75</v>
      </c>
      <c r="EL44" s="228">
        <v>536.21</v>
      </c>
      <c r="EM44" s="231">
        <v>2137.54</v>
      </c>
      <c r="EN44" s="228">
        <v>63.02</v>
      </c>
      <c r="EO44" s="231">
        <v>3685.51</v>
      </c>
      <c r="EP44" s="231">
        <v>3143.89</v>
      </c>
      <c r="EQ44" s="228">
        <v>541.62</v>
      </c>
      <c r="ER44" s="229">
        <v>0.17230000000000001</v>
      </c>
      <c r="ES44" s="228">
        <v>856.11</v>
      </c>
      <c r="ET44" s="228">
        <v>564.57000000000005</v>
      </c>
      <c r="EU44" s="231">
        <v>2610.6</v>
      </c>
      <c r="EV44" s="231">
        <v>63257923</v>
      </c>
      <c r="EW44" s="231">
        <v>4031.28</v>
      </c>
      <c r="EX44" s="231">
        <v>4098.04</v>
      </c>
      <c r="EY44" s="228">
        <v>-66.760000000000005</v>
      </c>
      <c r="EZ44" s="229">
        <v>-1.6299999999999999E-2</v>
      </c>
      <c r="FA44" s="229">
        <v>0.37790000000000001</v>
      </c>
      <c r="FB44" s="227" t="s">
        <v>555</v>
      </c>
      <c r="FC44">
        <f t="shared" si="0"/>
        <v>1547</v>
      </c>
    </row>
    <row r="45" spans="1:159" ht="17.25" thickBot="1" x14ac:dyDescent="0.3">
      <c r="A45" s="226">
        <v>46044</v>
      </c>
      <c r="B45" s="227" t="s">
        <v>170</v>
      </c>
      <c r="C45" s="227" t="s">
        <v>199</v>
      </c>
      <c r="D45" s="228">
        <v>375</v>
      </c>
      <c r="E45" s="228">
        <v>5</v>
      </c>
      <c r="F45" s="231">
        <v>1373.3</v>
      </c>
      <c r="G45" s="231">
        <v>1368.2</v>
      </c>
      <c r="H45" s="228">
        <v>5.0999999999999996</v>
      </c>
      <c r="I45" s="229">
        <v>3.7000000000000002E-3</v>
      </c>
      <c r="J45" s="231">
        <v>1370.4</v>
      </c>
      <c r="K45" s="231">
        <v>1369.6</v>
      </c>
      <c r="L45" s="228">
        <v>0.8</v>
      </c>
      <c r="M45" s="229">
        <v>5.9999999999999995E-4</v>
      </c>
      <c r="N45" s="231">
        <v>1373.3</v>
      </c>
      <c r="O45" s="231">
        <v>1368.2</v>
      </c>
      <c r="P45" s="228">
        <v>5.0999999999999996</v>
      </c>
      <c r="Q45" s="229">
        <v>3.7000000000000002E-3</v>
      </c>
      <c r="R45" s="231">
        <v>1379.7</v>
      </c>
      <c r="S45" s="231">
        <v>1374.8</v>
      </c>
      <c r="T45" s="228">
        <v>4.9000000000000004</v>
      </c>
      <c r="U45" s="229">
        <v>3.5999999999999999E-3</v>
      </c>
      <c r="V45" s="231">
        <v>1389.4</v>
      </c>
      <c r="W45" s="231">
        <v>1383.5</v>
      </c>
      <c r="X45" s="228">
        <v>5.9</v>
      </c>
      <c r="Y45" s="229">
        <v>4.3E-3</v>
      </c>
      <c r="Z45" s="228">
        <v>2.9</v>
      </c>
      <c r="AA45" s="228">
        <v>-1.4</v>
      </c>
      <c r="AB45" s="228">
        <v>4.3</v>
      </c>
      <c r="AC45" s="229">
        <v>2.0999999999999999E-3</v>
      </c>
      <c r="AD45" s="228">
        <v>2.9</v>
      </c>
      <c r="AE45" s="228">
        <v>-1.4</v>
      </c>
      <c r="AF45" s="228">
        <v>4.3</v>
      </c>
      <c r="AG45" s="229">
        <v>2.0999999999999999E-3</v>
      </c>
      <c r="AH45" s="228">
        <v>9.3000000000000007</v>
      </c>
      <c r="AI45" s="228">
        <v>5.2</v>
      </c>
      <c r="AJ45" s="228">
        <v>4.0999999999999996</v>
      </c>
      <c r="AK45" s="229">
        <v>6.7999999999999996E-3</v>
      </c>
      <c r="AL45" s="228">
        <v>19</v>
      </c>
      <c r="AM45" s="228">
        <v>13.9</v>
      </c>
      <c r="AN45" s="228">
        <v>5.0999999999999996</v>
      </c>
      <c r="AO45" s="229">
        <v>1.3899999999999999E-2</v>
      </c>
      <c r="AP45" s="231">
        <v>1375.24</v>
      </c>
      <c r="AQ45" s="231">
        <v>1381.68</v>
      </c>
      <c r="AR45" s="228">
        <v>0</v>
      </c>
      <c r="AS45" s="230">
        <v>1340</v>
      </c>
      <c r="AT45" s="230">
        <v>1257</v>
      </c>
      <c r="AU45" s="228">
        <v>83</v>
      </c>
      <c r="AV45" s="229">
        <v>6.5699999999999995E-2</v>
      </c>
      <c r="AW45" s="228">
        <v>689</v>
      </c>
      <c r="AX45" s="228">
        <v>665</v>
      </c>
      <c r="AY45" s="228">
        <v>24</v>
      </c>
      <c r="AZ45" s="229">
        <v>3.6400000000000002E-2</v>
      </c>
      <c r="BA45" s="228">
        <v>647</v>
      </c>
      <c r="BB45" s="228">
        <v>588</v>
      </c>
      <c r="BC45" s="228">
        <v>59</v>
      </c>
      <c r="BD45" s="229">
        <v>0.10050000000000001</v>
      </c>
      <c r="BE45" s="228">
        <v>3</v>
      </c>
      <c r="BF45" s="228">
        <v>4</v>
      </c>
      <c r="BG45" s="228">
        <v>-1</v>
      </c>
      <c r="BH45" s="229">
        <v>-0.18990000000000001</v>
      </c>
      <c r="BI45" s="230">
        <v>1133</v>
      </c>
      <c r="BJ45" s="230">
        <v>1255</v>
      </c>
      <c r="BK45" s="228">
        <v>-122</v>
      </c>
      <c r="BL45" s="229">
        <v>-9.7199999999999995E-2</v>
      </c>
      <c r="BM45" s="228">
        <v>681</v>
      </c>
      <c r="BN45" s="228">
        <v>939</v>
      </c>
      <c r="BO45" s="228">
        <v>-257</v>
      </c>
      <c r="BP45" s="229">
        <v>-0.2742</v>
      </c>
      <c r="BQ45" s="230">
        <v>3154</v>
      </c>
      <c r="BR45" s="230">
        <v>3451</v>
      </c>
      <c r="BS45" s="228">
        <v>-297</v>
      </c>
      <c r="BT45" s="229">
        <v>-8.5999999999999993E-2</v>
      </c>
      <c r="BU45" s="230">
        <v>1619714</v>
      </c>
      <c r="BV45" s="230">
        <v>2345885</v>
      </c>
      <c r="BW45" s="230">
        <v>-726171</v>
      </c>
      <c r="BX45" s="229">
        <v>-0.30959999999999999</v>
      </c>
      <c r="BY45" s="230">
        <v>2027</v>
      </c>
      <c r="BZ45" s="230">
        <v>1992</v>
      </c>
      <c r="CA45" s="228">
        <v>35</v>
      </c>
      <c r="CB45" s="229">
        <v>1.7600000000000001E-2</v>
      </c>
      <c r="CC45" s="228">
        <v>857</v>
      </c>
      <c r="CD45" s="230">
        <v>1330</v>
      </c>
      <c r="CE45" s="228">
        <v>-473</v>
      </c>
      <c r="CF45" s="229">
        <v>-0.35580000000000001</v>
      </c>
      <c r="CG45" s="230">
        <v>1139</v>
      </c>
      <c r="CH45" s="228">
        <v>632</v>
      </c>
      <c r="CI45" s="228">
        <v>507</v>
      </c>
      <c r="CJ45" s="229">
        <v>0.80220000000000002</v>
      </c>
      <c r="CK45" s="228">
        <v>32</v>
      </c>
      <c r="CL45" s="228">
        <v>30</v>
      </c>
      <c r="CM45" s="228">
        <v>1</v>
      </c>
      <c r="CN45" s="229">
        <v>3.8899999999999997E-2</v>
      </c>
      <c r="CO45" s="230">
        <v>1077</v>
      </c>
      <c r="CP45" s="230">
        <v>1088</v>
      </c>
      <c r="CQ45" s="228">
        <v>-12</v>
      </c>
      <c r="CR45" s="229">
        <v>-1.06E-2</v>
      </c>
      <c r="CS45" s="228">
        <v>823</v>
      </c>
      <c r="CT45" s="228">
        <v>834</v>
      </c>
      <c r="CU45" s="228">
        <v>-11</v>
      </c>
      <c r="CV45" s="229">
        <v>-1.3100000000000001E-2</v>
      </c>
      <c r="CW45" s="230">
        <v>3927</v>
      </c>
      <c r="CX45" s="230">
        <v>3914</v>
      </c>
      <c r="CY45" s="228">
        <v>13</v>
      </c>
      <c r="CZ45" s="229">
        <v>3.2000000000000002E-3</v>
      </c>
      <c r="DA45" s="228">
        <v>25.02</v>
      </c>
      <c r="DB45" s="228">
        <v>29.37</v>
      </c>
      <c r="DC45" s="228">
        <v>-4.3499999999999996</v>
      </c>
      <c r="DD45" s="228">
        <v>-4.3499999999999996</v>
      </c>
      <c r="DE45" s="228">
        <v>25.49</v>
      </c>
      <c r="DF45" s="228">
        <v>25.54</v>
      </c>
      <c r="DG45" s="228">
        <v>-0.47</v>
      </c>
      <c r="DH45" s="228">
        <v>-0.05</v>
      </c>
      <c r="DI45" s="228">
        <v>25.31</v>
      </c>
      <c r="DJ45" s="228">
        <v>29.67</v>
      </c>
      <c r="DK45" s="228">
        <v>-4.3600000000000003</v>
      </c>
      <c r="DL45" s="228">
        <v>-4.3600000000000003</v>
      </c>
      <c r="DM45" s="228">
        <v>24.46</v>
      </c>
      <c r="DN45" s="228">
        <v>28.96</v>
      </c>
      <c r="DO45" s="228">
        <v>-4.5</v>
      </c>
      <c r="DP45" s="228">
        <v>-4.5</v>
      </c>
      <c r="DQ45" s="228">
        <v>0.76</v>
      </c>
      <c r="DR45" s="228">
        <v>0.77</v>
      </c>
      <c r="DS45" s="228">
        <v>-0.01</v>
      </c>
      <c r="DT45" s="229">
        <v>-1.2999999999999999E-2</v>
      </c>
      <c r="DU45" s="231">
        <v>1540</v>
      </c>
      <c r="DV45" s="231">
        <v>1500</v>
      </c>
      <c r="DW45" s="228">
        <v>0.6</v>
      </c>
      <c r="DX45" s="228">
        <v>0.75</v>
      </c>
      <c r="DY45" s="228">
        <v>-0.15</v>
      </c>
      <c r="DZ45" s="229">
        <v>-0.2</v>
      </c>
      <c r="EA45" s="229">
        <v>0.57750000000000001</v>
      </c>
      <c r="EB45" s="230">
        <v>4824000</v>
      </c>
      <c r="EC45" s="229">
        <v>4.7000000000000002E-3</v>
      </c>
      <c r="ED45" s="229">
        <v>0.57750000000000001</v>
      </c>
      <c r="EE45" s="228">
        <v>6.44</v>
      </c>
      <c r="EF45" s="229">
        <v>4.7000000000000002E-3</v>
      </c>
      <c r="EG45" s="230">
        <v>848697</v>
      </c>
      <c r="EH45" s="230">
        <v>1156086</v>
      </c>
      <c r="EI45" s="229">
        <v>-0.26590000000000003</v>
      </c>
      <c r="EJ45" s="229">
        <v>0.52400000000000002</v>
      </c>
      <c r="EK45" s="231">
        <v>1179.27</v>
      </c>
      <c r="EL45" s="228">
        <v>691.02</v>
      </c>
      <c r="EM45" s="231">
        <v>1344.55</v>
      </c>
      <c r="EN45" s="228">
        <v>125.96</v>
      </c>
      <c r="EO45" s="231">
        <v>3214.85</v>
      </c>
      <c r="EP45" s="231">
        <v>3520.08</v>
      </c>
      <c r="EQ45" s="228">
        <v>-305.23</v>
      </c>
      <c r="ER45" s="229">
        <v>-8.6699999999999999E-2</v>
      </c>
      <c r="ES45" s="231">
        <v>1171.1400000000001</v>
      </c>
      <c r="ET45" s="228">
        <v>842.13</v>
      </c>
      <c r="EU45" s="231">
        <v>2032.98</v>
      </c>
      <c r="EV45" s="231">
        <v>59297360</v>
      </c>
      <c r="EW45" s="231">
        <v>4046.24</v>
      </c>
      <c r="EX45" s="231">
        <v>4026.74</v>
      </c>
      <c r="EY45" s="228">
        <v>19.5</v>
      </c>
      <c r="EZ45" s="229">
        <v>4.7999999999999996E-3</v>
      </c>
      <c r="FA45" s="229">
        <v>0.48220000000000002</v>
      </c>
      <c r="FB45" s="227" t="s">
        <v>555</v>
      </c>
      <c r="FC45">
        <f t="shared" si="0"/>
        <v>1170</v>
      </c>
    </row>
    <row r="46" spans="1:159" ht="17.25" thickBot="1" x14ac:dyDescent="0.3">
      <c r="A46" s="226">
        <v>46044</v>
      </c>
      <c r="B46" s="227" t="s">
        <v>227</v>
      </c>
      <c r="C46" s="227" t="s">
        <v>200</v>
      </c>
      <c r="D46" s="228">
        <v>1350</v>
      </c>
      <c r="E46" s="228">
        <v>5</v>
      </c>
      <c r="F46" s="228">
        <v>422.95</v>
      </c>
      <c r="G46" s="228">
        <v>414.1</v>
      </c>
      <c r="H46" s="228">
        <v>8.85</v>
      </c>
      <c r="I46" s="229">
        <v>2.1399999999999999E-2</v>
      </c>
      <c r="J46" s="228">
        <v>423.2</v>
      </c>
      <c r="K46" s="228">
        <v>414.05</v>
      </c>
      <c r="L46" s="228">
        <v>9.15</v>
      </c>
      <c r="M46" s="229">
        <v>2.2100000000000002E-2</v>
      </c>
      <c r="N46" s="228">
        <v>422.95</v>
      </c>
      <c r="O46" s="228">
        <v>414.1</v>
      </c>
      <c r="P46" s="228">
        <v>8.85</v>
      </c>
      <c r="Q46" s="229">
        <v>2.1399999999999999E-2</v>
      </c>
      <c r="R46" s="228">
        <v>419</v>
      </c>
      <c r="S46" s="228">
        <v>410.05</v>
      </c>
      <c r="T46" s="228">
        <v>8.9499999999999993</v>
      </c>
      <c r="U46" s="229">
        <v>2.18E-2</v>
      </c>
      <c r="V46" s="228">
        <v>421.85</v>
      </c>
      <c r="W46" s="228">
        <v>412.4</v>
      </c>
      <c r="X46" s="228">
        <v>9.4499999999999993</v>
      </c>
      <c r="Y46" s="229">
        <v>2.29E-2</v>
      </c>
      <c r="Z46" s="228">
        <v>-0.25</v>
      </c>
      <c r="AA46" s="228">
        <v>0.05</v>
      </c>
      <c r="AB46" s="228">
        <v>-0.3</v>
      </c>
      <c r="AC46" s="229">
        <v>-5.9999999999999995E-4</v>
      </c>
      <c r="AD46" s="228">
        <v>-0.25</v>
      </c>
      <c r="AE46" s="228">
        <v>0.05</v>
      </c>
      <c r="AF46" s="228">
        <v>-0.3</v>
      </c>
      <c r="AG46" s="229">
        <v>-5.9999999999999995E-4</v>
      </c>
      <c r="AH46" s="228">
        <v>-4.2</v>
      </c>
      <c r="AI46" s="228">
        <v>-4</v>
      </c>
      <c r="AJ46" s="228">
        <v>-0.2</v>
      </c>
      <c r="AK46" s="229">
        <v>-9.9000000000000008E-3</v>
      </c>
      <c r="AL46" s="228">
        <v>-1.35</v>
      </c>
      <c r="AM46" s="228">
        <v>-1.65</v>
      </c>
      <c r="AN46" s="228">
        <v>0.3</v>
      </c>
      <c r="AO46" s="229">
        <v>-3.2000000000000002E-3</v>
      </c>
      <c r="AP46" s="228">
        <v>422.04</v>
      </c>
      <c r="AQ46" s="228">
        <v>417.95</v>
      </c>
      <c r="AR46" s="228">
        <v>0</v>
      </c>
      <c r="AS46" s="230">
        <v>1392</v>
      </c>
      <c r="AT46" s="230">
        <v>1442</v>
      </c>
      <c r="AU46" s="228">
        <v>-50</v>
      </c>
      <c r="AV46" s="229">
        <v>-3.4500000000000003E-2</v>
      </c>
      <c r="AW46" s="228">
        <v>749</v>
      </c>
      <c r="AX46" s="228">
        <v>828</v>
      </c>
      <c r="AY46" s="228">
        <v>-79</v>
      </c>
      <c r="AZ46" s="229">
        <v>-9.5299999999999996E-2</v>
      </c>
      <c r="BA46" s="228">
        <v>635</v>
      </c>
      <c r="BB46" s="228">
        <v>603</v>
      </c>
      <c r="BC46" s="228">
        <v>33</v>
      </c>
      <c r="BD46" s="229">
        <v>5.4199999999999998E-2</v>
      </c>
      <c r="BE46" s="228">
        <v>8</v>
      </c>
      <c r="BF46" s="228">
        <v>11</v>
      </c>
      <c r="BG46" s="228">
        <v>-4</v>
      </c>
      <c r="BH46" s="229">
        <v>-0.31790000000000002</v>
      </c>
      <c r="BI46" s="230">
        <v>3828</v>
      </c>
      <c r="BJ46" s="230">
        <v>3283</v>
      </c>
      <c r="BK46" s="228">
        <v>545</v>
      </c>
      <c r="BL46" s="229">
        <v>0.16600000000000001</v>
      </c>
      <c r="BM46" s="230">
        <v>1642</v>
      </c>
      <c r="BN46" s="230">
        <v>1557</v>
      </c>
      <c r="BO46" s="228">
        <v>85</v>
      </c>
      <c r="BP46" s="229">
        <v>5.4399999999999997E-2</v>
      </c>
      <c r="BQ46" s="230">
        <v>6862</v>
      </c>
      <c r="BR46" s="230">
        <v>6282</v>
      </c>
      <c r="BS46" s="228">
        <v>580</v>
      </c>
      <c r="BT46" s="229">
        <v>9.2299999999999993E-2</v>
      </c>
      <c r="BU46" s="230">
        <v>12041981</v>
      </c>
      <c r="BV46" s="230">
        <v>7677466</v>
      </c>
      <c r="BW46" s="230">
        <v>4364515</v>
      </c>
      <c r="BX46" s="229">
        <v>0.56850000000000001</v>
      </c>
      <c r="BY46" s="230">
        <v>2419</v>
      </c>
      <c r="BZ46" s="230">
        <v>2405</v>
      </c>
      <c r="CA46" s="228">
        <v>14</v>
      </c>
      <c r="CB46" s="229">
        <v>5.7999999999999996E-3</v>
      </c>
      <c r="CC46" s="230">
        <v>1381</v>
      </c>
      <c r="CD46" s="230">
        <v>1736</v>
      </c>
      <c r="CE46" s="228">
        <v>-355</v>
      </c>
      <c r="CF46" s="229">
        <v>-0.20469999999999999</v>
      </c>
      <c r="CG46" s="230">
        <v>1005</v>
      </c>
      <c r="CH46" s="228">
        <v>637</v>
      </c>
      <c r="CI46" s="228">
        <v>368</v>
      </c>
      <c r="CJ46" s="229">
        <v>0.57720000000000005</v>
      </c>
      <c r="CK46" s="228">
        <v>33</v>
      </c>
      <c r="CL46" s="228">
        <v>32</v>
      </c>
      <c r="CM46" s="228">
        <v>1</v>
      </c>
      <c r="CN46" s="229">
        <v>4.4999999999999998E-2</v>
      </c>
      <c r="CO46" s="230">
        <v>2213</v>
      </c>
      <c r="CP46" s="230">
        <v>2392</v>
      </c>
      <c r="CQ46" s="228">
        <v>-179</v>
      </c>
      <c r="CR46" s="229">
        <v>-7.4700000000000003E-2</v>
      </c>
      <c r="CS46" s="230">
        <v>1108</v>
      </c>
      <c r="CT46" s="230">
        <v>1110</v>
      </c>
      <c r="CU46" s="228">
        <v>-3</v>
      </c>
      <c r="CV46" s="229">
        <v>-2.5000000000000001E-3</v>
      </c>
      <c r="CW46" s="230">
        <v>5740</v>
      </c>
      <c r="CX46" s="230">
        <v>5908</v>
      </c>
      <c r="CY46" s="228">
        <v>-168</v>
      </c>
      <c r="CZ46" s="229">
        <v>-2.8400000000000002E-2</v>
      </c>
      <c r="DA46" s="228">
        <v>24.28</v>
      </c>
      <c r="DB46" s="228">
        <v>21.11</v>
      </c>
      <c r="DC46" s="228">
        <v>3.17</v>
      </c>
      <c r="DD46" s="228">
        <v>3.17</v>
      </c>
      <c r="DE46" s="228">
        <v>28.32</v>
      </c>
      <c r="DF46" s="228">
        <v>28.25</v>
      </c>
      <c r="DG46" s="228">
        <v>-4.04</v>
      </c>
      <c r="DH46" s="228">
        <v>7.0000000000000007E-2</v>
      </c>
      <c r="DI46" s="228">
        <v>24.31</v>
      </c>
      <c r="DJ46" s="228">
        <v>21.77</v>
      </c>
      <c r="DK46" s="228">
        <v>2.54</v>
      </c>
      <c r="DL46" s="228">
        <v>2.54</v>
      </c>
      <c r="DM46" s="228">
        <v>24.23</v>
      </c>
      <c r="DN46" s="228">
        <v>19.73</v>
      </c>
      <c r="DO46" s="228">
        <v>4.5</v>
      </c>
      <c r="DP46" s="228">
        <v>4.5</v>
      </c>
      <c r="DQ46" s="228">
        <v>0.5</v>
      </c>
      <c r="DR46" s="228">
        <v>0.46</v>
      </c>
      <c r="DS46" s="228">
        <v>0.04</v>
      </c>
      <c r="DT46" s="229">
        <v>8.6999999999999994E-2</v>
      </c>
      <c r="DU46" s="228">
        <v>440</v>
      </c>
      <c r="DV46" s="228">
        <v>400</v>
      </c>
      <c r="DW46" s="228">
        <v>0.43</v>
      </c>
      <c r="DX46" s="228">
        <v>0.47</v>
      </c>
      <c r="DY46" s="228">
        <v>-0.04</v>
      </c>
      <c r="DZ46" s="229">
        <v>-8.5099999999999995E-2</v>
      </c>
      <c r="EA46" s="229">
        <v>0.42920000000000003</v>
      </c>
      <c r="EB46" s="230">
        <v>15819300</v>
      </c>
      <c r="EC46" s="229">
        <v>-9.2999999999999992E-3</v>
      </c>
      <c r="ED46" s="229">
        <v>0.42920000000000003</v>
      </c>
      <c r="EE46" s="228">
        <v>-4.09</v>
      </c>
      <c r="EF46" s="229">
        <v>-9.7000000000000003E-3</v>
      </c>
      <c r="EG46" s="230">
        <v>6938172</v>
      </c>
      <c r="EH46" s="230">
        <v>4105819</v>
      </c>
      <c r="EI46" s="229">
        <v>0.68979999999999997</v>
      </c>
      <c r="EJ46" s="229">
        <v>0.57620000000000005</v>
      </c>
      <c r="EK46" s="231">
        <v>3917.64</v>
      </c>
      <c r="EL46" s="231">
        <v>1617.88</v>
      </c>
      <c r="EM46" s="231">
        <v>1382.6</v>
      </c>
      <c r="EN46" s="228">
        <v>134.97</v>
      </c>
      <c r="EO46" s="231">
        <v>6918.12</v>
      </c>
      <c r="EP46" s="231">
        <v>6259.21</v>
      </c>
      <c r="EQ46" s="228">
        <v>658.91</v>
      </c>
      <c r="ER46" s="229">
        <v>0.1053</v>
      </c>
      <c r="ES46" s="231">
        <v>2302.61</v>
      </c>
      <c r="ET46" s="231">
        <v>1070.82</v>
      </c>
      <c r="EU46" s="231">
        <v>2409.89</v>
      </c>
      <c r="EV46" s="231">
        <v>278206904</v>
      </c>
      <c r="EW46" s="231">
        <v>5783.32</v>
      </c>
      <c r="EX46" s="231">
        <v>5904.79</v>
      </c>
      <c r="EY46" s="228">
        <v>-121.47</v>
      </c>
      <c r="EZ46" s="229">
        <v>-2.06E-2</v>
      </c>
      <c r="FA46" s="229">
        <v>0.48780000000000001</v>
      </c>
      <c r="FB46" s="227" t="s">
        <v>555</v>
      </c>
      <c r="FC46">
        <f t="shared" si="0"/>
        <v>1038</v>
      </c>
    </row>
    <row r="47" spans="1:159" ht="17.25" thickBot="1" x14ac:dyDescent="0.3">
      <c r="A47" s="226">
        <v>46044</v>
      </c>
      <c r="B47" s="227" t="s">
        <v>221</v>
      </c>
      <c r="C47" s="227" t="s">
        <v>470</v>
      </c>
      <c r="D47" s="228">
        <v>375</v>
      </c>
      <c r="E47" s="228">
        <v>5</v>
      </c>
      <c r="F47" s="231">
        <v>1692.3</v>
      </c>
      <c r="G47" s="231">
        <v>1664.1</v>
      </c>
      <c r="H47" s="228">
        <v>28.2</v>
      </c>
      <c r="I47" s="229">
        <v>1.6899999999999998E-2</v>
      </c>
      <c r="J47" s="231">
        <v>1687.7</v>
      </c>
      <c r="K47" s="231">
        <v>1669.2</v>
      </c>
      <c r="L47" s="228">
        <v>18.5</v>
      </c>
      <c r="M47" s="229">
        <v>1.11E-2</v>
      </c>
      <c r="N47" s="231">
        <v>1692.3</v>
      </c>
      <c r="O47" s="231">
        <v>1664.1</v>
      </c>
      <c r="P47" s="228">
        <v>28.2</v>
      </c>
      <c r="Q47" s="229">
        <v>1.6899999999999998E-2</v>
      </c>
      <c r="R47" s="231">
        <v>1695.6</v>
      </c>
      <c r="S47" s="231">
        <v>1663.2</v>
      </c>
      <c r="T47" s="228">
        <v>32.4</v>
      </c>
      <c r="U47" s="229">
        <v>1.95E-2</v>
      </c>
      <c r="V47" s="231">
        <v>1704.6</v>
      </c>
      <c r="W47" s="231">
        <v>1669.3</v>
      </c>
      <c r="X47" s="228">
        <v>35.299999999999997</v>
      </c>
      <c r="Y47" s="229">
        <v>2.1100000000000001E-2</v>
      </c>
      <c r="Z47" s="228">
        <v>4.5999999999999996</v>
      </c>
      <c r="AA47" s="228">
        <v>-5.0999999999999996</v>
      </c>
      <c r="AB47" s="228">
        <v>9.6999999999999993</v>
      </c>
      <c r="AC47" s="229">
        <v>2.7000000000000001E-3</v>
      </c>
      <c r="AD47" s="228">
        <v>4.5999999999999996</v>
      </c>
      <c r="AE47" s="228">
        <v>-5.0999999999999996</v>
      </c>
      <c r="AF47" s="228">
        <v>9.6999999999999993</v>
      </c>
      <c r="AG47" s="229">
        <v>2.7000000000000001E-3</v>
      </c>
      <c r="AH47" s="228">
        <v>7.9</v>
      </c>
      <c r="AI47" s="228">
        <v>-6</v>
      </c>
      <c r="AJ47" s="228">
        <v>13.9</v>
      </c>
      <c r="AK47" s="229">
        <v>4.7000000000000002E-3</v>
      </c>
      <c r="AL47" s="228">
        <v>16.899999999999999</v>
      </c>
      <c r="AM47" s="228">
        <v>0.1</v>
      </c>
      <c r="AN47" s="228">
        <v>16.8</v>
      </c>
      <c r="AO47" s="229">
        <v>0.01</v>
      </c>
      <c r="AP47" s="231">
        <v>1696.9</v>
      </c>
      <c r="AQ47" s="231">
        <v>1694.43</v>
      </c>
      <c r="AR47" s="228">
        <v>0</v>
      </c>
      <c r="AS47" s="230">
        <v>2566</v>
      </c>
      <c r="AT47" s="230">
        <v>2623</v>
      </c>
      <c r="AU47" s="228">
        <v>-56</v>
      </c>
      <c r="AV47" s="229">
        <v>-2.1399999999999999E-2</v>
      </c>
      <c r="AW47" s="230">
        <v>1320</v>
      </c>
      <c r="AX47" s="230">
        <v>1623</v>
      </c>
      <c r="AY47" s="228">
        <v>-303</v>
      </c>
      <c r="AZ47" s="229">
        <v>-0.1865</v>
      </c>
      <c r="BA47" s="230">
        <v>1235</v>
      </c>
      <c r="BB47" s="228">
        <v>982</v>
      </c>
      <c r="BC47" s="228">
        <v>253</v>
      </c>
      <c r="BD47" s="229">
        <v>0.25740000000000002</v>
      </c>
      <c r="BE47" s="228">
        <v>11</v>
      </c>
      <c r="BF47" s="228">
        <v>17</v>
      </c>
      <c r="BG47" s="228">
        <v>-6</v>
      </c>
      <c r="BH47" s="229">
        <v>-0.36730000000000002</v>
      </c>
      <c r="BI47" s="230">
        <v>3562</v>
      </c>
      <c r="BJ47" s="230">
        <v>3544</v>
      </c>
      <c r="BK47" s="228">
        <v>19</v>
      </c>
      <c r="BL47" s="229">
        <v>5.3E-3</v>
      </c>
      <c r="BM47" s="230">
        <v>2346</v>
      </c>
      <c r="BN47" s="230">
        <v>3156</v>
      </c>
      <c r="BO47" s="228">
        <v>-810</v>
      </c>
      <c r="BP47" s="229">
        <v>-0.25659999999999999</v>
      </c>
      <c r="BQ47" s="230">
        <v>8475</v>
      </c>
      <c r="BR47" s="230">
        <v>9323</v>
      </c>
      <c r="BS47" s="228">
        <v>-848</v>
      </c>
      <c r="BT47" s="229">
        <v>-9.0899999999999995E-2</v>
      </c>
      <c r="BU47" s="230">
        <v>2187506</v>
      </c>
      <c r="BV47" s="230">
        <v>4090209</v>
      </c>
      <c r="BW47" s="230">
        <v>-1902703</v>
      </c>
      <c r="BX47" s="229">
        <v>-0.4652</v>
      </c>
      <c r="BY47" s="230">
        <v>2448</v>
      </c>
      <c r="BZ47" s="230">
        <v>2398</v>
      </c>
      <c r="CA47" s="228">
        <v>49</v>
      </c>
      <c r="CB47" s="229">
        <v>2.06E-2</v>
      </c>
      <c r="CC47" s="230">
        <v>1121</v>
      </c>
      <c r="CD47" s="230">
        <v>1745</v>
      </c>
      <c r="CE47" s="228">
        <v>-624</v>
      </c>
      <c r="CF47" s="229">
        <v>-0.35759999999999997</v>
      </c>
      <c r="CG47" s="230">
        <v>1313</v>
      </c>
      <c r="CH47" s="228">
        <v>640</v>
      </c>
      <c r="CI47" s="228">
        <v>673</v>
      </c>
      <c r="CJ47" s="229">
        <v>1.0511999999999999</v>
      </c>
      <c r="CK47" s="228">
        <v>14</v>
      </c>
      <c r="CL47" s="228">
        <v>13</v>
      </c>
      <c r="CM47" s="228">
        <v>1</v>
      </c>
      <c r="CN47" s="229">
        <v>5.21E-2</v>
      </c>
      <c r="CO47" s="230">
        <v>1528</v>
      </c>
      <c r="CP47" s="230">
        <v>1447</v>
      </c>
      <c r="CQ47" s="228">
        <v>81</v>
      </c>
      <c r="CR47" s="229">
        <v>5.5800000000000002E-2</v>
      </c>
      <c r="CS47" s="228">
        <v>865</v>
      </c>
      <c r="CT47" s="228">
        <v>832</v>
      </c>
      <c r="CU47" s="228">
        <v>33</v>
      </c>
      <c r="CV47" s="229">
        <v>3.95E-2</v>
      </c>
      <c r="CW47" s="230">
        <v>4840</v>
      </c>
      <c r="CX47" s="230">
        <v>4677</v>
      </c>
      <c r="CY47" s="228">
        <v>163</v>
      </c>
      <c r="CZ47" s="229">
        <v>3.49E-2</v>
      </c>
      <c r="DA47" s="228">
        <v>38.64</v>
      </c>
      <c r="DB47" s="228">
        <v>51.04</v>
      </c>
      <c r="DC47" s="228">
        <v>-12.4</v>
      </c>
      <c r="DD47" s="228">
        <v>-12.4</v>
      </c>
      <c r="DE47" s="228">
        <v>40.71</v>
      </c>
      <c r="DF47" s="228">
        <v>40.78</v>
      </c>
      <c r="DG47" s="228">
        <v>-2.0699999999999998</v>
      </c>
      <c r="DH47" s="228">
        <v>-7.0000000000000007E-2</v>
      </c>
      <c r="DI47" s="228">
        <v>38.51</v>
      </c>
      <c r="DJ47" s="228">
        <v>50.84</v>
      </c>
      <c r="DK47" s="228">
        <v>-12.33</v>
      </c>
      <c r="DL47" s="228">
        <v>-12.33</v>
      </c>
      <c r="DM47" s="228">
        <v>38.799999999999997</v>
      </c>
      <c r="DN47" s="228">
        <v>51.26</v>
      </c>
      <c r="DO47" s="228">
        <v>-12.46</v>
      </c>
      <c r="DP47" s="228">
        <v>-12.46</v>
      </c>
      <c r="DQ47" s="228">
        <v>0.56999999999999995</v>
      </c>
      <c r="DR47" s="228">
        <v>0.56999999999999995</v>
      </c>
      <c r="DS47" s="228">
        <v>0</v>
      </c>
      <c r="DT47" s="229">
        <v>0</v>
      </c>
      <c r="DU47" s="231">
        <v>1700</v>
      </c>
      <c r="DV47" s="231">
        <v>1600</v>
      </c>
      <c r="DW47" s="228">
        <v>0.66</v>
      </c>
      <c r="DX47" s="228">
        <v>0.89</v>
      </c>
      <c r="DY47" s="228">
        <v>-0.23</v>
      </c>
      <c r="DZ47" s="229">
        <v>-0.25840000000000002</v>
      </c>
      <c r="EA47" s="229">
        <v>0.54210000000000003</v>
      </c>
      <c r="EB47" s="230">
        <v>3861375</v>
      </c>
      <c r="EC47" s="229">
        <v>2E-3</v>
      </c>
      <c r="ED47" s="229">
        <v>0.54210000000000003</v>
      </c>
      <c r="EE47" s="228">
        <v>-2.4700000000000002</v>
      </c>
      <c r="EF47" s="229">
        <v>-1.5E-3</v>
      </c>
      <c r="EG47" s="230">
        <v>941061</v>
      </c>
      <c r="EH47" s="230">
        <v>1739364</v>
      </c>
      <c r="EI47" s="229">
        <v>-0.45900000000000002</v>
      </c>
      <c r="EJ47" s="229">
        <v>0.43020000000000003</v>
      </c>
      <c r="EK47" s="231">
        <v>3764.74</v>
      </c>
      <c r="EL47" s="231">
        <v>2310.3200000000002</v>
      </c>
      <c r="EM47" s="231">
        <v>2571.59</v>
      </c>
      <c r="EN47" s="228">
        <v>171.33</v>
      </c>
      <c r="EO47" s="231">
        <v>8646.65</v>
      </c>
      <c r="EP47" s="231">
        <v>9205.07</v>
      </c>
      <c r="EQ47" s="228">
        <v>-558.42999999999995</v>
      </c>
      <c r="ER47" s="229">
        <v>-6.0699999999999997E-2</v>
      </c>
      <c r="ES47" s="231">
        <v>1598.1</v>
      </c>
      <c r="ET47" s="228">
        <v>831.98</v>
      </c>
      <c r="EU47" s="231">
        <v>2450.4299999999998</v>
      </c>
      <c r="EV47" s="231">
        <v>50189409</v>
      </c>
      <c r="EW47" s="231">
        <v>4880.5</v>
      </c>
      <c r="EX47" s="231">
        <v>4665.21</v>
      </c>
      <c r="EY47" s="228">
        <v>215.29</v>
      </c>
      <c r="EZ47" s="229">
        <v>4.6100000000000002E-2</v>
      </c>
      <c r="FA47" s="229">
        <v>0.56979999999999997</v>
      </c>
      <c r="FB47" s="227" t="s">
        <v>555</v>
      </c>
      <c r="FC47">
        <f t="shared" si="0"/>
        <v>1327</v>
      </c>
    </row>
    <row r="48" spans="1:159" ht="17.25" thickBot="1" x14ac:dyDescent="0.3">
      <c r="A48" s="226">
        <v>46044</v>
      </c>
      <c r="B48" s="227" t="s">
        <v>168</v>
      </c>
      <c r="C48" s="227" t="s">
        <v>201</v>
      </c>
      <c r="D48" s="228">
        <v>225</v>
      </c>
      <c r="E48" s="228">
        <v>5</v>
      </c>
      <c r="F48" s="231">
        <v>2182.1999999999998</v>
      </c>
      <c r="G48" s="231">
        <v>2130.8000000000002</v>
      </c>
      <c r="H48" s="228">
        <v>51.4</v>
      </c>
      <c r="I48" s="229">
        <v>2.41E-2</v>
      </c>
      <c r="J48" s="231">
        <v>2179.6</v>
      </c>
      <c r="K48" s="231">
        <v>2123.1</v>
      </c>
      <c r="L48" s="228">
        <v>56.5</v>
      </c>
      <c r="M48" s="229">
        <v>2.6599999999999999E-2</v>
      </c>
      <c r="N48" s="231">
        <v>2182.1999999999998</v>
      </c>
      <c r="O48" s="231">
        <v>2130.8000000000002</v>
      </c>
      <c r="P48" s="228">
        <v>51.4</v>
      </c>
      <c r="Q48" s="229">
        <v>2.41E-2</v>
      </c>
      <c r="R48" s="231">
        <v>2188</v>
      </c>
      <c r="S48" s="231">
        <v>2136.1</v>
      </c>
      <c r="T48" s="228">
        <v>51.9</v>
      </c>
      <c r="U48" s="229">
        <v>2.4299999999999999E-2</v>
      </c>
      <c r="V48" s="231">
        <v>2196</v>
      </c>
      <c r="W48" s="231">
        <v>2144.8000000000002</v>
      </c>
      <c r="X48" s="228">
        <v>51.2</v>
      </c>
      <c r="Y48" s="229">
        <v>2.3900000000000001E-2</v>
      </c>
      <c r="Z48" s="228">
        <v>2.6</v>
      </c>
      <c r="AA48" s="228">
        <v>7.7</v>
      </c>
      <c r="AB48" s="228">
        <v>-5.0999999999999996</v>
      </c>
      <c r="AC48" s="229">
        <v>1.1999999999999999E-3</v>
      </c>
      <c r="AD48" s="228">
        <v>2.6</v>
      </c>
      <c r="AE48" s="228">
        <v>7.7</v>
      </c>
      <c r="AF48" s="228">
        <v>-5.0999999999999996</v>
      </c>
      <c r="AG48" s="229">
        <v>1.1999999999999999E-3</v>
      </c>
      <c r="AH48" s="228">
        <v>8.4</v>
      </c>
      <c r="AI48" s="228">
        <v>13</v>
      </c>
      <c r="AJ48" s="228">
        <v>-4.5999999999999996</v>
      </c>
      <c r="AK48" s="229">
        <v>3.8999999999999998E-3</v>
      </c>
      <c r="AL48" s="228">
        <v>16.399999999999999</v>
      </c>
      <c r="AM48" s="228">
        <v>21.7</v>
      </c>
      <c r="AN48" s="228">
        <v>-5.3</v>
      </c>
      <c r="AO48" s="229">
        <v>7.4999999999999997E-3</v>
      </c>
      <c r="AP48" s="231">
        <v>2168.13</v>
      </c>
      <c r="AQ48" s="231">
        <v>2174.0100000000002</v>
      </c>
      <c r="AR48" s="228">
        <v>0</v>
      </c>
      <c r="AS48" s="230">
        <v>1173</v>
      </c>
      <c r="AT48" s="230">
        <v>1040</v>
      </c>
      <c r="AU48" s="228">
        <v>133</v>
      </c>
      <c r="AV48" s="229">
        <v>0.12740000000000001</v>
      </c>
      <c r="AW48" s="228">
        <v>601</v>
      </c>
      <c r="AX48" s="228">
        <v>540</v>
      </c>
      <c r="AY48" s="228">
        <v>62</v>
      </c>
      <c r="AZ48" s="229">
        <v>0.1143</v>
      </c>
      <c r="BA48" s="228">
        <v>564</v>
      </c>
      <c r="BB48" s="228">
        <v>496</v>
      </c>
      <c r="BC48" s="228">
        <v>68</v>
      </c>
      <c r="BD48" s="229">
        <v>0.13700000000000001</v>
      </c>
      <c r="BE48" s="228">
        <v>7</v>
      </c>
      <c r="BF48" s="228">
        <v>4</v>
      </c>
      <c r="BG48" s="228">
        <v>3</v>
      </c>
      <c r="BH48" s="229">
        <v>0.6744</v>
      </c>
      <c r="BI48" s="230">
        <v>1392</v>
      </c>
      <c r="BJ48" s="228">
        <v>989</v>
      </c>
      <c r="BK48" s="228">
        <v>403</v>
      </c>
      <c r="BL48" s="229">
        <v>0.40710000000000002</v>
      </c>
      <c r="BM48" s="228">
        <v>632</v>
      </c>
      <c r="BN48" s="228">
        <v>487</v>
      </c>
      <c r="BO48" s="228">
        <v>145</v>
      </c>
      <c r="BP48" s="229">
        <v>0.29730000000000001</v>
      </c>
      <c r="BQ48" s="230">
        <v>3197</v>
      </c>
      <c r="BR48" s="230">
        <v>2517</v>
      </c>
      <c r="BS48" s="228">
        <v>680</v>
      </c>
      <c r="BT48" s="229">
        <v>0.2702</v>
      </c>
      <c r="BU48" s="230">
        <v>663334</v>
      </c>
      <c r="BV48" s="230">
        <v>491470</v>
      </c>
      <c r="BW48" s="230">
        <v>171864</v>
      </c>
      <c r="BX48" s="229">
        <v>0.34970000000000001</v>
      </c>
      <c r="BY48" s="230">
        <v>1375</v>
      </c>
      <c r="BZ48" s="230">
        <v>1477</v>
      </c>
      <c r="CA48" s="228">
        <v>-102</v>
      </c>
      <c r="CB48" s="229">
        <v>-6.93E-2</v>
      </c>
      <c r="CC48" s="228">
        <v>626</v>
      </c>
      <c r="CD48" s="230">
        <v>1039</v>
      </c>
      <c r="CE48" s="228">
        <v>-413</v>
      </c>
      <c r="CF48" s="229">
        <v>-0.39760000000000001</v>
      </c>
      <c r="CG48" s="228">
        <v>734</v>
      </c>
      <c r="CH48" s="228">
        <v>422</v>
      </c>
      <c r="CI48" s="228">
        <v>312</v>
      </c>
      <c r="CJ48" s="229">
        <v>0.73850000000000005</v>
      </c>
      <c r="CK48" s="228">
        <v>15</v>
      </c>
      <c r="CL48" s="228">
        <v>16</v>
      </c>
      <c r="CM48" s="228">
        <v>-1</v>
      </c>
      <c r="CN48" s="229">
        <v>-7.4099999999999999E-2</v>
      </c>
      <c r="CO48" s="228">
        <v>498</v>
      </c>
      <c r="CP48" s="228">
        <v>593</v>
      </c>
      <c r="CQ48" s="228">
        <v>-95</v>
      </c>
      <c r="CR48" s="229">
        <v>-0.16020000000000001</v>
      </c>
      <c r="CS48" s="228">
        <v>367</v>
      </c>
      <c r="CT48" s="228">
        <v>386</v>
      </c>
      <c r="CU48" s="228">
        <v>-19</v>
      </c>
      <c r="CV48" s="229">
        <v>-4.87E-2</v>
      </c>
      <c r="CW48" s="230">
        <v>2240</v>
      </c>
      <c r="CX48" s="230">
        <v>2456</v>
      </c>
      <c r="CY48" s="228">
        <v>-216</v>
      </c>
      <c r="CZ48" s="229">
        <v>-8.7999999999999995E-2</v>
      </c>
      <c r="DA48" s="228">
        <v>27.27</v>
      </c>
      <c r="DB48" s="228">
        <v>24.01</v>
      </c>
      <c r="DC48" s="228">
        <v>3.26</v>
      </c>
      <c r="DD48" s="228">
        <v>3.26</v>
      </c>
      <c r="DE48" s="228">
        <v>27.01</v>
      </c>
      <c r="DF48" s="228">
        <v>26.89</v>
      </c>
      <c r="DG48" s="228">
        <v>0.26</v>
      </c>
      <c r="DH48" s="228">
        <v>0.12</v>
      </c>
      <c r="DI48" s="228">
        <v>27.34</v>
      </c>
      <c r="DJ48" s="228">
        <v>24.13</v>
      </c>
      <c r="DK48" s="228">
        <v>3.21</v>
      </c>
      <c r="DL48" s="228">
        <v>3.21</v>
      </c>
      <c r="DM48" s="228">
        <v>27.02</v>
      </c>
      <c r="DN48" s="228">
        <v>23.76</v>
      </c>
      <c r="DO48" s="228">
        <v>3.26</v>
      </c>
      <c r="DP48" s="228">
        <v>3.26</v>
      </c>
      <c r="DQ48" s="228">
        <v>0.74</v>
      </c>
      <c r="DR48" s="228">
        <v>0.65</v>
      </c>
      <c r="DS48" s="228">
        <v>0.09</v>
      </c>
      <c r="DT48" s="229">
        <v>0.13850000000000001</v>
      </c>
      <c r="DU48" s="231">
        <v>2200</v>
      </c>
      <c r="DV48" s="231">
        <v>2060</v>
      </c>
      <c r="DW48" s="228">
        <v>0.45</v>
      </c>
      <c r="DX48" s="228">
        <v>0.49</v>
      </c>
      <c r="DY48" s="228">
        <v>-0.04</v>
      </c>
      <c r="DZ48" s="229">
        <v>-8.1600000000000006E-2</v>
      </c>
      <c r="EA48" s="229">
        <v>0.54469999999999996</v>
      </c>
      <c r="EB48" s="230">
        <v>2007900</v>
      </c>
      <c r="EC48" s="229">
        <v>2.7000000000000001E-3</v>
      </c>
      <c r="ED48" s="229">
        <v>0.54469999999999996</v>
      </c>
      <c r="EE48" s="228">
        <v>5.88</v>
      </c>
      <c r="EF48" s="229">
        <v>2.7000000000000001E-3</v>
      </c>
      <c r="EG48" s="230">
        <v>366109</v>
      </c>
      <c r="EH48" s="230">
        <v>232733</v>
      </c>
      <c r="EI48" s="229">
        <v>0.57310000000000005</v>
      </c>
      <c r="EJ48" s="229">
        <v>0.55189999999999995</v>
      </c>
      <c r="EK48" s="231">
        <v>1417.67</v>
      </c>
      <c r="EL48" s="228">
        <v>612.57000000000005</v>
      </c>
      <c r="EM48" s="231">
        <v>1167</v>
      </c>
      <c r="EN48" s="228">
        <v>135.15</v>
      </c>
      <c r="EO48" s="231">
        <v>3197.24</v>
      </c>
      <c r="EP48" s="231">
        <v>2476.4499999999998</v>
      </c>
      <c r="EQ48" s="228">
        <v>720.79</v>
      </c>
      <c r="ER48" s="229">
        <v>0.29110000000000003</v>
      </c>
      <c r="ES48" s="228">
        <v>504.95</v>
      </c>
      <c r="ET48" s="228">
        <v>353.55</v>
      </c>
      <c r="EU48" s="231">
        <v>1376.73</v>
      </c>
      <c r="EV48" s="231">
        <v>19546143</v>
      </c>
      <c r="EW48" s="231">
        <v>2235.23</v>
      </c>
      <c r="EX48" s="231">
        <v>2412.46</v>
      </c>
      <c r="EY48" s="228">
        <v>-177.23</v>
      </c>
      <c r="EZ48" s="229">
        <v>-7.3499999999999996E-2</v>
      </c>
      <c r="FA48" s="229">
        <v>0.5252</v>
      </c>
      <c r="FB48" s="227" t="s">
        <v>556</v>
      </c>
      <c r="FC48">
        <f t="shared" si="0"/>
        <v>749</v>
      </c>
    </row>
    <row r="49" spans="1:159" ht="17.25" thickBot="1" x14ac:dyDescent="0.3">
      <c r="A49" s="226">
        <v>46044</v>
      </c>
      <c r="B49" s="227" t="s">
        <v>215</v>
      </c>
      <c r="C49" s="227" t="s">
        <v>202</v>
      </c>
      <c r="D49" s="228">
        <v>1250</v>
      </c>
      <c r="E49" s="228">
        <v>5</v>
      </c>
      <c r="F49" s="228">
        <v>495</v>
      </c>
      <c r="G49" s="228">
        <v>495.65</v>
      </c>
      <c r="H49" s="228">
        <v>-0.65</v>
      </c>
      <c r="I49" s="229">
        <v>-1.2999999999999999E-3</v>
      </c>
      <c r="J49" s="228">
        <v>494.35</v>
      </c>
      <c r="K49" s="228">
        <v>496.15</v>
      </c>
      <c r="L49" s="228">
        <v>-1.8</v>
      </c>
      <c r="M49" s="229">
        <v>-3.5999999999999999E-3</v>
      </c>
      <c r="N49" s="228">
        <v>495</v>
      </c>
      <c r="O49" s="228">
        <v>495.65</v>
      </c>
      <c r="P49" s="228">
        <v>-0.65</v>
      </c>
      <c r="Q49" s="229">
        <v>-1.2999999999999999E-3</v>
      </c>
      <c r="R49" s="228">
        <v>494.6</v>
      </c>
      <c r="S49" s="228">
        <v>495.25</v>
      </c>
      <c r="T49" s="228">
        <v>-0.65</v>
      </c>
      <c r="U49" s="229">
        <v>-1.2999999999999999E-3</v>
      </c>
      <c r="V49" s="228">
        <v>498.4</v>
      </c>
      <c r="W49" s="228">
        <v>498.55</v>
      </c>
      <c r="X49" s="228">
        <v>-0.15</v>
      </c>
      <c r="Y49" s="229">
        <v>-2.9999999999999997E-4</v>
      </c>
      <c r="Z49" s="228">
        <v>0.65</v>
      </c>
      <c r="AA49" s="228">
        <v>-0.5</v>
      </c>
      <c r="AB49" s="228">
        <v>1.1499999999999999</v>
      </c>
      <c r="AC49" s="229">
        <v>1.2999999999999999E-3</v>
      </c>
      <c r="AD49" s="228">
        <v>0.65</v>
      </c>
      <c r="AE49" s="228">
        <v>-0.5</v>
      </c>
      <c r="AF49" s="228">
        <v>1.1499999999999999</v>
      </c>
      <c r="AG49" s="229">
        <v>1.2999999999999999E-3</v>
      </c>
      <c r="AH49" s="228">
        <v>0.25</v>
      </c>
      <c r="AI49" s="228">
        <v>-0.9</v>
      </c>
      <c r="AJ49" s="228">
        <v>1.1499999999999999</v>
      </c>
      <c r="AK49" s="229">
        <v>5.0000000000000001E-4</v>
      </c>
      <c r="AL49" s="228">
        <v>4.05</v>
      </c>
      <c r="AM49" s="228">
        <v>2.4</v>
      </c>
      <c r="AN49" s="228">
        <v>1.65</v>
      </c>
      <c r="AO49" s="229">
        <v>8.2000000000000007E-3</v>
      </c>
      <c r="AP49" s="228">
        <v>499.63</v>
      </c>
      <c r="AQ49" s="228">
        <v>499.29</v>
      </c>
      <c r="AR49" s="228">
        <v>0</v>
      </c>
      <c r="AS49" s="228">
        <v>835</v>
      </c>
      <c r="AT49" s="228">
        <v>693</v>
      </c>
      <c r="AU49" s="228">
        <v>142</v>
      </c>
      <c r="AV49" s="229">
        <v>0.20580000000000001</v>
      </c>
      <c r="AW49" s="228">
        <v>404</v>
      </c>
      <c r="AX49" s="228">
        <v>366</v>
      </c>
      <c r="AY49" s="228">
        <v>38</v>
      </c>
      <c r="AZ49" s="229">
        <v>0.1047</v>
      </c>
      <c r="BA49" s="228">
        <v>424</v>
      </c>
      <c r="BB49" s="228">
        <v>322</v>
      </c>
      <c r="BC49" s="228">
        <v>103</v>
      </c>
      <c r="BD49" s="229">
        <v>0.31990000000000002</v>
      </c>
      <c r="BE49" s="228">
        <v>7</v>
      </c>
      <c r="BF49" s="228">
        <v>5</v>
      </c>
      <c r="BG49" s="228">
        <v>1</v>
      </c>
      <c r="BH49" s="229">
        <v>0.25290000000000001</v>
      </c>
      <c r="BI49" s="228">
        <v>552</v>
      </c>
      <c r="BJ49" s="228">
        <v>647</v>
      </c>
      <c r="BK49" s="228">
        <v>-95</v>
      </c>
      <c r="BL49" s="229">
        <v>-0.1474</v>
      </c>
      <c r="BM49" s="228">
        <v>353</v>
      </c>
      <c r="BN49" s="228">
        <v>344</v>
      </c>
      <c r="BO49" s="228">
        <v>8</v>
      </c>
      <c r="BP49" s="229">
        <v>2.46E-2</v>
      </c>
      <c r="BQ49" s="230">
        <v>1739</v>
      </c>
      <c r="BR49" s="230">
        <v>1684</v>
      </c>
      <c r="BS49" s="228">
        <v>56</v>
      </c>
      <c r="BT49" s="229">
        <v>3.3000000000000002E-2</v>
      </c>
      <c r="BU49" s="230">
        <v>2169074</v>
      </c>
      <c r="BV49" s="230">
        <v>1660738</v>
      </c>
      <c r="BW49" s="230">
        <v>508336</v>
      </c>
      <c r="BX49" s="229">
        <v>0.30609999999999998</v>
      </c>
      <c r="BY49" s="230">
        <v>1691</v>
      </c>
      <c r="BZ49" s="230">
        <v>1675</v>
      </c>
      <c r="CA49" s="228">
        <v>16</v>
      </c>
      <c r="CB49" s="229">
        <v>9.7999999999999997E-3</v>
      </c>
      <c r="CC49" s="228">
        <v>780</v>
      </c>
      <c r="CD49" s="230">
        <v>1091</v>
      </c>
      <c r="CE49" s="228">
        <v>-311</v>
      </c>
      <c r="CF49" s="229">
        <v>-0.28499999999999998</v>
      </c>
      <c r="CG49" s="228">
        <v>886</v>
      </c>
      <c r="CH49" s="228">
        <v>563</v>
      </c>
      <c r="CI49" s="228">
        <v>323</v>
      </c>
      <c r="CJ49" s="229">
        <v>0.57369999999999999</v>
      </c>
      <c r="CK49" s="228">
        <v>25</v>
      </c>
      <c r="CL49" s="228">
        <v>21</v>
      </c>
      <c r="CM49" s="228">
        <v>4</v>
      </c>
      <c r="CN49" s="229">
        <v>0.2</v>
      </c>
      <c r="CO49" s="228">
        <v>628</v>
      </c>
      <c r="CP49" s="228">
        <v>595</v>
      </c>
      <c r="CQ49" s="228">
        <v>33</v>
      </c>
      <c r="CR49" s="229">
        <v>5.62E-2</v>
      </c>
      <c r="CS49" s="228">
        <v>484</v>
      </c>
      <c r="CT49" s="228">
        <v>448</v>
      </c>
      <c r="CU49" s="228">
        <v>36</v>
      </c>
      <c r="CV49" s="229">
        <v>7.9799999999999996E-2</v>
      </c>
      <c r="CW49" s="230">
        <v>2804</v>
      </c>
      <c r="CX49" s="230">
        <v>2718</v>
      </c>
      <c r="CY49" s="228">
        <v>86</v>
      </c>
      <c r="CZ49" s="229">
        <v>3.15E-2</v>
      </c>
      <c r="DA49" s="228">
        <v>29.63</v>
      </c>
      <c r="DB49" s="228">
        <v>26.42</v>
      </c>
      <c r="DC49" s="228">
        <v>3.21</v>
      </c>
      <c r="DD49" s="228">
        <v>3.21</v>
      </c>
      <c r="DE49" s="228">
        <v>33.06</v>
      </c>
      <c r="DF49" s="228">
        <v>33.14</v>
      </c>
      <c r="DG49" s="228">
        <v>-3.43</v>
      </c>
      <c r="DH49" s="228">
        <v>-0.08</v>
      </c>
      <c r="DI49" s="228">
        <v>30.03</v>
      </c>
      <c r="DJ49" s="228">
        <v>27.1</v>
      </c>
      <c r="DK49" s="228">
        <v>2.93</v>
      </c>
      <c r="DL49" s="228">
        <v>2.93</v>
      </c>
      <c r="DM49" s="228">
        <v>29.13</v>
      </c>
      <c r="DN49" s="228">
        <v>25.15</v>
      </c>
      <c r="DO49" s="228">
        <v>3.98</v>
      </c>
      <c r="DP49" s="228">
        <v>3.98</v>
      </c>
      <c r="DQ49" s="228">
        <v>0.77</v>
      </c>
      <c r="DR49" s="228">
        <v>0.75</v>
      </c>
      <c r="DS49" s="228">
        <v>0.02</v>
      </c>
      <c r="DT49" s="229">
        <v>2.6700000000000002E-2</v>
      </c>
      <c r="DU49" s="228">
        <v>520</v>
      </c>
      <c r="DV49" s="228">
        <v>520</v>
      </c>
      <c r="DW49" s="228">
        <v>0.64</v>
      </c>
      <c r="DX49" s="228">
        <v>0.53</v>
      </c>
      <c r="DY49" s="228">
        <v>0.11</v>
      </c>
      <c r="DZ49" s="229">
        <v>0.20749999999999999</v>
      </c>
      <c r="EA49" s="229">
        <v>0.53900000000000003</v>
      </c>
      <c r="EB49" s="230">
        <v>11803750</v>
      </c>
      <c r="EC49" s="229">
        <v>-8.0000000000000004E-4</v>
      </c>
      <c r="ED49" s="229">
        <v>0.53900000000000003</v>
      </c>
      <c r="EE49" s="228">
        <v>-0.34</v>
      </c>
      <c r="EF49" s="229">
        <v>-6.9999999999999999E-4</v>
      </c>
      <c r="EG49" s="230">
        <v>1711074</v>
      </c>
      <c r="EH49" s="230">
        <v>756477</v>
      </c>
      <c r="EI49" s="229">
        <v>1.2619</v>
      </c>
      <c r="EJ49" s="229">
        <v>0.78879999999999995</v>
      </c>
      <c r="EK49" s="228">
        <v>585.04</v>
      </c>
      <c r="EL49" s="228">
        <v>377.08</v>
      </c>
      <c r="EM49" s="228">
        <v>842.64</v>
      </c>
      <c r="EN49" s="228">
        <v>58.77</v>
      </c>
      <c r="EO49" s="231">
        <v>1804.76</v>
      </c>
      <c r="EP49" s="231">
        <v>1721.81</v>
      </c>
      <c r="EQ49" s="228">
        <v>82.95</v>
      </c>
      <c r="ER49" s="229">
        <v>4.82E-2</v>
      </c>
      <c r="ES49" s="228">
        <v>682.07</v>
      </c>
      <c r="ET49" s="228">
        <v>503.36</v>
      </c>
      <c r="EU49" s="231">
        <v>1690.87</v>
      </c>
      <c r="EV49" s="231">
        <v>51639257</v>
      </c>
      <c r="EW49" s="231">
        <v>2876.3</v>
      </c>
      <c r="EX49" s="231">
        <v>2793.77</v>
      </c>
      <c r="EY49" s="228">
        <v>82.53</v>
      </c>
      <c r="EZ49" s="229">
        <v>2.9499999999999998E-2</v>
      </c>
      <c r="FA49" s="229">
        <v>1.0969</v>
      </c>
      <c r="FB49" s="227" t="s">
        <v>567</v>
      </c>
      <c r="FC49">
        <f t="shared" si="0"/>
        <v>911</v>
      </c>
    </row>
    <row r="50" spans="1:159" ht="17.25" thickBot="1" x14ac:dyDescent="0.3">
      <c r="A50" s="226">
        <v>46044</v>
      </c>
      <c r="B50" s="227" t="s">
        <v>184</v>
      </c>
      <c r="C50" s="227" t="s">
        <v>523</v>
      </c>
      <c r="D50" s="228">
        <v>1800</v>
      </c>
      <c r="E50" s="228">
        <v>5</v>
      </c>
      <c r="F50" s="228">
        <v>230</v>
      </c>
      <c r="G50" s="228">
        <v>232.25</v>
      </c>
      <c r="H50" s="228">
        <v>-2.25</v>
      </c>
      <c r="I50" s="229">
        <v>-9.7000000000000003E-3</v>
      </c>
      <c r="J50" s="228">
        <v>229.65</v>
      </c>
      <c r="K50" s="228">
        <v>232.25</v>
      </c>
      <c r="L50" s="228">
        <v>-2.6</v>
      </c>
      <c r="M50" s="229">
        <v>-1.12E-2</v>
      </c>
      <c r="N50" s="228">
        <v>230</v>
      </c>
      <c r="O50" s="228">
        <v>232.25</v>
      </c>
      <c r="P50" s="228">
        <v>-2.25</v>
      </c>
      <c r="Q50" s="229">
        <v>-9.7000000000000003E-3</v>
      </c>
      <c r="R50" s="228">
        <v>231.2</v>
      </c>
      <c r="S50" s="228">
        <v>233.5</v>
      </c>
      <c r="T50" s="228">
        <v>-2.2999999999999998</v>
      </c>
      <c r="U50" s="229">
        <v>-9.9000000000000008E-3</v>
      </c>
      <c r="V50" s="228">
        <v>233.05</v>
      </c>
      <c r="W50" s="228">
        <v>235.5</v>
      </c>
      <c r="X50" s="228">
        <v>-2.4500000000000002</v>
      </c>
      <c r="Y50" s="229">
        <v>-1.04E-2</v>
      </c>
      <c r="Z50" s="228">
        <v>0.35</v>
      </c>
      <c r="AA50" s="228">
        <v>0</v>
      </c>
      <c r="AB50" s="228">
        <v>0.35</v>
      </c>
      <c r="AC50" s="229">
        <v>1.5E-3</v>
      </c>
      <c r="AD50" s="228">
        <v>0.35</v>
      </c>
      <c r="AE50" s="228">
        <v>0</v>
      </c>
      <c r="AF50" s="228">
        <v>0.35</v>
      </c>
      <c r="AG50" s="229">
        <v>1.5E-3</v>
      </c>
      <c r="AH50" s="228">
        <v>1.55</v>
      </c>
      <c r="AI50" s="228">
        <v>1.25</v>
      </c>
      <c r="AJ50" s="228">
        <v>0.3</v>
      </c>
      <c r="AK50" s="229">
        <v>6.7000000000000002E-3</v>
      </c>
      <c r="AL50" s="228">
        <v>3.4</v>
      </c>
      <c r="AM50" s="228">
        <v>3.25</v>
      </c>
      <c r="AN50" s="228">
        <v>0.15</v>
      </c>
      <c r="AO50" s="229">
        <v>1.4800000000000001E-2</v>
      </c>
      <c r="AP50" s="228">
        <v>231.5</v>
      </c>
      <c r="AQ50" s="228">
        <v>232.77</v>
      </c>
      <c r="AR50" s="228">
        <v>0</v>
      </c>
      <c r="AS50" s="228">
        <v>826</v>
      </c>
      <c r="AT50" s="228">
        <v>581</v>
      </c>
      <c r="AU50" s="228">
        <v>245</v>
      </c>
      <c r="AV50" s="229">
        <v>0.42199999999999999</v>
      </c>
      <c r="AW50" s="228">
        <v>403</v>
      </c>
      <c r="AX50" s="228">
        <v>319</v>
      </c>
      <c r="AY50" s="228">
        <v>84</v>
      </c>
      <c r="AZ50" s="229">
        <v>0.26479999999999998</v>
      </c>
      <c r="BA50" s="228">
        <v>416</v>
      </c>
      <c r="BB50" s="228">
        <v>258</v>
      </c>
      <c r="BC50" s="228">
        <v>158</v>
      </c>
      <c r="BD50" s="229">
        <v>0.6149</v>
      </c>
      <c r="BE50" s="228">
        <v>6</v>
      </c>
      <c r="BF50" s="228">
        <v>4</v>
      </c>
      <c r="BG50" s="228">
        <v>2</v>
      </c>
      <c r="BH50" s="229">
        <v>0.50490000000000002</v>
      </c>
      <c r="BI50" s="228">
        <v>518</v>
      </c>
      <c r="BJ50" s="228">
        <v>961</v>
      </c>
      <c r="BK50" s="228">
        <v>-443</v>
      </c>
      <c r="BL50" s="229">
        <v>-0.46110000000000001</v>
      </c>
      <c r="BM50" s="228">
        <v>215</v>
      </c>
      <c r="BN50" s="228">
        <v>507</v>
      </c>
      <c r="BO50" s="228">
        <v>-292</v>
      </c>
      <c r="BP50" s="229">
        <v>-0.57550000000000001</v>
      </c>
      <c r="BQ50" s="230">
        <v>1559</v>
      </c>
      <c r="BR50" s="230">
        <v>2048</v>
      </c>
      <c r="BS50" s="228">
        <v>-490</v>
      </c>
      <c r="BT50" s="229">
        <v>-0.23910000000000001</v>
      </c>
      <c r="BU50" s="230">
        <v>3096155</v>
      </c>
      <c r="BV50" s="230">
        <v>4473898</v>
      </c>
      <c r="BW50" s="230">
        <v>-1377743</v>
      </c>
      <c r="BX50" s="229">
        <v>-0.308</v>
      </c>
      <c r="BY50" s="230">
        <v>1293</v>
      </c>
      <c r="BZ50" s="230">
        <v>1265</v>
      </c>
      <c r="CA50" s="228">
        <v>28</v>
      </c>
      <c r="CB50" s="229">
        <v>2.2499999999999999E-2</v>
      </c>
      <c r="CC50" s="228">
        <v>621</v>
      </c>
      <c r="CD50" s="228">
        <v>927</v>
      </c>
      <c r="CE50" s="228">
        <v>-306</v>
      </c>
      <c r="CF50" s="229">
        <v>-0.33029999999999998</v>
      </c>
      <c r="CG50" s="228">
        <v>656</v>
      </c>
      <c r="CH50" s="228">
        <v>324</v>
      </c>
      <c r="CI50" s="228">
        <v>331</v>
      </c>
      <c r="CJ50" s="229">
        <v>1.0206999999999999</v>
      </c>
      <c r="CK50" s="228">
        <v>17</v>
      </c>
      <c r="CL50" s="228">
        <v>13</v>
      </c>
      <c r="CM50" s="228">
        <v>4</v>
      </c>
      <c r="CN50" s="229">
        <v>0.26479999999999998</v>
      </c>
      <c r="CO50" s="228">
        <v>525</v>
      </c>
      <c r="CP50" s="228">
        <v>519</v>
      </c>
      <c r="CQ50" s="228">
        <v>6</v>
      </c>
      <c r="CR50" s="229">
        <v>1.12E-2</v>
      </c>
      <c r="CS50" s="228">
        <v>278</v>
      </c>
      <c r="CT50" s="228">
        <v>289</v>
      </c>
      <c r="CU50" s="228">
        <v>-11</v>
      </c>
      <c r="CV50" s="229">
        <v>-3.8899999999999997E-2</v>
      </c>
      <c r="CW50" s="230">
        <v>2096</v>
      </c>
      <c r="CX50" s="230">
        <v>2073</v>
      </c>
      <c r="CY50" s="228">
        <v>23</v>
      </c>
      <c r="CZ50" s="229">
        <v>1.11E-2</v>
      </c>
      <c r="DA50" s="228">
        <v>34.96</v>
      </c>
      <c r="DB50" s="228">
        <v>27.8</v>
      </c>
      <c r="DC50" s="228">
        <v>7.16</v>
      </c>
      <c r="DD50" s="228">
        <v>7.16</v>
      </c>
      <c r="DE50" s="228">
        <v>30.87</v>
      </c>
      <c r="DF50" s="228">
        <v>30.92</v>
      </c>
      <c r="DG50" s="228">
        <v>4.09</v>
      </c>
      <c r="DH50" s="228">
        <v>-0.05</v>
      </c>
      <c r="DI50" s="228">
        <v>35.1</v>
      </c>
      <c r="DJ50" s="228">
        <v>29.43</v>
      </c>
      <c r="DK50" s="228">
        <v>5.67</v>
      </c>
      <c r="DL50" s="228">
        <v>5.67</v>
      </c>
      <c r="DM50" s="228">
        <v>34.51</v>
      </c>
      <c r="DN50" s="228">
        <v>24.71</v>
      </c>
      <c r="DO50" s="228">
        <v>9.8000000000000007</v>
      </c>
      <c r="DP50" s="228">
        <v>9.8000000000000007</v>
      </c>
      <c r="DQ50" s="228">
        <v>0.53</v>
      </c>
      <c r="DR50" s="228">
        <v>0.56000000000000005</v>
      </c>
      <c r="DS50" s="228">
        <v>-0.03</v>
      </c>
      <c r="DT50" s="229">
        <v>-5.3600000000000002E-2</v>
      </c>
      <c r="DU50" s="228">
        <v>260</v>
      </c>
      <c r="DV50" s="228">
        <v>225</v>
      </c>
      <c r="DW50" s="228">
        <v>0.42</v>
      </c>
      <c r="DX50" s="228">
        <v>0.53</v>
      </c>
      <c r="DY50" s="228">
        <v>-0.11</v>
      </c>
      <c r="DZ50" s="229">
        <v>-0.20749999999999999</v>
      </c>
      <c r="EA50" s="229">
        <v>0.51990000000000003</v>
      </c>
      <c r="EB50" s="230">
        <v>14682600</v>
      </c>
      <c r="EC50" s="229">
        <v>5.1999999999999998E-3</v>
      </c>
      <c r="ED50" s="229">
        <v>0.51990000000000003</v>
      </c>
      <c r="EE50" s="228">
        <v>1.27</v>
      </c>
      <c r="EF50" s="229">
        <v>5.4999999999999997E-3</v>
      </c>
      <c r="EG50" s="230">
        <v>1328947</v>
      </c>
      <c r="EH50" s="230">
        <v>1752243</v>
      </c>
      <c r="EI50" s="229">
        <v>-0.24160000000000001</v>
      </c>
      <c r="EJ50" s="229">
        <v>0.42920000000000003</v>
      </c>
      <c r="EK50" s="228">
        <v>557.58000000000004</v>
      </c>
      <c r="EL50" s="228">
        <v>224.08</v>
      </c>
      <c r="EM50" s="228">
        <v>833.39</v>
      </c>
      <c r="EN50" s="228">
        <v>70.95</v>
      </c>
      <c r="EO50" s="231">
        <v>1615.06</v>
      </c>
      <c r="EP50" s="231">
        <v>2135.17</v>
      </c>
      <c r="EQ50" s="228">
        <v>-520.11</v>
      </c>
      <c r="ER50" s="229">
        <v>-0.24360000000000001</v>
      </c>
      <c r="ES50" s="228">
        <v>589.48</v>
      </c>
      <c r="ET50" s="228">
        <v>296.38</v>
      </c>
      <c r="EU50" s="231">
        <v>1296.77</v>
      </c>
      <c r="EV50" s="231">
        <v>96587231</v>
      </c>
      <c r="EW50" s="231">
        <v>2182.63</v>
      </c>
      <c r="EX50" s="231">
        <v>2178.19</v>
      </c>
      <c r="EY50" s="228">
        <v>4.4400000000000004</v>
      </c>
      <c r="EZ50" s="229">
        <v>2E-3</v>
      </c>
      <c r="FA50" s="229">
        <v>0.94340000000000002</v>
      </c>
      <c r="FB50" s="227" t="s">
        <v>567</v>
      </c>
      <c r="FC50">
        <f t="shared" si="0"/>
        <v>672</v>
      </c>
    </row>
    <row r="51" spans="1:159" ht="17.25" thickBot="1" x14ac:dyDescent="0.3">
      <c r="A51" s="226">
        <v>46044</v>
      </c>
      <c r="B51" s="227" t="s">
        <v>184</v>
      </c>
      <c r="C51" s="227" t="s">
        <v>203</v>
      </c>
      <c r="D51" s="228">
        <v>200</v>
      </c>
      <c r="E51" s="228">
        <v>5</v>
      </c>
      <c r="F51" s="231">
        <v>4066.1</v>
      </c>
      <c r="G51" s="231">
        <v>3997.9</v>
      </c>
      <c r="H51" s="228">
        <v>68.2</v>
      </c>
      <c r="I51" s="229">
        <v>1.7100000000000001E-2</v>
      </c>
      <c r="J51" s="231">
        <v>4067.8</v>
      </c>
      <c r="K51" s="231">
        <v>4000.7</v>
      </c>
      <c r="L51" s="228">
        <v>67.099999999999994</v>
      </c>
      <c r="M51" s="229">
        <v>1.6799999999999999E-2</v>
      </c>
      <c r="N51" s="231">
        <v>4066.1</v>
      </c>
      <c r="O51" s="231">
        <v>3997.9</v>
      </c>
      <c r="P51" s="228">
        <v>68.2</v>
      </c>
      <c r="Q51" s="229">
        <v>1.7100000000000001E-2</v>
      </c>
      <c r="R51" s="231">
        <v>4064.8</v>
      </c>
      <c r="S51" s="231">
        <v>3998.7</v>
      </c>
      <c r="T51" s="228">
        <v>66.099999999999994</v>
      </c>
      <c r="U51" s="229">
        <v>1.6500000000000001E-2</v>
      </c>
      <c r="V51" s="231">
        <v>4095.9</v>
      </c>
      <c r="W51" s="231">
        <v>4022.6</v>
      </c>
      <c r="X51" s="228">
        <v>73.3</v>
      </c>
      <c r="Y51" s="229">
        <v>1.8200000000000001E-2</v>
      </c>
      <c r="Z51" s="228">
        <v>-1.7</v>
      </c>
      <c r="AA51" s="228">
        <v>-2.8</v>
      </c>
      <c r="AB51" s="228">
        <v>1.1000000000000001</v>
      </c>
      <c r="AC51" s="229">
        <v>-4.0000000000000002E-4</v>
      </c>
      <c r="AD51" s="228">
        <v>-1.7</v>
      </c>
      <c r="AE51" s="228">
        <v>-2.8</v>
      </c>
      <c r="AF51" s="228">
        <v>1.1000000000000001</v>
      </c>
      <c r="AG51" s="229">
        <v>-4.0000000000000002E-4</v>
      </c>
      <c r="AH51" s="228">
        <v>-3</v>
      </c>
      <c r="AI51" s="228">
        <v>-2</v>
      </c>
      <c r="AJ51" s="228">
        <v>-1</v>
      </c>
      <c r="AK51" s="229">
        <v>-6.9999999999999999E-4</v>
      </c>
      <c r="AL51" s="228">
        <v>28.1</v>
      </c>
      <c r="AM51" s="228">
        <v>21.9</v>
      </c>
      <c r="AN51" s="228">
        <v>6.2</v>
      </c>
      <c r="AO51" s="229">
        <v>6.8999999999999999E-3</v>
      </c>
      <c r="AP51" s="231">
        <v>4031.15</v>
      </c>
      <c r="AQ51" s="231">
        <v>4031.69</v>
      </c>
      <c r="AR51" s="228">
        <v>0</v>
      </c>
      <c r="AS51" s="230">
        <v>1452</v>
      </c>
      <c r="AT51" s="228">
        <v>865</v>
      </c>
      <c r="AU51" s="228">
        <v>587</v>
      </c>
      <c r="AV51" s="229">
        <v>0.67810000000000004</v>
      </c>
      <c r="AW51" s="228">
        <v>728</v>
      </c>
      <c r="AX51" s="228">
        <v>510</v>
      </c>
      <c r="AY51" s="228">
        <v>218</v>
      </c>
      <c r="AZ51" s="229">
        <v>0.4284</v>
      </c>
      <c r="BA51" s="228">
        <v>721</v>
      </c>
      <c r="BB51" s="228">
        <v>354</v>
      </c>
      <c r="BC51" s="228">
        <v>367</v>
      </c>
      <c r="BD51" s="229">
        <v>1.034</v>
      </c>
      <c r="BE51" s="228">
        <v>3</v>
      </c>
      <c r="BF51" s="228">
        <v>1</v>
      </c>
      <c r="BG51" s="228">
        <v>2</v>
      </c>
      <c r="BH51" s="229">
        <v>2</v>
      </c>
      <c r="BI51" s="228">
        <v>656</v>
      </c>
      <c r="BJ51" s="228">
        <v>786</v>
      </c>
      <c r="BK51" s="228">
        <v>-130</v>
      </c>
      <c r="BL51" s="229">
        <v>-0.16539999999999999</v>
      </c>
      <c r="BM51" s="228">
        <v>282</v>
      </c>
      <c r="BN51" s="228">
        <v>439</v>
      </c>
      <c r="BO51" s="228">
        <v>-157</v>
      </c>
      <c r="BP51" s="229">
        <v>-0.35709999999999997</v>
      </c>
      <c r="BQ51" s="230">
        <v>2391</v>
      </c>
      <c r="BR51" s="230">
        <v>2091</v>
      </c>
      <c r="BS51" s="228">
        <v>300</v>
      </c>
      <c r="BT51" s="229">
        <v>0.1434</v>
      </c>
      <c r="BU51" s="230">
        <v>462933</v>
      </c>
      <c r="BV51" s="230">
        <v>395701</v>
      </c>
      <c r="BW51" s="230">
        <v>67232</v>
      </c>
      <c r="BX51" s="229">
        <v>0.1699</v>
      </c>
      <c r="BY51" s="230">
        <v>1548</v>
      </c>
      <c r="BZ51" s="230">
        <v>1534</v>
      </c>
      <c r="CA51" s="228">
        <v>13</v>
      </c>
      <c r="CB51" s="229">
        <v>8.5000000000000006E-3</v>
      </c>
      <c r="CC51" s="228">
        <v>594</v>
      </c>
      <c r="CD51" s="230">
        <v>1142</v>
      </c>
      <c r="CE51" s="228">
        <v>-548</v>
      </c>
      <c r="CF51" s="229">
        <v>-0.48</v>
      </c>
      <c r="CG51" s="228">
        <v>946</v>
      </c>
      <c r="CH51" s="228">
        <v>384</v>
      </c>
      <c r="CI51" s="228">
        <v>561</v>
      </c>
      <c r="CJ51" s="229">
        <v>1.4592000000000001</v>
      </c>
      <c r="CK51" s="228">
        <v>8</v>
      </c>
      <c r="CL51" s="228">
        <v>8</v>
      </c>
      <c r="CM51" s="228">
        <v>0</v>
      </c>
      <c r="CN51" s="229">
        <v>4.2099999999999999E-2</v>
      </c>
      <c r="CO51" s="228">
        <v>697</v>
      </c>
      <c r="CP51" s="228">
        <v>745</v>
      </c>
      <c r="CQ51" s="228">
        <v>-48</v>
      </c>
      <c r="CR51" s="229">
        <v>-6.4799999999999996E-2</v>
      </c>
      <c r="CS51" s="228">
        <v>416</v>
      </c>
      <c r="CT51" s="228">
        <v>429</v>
      </c>
      <c r="CU51" s="228">
        <v>-13</v>
      </c>
      <c r="CV51" s="229">
        <v>-2.98E-2</v>
      </c>
      <c r="CW51" s="230">
        <v>2661</v>
      </c>
      <c r="CX51" s="230">
        <v>2709</v>
      </c>
      <c r="CY51" s="228">
        <v>-48</v>
      </c>
      <c r="CZ51" s="229">
        <v>-1.77E-2</v>
      </c>
      <c r="DA51" s="228">
        <v>31.33</v>
      </c>
      <c r="DB51" s="228">
        <v>27.4</v>
      </c>
      <c r="DC51" s="228">
        <v>3.93</v>
      </c>
      <c r="DD51" s="228">
        <v>3.93</v>
      </c>
      <c r="DE51" s="228">
        <v>33.54</v>
      </c>
      <c r="DF51" s="228">
        <v>33.549999999999997</v>
      </c>
      <c r="DG51" s="228">
        <v>-2.21</v>
      </c>
      <c r="DH51" s="228">
        <v>-0.01</v>
      </c>
      <c r="DI51" s="228">
        <v>30.94</v>
      </c>
      <c r="DJ51" s="228">
        <v>27.02</v>
      </c>
      <c r="DK51" s="228">
        <v>3.92</v>
      </c>
      <c r="DL51" s="228">
        <v>3.92</v>
      </c>
      <c r="DM51" s="228">
        <v>31.68</v>
      </c>
      <c r="DN51" s="228">
        <v>28.09</v>
      </c>
      <c r="DO51" s="228">
        <v>3.59</v>
      </c>
      <c r="DP51" s="228">
        <v>3.59</v>
      </c>
      <c r="DQ51" s="228">
        <v>0.6</v>
      </c>
      <c r="DR51" s="228">
        <v>0.57999999999999996</v>
      </c>
      <c r="DS51" s="228">
        <v>0.02</v>
      </c>
      <c r="DT51" s="229">
        <v>3.4500000000000003E-2</v>
      </c>
      <c r="DU51" s="231">
        <v>4500</v>
      </c>
      <c r="DV51" s="231">
        <v>4000</v>
      </c>
      <c r="DW51" s="228">
        <v>0.43</v>
      </c>
      <c r="DX51" s="228">
        <v>0.56000000000000005</v>
      </c>
      <c r="DY51" s="228">
        <v>-0.13</v>
      </c>
      <c r="DZ51" s="229">
        <v>-0.2321</v>
      </c>
      <c r="EA51" s="229">
        <v>0.61619999999999997</v>
      </c>
      <c r="EB51" s="230">
        <v>964600</v>
      </c>
      <c r="EC51" s="229">
        <v>-2.9999999999999997E-4</v>
      </c>
      <c r="ED51" s="229">
        <v>0.61619999999999997</v>
      </c>
      <c r="EE51" s="228">
        <v>0.54</v>
      </c>
      <c r="EF51" s="229">
        <v>1E-4</v>
      </c>
      <c r="EG51" s="230">
        <v>312173</v>
      </c>
      <c r="EH51" s="230">
        <v>200919</v>
      </c>
      <c r="EI51" s="229">
        <v>0.55369999999999997</v>
      </c>
      <c r="EJ51" s="229">
        <v>0.67430000000000001</v>
      </c>
      <c r="EK51" s="228">
        <v>684.18</v>
      </c>
      <c r="EL51" s="228">
        <v>276.57</v>
      </c>
      <c r="EM51" s="231">
        <v>1439.64</v>
      </c>
      <c r="EN51" s="228">
        <v>48.96</v>
      </c>
      <c r="EO51" s="231">
        <v>2400.39</v>
      </c>
      <c r="EP51" s="231">
        <v>2083.7600000000002</v>
      </c>
      <c r="EQ51" s="228">
        <v>316.62</v>
      </c>
      <c r="ER51" s="229">
        <v>0.15190000000000001</v>
      </c>
      <c r="ES51" s="228">
        <v>754.31</v>
      </c>
      <c r="ET51" s="228">
        <v>410.28</v>
      </c>
      <c r="EU51" s="231">
        <v>1547.31</v>
      </c>
      <c r="EV51" s="231">
        <v>19131188</v>
      </c>
      <c r="EW51" s="231">
        <v>2711.9</v>
      </c>
      <c r="EX51" s="231">
        <v>2737.77</v>
      </c>
      <c r="EY51" s="228">
        <v>-25.87</v>
      </c>
      <c r="EZ51" s="229">
        <v>-9.4000000000000004E-3</v>
      </c>
      <c r="FA51" s="229">
        <v>0.34200000000000003</v>
      </c>
      <c r="FB51" s="227" t="s">
        <v>555</v>
      </c>
      <c r="FC51">
        <f t="shared" si="0"/>
        <v>954</v>
      </c>
    </row>
    <row r="52" spans="1:159" ht="17.25" thickBot="1" x14ac:dyDescent="0.3">
      <c r="A52" s="226">
        <v>46044</v>
      </c>
      <c r="B52" s="227" t="s">
        <v>168</v>
      </c>
      <c r="C52" s="227" t="s">
        <v>204</v>
      </c>
      <c r="D52" s="228">
        <v>1250</v>
      </c>
      <c r="E52" s="228">
        <v>5</v>
      </c>
      <c r="F52" s="228">
        <v>526</v>
      </c>
      <c r="G52" s="228">
        <v>518.04999999999995</v>
      </c>
      <c r="H52" s="228">
        <v>7.95</v>
      </c>
      <c r="I52" s="229">
        <v>1.5299999999999999E-2</v>
      </c>
      <c r="J52" s="228">
        <v>525.35</v>
      </c>
      <c r="K52" s="228">
        <v>516.20000000000005</v>
      </c>
      <c r="L52" s="228">
        <v>9.15</v>
      </c>
      <c r="M52" s="229">
        <v>1.77E-2</v>
      </c>
      <c r="N52" s="228">
        <v>526</v>
      </c>
      <c r="O52" s="228">
        <v>518.04999999999995</v>
      </c>
      <c r="P52" s="228">
        <v>7.95</v>
      </c>
      <c r="Q52" s="229">
        <v>1.5299999999999999E-2</v>
      </c>
      <c r="R52" s="228">
        <v>528.54999999999995</v>
      </c>
      <c r="S52" s="228">
        <v>519.95000000000005</v>
      </c>
      <c r="T52" s="228">
        <v>8.6</v>
      </c>
      <c r="U52" s="229">
        <v>1.6500000000000001E-2</v>
      </c>
      <c r="V52" s="228">
        <v>531.5</v>
      </c>
      <c r="W52" s="228">
        <v>523.35</v>
      </c>
      <c r="X52" s="228">
        <v>8.15</v>
      </c>
      <c r="Y52" s="229">
        <v>1.5599999999999999E-2</v>
      </c>
      <c r="Z52" s="228">
        <v>0.65</v>
      </c>
      <c r="AA52" s="228">
        <v>1.85</v>
      </c>
      <c r="AB52" s="228">
        <v>-1.2</v>
      </c>
      <c r="AC52" s="229">
        <v>1.1999999999999999E-3</v>
      </c>
      <c r="AD52" s="228">
        <v>0.65</v>
      </c>
      <c r="AE52" s="228">
        <v>1.85</v>
      </c>
      <c r="AF52" s="228">
        <v>-1.2</v>
      </c>
      <c r="AG52" s="229">
        <v>1.1999999999999999E-3</v>
      </c>
      <c r="AH52" s="228">
        <v>3.2</v>
      </c>
      <c r="AI52" s="228">
        <v>3.75</v>
      </c>
      <c r="AJ52" s="228">
        <v>-0.55000000000000004</v>
      </c>
      <c r="AK52" s="229">
        <v>6.1000000000000004E-3</v>
      </c>
      <c r="AL52" s="228">
        <v>6.15</v>
      </c>
      <c r="AM52" s="228">
        <v>7.15</v>
      </c>
      <c r="AN52" s="228">
        <v>-1</v>
      </c>
      <c r="AO52" s="229">
        <v>1.17E-2</v>
      </c>
      <c r="AP52" s="228">
        <v>526.91999999999996</v>
      </c>
      <c r="AQ52" s="228">
        <v>529.58000000000004</v>
      </c>
      <c r="AR52" s="228">
        <v>0</v>
      </c>
      <c r="AS52" s="230">
        <v>1213</v>
      </c>
      <c r="AT52" s="228">
        <v>905</v>
      </c>
      <c r="AU52" s="228">
        <v>308</v>
      </c>
      <c r="AV52" s="229">
        <v>0.3407</v>
      </c>
      <c r="AW52" s="228">
        <v>594</v>
      </c>
      <c r="AX52" s="228">
        <v>454</v>
      </c>
      <c r="AY52" s="228">
        <v>140</v>
      </c>
      <c r="AZ52" s="229">
        <v>0.30719999999999997</v>
      </c>
      <c r="BA52" s="228">
        <v>618</v>
      </c>
      <c r="BB52" s="228">
        <v>448</v>
      </c>
      <c r="BC52" s="228">
        <v>169</v>
      </c>
      <c r="BD52" s="229">
        <v>0.37809999999999999</v>
      </c>
      <c r="BE52" s="228">
        <v>2</v>
      </c>
      <c r="BF52" s="228">
        <v>2</v>
      </c>
      <c r="BG52" s="228">
        <v>-1</v>
      </c>
      <c r="BH52" s="229">
        <v>-0.29730000000000001</v>
      </c>
      <c r="BI52" s="230">
        <v>1081</v>
      </c>
      <c r="BJ52" s="230">
        <v>1255</v>
      </c>
      <c r="BK52" s="228">
        <v>-174</v>
      </c>
      <c r="BL52" s="229">
        <v>-0.13880000000000001</v>
      </c>
      <c r="BM52" s="228">
        <v>566</v>
      </c>
      <c r="BN52" s="228">
        <v>689</v>
      </c>
      <c r="BO52" s="228">
        <v>-122</v>
      </c>
      <c r="BP52" s="229">
        <v>-0.17780000000000001</v>
      </c>
      <c r="BQ52" s="230">
        <v>2860</v>
      </c>
      <c r="BR52" s="230">
        <v>2848</v>
      </c>
      <c r="BS52" s="228">
        <v>12</v>
      </c>
      <c r="BT52" s="229">
        <v>4.1000000000000003E-3</v>
      </c>
      <c r="BU52" s="230">
        <v>4355284</v>
      </c>
      <c r="BV52" s="230">
        <v>4416554</v>
      </c>
      <c r="BW52" s="230">
        <v>-61270</v>
      </c>
      <c r="BX52" s="229">
        <v>-1.3899999999999999E-2</v>
      </c>
      <c r="BY52" s="230">
        <v>1314</v>
      </c>
      <c r="BZ52" s="230">
        <v>1243</v>
      </c>
      <c r="CA52" s="228">
        <v>71</v>
      </c>
      <c r="CB52" s="229">
        <v>5.74E-2</v>
      </c>
      <c r="CC52" s="228">
        <v>481</v>
      </c>
      <c r="CD52" s="228">
        <v>893</v>
      </c>
      <c r="CE52" s="228">
        <v>-412</v>
      </c>
      <c r="CF52" s="229">
        <v>-0.46160000000000001</v>
      </c>
      <c r="CG52" s="228">
        <v>828</v>
      </c>
      <c r="CH52" s="228">
        <v>344</v>
      </c>
      <c r="CI52" s="228">
        <v>483</v>
      </c>
      <c r="CJ52" s="229">
        <v>1.4033</v>
      </c>
      <c r="CK52" s="228">
        <v>6</v>
      </c>
      <c r="CL52" s="228">
        <v>6</v>
      </c>
      <c r="CM52" s="228">
        <v>0</v>
      </c>
      <c r="CN52" s="229">
        <v>5.6800000000000003E-2</v>
      </c>
      <c r="CO52" s="228">
        <v>619</v>
      </c>
      <c r="CP52" s="228">
        <v>651</v>
      </c>
      <c r="CQ52" s="228">
        <v>-32</v>
      </c>
      <c r="CR52" s="229">
        <v>-4.99E-2</v>
      </c>
      <c r="CS52" s="228">
        <v>408</v>
      </c>
      <c r="CT52" s="228">
        <v>415</v>
      </c>
      <c r="CU52" s="228">
        <v>-7</v>
      </c>
      <c r="CV52" s="229">
        <v>-1.6299999999999999E-2</v>
      </c>
      <c r="CW52" s="230">
        <v>2341</v>
      </c>
      <c r="CX52" s="230">
        <v>2309</v>
      </c>
      <c r="CY52" s="228">
        <v>32</v>
      </c>
      <c r="CZ52" s="229">
        <v>1.3899999999999999E-2</v>
      </c>
      <c r="DA52" s="228">
        <v>27.77</v>
      </c>
      <c r="DB52" s="228">
        <v>23.18</v>
      </c>
      <c r="DC52" s="228">
        <v>4.59</v>
      </c>
      <c r="DD52" s="228">
        <v>4.59</v>
      </c>
      <c r="DE52" s="228">
        <v>24.6</v>
      </c>
      <c r="DF52" s="228">
        <v>24.55</v>
      </c>
      <c r="DG52" s="228">
        <v>3.17</v>
      </c>
      <c r="DH52" s="228">
        <v>0.05</v>
      </c>
      <c r="DI52" s="228">
        <v>27.75</v>
      </c>
      <c r="DJ52" s="228">
        <v>22.53</v>
      </c>
      <c r="DK52" s="228">
        <v>5.22</v>
      </c>
      <c r="DL52" s="228">
        <v>5.22</v>
      </c>
      <c r="DM52" s="228">
        <v>27.8</v>
      </c>
      <c r="DN52" s="228">
        <v>24.34</v>
      </c>
      <c r="DO52" s="228">
        <v>3.46</v>
      </c>
      <c r="DP52" s="228">
        <v>3.46</v>
      </c>
      <c r="DQ52" s="228">
        <v>0.66</v>
      </c>
      <c r="DR52" s="228">
        <v>0.64</v>
      </c>
      <c r="DS52" s="228">
        <v>0.02</v>
      </c>
      <c r="DT52" s="229">
        <v>3.1300000000000001E-2</v>
      </c>
      <c r="DU52" s="228">
        <v>550</v>
      </c>
      <c r="DV52" s="228">
        <v>500</v>
      </c>
      <c r="DW52" s="228">
        <v>0.52</v>
      </c>
      <c r="DX52" s="228">
        <v>0.55000000000000004</v>
      </c>
      <c r="DY52" s="228">
        <v>-0.03</v>
      </c>
      <c r="DZ52" s="229">
        <v>-5.45E-2</v>
      </c>
      <c r="EA52" s="229">
        <v>0.63419999999999999</v>
      </c>
      <c r="EB52" s="230">
        <v>6656250</v>
      </c>
      <c r="EC52" s="229">
        <v>4.7999999999999996E-3</v>
      </c>
      <c r="ED52" s="229">
        <v>0.63419999999999999</v>
      </c>
      <c r="EE52" s="228">
        <v>2.66</v>
      </c>
      <c r="EF52" s="229">
        <v>5.0000000000000001E-3</v>
      </c>
      <c r="EG52" s="230">
        <v>2931883</v>
      </c>
      <c r="EH52" s="230">
        <v>3039893</v>
      </c>
      <c r="EI52" s="229">
        <v>-3.5499999999999997E-2</v>
      </c>
      <c r="EJ52" s="229">
        <v>0.67320000000000002</v>
      </c>
      <c r="EK52" s="231">
        <v>1108.07</v>
      </c>
      <c r="EL52" s="228">
        <v>550.13</v>
      </c>
      <c r="EM52" s="231">
        <v>1218.28</v>
      </c>
      <c r="EN52" s="228">
        <v>50.09</v>
      </c>
      <c r="EO52" s="231">
        <v>2876.47</v>
      </c>
      <c r="EP52" s="231">
        <v>2803.54</v>
      </c>
      <c r="EQ52" s="228">
        <v>72.930000000000007</v>
      </c>
      <c r="ER52" s="229">
        <v>2.5999999999999999E-2</v>
      </c>
      <c r="ES52" s="228">
        <v>637.75</v>
      </c>
      <c r="ET52" s="228">
        <v>387.36</v>
      </c>
      <c r="EU52" s="231">
        <v>1318.48</v>
      </c>
      <c r="EV52" s="231">
        <v>89873278</v>
      </c>
      <c r="EW52" s="231">
        <v>2343.6</v>
      </c>
      <c r="EX52" s="231">
        <v>2285.11</v>
      </c>
      <c r="EY52" s="228">
        <v>58.49</v>
      </c>
      <c r="EZ52" s="229">
        <v>2.5600000000000001E-2</v>
      </c>
      <c r="FA52" s="229">
        <v>0.49530000000000002</v>
      </c>
      <c r="FB52" s="227" t="s">
        <v>555</v>
      </c>
      <c r="FC52">
        <f t="shared" si="0"/>
        <v>833</v>
      </c>
    </row>
    <row r="53" spans="1:159" ht="17.25" thickBot="1" x14ac:dyDescent="0.3">
      <c r="A53" s="226">
        <v>46044</v>
      </c>
      <c r="B53" s="227" t="s">
        <v>157</v>
      </c>
      <c r="C53" s="227" t="s">
        <v>524</v>
      </c>
      <c r="D53" s="228">
        <v>325</v>
      </c>
      <c r="E53" s="228">
        <v>5</v>
      </c>
      <c r="F53" s="231">
        <v>2150.1</v>
      </c>
      <c r="G53" s="231">
        <v>2232</v>
      </c>
      <c r="H53" s="228">
        <v>-81.900000000000006</v>
      </c>
      <c r="I53" s="229">
        <v>-3.6700000000000003E-2</v>
      </c>
      <c r="J53" s="231">
        <v>2143.6999999999998</v>
      </c>
      <c r="K53" s="231">
        <v>2232.4</v>
      </c>
      <c r="L53" s="228">
        <v>-88.7</v>
      </c>
      <c r="M53" s="229">
        <v>-3.9699999999999999E-2</v>
      </c>
      <c r="N53" s="231">
        <v>2150.1</v>
      </c>
      <c r="O53" s="231">
        <v>2232</v>
      </c>
      <c r="P53" s="228">
        <v>-81.900000000000006</v>
      </c>
      <c r="Q53" s="229">
        <v>-3.6700000000000003E-2</v>
      </c>
      <c r="R53" s="231">
        <v>2159.4</v>
      </c>
      <c r="S53" s="231">
        <v>2243.4</v>
      </c>
      <c r="T53" s="228">
        <v>-84</v>
      </c>
      <c r="U53" s="229">
        <v>-3.7400000000000003E-2</v>
      </c>
      <c r="V53" s="231">
        <v>2164.4</v>
      </c>
      <c r="W53" s="231">
        <v>2254.5</v>
      </c>
      <c r="X53" s="228">
        <v>-90.1</v>
      </c>
      <c r="Y53" s="229">
        <v>-0.04</v>
      </c>
      <c r="Z53" s="228">
        <v>6.4</v>
      </c>
      <c r="AA53" s="228">
        <v>-0.4</v>
      </c>
      <c r="AB53" s="228">
        <v>6.8</v>
      </c>
      <c r="AC53" s="229">
        <v>3.0000000000000001E-3</v>
      </c>
      <c r="AD53" s="228">
        <v>6.4</v>
      </c>
      <c r="AE53" s="228">
        <v>-0.4</v>
      </c>
      <c r="AF53" s="228">
        <v>6.8</v>
      </c>
      <c r="AG53" s="229">
        <v>3.0000000000000001E-3</v>
      </c>
      <c r="AH53" s="228">
        <v>15.7</v>
      </c>
      <c r="AI53" s="228">
        <v>11</v>
      </c>
      <c r="AJ53" s="228">
        <v>4.7</v>
      </c>
      <c r="AK53" s="229">
        <v>7.3000000000000001E-3</v>
      </c>
      <c r="AL53" s="228">
        <v>20.7</v>
      </c>
      <c r="AM53" s="228">
        <v>22.1</v>
      </c>
      <c r="AN53" s="228">
        <v>-1.4</v>
      </c>
      <c r="AO53" s="229">
        <v>9.7000000000000003E-3</v>
      </c>
      <c r="AP53" s="231">
        <v>2189.3000000000002</v>
      </c>
      <c r="AQ53" s="231">
        <v>2199.2199999999998</v>
      </c>
      <c r="AR53" s="228">
        <v>0</v>
      </c>
      <c r="AS53" s="228">
        <v>801</v>
      </c>
      <c r="AT53" s="228">
        <v>622</v>
      </c>
      <c r="AU53" s="228">
        <v>179</v>
      </c>
      <c r="AV53" s="229">
        <v>0.28820000000000001</v>
      </c>
      <c r="AW53" s="228">
        <v>403</v>
      </c>
      <c r="AX53" s="228">
        <v>412</v>
      </c>
      <c r="AY53" s="228">
        <v>-9</v>
      </c>
      <c r="AZ53" s="229">
        <v>-2.1000000000000001E-2</v>
      </c>
      <c r="BA53" s="228">
        <v>396</v>
      </c>
      <c r="BB53" s="228">
        <v>208</v>
      </c>
      <c r="BC53" s="228">
        <v>188</v>
      </c>
      <c r="BD53" s="229">
        <v>0.90349999999999997</v>
      </c>
      <c r="BE53" s="228">
        <v>3</v>
      </c>
      <c r="BF53" s="228">
        <v>2</v>
      </c>
      <c r="BG53" s="228">
        <v>0</v>
      </c>
      <c r="BH53" s="229">
        <v>5.8799999999999998E-2</v>
      </c>
      <c r="BI53" s="230">
        <v>1205</v>
      </c>
      <c r="BJ53" s="230">
        <v>2245</v>
      </c>
      <c r="BK53" s="230">
        <v>-1040</v>
      </c>
      <c r="BL53" s="229">
        <v>-0.46329999999999999</v>
      </c>
      <c r="BM53" s="228">
        <v>637</v>
      </c>
      <c r="BN53" s="230">
        <v>1069</v>
      </c>
      <c r="BO53" s="228">
        <v>-433</v>
      </c>
      <c r="BP53" s="229">
        <v>-0.4047</v>
      </c>
      <c r="BQ53" s="230">
        <v>2643</v>
      </c>
      <c r="BR53" s="230">
        <v>3936</v>
      </c>
      <c r="BS53" s="230">
        <v>-1294</v>
      </c>
      <c r="BT53" s="229">
        <v>-0.3286</v>
      </c>
      <c r="BU53" s="230">
        <v>586004</v>
      </c>
      <c r="BV53" s="230">
        <v>914813</v>
      </c>
      <c r="BW53" s="230">
        <v>-328809</v>
      </c>
      <c r="BX53" s="229">
        <v>-0.3594</v>
      </c>
      <c r="BY53" s="228">
        <v>684</v>
      </c>
      <c r="BZ53" s="228">
        <v>668</v>
      </c>
      <c r="CA53" s="228">
        <v>16</v>
      </c>
      <c r="CB53" s="229">
        <v>2.4299999999999999E-2</v>
      </c>
      <c r="CC53" s="228">
        <v>354</v>
      </c>
      <c r="CD53" s="228">
        <v>524</v>
      </c>
      <c r="CE53" s="228">
        <v>-170</v>
      </c>
      <c r="CF53" s="229">
        <v>-0.32429999999999998</v>
      </c>
      <c r="CG53" s="228">
        <v>327</v>
      </c>
      <c r="CH53" s="228">
        <v>142</v>
      </c>
      <c r="CI53" s="228">
        <v>186</v>
      </c>
      <c r="CJ53" s="229">
        <v>1.3121</v>
      </c>
      <c r="CK53" s="228">
        <v>3</v>
      </c>
      <c r="CL53" s="228">
        <v>3</v>
      </c>
      <c r="CM53" s="228">
        <v>0</v>
      </c>
      <c r="CN53" s="229">
        <v>0.14630000000000001</v>
      </c>
      <c r="CO53" s="228">
        <v>332</v>
      </c>
      <c r="CP53" s="228">
        <v>370</v>
      </c>
      <c r="CQ53" s="228">
        <v>-38</v>
      </c>
      <c r="CR53" s="229">
        <v>-0.1032</v>
      </c>
      <c r="CS53" s="228">
        <v>163</v>
      </c>
      <c r="CT53" s="228">
        <v>227</v>
      </c>
      <c r="CU53" s="228">
        <v>-64</v>
      </c>
      <c r="CV53" s="229">
        <v>-0.28100000000000003</v>
      </c>
      <c r="CW53" s="230">
        <v>1179</v>
      </c>
      <c r="CX53" s="230">
        <v>1265</v>
      </c>
      <c r="CY53" s="228">
        <v>-86</v>
      </c>
      <c r="CZ53" s="229">
        <v>-6.7699999999999996E-2</v>
      </c>
      <c r="DA53" s="228">
        <v>29.5</v>
      </c>
      <c r="DB53" s="228">
        <v>35.659999999999997</v>
      </c>
      <c r="DC53" s="228">
        <v>-6.16</v>
      </c>
      <c r="DD53" s="228">
        <v>-6.16</v>
      </c>
      <c r="DE53" s="228">
        <v>29.58</v>
      </c>
      <c r="DF53" s="228">
        <v>29.22</v>
      </c>
      <c r="DG53" s="228">
        <v>-0.08</v>
      </c>
      <c r="DH53" s="228">
        <v>0.36</v>
      </c>
      <c r="DI53" s="228">
        <v>30.03</v>
      </c>
      <c r="DJ53" s="228">
        <v>35.65</v>
      </c>
      <c r="DK53" s="228">
        <v>-5.62</v>
      </c>
      <c r="DL53" s="228">
        <v>-5.62</v>
      </c>
      <c r="DM53" s="228">
        <v>28.19</v>
      </c>
      <c r="DN53" s="228">
        <v>35.68</v>
      </c>
      <c r="DO53" s="228">
        <v>-7.49</v>
      </c>
      <c r="DP53" s="228">
        <v>-7.49</v>
      </c>
      <c r="DQ53" s="228">
        <v>0.49</v>
      </c>
      <c r="DR53" s="228">
        <v>0.61</v>
      </c>
      <c r="DS53" s="228">
        <v>-0.12</v>
      </c>
      <c r="DT53" s="229">
        <v>-0.19670000000000001</v>
      </c>
      <c r="DU53" s="231">
        <v>2260</v>
      </c>
      <c r="DV53" s="231">
        <v>2100</v>
      </c>
      <c r="DW53" s="228">
        <v>0.53</v>
      </c>
      <c r="DX53" s="228">
        <v>0.48</v>
      </c>
      <c r="DY53" s="228">
        <v>0.05</v>
      </c>
      <c r="DZ53" s="229">
        <v>0.1042</v>
      </c>
      <c r="EA53" s="229">
        <v>0.48280000000000001</v>
      </c>
      <c r="EB53" s="230">
        <v>671450</v>
      </c>
      <c r="EC53" s="229">
        <v>4.3E-3</v>
      </c>
      <c r="ED53" s="229">
        <v>0.48280000000000001</v>
      </c>
      <c r="EE53" s="228">
        <v>9.92</v>
      </c>
      <c r="EF53" s="229">
        <v>4.4999999999999997E-3</v>
      </c>
      <c r="EG53" s="230">
        <v>259012</v>
      </c>
      <c r="EH53" s="230">
        <v>261049</v>
      </c>
      <c r="EI53" s="229">
        <v>-7.7999999999999996E-3</v>
      </c>
      <c r="EJ53" s="229">
        <v>0.442</v>
      </c>
      <c r="EK53" s="231">
        <v>1280.9100000000001</v>
      </c>
      <c r="EL53" s="228">
        <v>641.57000000000005</v>
      </c>
      <c r="EM53" s="228">
        <v>817.61</v>
      </c>
      <c r="EN53" s="228">
        <v>56.15</v>
      </c>
      <c r="EO53" s="231">
        <v>2740.09</v>
      </c>
      <c r="EP53" s="231">
        <v>4109.54</v>
      </c>
      <c r="EQ53" s="231">
        <v>-1369.46</v>
      </c>
      <c r="ER53" s="229">
        <v>-0.3332</v>
      </c>
      <c r="ES53" s="228">
        <v>349.67</v>
      </c>
      <c r="ET53" s="228">
        <v>157.77000000000001</v>
      </c>
      <c r="EU53" s="228">
        <v>685.82</v>
      </c>
      <c r="EV53" s="231">
        <v>12425041</v>
      </c>
      <c r="EW53" s="231">
        <v>1193.27</v>
      </c>
      <c r="EX53" s="231">
        <v>1306.71</v>
      </c>
      <c r="EY53" s="228">
        <v>-113.44</v>
      </c>
      <c r="EZ53" s="229">
        <v>-8.6800000000000002E-2</v>
      </c>
      <c r="FA53" s="229">
        <v>0.44140000000000001</v>
      </c>
      <c r="FB53" s="227" t="s">
        <v>567</v>
      </c>
      <c r="FC53">
        <f t="shared" si="0"/>
        <v>330</v>
      </c>
    </row>
    <row r="54" spans="1:159" ht="17.25" thickBot="1" x14ac:dyDescent="0.3">
      <c r="A54" s="226">
        <v>46044</v>
      </c>
      <c r="B54" s="227" t="s">
        <v>615</v>
      </c>
      <c r="C54" s="227" t="s">
        <v>600</v>
      </c>
      <c r="D54" s="228">
        <v>2075</v>
      </c>
      <c r="E54" s="228">
        <v>5</v>
      </c>
      <c r="F54" s="228">
        <v>390</v>
      </c>
      <c r="G54" s="228">
        <v>379</v>
      </c>
      <c r="H54" s="228">
        <v>11</v>
      </c>
      <c r="I54" s="229">
        <v>2.9000000000000001E-2</v>
      </c>
      <c r="J54" s="228">
        <v>389.85</v>
      </c>
      <c r="K54" s="228">
        <v>378.5</v>
      </c>
      <c r="L54" s="228">
        <v>11.35</v>
      </c>
      <c r="M54" s="229">
        <v>0.03</v>
      </c>
      <c r="N54" s="228">
        <v>390</v>
      </c>
      <c r="O54" s="228">
        <v>379</v>
      </c>
      <c r="P54" s="228">
        <v>11</v>
      </c>
      <c r="Q54" s="229">
        <v>2.9000000000000001E-2</v>
      </c>
      <c r="R54" s="228">
        <v>392.35</v>
      </c>
      <c r="S54" s="228">
        <v>380.95</v>
      </c>
      <c r="T54" s="228">
        <v>11.4</v>
      </c>
      <c r="U54" s="229">
        <v>2.9899999999999999E-2</v>
      </c>
      <c r="V54" s="228">
        <v>393.25</v>
      </c>
      <c r="W54" s="228">
        <v>383</v>
      </c>
      <c r="X54" s="228">
        <v>10.25</v>
      </c>
      <c r="Y54" s="229">
        <v>2.6800000000000001E-2</v>
      </c>
      <c r="Z54" s="228">
        <v>0.15</v>
      </c>
      <c r="AA54" s="228">
        <v>0.5</v>
      </c>
      <c r="AB54" s="228">
        <v>-0.35</v>
      </c>
      <c r="AC54" s="229">
        <v>4.0000000000000002E-4</v>
      </c>
      <c r="AD54" s="228">
        <v>0.15</v>
      </c>
      <c r="AE54" s="228">
        <v>0.5</v>
      </c>
      <c r="AF54" s="228">
        <v>-0.35</v>
      </c>
      <c r="AG54" s="229">
        <v>4.0000000000000002E-4</v>
      </c>
      <c r="AH54" s="228">
        <v>2.5</v>
      </c>
      <c r="AI54" s="228">
        <v>2.4500000000000002</v>
      </c>
      <c r="AJ54" s="228">
        <v>0.05</v>
      </c>
      <c r="AK54" s="229">
        <v>6.4000000000000003E-3</v>
      </c>
      <c r="AL54" s="228">
        <v>3.4</v>
      </c>
      <c r="AM54" s="228">
        <v>4.5</v>
      </c>
      <c r="AN54" s="228">
        <v>-1.1000000000000001</v>
      </c>
      <c r="AO54" s="229">
        <v>8.6999999999999994E-3</v>
      </c>
      <c r="AP54" s="228">
        <v>387.68</v>
      </c>
      <c r="AQ54" s="228">
        <v>389.93</v>
      </c>
      <c r="AR54" s="228">
        <v>0</v>
      </c>
      <c r="AS54" s="228">
        <v>754</v>
      </c>
      <c r="AT54" s="228">
        <v>560</v>
      </c>
      <c r="AU54" s="228">
        <v>194</v>
      </c>
      <c r="AV54" s="229">
        <v>0.34720000000000001</v>
      </c>
      <c r="AW54" s="228">
        <v>378</v>
      </c>
      <c r="AX54" s="228">
        <v>308</v>
      </c>
      <c r="AY54" s="228">
        <v>70</v>
      </c>
      <c r="AZ54" s="229">
        <v>0.22720000000000001</v>
      </c>
      <c r="BA54" s="228">
        <v>374</v>
      </c>
      <c r="BB54" s="228">
        <v>250</v>
      </c>
      <c r="BC54" s="228">
        <v>124</v>
      </c>
      <c r="BD54" s="229">
        <v>0.49469999999999997</v>
      </c>
      <c r="BE54" s="228">
        <v>2</v>
      </c>
      <c r="BF54" s="228">
        <v>2</v>
      </c>
      <c r="BG54" s="228">
        <v>1</v>
      </c>
      <c r="BH54" s="229">
        <v>0.36359999999999998</v>
      </c>
      <c r="BI54" s="228">
        <v>375</v>
      </c>
      <c r="BJ54" s="228">
        <v>372</v>
      </c>
      <c r="BK54" s="228">
        <v>3</v>
      </c>
      <c r="BL54" s="229">
        <v>8.8999999999999999E-3</v>
      </c>
      <c r="BM54" s="228">
        <v>209</v>
      </c>
      <c r="BN54" s="228">
        <v>452</v>
      </c>
      <c r="BO54" s="228">
        <v>-243</v>
      </c>
      <c r="BP54" s="229">
        <v>-0.53810000000000002</v>
      </c>
      <c r="BQ54" s="230">
        <v>1338</v>
      </c>
      <c r="BR54" s="230">
        <v>1384</v>
      </c>
      <c r="BS54" s="228">
        <v>-46</v>
      </c>
      <c r="BT54" s="229">
        <v>-3.3000000000000002E-2</v>
      </c>
      <c r="BU54" s="230">
        <v>2267050</v>
      </c>
      <c r="BV54" s="230">
        <v>1966323</v>
      </c>
      <c r="BW54" s="230">
        <v>300727</v>
      </c>
      <c r="BX54" s="229">
        <v>0.15290000000000001</v>
      </c>
      <c r="BY54" s="228">
        <v>891</v>
      </c>
      <c r="BZ54" s="228">
        <v>878</v>
      </c>
      <c r="CA54" s="228">
        <v>13</v>
      </c>
      <c r="CB54" s="229">
        <v>1.47E-2</v>
      </c>
      <c r="CC54" s="228">
        <v>406</v>
      </c>
      <c r="CD54" s="228">
        <v>645</v>
      </c>
      <c r="CE54" s="228">
        <v>-240</v>
      </c>
      <c r="CF54" s="229">
        <v>-0.37130000000000002</v>
      </c>
      <c r="CG54" s="228">
        <v>481</v>
      </c>
      <c r="CH54" s="228">
        <v>228</v>
      </c>
      <c r="CI54" s="228">
        <v>253</v>
      </c>
      <c r="CJ54" s="229">
        <v>1.1055999999999999</v>
      </c>
      <c r="CK54" s="228">
        <v>5</v>
      </c>
      <c r="CL54" s="228">
        <v>5</v>
      </c>
      <c r="CM54" s="228">
        <v>0</v>
      </c>
      <c r="CN54" s="229">
        <v>-3.4500000000000003E-2</v>
      </c>
      <c r="CO54" s="228">
        <v>279</v>
      </c>
      <c r="CP54" s="228">
        <v>316</v>
      </c>
      <c r="CQ54" s="228">
        <v>-37</v>
      </c>
      <c r="CR54" s="229">
        <v>-0.11609999999999999</v>
      </c>
      <c r="CS54" s="228">
        <v>227</v>
      </c>
      <c r="CT54" s="228">
        <v>245</v>
      </c>
      <c r="CU54" s="228">
        <v>-18</v>
      </c>
      <c r="CV54" s="229">
        <v>-7.2099999999999997E-2</v>
      </c>
      <c r="CW54" s="230">
        <v>1397</v>
      </c>
      <c r="CX54" s="230">
        <v>1439</v>
      </c>
      <c r="CY54" s="228">
        <v>-41</v>
      </c>
      <c r="CZ54" s="229">
        <v>-2.8799999999999999E-2</v>
      </c>
      <c r="DA54" s="228">
        <v>32.75</v>
      </c>
      <c r="DB54" s="228">
        <v>29.23</v>
      </c>
      <c r="DC54" s="228">
        <v>3.52</v>
      </c>
      <c r="DD54" s="228">
        <v>3.52</v>
      </c>
      <c r="DE54" s="228">
        <v>40.03</v>
      </c>
      <c r="DF54" s="228">
        <v>39.94</v>
      </c>
      <c r="DG54" s="228">
        <v>-7.28</v>
      </c>
      <c r="DH54" s="228">
        <v>0.09</v>
      </c>
      <c r="DI54" s="228">
        <v>33.130000000000003</v>
      </c>
      <c r="DJ54" s="228">
        <v>31.65</v>
      </c>
      <c r="DK54" s="228">
        <v>1.48</v>
      </c>
      <c r="DL54" s="228">
        <v>1.48</v>
      </c>
      <c r="DM54" s="228">
        <v>31.98</v>
      </c>
      <c r="DN54" s="228">
        <v>27.25</v>
      </c>
      <c r="DO54" s="228">
        <v>4.7300000000000004</v>
      </c>
      <c r="DP54" s="228">
        <v>4.7300000000000004</v>
      </c>
      <c r="DQ54" s="228">
        <v>0.81</v>
      </c>
      <c r="DR54" s="228">
        <v>0.78</v>
      </c>
      <c r="DS54" s="228">
        <v>0.03</v>
      </c>
      <c r="DT54" s="229">
        <v>3.85E-2</v>
      </c>
      <c r="DU54" s="228">
        <v>420</v>
      </c>
      <c r="DV54" s="228">
        <v>370</v>
      </c>
      <c r="DW54" s="228">
        <v>0.56000000000000005</v>
      </c>
      <c r="DX54" s="228">
        <v>1.21</v>
      </c>
      <c r="DY54" s="228">
        <v>-0.65</v>
      </c>
      <c r="DZ54" s="229">
        <v>-0.53720000000000001</v>
      </c>
      <c r="EA54" s="229">
        <v>0.54490000000000005</v>
      </c>
      <c r="EB54" s="230">
        <v>5978075</v>
      </c>
      <c r="EC54" s="229">
        <v>6.0000000000000001E-3</v>
      </c>
      <c r="ED54" s="229">
        <v>0.54490000000000005</v>
      </c>
      <c r="EE54" s="228">
        <v>2.25</v>
      </c>
      <c r="EF54" s="229">
        <v>5.7999999999999996E-3</v>
      </c>
      <c r="EG54" s="230">
        <v>1066854</v>
      </c>
      <c r="EH54" s="230">
        <v>828579</v>
      </c>
      <c r="EI54" s="229">
        <v>0.28760000000000002</v>
      </c>
      <c r="EJ54" s="229">
        <v>0.47060000000000002</v>
      </c>
      <c r="EK54" s="228">
        <v>390.14</v>
      </c>
      <c r="EL54" s="228">
        <v>207.78</v>
      </c>
      <c r="EM54" s="228">
        <v>751.62</v>
      </c>
      <c r="EN54" s="228">
        <v>28.39</v>
      </c>
      <c r="EO54" s="231">
        <v>1349.53</v>
      </c>
      <c r="EP54" s="231">
        <v>1370.53</v>
      </c>
      <c r="EQ54" s="228">
        <v>-21</v>
      </c>
      <c r="ER54" s="229">
        <v>-1.5299999999999999E-2</v>
      </c>
      <c r="ES54" s="228">
        <v>301.16000000000003</v>
      </c>
      <c r="ET54" s="228">
        <v>225.16</v>
      </c>
      <c r="EU54" s="228">
        <v>894.08</v>
      </c>
      <c r="EV54" s="231">
        <v>112112283</v>
      </c>
      <c r="EW54" s="231">
        <v>1420.41</v>
      </c>
      <c r="EX54" s="231">
        <v>1436.97</v>
      </c>
      <c r="EY54" s="228">
        <v>-16.559999999999999</v>
      </c>
      <c r="EZ54" s="229">
        <v>-1.15E-2</v>
      </c>
      <c r="FA54" s="229">
        <v>0.3196</v>
      </c>
      <c r="FB54" s="227" t="s">
        <v>555</v>
      </c>
      <c r="FC54">
        <f t="shared" si="0"/>
        <v>485</v>
      </c>
    </row>
    <row r="55" spans="1:159" ht="17.25" thickBot="1" x14ac:dyDescent="0.3">
      <c r="A55" s="226">
        <v>46044</v>
      </c>
      <c r="B55" s="227" t="s">
        <v>170</v>
      </c>
      <c r="C55" s="227" t="s">
        <v>205</v>
      </c>
      <c r="D55" s="228">
        <v>100</v>
      </c>
      <c r="E55" s="228">
        <v>5</v>
      </c>
      <c r="F55" s="231">
        <v>6083.5</v>
      </c>
      <c r="G55" s="231">
        <v>5996.5</v>
      </c>
      <c r="H55" s="228">
        <v>87</v>
      </c>
      <c r="I55" s="229">
        <v>1.4500000000000001E-2</v>
      </c>
      <c r="J55" s="231">
        <v>6071</v>
      </c>
      <c r="K55" s="231">
        <v>6010</v>
      </c>
      <c r="L55" s="228">
        <v>61</v>
      </c>
      <c r="M55" s="229">
        <v>1.01E-2</v>
      </c>
      <c r="N55" s="231">
        <v>6083.5</v>
      </c>
      <c r="O55" s="231">
        <v>5996.5</v>
      </c>
      <c r="P55" s="228">
        <v>87</v>
      </c>
      <c r="Q55" s="229">
        <v>1.4500000000000001E-2</v>
      </c>
      <c r="R55" s="231">
        <v>6114</v>
      </c>
      <c r="S55" s="231">
        <v>6029</v>
      </c>
      <c r="T55" s="228">
        <v>85</v>
      </c>
      <c r="U55" s="229">
        <v>1.41E-2</v>
      </c>
      <c r="V55" s="231">
        <v>6159.5</v>
      </c>
      <c r="W55" s="231">
        <v>6071</v>
      </c>
      <c r="X55" s="228">
        <v>88.5</v>
      </c>
      <c r="Y55" s="229">
        <v>1.46E-2</v>
      </c>
      <c r="Z55" s="228">
        <v>12.5</v>
      </c>
      <c r="AA55" s="228">
        <v>-13.5</v>
      </c>
      <c r="AB55" s="228">
        <v>26</v>
      </c>
      <c r="AC55" s="229">
        <v>2.0999999999999999E-3</v>
      </c>
      <c r="AD55" s="228">
        <v>12.5</v>
      </c>
      <c r="AE55" s="228">
        <v>-13.5</v>
      </c>
      <c r="AF55" s="228">
        <v>26</v>
      </c>
      <c r="AG55" s="229">
        <v>2.0999999999999999E-3</v>
      </c>
      <c r="AH55" s="228">
        <v>43</v>
      </c>
      <c r="AI55" s="228">
        <v>19</v>
      </c>
      <c r="AJ55" s="228">
        <v>24</v>
      </c>
      <c r="AK55" s="229">
        <v>7.1000000000000004E-3</v>
      </c>
      <c r="AL55" s="228">
        <v>88.5</v>
      </c>
      <c r="AM55" s="228">
        <v>61</v>
      </c>
      <c r="AN55" s="228">
        <v>27.5</v>
      </c>
      <c r="AO55" s="229">
        <v>1.46E-2</v>
      </c>
      <c r="AP55" s="231">
        <v>6088.02</v>
      </c>
      <c r="AQ55" s="231">
        <v>6120.06</v>
      </c>
      <c r="AR55" s="228">
        <v>0</v>
      </c>
      <c r="AS55" s="230">
        <v>1653</v>
      </c>
      <c r="AT55" s="230">
        <v>1239</v>
      </c>
      <c r="AU55" s="228">
        <v>414</v>
      </c>
      <c r="AV55" s="229">
        <v>0.3342</v>
      </c>
      <c r="AW55" s="228">
        <v>807</v>
      </c>
      <c r="AX55" s="228">
        <v>650</v>
      </c>
      <c r="AY55" s="228">
        <v>157</v>
      </c>
      <c r="AZ55" s="229">
        <v>0.24149999999999999</v>
      </c>
      <c r="BA55" s="228">
        <v>844</v>
      </c>
      <c r="BB55" s="228">
        <v>585</v>
      </c>
      <c r="BC55" s="228">
        <v>259</v>
      </c>
      <c r="BD55" s="229">
        <v>0.442</v>
      </c>
      <c r="BE55" s="228">
        <v>2</v>
      </c>
      <c r="BF55" s="228">
        <v>4</v>
      </c>
      <c r="BG55" s="228">
        <v>-2</v>
      </c>
      <c r="BH55" s="229">
        <v>-0.43330000000000002</v>
      </c>
      <c r="BI55" s="230">
        <v>1377</v>
      </c>
      <c r="BJ55" s="230">
        <v>1454</v>
      </c>
      <c r="BK55" s="228">
        <v>-77</v>
      </c>
      <c r="BL55" s="229">
        <v>-5.3199999999999997E-2</v>
      </c>
      <c r="BM55" s="228">
        <v>456</v>
      </c>
      <c r="BN55" s="228">
        <v>746</v>
      </c>
      <c r="BO55" s="228">
        <v>-291</v>
      </c>
      <c r="BP55" s="229">
        <v>-0.38940000000000002</v>
      </c>
      <c r="BQ55" s="230">
        <v>3486</v>
      </c>
      <c r="BR55" s="230">
        <v>3439</v>
      </c>
      <c r="BS55" s="228">
        <v>46</v>
      </c>
      <c r="BT55" s="229">
        <v>1.35E-2</v>
      </c>
      <c r="BU55" s="230">
        <v>374360</v>
      </c>
      <c r="BV55" s="230">
        <v>328058</v>
      </c>
      <c r="BW55" s="230">
        <v>46302</v>
      </c>
      <c r="BX55" s="229">
        <v>0.1411</v>
      </c>
      <c r="BY55" s="230">
        <v>2166</v>
      </c>
      <c r="BZ55" s="230">
        <v>2112</v>
      </c>
      <c r="CA55" s="228">
        <v>54</v>
      </c>
      <c r="CB55" s="229">
        <v>2.5499999999999998E-2</v>
      </c>
      <c r="CC55" s="228">
        <v>801</v>
      </c>
      <c r="CD55" s="230">
        <v>1455</v>
      </c>
      <c r="CE55" s="228">
        <v>-654</v>
      </c>
      <c r="CF55" s="229">
        <v>-0.44940000000000002</v>
      </c>
      <c r="CG55" s="230">
        <v>1358</v>
      </c>
      <c r="CH55" s="228">
        <v>651</v>
      </c>
      <c r="CI55" s="228">
        <v>707</v>
      </c>
      <c r="CJ55" s="229">
        <v>1.0865</v>
      </c>
      <c r="CK55" s="228">
        <v>7</v>
      </c>
      <c r="CL55" s="228">
        <v>6</v>
      </c>
      <c r="CM55" s="228">
        <v>1</v>
      </c>
      <c r="CN55" s="229">
        <v>9.5200000000000007E-2</v>
      </c>
      <c r="CO55" s="230">
        <v>1157</v>
      </c>
      <c r="CP55" s="230">
        <v>1163</v>
      </c>
      <c r="CQ55" s="228">
        <v>-6</v>
      </c>
      <c r="CR55" s="229">
        <v>-4.7999999999999996E-3</v>
      </c>
      <c r="CS55" s="228">
        <v>567</v>
      </c>
      <c r="CT55" s="228">
        <v>590</v>
      </c>
      <c r="CU55" s="228">
        <v>-23</v>
      </c>
      <c r="CV55" s="229">
        <v>-3.8600000000000002E-2</v>
      </c>
      <c r="CW55" s="230">
        <v>3890</v>
      </c>
      <c r="CX55" s="230">
        <v>3865</v>
      </c>
      <c r="CY55" s="228">
        <v>25</v>
      </c>
      <c r="CZ55" s="229">
        <v>6.6E-3</v>
      </c>
      <c r="DA55" s="228">
        <v>27.99</v>
      </c>
      <c r="DB55" s="228">
        <v>25.89</v>
      </c>
      <c r="DC55" s="228">
        <v>2.1</v>
      </c>
      <c r="DD55" s="228">
        <v>2.1</v>
      </c>
      <c r="DE55" s="228">
        <v>29.94</v>
      </c>
      <c r="DF55" s="228">
        <v>29.99</v>
      </c>
      <c r="DG55" s="228">
        <v>-1.95</v>
      </c>
      <c r="DH55" s="228">
        <v>-0.05</v>
      </c>
      <c r="DI55" s="228">
        <v>28.64</v>
      </c>
      <c r="DJ55" s="228">
        <v>28.45</v>
      </c>
      <c r="DK55" s="228">
        <v>0.19</v>
      </c>
      <c r="DL55" s="228">
        <v>0.19</v>
      </c>
      <c r="DM55" s="228">
        <v>27.13</v>
      </c>
      <c r="DN55" s="228">
        <v>20.89</v>
      </c>
      <c r="DO55" s="228">
        <v>6.24</v>
      </c>
      <c r="DP55" s="228">
        <v>6.24</v>
      </c>
      <c r="DQ55" s="228">
        <v>0.49</v>
      </c>
      <c r="DR55" s="228">
        <v>0.51</v>
      </c>
      <c r="DS55" s="228">
        <v>-0.02</v>
      </c>
      <c r="DT55" s="229">
        <v>-3.9199999999999999E-2</v>
      </c>
      <c r="DU55" s="231">
        <v>6500</v>
      </c>
      <c r="DV55" s="231">
        <v>5800</v>
      </c>
      <c r="DW55" s="228">
        <v>0.33</v>
      </c>
      <c r="DX55" s="228">
        <v>0.51</v>
      </c>
      <c r="DY55" s="228">
        <v>-0.18</v>
      </c>
      <c r="DZ55" s="229">
        <v>-0.35289999999999999</v>
      </c>
      <c r="EA55" s="229">
        <v>0.63009999999999999</v>
      </c>
      <c r="EB55" s="230">
        <v>1080200</v>
      </c>
      <c r="EC55" s="229">
        <v>5.0000000000000001E-3</v>
      </c>
      <c r="ED55" s="229">
        <v>0.63009999999999999</v>
      </c>
      <c r="EE55" s="228">
        <v>32.04</v>
      </c>
      <c r="EF55" s="229">
        <v>5.3E-3</v>
      </c>
      <c r="EG55" s="230">
        <v>255592</v>
      </c>
      <c r="EH55" s="230">
        <v>198335</v>
      </c>
      <c r="EI55" s="229">
        <v>0.28870000000000001</v>
      </c>
      <c r="EJ55" s="229">
        <v>0.68269999999999997</v>
      </c>
      <c r="EK55" s="231">
        <v>1434.13</v>
      </c>
      <c r="EL55" s="228">
        <v>457.32</v>
      </c>
      <c r="EM55" s="231">
        <v>1659.01</v>
      </c>
      <c r="EN55" s="228">
        <v>90.33</v>
      </c>
      <c r="EO55" s="231">
        <v>3550.46</v>
      </c>
      <c r="EP55" s="231">
        <v>3494.22</v>
      </c>
      <c r="EQ55" s="228">
        <v>56.24</v>
      </c>
      <c r="ER55" s="229">
        <v>1.61E-2</v>
      </c>
      <c r="ES55" s="231">
        <v>1250.69</v>
      </c>
      <c r="ET55" s="228">
        <v>572.23</v>
      </c>
      <c r="EU55" s="231">
        <v>2172.86</v>
      </c>
      <c r="EV55" s="231">
        <v>14898112</v>
      </c>
      <c r="EW55" s="231">
        <v>3995.79</v>
      </c>
      <c r="EX55" s="231">
        <v>3938.9</v>
      </c>
      <c r="EY55" s="228">
        <v>56.89</v>
      </c>
      <c r="EZ55" s="229">
        <v>1.44E-2</v>
      </c>
      <c r="FA55" s="229">
        <v>0.42920000000000003</v>
      </c>
      <c r="FB55" s="227" t="s">
        <v>555</v>
      </c>
      <c r="FC55">
        <f t="shared" si="0"/>
        <v>1365</v>
      </c>
    </row>
    <row r="56" spans="1:159" ht="17.25" thickBot="1" x14ac:dyDescent="0.3">
      <c r="A56" s="226">
        <v>46044</v>
      </c>
      <c r="B56" s="227" t="s">
        <v>184</v>
      </c>
      <c r="C56" s="227" t="s">
        <v>512</v>
      </c>
      <c r="D56" s="228">
        <v>50</v>
      </c>
      <c r="E56" s="228">
        <v>5</v>
      </c>
      <c r="F56" s="231">
        <v>10534</v>
      </c>
      <c r="G56" s="231">
        <v>10550</v>
      </c>
      <c r="H56" s="228">
        <v>-16</v>
      </c>
      <c r="I56" s="229">
        <v>-1.5E-3</v>
      </c>
      <c r="J56" s="231">
        <v>10512</v>
      </c>
      <c r="K56" s="231">
        <v>10517</v>
      </c>
      <c r="L56" s="228">
        <v>-5</v>
      </c>
      <c r="M56" s="229">
        <v>-5.0000000000000001E-4</v>
      </c>
      <c r="N56" s="231">
        <v>10534</v>
      </c>
      <c r="O56" s="231">
        <v>10550</v>
      </c>
      <c r="P56" s="228">
        <v>-16</v>
      </c>
      <c r="Q56" s="229">
        <v>-1.5E-3</v>
      </c>
      <c r="R56" s="231">
        <v>10586</v>
      </c>
      <c r="S56" s="231">
        <v>10583</v>
      </c>
      <c r="T56" s="228">
        <v>3</v>
      </c>
      <c r="U56" s="229">
        <v>2.9999999999999997E-4</v>
      </c>
      <c r="V56" s="231">
        <v>10655</v>
      </c>
      <c r="W56" s="231">
        <v>10651</v>
      </c>
      <c r="X56" s="228">
        <v>4</v>
      </c>
      <c r="Y56" s="229">
        <v>4.0000000000000002E-4</v>
      </c>
      <c r="Z56" s="228">
        <v>22</v>
      </c>
      <c r="AA56" s="228">
        <v>33</v>
      </c>
      <c r="AB56" s="228">
        <v>-11</v>
      </c>
      <c r="AC56" s="229">
        <v>2.0999999999999999E-3</v>
      </c>
      <c r="AD56" s="228">
        <v>22</v>
      </c>
      <c r="AE56" s="228">
        <v>33</v>
      </c>
      <c r="AF56" s="228">
        <v>-11</v>
      </c>
      <c r="AG56" s="229">
        <v>2.0999999999999999E-3</v>
      </c>
      <c r="AH56" s="228">
        <v>74</v>
      </c>
      <c r="AI56" s="228">
        <v>66</v>
      </c>
      <c r="AJ56" s="228">
        <v>8</v>
      </c>
      <c r="AK56" s="229">
        <v>7.0000000000000001E-3</v>
      </c>
      <c r="AL56" s="228">
        <v>143</v>
      </c>
      <c r="AM56" s="228">
        <v>134</v>
      </c>
      <c r="AN56" s="228">
        <v>9</v>
      </c>
      <c r="AO56" s="229">
        <v>1.3599999999999999E-2</v>
      </c>
      <c r="AP56" s="231">
        <v>10550.01</v>
      </c>
      <c r="AQ56" s="231">
        <v>10601.25</v>
      </c>
      <c r="AR56" s="228">
        <v>0</v>
      </c>
      <c r="AS56" s="230">
        <v>1906</v>
      </c>
      <c r="AT56" s="230">
        <v>2561</v>
      </c>
      <c r="AU56" s="228">
        <v>-655</v>
      </c>
      <c r="AV56" s="229">
        <v>-0.25590000000000002</v>
      </c>
      <c r="AW56" s="228">
        <v>975</v>
      </c>
      <c r="AX56" s="230">
        <v>1419</v>
      </c>
      <c r="AY56" s="228">
        <v>-444</v>
      </c>
      <c r="AZ56" s="229">
        <v>-0.31259999999999999</v>
      </c>
      <c r="BA56" s="228">
        <v>914</v>
      </c>
      <c r="BB56" s="230">
        <v>1119</v>
      </c>
      <c r="BC56" s="228">
        <v>-205</v>
      </c>
      <c r="BD56" s="229">
        <v>-0.1832</v>
      </c>
      <c r="BE56" s="228">
        <v>16</v>
      </c>
      <c r="BF56" s="228">
        <v>23</v>
      </c>
      <c r="BG56" s="228">
        <v>-7</v>
      </c>
      <c r="BH56" s="229">
        <v>-0.29399999999999998</v>
      </c>
      <c r="BI56" s="230">
        <v>5449</v>
      </c>
      <c r="BJ56" s="230">
        <v>9151</v>
      </c>
      <c r="BK56" s="230">
        <v>-3703</v>
      </c>
      <c r="BL56" s="229">
        <v>-0.40460000000000002</v>
      </c>
      <c r="BM56" s="230">
        <v>3155</v>
      </c>
      <c r="BN56" s="230">
        <v>6735</v>
      </c>
      <c r="BO56" s="230">
        <v>-3580</v>
      </c>
      <c r="BP56" s="229">
        <v>-0.53159999999999996</v>
      </c>
      <c r="BQ56" s="230">
        <v>10510</v>
      </c>
      <c r="BR56" s="230">
        <v>18448</v>
      </c>
      <c r="BS56" s="230">
        <v>-7938</v>
      </c>
      <c r="BT56" s="229">
        <v>-0.43030000000000002</v>
      </c>
      <c r="BU56" s="230">
        <v>444073</v>
      </c>
      <c r="BV56" s="230">
        <v>996362</v>
      </c>
      <c r="BW56" s="230">
        <v>-552289</v>
      </c>
      <c r="BX56" s="229">
        <v>-0.55430000000000001</v>
      </c>
      <c r="BY56" s="230">
        <v>3851</v>
      </c>
      <c r="BZ56" s="230">
        <v>3785</v>
      </c>
      <c r="CA56" s="228">
        <v>66</v>
      </c>
      <c r="CB56" s="229">
        <v>1.7500000000000002E-2</v>
      </c>
      <c r="CC56" s="230">
        <v>2100</v>
      </c>
      <c r="CD56" s="230">
        <v>2655</v>
      </c>
      <c r="CE56" s="228">
        <v>-556</v>
      </c>
      <c r="CF56" s="229">
        <v>-0.20930000000000001</v>
      </c>
      <c r="CG56" s="230">
        <v>1681</v>
      </c>
      <c r="CH56" s="230">
        <v>1063</v>
      </c>
      <c r="CI56" s="228">
        <v>618</v>
      </c>
      <c r="CJ56" s="229">
        <v>0.58199999999999996</v>
      </c>
      <c r="CK56" s="228">
        <v>70</v>
      </c>
      <c r="CL56" s="228">
        <v>67</v>
      </c>
      <c r="CM56" s="228">
        <v>4</v>
      </c>
      <c r="CN56" s="229">
        <v>5.28E-2</v>
      </c>
      <c r="CO56" s="230">
        <v>3960</v>
      </c>
      <c r="CP56" s="230">
        <v>4016</v>
      </c>
      <c r="CQ56" s="228">
        <v>-56</v>
      </c>
      <c r="CR56" s="229">
        <v>-1.3899999999999999E-2</v>
      </c>
      <c r="CS56" s="230">
        <v>2097</v>
      </c>
      <c r="CT56" s="230">
        <v>2153</v>
      </c>
      <c r="CU56" s="228">
        <v>-56</v>
      </c>
      <c r="CV56" s="229">
        <v>-2.6100000000000002E-2</v>
      </c>
      <c r="CW56" s="230">
        <v>9908</v>
      </c>
      <c r="CX56" s="230">
        <v>9954</v>
      </c>
      <c r="CY56" s="228">
        <v>-46</v>
      </c>
      <c r="CZ56" s="229">
        <v>-4.5999999999999999E-3</v>
      </c>
      <c r="DA56" s="228">
        <v>45.97</v>
      </c>
      <c r="DB56" s="228">
        <v>37.979999999999997</v>
      </c>
      <c r="DC56" s="228">
        <v>7.99</v>
      </c>
      <c r="DD56" s="228">
        <v>7.99</v>
      </c>
      <c r="DE56" s="228">
        <v>44.64</v>
      </c>
      <c r="DF56" s="228">
        <v>44.75</v>
      </c>
      <c r="DG56" s="228">
        <v>1.33</v>
      </c>
      <c r="DH56" s="228">
        <v>-0.11</v>
      </c>
      <c r="DI56" s="228">
        <v>46.01</v>
      </c>
      <c r="DJ56" s="228">
        <v>39.6</v>
      </c>
      <c r="DK56" s="228">
        <v>6.41</v>
      </c>
      <c r="DL56" s="228">
        <v>6.41</v>
      </c>
      <c r="DM56" s="228">
        <v>45.91</v>
      </c>
      <c r="DN56" s="228">
        <v>35.770000000000003</v>
      </c>
      <c r="DO56" s="228">
        <v>10.14</v>
      </c>
      <c r="DP56" s="228">
        <v>10.14</v>
      </c>
      <c r="DQ56" s="228">
        <v>0.53</v>
      </c>
      <c r="DR56" s="228">
        <v>0.54</v>
      </c>
      <c r="DS56" s="228">
        <v>-0.01</v>
      </c>
      <c r="DT56" s="229">
        <v>-1.8499999999999999E-2</v>
      </c>
      <c r="DU56" s="231">
        <v>12000</v>
      </c>
      <c r="DV56" s="231">
        <v>10000</v>
      </c>
      <c r="DW56" s="228">
        <v>0.57999999999999996</v>
      </c>
      <c r="DX56" s="228">
        <v>0.74</v>
      </c>
      <c r="DY56" s="228">
        <v>-0.16</v>
      </c>
      <c r="DZ56" s="229">
        <v>-0.2162</v>
      </c>
      <c r="EA56" s="229">
        <v>0.45479999999999998</v>
      </c>
      <c r="EB56" s="230">
        <v>1072150</v>
      </c>
      <c r="EC56" s="229">
        <v>4.8999999999999998E-3</v>
      </c>
      <c r="ED56" s="229">
        <v>0.45479999999999998</v>
      </c>
      <c r="EE56" s="228">
        <v>51.24</v>
      </c>
      <c r="EF56" s="229">
        <v>4.8999999999999998E-3</v>
      </c>
      <c r="EG56" s="230">
        <v>87059</v>
      </c>
      <c r="EH56" s="230">
        <v>271001</v>
      </c>
      <c r="EI56" s="229">
        <v>-0.67879999999999996</v>
      </c>
      <c r="EJ56" s="229">
        <v>0.19600000000000001</v>
      </c>
      <c r="EK56" s="231">
        <v>5896.76</v>
      </c>
      <c r="EL56" s="231">
        <v>3134.52</v>
      </c>
      <c r="EM56" s="231">
        <v>1913.17</v>
      </c>
      <c r="EN56" s="228">
        <v>274.92</v>
      </c>
      <c r="EO56" s="231">
        <v>10944.45</v>
      </c>
      <c r="EP56" s="231">
        <v>19181.72</v>
      </c>
      <c r="EQ56" s="231">
        <v>-8237.27</v>
      </c>
      <c r="ER56" s="229">
        <v>-0.4294</v>
      </c>
      <c r="ES56" s="231">
        <v>4598.2299999999996</v>
      </c>
      <c r="ET56" s="231">
        <v>2207.7600000000002</v>
      </c>
      <c r="EU56" s="231">
        <v>3859.97</v>
      </c>
      <c r="EV56" s="231">
        <v>6452220</v>
      </c>
      <c r="EW56" s="231">
        <v>10665.95</v>
      </c>
      <c r="EX56" s="231">
        <v>10756.73</v>
      </c>
      <c r="EY56" s="228">
        <v>-90.78</v>
      </c>
      <c r="EZ56" s="229">
        <v>-8.3999999999999995E-3</v>
      </c>
      <c r="FA56" s="229">
        <v>1.4578</v>
      </c>
      <c r="FB56" s="227" t="s">
        <v>567</v>
      </c>
      <c r="FC56">
        <f t="shared" si="0"/>
        <v>1751</v>
      </c>
    </row>
    <row r="57" spans="1:159" ht="17.25" thickBot="1" x14ac:dyDescent="0.3">
      <c r="A57" s="226">
        <v>46044</v>
      </c>
      <c r="B57" s="227" t="s">
        <v>206</v>
      </c>
      <c r="C57" s="227" t="s">
        <v>207</v>
      </c>
      <c r="D57" s="228">
        <v>825</v>
      </c>
      <c r="E57" s="228">
        <v>5</v>
      </c>
      <c r="F57" s="228">
        <v>613.5</v>
      </c>
      <c r="G57" s="228">
        <v>618.9</v>
      </c>
      <c r="H57" s="228">
        <v>-5.4</v>
      </c>
      <c r="I57" s="229">
        <v>-8.6999999999999994E-3</v>
      </c>
      <c r="J57" s="228">
        <v>613.29999999999995</v>
      </c>
      <c r="K57" s="228">
        <v>617.65</v>
      </c>
      <c r="L57" s="228">
        <v>-4.3499999999999996</v>
      </c>
      <c r="M57" s="229">
        <v>-7.0000000000000001E-3</v>
      </c>
      <c r="N57" s="228">
        <v>613.5</v>
      </c>
      <c r="O57" s="228">
        <v>618.9</v>
      </c>
      <c r="P57" s="228">
        <v>-5.4</v>
      </c>
      <c r="Q57" s="229">
        <v>-8.6999999999999994E-3</v>
      </c>
      <c r="R57" s="228">
        <v>616.54999999999995</v>
      </c>
      <c r="S57" s="228">
        <v>621.95000000000005</v>
      </c>
      <c r="T57" s="228">
        <v>-5.4</v>
      </c>
      <c r="U57" s="229">
        <v>-8.6999999999999994E-3</v>
      </c>
      <c r="V57" s="228">
        <v>620.70000000000005</v>
      </c>
      <c r="W57" s="228">
        <v>626.6</v>
      </c>
      <c r="X57" s="228">
        <v>-5.9</v>
      </c>
      <c r="Y57" s="229">
        <v>-9.4000000000000004E-3</v>
      </c>
      <c r="Z57" s="228">
        <v>0.2</v>
      </c>
      <c r="AA57" s="228">
        <v>1.25</v>
      </c>
      <c r="AB57" s="228">
        <v>-1.05</v>
      </c>
      <c r="AC57" s="229">
        <v>2.9999999999999997E-4</v>
      </c>
      <c r="AD57" s="228">
        <v>0.2</v>
      </c>
      <c r="AE57" s="228">
        <v>1.25</v>
      </c>
      <c r="AF57" s="228">
        <v>-1.05</v>
      </c>
      <c r="AG57" s="229">
        <v>2.9999999999999997E-4</v>
      </c>
      <c r="AH57" s="228">
        <v>3.25</v>
      </c>
      <c r="AI57" s="228">
        <v>4.3</v>
      </c>
      <c r="AJ57" s="228">
        <v>-1.05</v>
      </c>
      <c r="AK57" s="229">
        <v>5.3E-3</v>
      </c>
      <c r="AL57" s="228">
        <v>7.4</v>
      </c>
      <c r="AM57" s="228">
        <v>8.9499999999999993</v>
      </c>
      <c r="AN57" s="228">
        <v>-1.55</v>
      </c>
      <c r="AO57" s="229">
        <v>1.21E-2</v>
      </c>
      <c r="AP57" s="228">
        <v>614.5</v>
      </c>
      <c r="AQ57" s="228">
        <v>617.66</v>
      </c>
      <c r="AR57" s="228">
        <v>0</v>
      </c>
      <c r="AS57" s="230">
        <v>1944</v>
      </c>
      <c r="AT57" s="230">
        <v>2127</v>
      </c>
      <c r="AU57" s="228">
        <v>-183</v>
      </c>
      <c r="AV57" s="229">
        <v>-8.6199999999999999E-2</v>
      </c>
      <c r="AW57" s="230">
        <v>1002</v>
      </c>
      <c r="AX57" s="230">
        <v>1128</v>
      </c>
      <c r="AY57" s="228">
        <v>-126</v>
      </c>
      <c r="AZ57" s="229">
        <v>-0.1119</v>
      </c>
      <c r="BA57" s="228">
        <v>931</v>
      </c>
      <c r="BB57" s="228">
        <v>989</v>
      </c>
      <c r="BC57" s="228">
        <v>-58</v>
      </c>
      <c r="BD57" s="229">
        <v>-5.8599999999999999E-2</v>
      </c>
      <c r="BE57" s="228">
        <v>10</v>
      </c>
      <c r="BF57" s="228">
        <v>10</v>
      </c>
      <c r="BG57" s="228">
        <v>1</v>
      </c>
      <c r="BH57" s="229">
        <v>8.9499999999999996E-2</v>
      </c>
      <c r="BI57" s="230">
        <v>2300</v>
      </c>
      <c r="BJ57" s="230">
        <v>2325</v>
      </c>
      <c r="BK57" s="228">
        <v>-25</v>
      </c>
      <c r="BL57" s="229">
        <v>-1.0699999999999999E-2</v>
      </c>
      <c r="BM57" s="230">
        <v>1412</v>
      </c>
      <c r="BN57" s="230">
        <v>1383</v>
      </c>
      <c r="BO57" s="228">
        <v>29</v>
      </c>
      <c r="BP57" s="229">
        <v>2.12E-2</v>
      </c>
      <c r="BQ57" s="230">
        <v>5656</v>
      </c>
      <c r="BR57" s="230">
        <v>5834</v>
      </c>
      <c r="BS57" s="228">
        <v>-179</v>
      </c>
      <c r="BT57" s="229">
        <v>-3.0700000000000002E-2</v>
      </c>
      <c r="BU57" s="230">
        <v>7853603</v>
      </c>
      <c r="BV57" s="230">
        <v>5724833</v>
      </c>
      <c r="BW57" s="230">
        <v>2128770</v>
      </c>
      <c r="BX57" s="229">
        <v>0.37180000000000002</v>
      </c>
      <c r="BY57" s="230">
        <v>3771</v>
      </c>
      <c r="BZ57" s="230">
        <v>3709</v>
      </c>
      <c r="CA57" s="228">
        <v>62</v>
      </c>
      <c r="CB57" s="229">
        <v>1.67E-2</v>
      </c>
      <c r="CC57" s="230">
        <v>1681</v>
      </c>
      <c r="CD57" s="230">
        <v>2375</v>
      </c>
      <c r="CE57" s="228">
        <v>-694</v>
      </c>
      <c r="CF57" s="229">
        <v>-0.29220000000000002</v>
      </c>
      <c r="CG57" s="230">
        <v>2059</v>
      </c>
      <c r="CH57" s="230">
        <v>1308</v>
      </c>
      <c r="CI57" s="228">
        <v>752</v>
      </c>
      <c r="CJ57" s="229">
        <v>0.57509999999999994</v>
      </c>
      <c r="CK57" s="228">
        <v>30</v>
      </c>
      <c r="CL57" s="228">
        <v>26</v>
      </c>
      <c r="CM57" s="228">
        <v>4</v>
      </c>
      <c r="CN57" s="229">
        <v>0.15340000000000001</v>
      </c>
      <c r="CO57" s="230">
        <v>1579</v>
      </c>
      <c r="CP57" s="230">
        <v>1438</v>
      </c>
      <c r="CQ57" s="228">
        <v>141</v>
      </c>
      <c r="CR57" s="229">
        <v>9.7900000000000001E-2</v>
      </c>
      <c r="CS57" s="228">
        <v>950</v>
      </c>
      <c r="CT57" s="228">
        <v>800</v>
      </c>
      <c r="CU57" s="228">
        <v>150</v>
      </c>
      <c r="CV57" s="229">
        <v>0.18709999999999999</v>
      </c>
      <c r="CW57" s="230">
        <v>6300</v>
      </c>
      <c r="CX57" s="230">
        <v>5947</v>
      </c>
      <c r="CY57" s="228">
        <v>353</v>
      </c>
      <c r="CZ57" s="229">
        <v>5.9299999999999999E-2</v>
      </c>
      <c r="DA57" s="228">
        <v>38.11</v>
      </c>
      <c r="DB57" s="228">
        <v>41.86</v>
      </c>
      <c r="DC57" s="228">
        <v>-3.75</v>
      </c>
      <c r="DD57" s="228">
        <v>-3.75</v>
      </c>
      <c r="DE57" s="228">
        <v>34.43</v>
      </c>
      <c r="DF57" s="228">
        <v>34.5</v>
      </c>
      <c r="DG57" s="228">
        <v>3.68</v>
      </c>
      <c r="DH57" s="228">
        <v>-7.0000000000000007E-2</v>
      </c>
      <c r="DI57" s="228">
        <v>37.81</v>
      </c>
      <c r="DJ57" s="228">
        <v>41.3</v>
      </c>
      <c r="DK57" s="228">
        <v>-3.49</v>
      </c>
      <c r="DL57" s="228">
        <v>-3.49</v>
      </c>
      <c r="DM57" s="228">
        <v>38.549999999999997</v>
      </c>
      <c r="DN57" s="228">
        <v>42.81</v>
      </c>
      <c r="DO57" s="228">
        <v>-4.26</v>
      </c>
      <c r="DP57" s="228">
        <v>-4.26</v>
      </c>
      <c r="DQ57" s="228">
        <v>0.6</v>
      </c>
      <c r="DR57" s="228">
        <v>0.56000000000000005</v>
      </c>
      <c r="DS57" s="228">
        <v>0.04</v>
      </c>
      <c r="DT57" s="229">
        <v>7.1400000000000005E-2</v>
      </c>
      <c r="DU57" s="228">
        <v>700</v>
      </c>
      <c r="DV57" s="228">
        <v>600</v>
      </c>
      <c r="DW57" s="228">
        <v>0.61</v>
      </c>
      <c r="DX57" s="228">
        <v>0.59</v>
      </c>
      <c r="DY57" s="228">
        <v>0.02</v>
      </c>
      <c r="DZ57" s="229">
        <v>3.39E-2</v>
      </c>
      <c r="EA57" s="229">
        <v>0.55420000000000003</v>
      </c>
      <c r="EB57" s="230">
        <v>21737100</v>
      </c>
      <c r="EC57" s="229">
        <v>5.0000000000000001E-3</v>
      </c>
      <c r="ED57" s="229">
        <v>0.55420000000000003</v>
      </c>
      <c r="EE57" s="228">
        <v>3.16</v>
      </c>
      <c r="EF57" s="229">
        <v>5.1000000000000004E-3</v>
      </c>
      <c r="EG57" s="230">
        <v>4945841</v>
      </c>
      <c r="EH57" s="230">
        <v>2308919</v>
      </c>
      <c r="EI57" s="229">
        <v>1.1420999999999999</v>
      </c>
      <c r="EJ57" s="229">
        <v>0.62980000000000003</v>
      </c>
      <c r="EK57" s="231">
        <v>2459.5500000000002</v>
      </c>
      <c r="EL57" s="231">
        <v>1418.04</v>
      </c>
      <c r="EM57" s="231">
        <v>1951.6</v>
      </c>
      <c r="EN57" s="228">
        <v>217.03</v>
      </c>
      <c r="EO57" s="231">
        <v>5829.19</v>
      </c>
      <c r="EP57" s="231">
        <v>6024.19</v>
      </c>
      <c r="EQ57" s="228">
        <v>-195</v>
      </c>
      <c r="ER57" s="229">
        <v>-3.2399999999999998E-2</v>
      </c>
      <c r="ES57" s="231">
        <v>1756.59</v>
      </c>
      <c r="ET57" s="231">
        <v>1010.17</v>
      </c>
      <c r="EU57" s="231">
        <v>3781.27</v>
      </c>
      <c r="EV57" s="231">
        <v>96058266</v>
      </c>
      <c r="EW57" s="231">
        <v>6548.02</v>
      </c>
      <c r="EX57" s="231">
        <v>6231.6</v>
      </c>
      <c r="EY57" s="228">
        <v>316.42</v>
      </c>
      <c r="EZ57" s="229">
        <v>5.0799999999999998E-2</v>
      </c>
      <c r="FA57" s="229">
        <v>1.069</v>
      </c>
      <c r="FB57" s="227" t="s">
        <v>567</v>
      </c>
      <c r="FC57">
        <f t="shared" si="0"/>
        <v>2090</v>
      </c>
    </row>
    <row r="58" spans="1:159" ht="17.25" thickBot="1" x14ac:dyDescent="0.3">
      <c r="A58" s="226">
        <v>46044</v>
      </c>
      <c r="B58" s="227" t="s">
        <v>615</v>
      </c>
      <c r="C58" s="227" t="s">
        <v>583</v>
      </c>
      <c r="D58" s="228">
        <v>150</v>
      </c>
      <c r="E58" s="228">
        <v>5</v>
      </c>
      <c r="F58" s="231">
        <v>3722</v>
      </c>
      <c r="G58" s="231">
        <v>3667.8</v>
      </c>
      <c r="H58" s="228">
        <v>54.2</v>
      </c>
      <c r="I58" s="229">
        <v>1.4800000000000001E-2</v>
      </c>
      <c r="J58" s="231">
        <v>3724.1</v>
      </c>
      <c r="K58" s="231">
        <v>3656.7</v>
      </c>
      <c r="L58" s="228">
        <v>67.400000000000006</v>
      </c>
      <c r="M58" s="229">
        <v>1.84E-2</v>
      </c>
      <c r="N58" s="231">
        <v>3722</v>
      </c>
      <c r="O58" s="231">
        <v>3667.8</v>
      </c>
      <c r="P58" s="228">
        <v>54.2</v>
      </c>
      <c r="Q58" s="229">
        <v>1.4800000000000001E-2</v>
      </c>
      <c r="R58" s="231">
        <v>3719.6</v>
      </c>
      <c r="S58" s="231">
        <v>3666.9</v>
      </c>
      <c r="T58" s="228">
        <v>52.7</v>
      </c>
      <c r="U58" s="229">
        <v>1.44E-2</v>
      </c>
      <c r="V58" s="231">
        <v>3731</v>
      </c>
      <c r="W58" s="231">
        <v>3675.8</v>
      </c>
      <c r="X58" s="228">
        <v>55.2</v>
      </c>
      <c r="Y58" s="229">
        <v>1.4999999999999999E-2</v>
      </c>
      <c r="Z58" s="228">
        <v>-2.1</v>
      </c>
      <c r="AA58" s="228">
        <v>11.1</v>
      </c>
      <c r="AB58" s="228">
        <v>-13.2</v>
      </c>
      <c r="AC58" s="229">
        <v>-5.9999999999999995E-4</v>
      </c>
      <c r="AD58" s="228">
        <v>-2.1</v>
      </c>
      <c r="AE58" s="228">
        <v>11.1</v>
      </c>
      <c r="AF58" s="228">
        <v>-13.2</v>
      </c>
      <c r="AG58" s="229">
        <v>-5.9999999999999995E-4</v>
      </c>
      <c r="AH58" s="228">
        <v>-4.5</v>
      </c>
      <c r="AI58" s="228">
        <v>10.199999999999999</v>
      </c>
      <c r="AJ58" s="228">
        <v>-14.7</v>
      </c>
      <c r="AK58" s="229">
        <v>-1.1999999999999999E-3</v>
      </c>
      <c r="AL58" s="228">
        <v>6.9</v>
      </c>
      <c r="AM58" s="228">
        <v>19.100000000000001</v>
      </c>
      <c r="AN58" s="228">
        <v>-12.2</v>
      </c>
      <c r="AO58" s="229">
        <v>1.9E-3</v>
      </c>
      <c r="AP58" s="231">
        <v>3683.43</v>
      </c>
      <c r="AQ58" s="231">
        <v>3681.91</v>
      </c>
      <c r="AR58" s="228">
        <v>0</v>
      </c>
      <c r="AS58" s="230">
        <v>1429</v>
      </c>
      <c r="AT58" s="230">
        <v>1807</v>
      </c>
      <c r="AU58" s="228">
        <v>-377</v>
      </c>
      <c r="AV58" s="229">
        <v>-0.20880000000000001</v>
      </c>
      <c r="AW58" s="228">
        <v>709</v>
      </c>
      <c r="AX58" s="228">
        <v>896</v>
      </c>
      <c r="AY58" s="228">
        <v>-187</v>
      </c>
      <c r="AZ58" s="229">
        <v>-0.2087</v>
      </c>
      <c r="BA58" s="228">
        <v>716</v>
      </c>
      <c r="BB58" s="228">
        <v>901</v>
      </c>
      <c r="BC58" s="228">
        <v>-185</v>
      </c>
      <c r="BD58" s="229">
        <v>-0.2051</v>
      </c>
      <c r="BE58" s="228">
        <v>4</v>
      </c>
      <c r="BF58" s="228">
        <v>10</v>
      </c>
      <c r="BG58" s="228">
        <v>-5</v>
      </c>
      <c r="BH58" s="229">
        <v>-0.5575</v>
      </c>
      <c r="BI58" s="230">
        <v>1373</v>
      </c>
      <c r="BJ58" s="230">
        <v>1743</v>
      </c>
      <c r="BK58" s="228">
        <v>-371</v>
      </c>
      <c r="BL58" s="229">
        <v>-0.2127</v>
      </c>
      <c r="BM58" s="228">
        <v>499</v>
      </c>
      <c r="BN58" s="228">
        <v>787</v>
      </c>
      <c r="BO58" s="228">
        <v>-289</v>
      </c>
      <c r="BP58" s="229">
        <v>-0.36670000000000003</v>
      </c>
      <c r="BQ58" s="230">
        <v>3301</v>
      </c>
      <c r="BR58" s="230">
        <v>4337</v>
      </c>
      <c r="BS58" s="230">
        <v>-1037</v>
      </c>
      <c r="BT58" s="229">
        <v>-0.23899999999999999</v>
      </c>
      <c r="BU58" s="230">
        <v>414232</v>
      </c>
      <c r="BV58" s="230">
        <v>493861</v>
      </c>
      <c r="BW58" s="230">
        <v>-79629</v>
      </c>
      <c r="BX58" s="229">
        <v>-0.16120000000000001</v>
      </c>
      <c r="BY58" s="230">
        <v>1958</v>
      </c>
      <c r="BZ58" s="230">
        <v>2006</v>
      </c>
      <c r="CA58" s="228">
        <v>-48</v>
      </c>
      <c r="CB58" s="229">
        <v>-2.3800000000000002E-2</v>
      </c>
      <c r="CC58" s="228">
        <v>637</v>
      </c>
      <c r="CD58" s="230">
        <v>1201</v>
      </c>
      <c r="CE58" s="228">
        <v>-564</v>
      </c>
      <c r="CF58" s="229">
        <v>-0.46960000000000002</v>
      </c>
      <c r="CG58" s="230">
        <v>1303</v>
      </c>
      <c r="CH58" s="228">
        <v>789</v>
      </c>
      <c r="CI58" s="228">
        <v>514</v>
      </c>
      <c r="CJ58" s="229">
        <v>0.65110000000000001</v>
      </c>
      <c r="CK58" s="228">
        <v>18</v>
      </c>
      <c r="CL58" s="228">
        <v>16</v>
      </c>
      <c r="CM58" s="228">
        <v>2</v>
      </c>
      <c r="CN58" s="229">
        <v>0.15029999999999999</v>
      </c>
      <c r="CO58" s="230">
        <v>1315</v>
      </c>
      <c r="CP58" s="230">
        <v>1447</v>
      </c>
      <c r="CQ58" s="228">
        <v>-131</v>
      </c>
      <c r="CR58" s="229">
        <v>-9.0700000000000003E-2</v>
      </c>
      <c r="CS58" s="228">
        <v>515</v>
      </c>
      <c r="CT58" s="228">
        <v>562</v>
      </c>
      <c r="CU58" s="228">
        <v>-46</v>
      </c>
      <c r="CV58" s="229">
        <v>-8.2600000000000007E-2</v>
      </c>
      <c r="CW58" s="230">
        <v>3789</v>
      </c>
      <c r="CX58" s="230">
        <v>4014</v>
      </c>
      <c r="CY58" s="228">
        <v>-225</v>
      </c>
      <c r="CZ58" s="229">
        <v>-5.62E-2</v>
      </c>
      <c r="DA58" s="228">
        <v>27.05</v>
      </c>
      <c r="DB58" s="228">
        <v>26.87</v>
      </c>
      <c r="DC58" s="228">
        <v>0.18</v>
      </c>
      <c r="DD58" s="228">
        <v>0.18</v>
      </c>
      <c r="DE58" s="228">
        <v>30.52</v>
      </c>
      <c r="DF58" s="228">
        <v>30.49</v>
      </c>
      <c r="DG58" s="228">
        <v>-3.47</v>
      </c>
      <c r="DH58" s="228">
        <v>0.03</v>
      </c>
      <c r="DI58" s="228">
        <v>27</v>
      </c>
      <c r="DJ58" s="228">
        <v>27.91</v>
      </c>
      <c r="DK58" s="228">
        <v>-0.91</v>
      </c>
      <c r="DL58" s="228">
        <v>-0.91</v>
      </c>
      <c r="DM58" s="228">
        <v>27.14</v>
      </c>
      <c r="DN58" s="228">
        <v>24.59</v>
      </c>
      <c r="DO58" s="228">
        <v>2.5499999999999998</v>
      </c>
      <c r="DP58" s="228">
        <v>2.5499999999999998</v>
      </c>
      <c r="DQ58" s="228">
        <v>0.39</v>
      </c>
      <c r="DR58" s="228">
        <v>0.39</v>
      </c>
      <c r="DS58" s="228">
        <v>0</v>
      </c>
      <c r="DT58" s="229">
        <v>0</v>
      </c>
      <c r="DU58" s="231">
        <v>4000</v>
      </c>
      <c r="DV58" s="231">
        <v>3800</v>
      </c>
      <c r="DW58" s="228">
        <v>0.36</v>
      </c>
      <c r="DX58" s="228">
        <v>0.45</v>
      </c>
      <c r="DY58" s="228">
        <v>-0.09</v>
      </c>
      <c r="DZ58" s="229">
        <v>-0.2</v>
      </c>
      <c r="EA58" s="229">
        <v>0.67469999999999997</v>
      </c>
      <c r="EB58" s="230">
        <v>2163000</v>
      </c>
      <c r="EC58" s="229">
        <v>-5.9999999999999995E-4</v>
      </c>
      <c r="ED58" s="229">
        <v>0.67469999999999997</v>
      </c>
      <c r="EE58" s="228">
        <v>-1.52</v>
      </c>
      <c r="EF58" s="229">
        <v>-4.0000000000000002E-4</v>
      </c>
      <c r="EG58" s="230">
        <v>266200</v>
      </c>
      <c r="EH58" s="230">
        <v>257520</v>
      </c>
      <c r="EI58" s="229">
        <v>3.3700000000000001E-2</v>
      </c>
      <c r="EJ58" s="229">
        <v>0.64259999999999995</v>
      </c>
      <c r="EK58" s="231">
        <v>1424.02</v>
      </c>
      <c r="EL58" s="228">
        <v>489.82</v>
      </c>
      <c r="EM58" s="231">
        <v>1414.34</v>
      </c>
      <c r="EN58" s="228">
        <v>125.38</v>
      </c>
      <c r="EO58" s="231">
        <v>3328.18</v>
      </c>
      <c r="EP58" s="231">
        <v>4358.7</v>
      </c>
      <c r="EQ58" s="231">
        <v>-1030.52</v>
      </c>
      <c r="ER58" s="229">
        <v>-0.2364</v>
      </c>
      <c r="ES58" s="231">
        <v>1428.04</v>
      </c>
      <c r="ET58" s="228">
        <v>507.74</v>
      </c>
      <c r="EU58" s="231">
        <v>1957.44</v>
      </c>
      <c r="EV58" s="231">
        <v>18750186</v>
      </c>
      <c r="EW58" s="231">
        <v>3893.23</v>
      </c>
      <c r="EX58" s="231">
        <v>4095.88</v>
      </c>
      <c r="EY58" s="228">
        <v>-202.65</v>
      </c>
      <c r="EZ58" s="229">
        <v>-4.9500000000000002E-2</v>
      </c>
      <c r="FA58" s="229">
        <v>0.54290000000000005</v>
      </c>
      <c r="FB58" s="227" t="s">
        <v>556</v>
      </c>
      <c r="FC58">
        <f t="shared" si="0"/>
        <v>1321</v>
      </c>
    </row>
    <row r="59" spans="1:159" ht="17.25" thickBot="1" x14ac:dyDescent="0.3">
      <c r="A59" s="226">
        <v>46044</v>
      </c>
      <c r="B59" s="227" t="s">
        <v>170</v>
      </c>
      <c r="C59" s="227" t="s">
        <v>208</v>
      </c>
      <c r="D59" s="228">
        <v>625</v>
      </c>
      <c r="E59" s="228">
        <v>5</v>
      </c>
      <c r="F59" s="231">
        <v>1221.3</v>
      </c>
      <c r="G59" s="231">
        <v>1160.2</v>
      </c>
      <c r="H59" s="228">
        <v>61.1</v>
      </c>
      <c r="I59" s="229">
        <v>5.2699999999999997E-2</v>
      </c>
      <c r="J59" s="231">
        <v>1217.5</v>
      </c>
      <c r="K59" s="231">
        <v>1157.2</v>
      </c>
      <c r="L59" s="228">
        <v>60.3</v>
      </c>
      <c r="M59" s="229">
        <v>5.21E-2</v>
      </c>
      <c r="N59" s="231">
        <v>1221.3</v>
      </c>
      <c r="O59" s="231">
        <v>1160.2</v>
      </c>
      <c r="P59" s="228">
        <v>61.1</v>
      </c>
      <c r="Q59" s="229">
        <v>5.2699999999999997E-2</v>
      </c>
      <c r="R59" s="231">
        <v>1225.9000000000001</v>
      </c>
      <c r="S59" s="231">
        <v>1164.4000000000001</v>
      </c>
      <c r="T59" s="228">
        <v>61.5</v>
      </c>
      <c r="U59" s="229">
        <v>5.28E-2</v>
      </c>
      <c r="V59" s="231">
        <v>1233.2</v>
      </c>
      <c r="W59" s="231">
        <v>1170.0999999999999</v>
      </c>
      <c r="X59" s="228">
        <v>63.1</v>
      </c>
      <c r="Y59" s="229">
        <v>5.3900000000000003E-2</v>
      </c>
      <c r="Z59" s="228">
        <v>3.8</v>
      </c>
      <c r="AA59" s="228">
        <v>3</v>
      </c>
      <c r="AB59" s="228">
        <v>0.8</v>
      </c>
      <c r="AC59" s="229">
        <v>3.0999999999999999E-3</v>
      </c>
      <c r="AD59" s="228">
        <v>3.8</v>
      </c>
      <c r="AE59" s="228">
        <v>3</v>
      </c>
      <c r="AF59" s="228">
        <v>0.8</v>
      </c>
      <c r="AG59" s="229">
        <v>3.0999999999999999E-3</v>
      </c>
      <c r="AH59" s="228">
        <v>8.4</v>
      </c>
      <c r="AI59" s="228">
        <v>7.2</v>
      </c>
      <c r="AJ59" s="228">
        <v>1.2</v>
      </c>
      <c r="AK59" s="229">
        <v>6.8999999999999999E-3</v>
      </c>
      <c r="AL59" s="228">
        <v>15.7</v>
      </c>
      <c r="AM59" s="228">
        <v>12.9</v>
      </c>
      <c r="AN59" s="228">
        <v>2.8</v>
      </c>
      <c r="AO59" s="229">
        <v>1.29E-2</v>
      </c>
      <c r="AP59" s="231">
        <v>1218.07</v>
      </c>
      <c r="AQ59" s="231">
        <v>1224.1099999999999</v>
      </c>
      <c r="AR59" s="228">
        <v>0</v>
      </c>
      <c r="AS59" s="230">
        <v>2186</v>
      </c>
      <c r="AT59" s="230">
        <v>1225</v>
      </c>
      <c r="AU59" s="228">
        <v>961</v>
      </c>
      <c r="AV59" s="229">
        <v>0.78469999999999995</v>
      </c>
      <c r="AW59" s="230">
        <v>1214</v>
      </c>
      <c r="AX59" s="228">
        <v>752</v>
      </c>
      <c r="AY59" s="228">
        <v>462</v>
      </c>
      <c r="AZ59" s="229">
        <v>0.6149</v>
      </c>
      <c r="BA59" s="228">
        <v>965</v>
      </c>
      <c r="BB59" s="228">
        <v>470</v>
      </c>
      <c r="BC59" s="228">
        <v>495</v>
      </c>
      <c r="BD59" s="229">
        <v>1.0521</v>
      </c>
      <c r="BE59" s="228">
        <v>7</v>
      </c>
      <c r="BF59" s="228">
        <v>3</v>
      </c>
      <c r="BG59" s="228">
        <v>4</v>
      </c>
      <c r="BH59" s="229">
        <v>1.4737</v>
      </c>
      <c r="BI59" s="230">
        <v>8775</v>
      </c>
      <c r="BJ59" s="230">
        <v>4136</v>
      </c>
      <c r="BK59" s="230">
        <v>4639</v>
      </c>
      <c r="BL59" s="229">
        <v>1.1216999999999999</v>
      </c>
      <c r="BM59" s="230">
        <v>4294</v>
      </c>
      <c r="BN59" s="230">
        <v>3000</v>
      </c>
      <c r="BO59" s="230">
        <v>1294</v>
      </c>
      <c r="BP59" s="229">
        <v>0.43120000000000003</v>
      </c>
      <c r="BQ59" s="230">
        <v>15255</v>
      </c>
      <c r="BR59" s="230">
        <v>8361</v>
      </c>
      <c r="BS59" s="230">
        <v>6894</v>
      </c>
      <c r="BT59" s="229">
        <v>0.82450000000000001</v>
      </c>
      <c r="BU59" s="230">
        <v>7212357</v>
      </c>
      <c r="BV59" s="230">
        <v>2710120</v>
      </c>
      <c r="BW59" s="230">
        <v>4502237</v>
      </c>
      <c r="BX59" s="229">
        <v>1.6613</v>
      </c>
      <c r="BY59" s="230">
        <v>1844</v>
      </c>
      <c r="BZ59" s="230">
        <v>1827</v>
      </c>
      <c r="CA59" s="228">
        <v>17</v>
      </c>
      <c r="CB59" s="229">
        <v>9.4000000000000004E-3</v>
      </c>
      <c r="CC59" s="228">
        <v>923</v>
      </c>
      <c r="CD59" s="230">
        <v>1441</v>
      </c>
      <c r="CE59" s="228">
        <v>-518</v>
      </c>
      <c r="CF59" s="229">
        <v>-0.35930000000000001</v>
      </c>
      <c r="CG59" s="228">
        <v>905</v>
      </c>
      <c r="CH59" s="228">
        <v>369</v>
      </c>
      <c r="CI59" s="228">
        <v>536</v>
      </c>
      <c r="CJ59" s="229">
        <v>1.4508000000000001</v>
      </c>
      <c r="CK59" s="228">
        <v>16</v>
      </c>
      <c r="CL59" s="228">
        <v>17</v>
      </c>
      <c r="CM59" s="228">
        <v>-1</v>
      </c>
      <c r="CN59" s="229">
        <v>-6.1100000000000002E-2</v>
      </c>
      <c r="CO59" s="230">
        <v>1383</v>
      </c>
      <c r="CP59" s="230">
        <v>1436</v>
      </c>
      <c r="CQ59" s="228">
        <v>-53</v>
      </c>
      <c r="CR59" s="229">
        <v>-3.6600000000000001E-2</v>
      </c>
      <c r="CS59" s="228">
        <v>829</v>
      </c>
      <c r="CT59" s="228">
        <v>887</v>
      </c>
      <c r="CU59" s="228">
        <v>-58</v>
      </c>
      <c r="CV59" s="229">
        <v>-6.5000000000000002E-2</v>
      </c>
      <c r="CW59" s="230">
        <v>4057</v>
      </c>
      <c r="CX59" s="230">
        <v>4150</v>
      </c>
      <c r="CY59" s="228">
        <v>-93</v>
      </c>
      <c r="CZ59" s="229">
        <v>-2.24E-2</v>
      </c>
      <c r="DA59" s="228">
        <v>24.39</v>
      </c>
      <c r="DB59" s="228">
        <v>41.11</v>
      </c>
      <c r="DC59" s="228">
        <v>-16.72</v>
      </c>
      <c r="DD59" s="228">
        <v>-16.72</v>
      </c>
      <c r="DE59" s="228">
        <v>24.54</v>
      </c>
      <c r="DF59" s="228">
        <v>23.59</v>
      </c>
      <c r="DG59" s="228">
        <v>-0.15</v>
      </c>
      <c r="DH59" s="228">
        <v>0.95</v>
      </c>
      <c r="DI59" s="228">
        <v>23.82</v>
      </c>
      <c r="DJ59" s="228">
        <v>39.18</v>
      </c>
      <c r="DK59" s="228">
        <v>-15.36</v>
      </c>
      <c r="DL59" s="228">
        <v>-15.36</v>
      </c>
      <c r="DM59" s="228">
        <v>25.28</v>
      </c>
      <c r="DN59" s="228">
        <v>43.76</v>
      </c>
      <c r="DO59" s="228">
        <v>-18.48</v>
      </c>
      <c r="DP59" s="228">
        <v>-18.48</v>
      </c>
      <c r="DQ59" s="228">
        <v>0.6</v>
      </c>
      <c r="DR59" s="228">
        <v>0.62</v>
      </c>
      <c r="DS59" s="228">
        <v>-0.02</v>
      </c>
      <c r="DT59" s="229">
        <v>-3.2300000000000002E-2</v>
      </c>
      <c r="DU59" s="231">
        <v>1260</v>
      </c>
      <c r="DV59" s="231">
        <v>1100</v>
      </c>
      <c r="DW59" s="228">
        <v>0.49</v>
      </c>
      <c r="DX59" s="228">
        <v>0.73</v>
      </c>
      <c r="DY59" s="228">
        <v>-0.24</v>
      </c>
      <c r="DZ59" s="229">
        <v>-0.32879999999999998</v>
      </c>
      <c r="EA59" s="229">
        <v>0.49959999999999999</v>
      </c>
      <c r="EB59" s="230">
        <v>3166875</v>
      </c>
      <c r="EC59" s="229">
        <v>3.8E-3</v>
      </c>
      <c r="ED59" s="229">
        <v>0.49959999999999999</v>
      </c>
      <c r="EE59" s="228">
        <v>6.04</v>
      </c>
      <c r="EF59" s="229">
        <v>5.0000000000000001E-3</v>
      </c>
      <c r="EG59" s="230">
        <v>3427083</v>
      </c>
      <c r="EH59" s="230">
        <v>1184012</v>
      </c>
      <c r="EI59" s="229">
        <v>1.8945000000000001</v>
      </c>
      <c r="EJ59" s="229">
        <v>0.47520000000000001</v>
      </c>
      <c r="EK59" s="231">
        <v>8941.11</v>
      </c>
      <c r="EL59" s="231">
        <v>4159.9399999999996</v>
      </c>
      <c r="EM59" s="231">
        <v>2185.2399999999998</v>
      </c>
      <c r="EN59" s="228">
        <v>77.67</v>
      </c>
      <c r="EO59" s="231">
        <v>15286.29</v>
      </c>
      <c r="EP59" s="231">
        <v>8129.85</v>
      </c>
      <c r="EQ59" s="231">
        <v>7156.43</v>
      </c>
      <c r="ER59" s="229">
        <v>0.88029999999999997</v>
      </c>
      <c r="ES59" s="231">
        <v>1430.57</v>
      </c>
      <c r="ET59" s="228">
        <v>793.18</v>
      </c>
      <c r="EU59" s="231">
        <v>1848.04</v>
      </c>
      <c r="EV59" s="231">
        <v>91531454</v>
      </c>
      <c r="EW59" s="231">
        <v>4071.78</v>
      </c>
      <c r="EX59" s="231">
        <v>4039.48</v>
      </c>
      <c r="EY59" s="228">
        <v>32.299999999999997</v>
      </c>
      <c r="EZ59" s="229">
        <v>8.0000000000000002E-3</v>
      </c>
      <c r="FA59" s="229">
        <v>0.3629</v>
      </c>
      <c r="FB59" s="227" t="s">
        <v>555</v>
      </c>
      <c r="FC59">
        <f t="shared" si="0"/>
        <v>921</v>
      </c>
    </row>
    <row r="60" spans="1:159" ht="17.25" thickBot="1" x14ac:dyDescent="0.3">
      <c r="A60" s="226">
        <v>46044</v>
      </c>
      <c r="B60" s="227" t="s">
        <v>162</v>
      </c>
      <c r="C60" s="227" t="s">
        <v>209</v>
      </c>
      <c r="D60" s="228">
        <v>100</v>
      </c>
      <c r="E60" s="228">
        <v>5</v>
      </c>
      <c r="F60" s="231">
        <v>7040</v>
      </c>
      <c r="G60" s="231">
        <v>7137</v>
      </c>
      <c r="H60" s="228">
        <v>-97</v>
      </c>
      <c r="I60" s="229">
        <v>-1.3599999999999999E-2</v>
      </c>
      <c r="J60" s="231">
        <v>7049</v>
      </c>
      <c r="K60" s="231">
        <v>7140</v>
      </c>
      <c r="L60" s="228">
        <v>-91</v>
      </c>
      <c r="M60" s="229">
        <v>-1.2699999999999999E-2</v>
      </c>
      <c r="N60" s="231">
        <v>7040</v>
      </c>
      <c r="O60" s="231">
        <v>7137</v>
      </c>
      <c r="P60" s="228">
        <v>-97</v>
      </c>
      <c r="Q60" s="229">
        <v>-1.3599999999999999E-2</v>
      </c>
      <c r="R60" s="231">
        <v>7083</v>
      </c>
      <c r="S60" s="231">
        <v>7177.5</v>
      </c>
      <c r="T60" s="228">
        <v>-94.5</v>
      </c>
      <c r="U60" s="229">
        <v>-1.32E-2</v>
      </c>
      <c r="V60" s="231">
        <v>7132</v>
      </c>
      <c r="W60" s="231">
        <v>7225</v>
      </c>
      <c r="X60" s="228">
        <v>-93</v>
      </c>
      <c r="Y60" s="229">
        <v>-1.29E-2</v>
      </c>
      <c r="Z60" s="228">
        <v>-9</v>
      </c>
      <c r="AA60" s="228">
        <v>-3</v>
      </c>
      <c r="AB60" s="228">
        <v>-6</v>
      </c>
      <c r="AC60" s="229">
        <v>-1.2999999999999999E-3</v>
      </c>
      <c r="AD60" s="228">
        <v>-9</v>
      </c>
      <c r="AE60" s="228">
        <v>-3</v>
      </c>
      <c r="AF60" s="228">
        <v>-6</v>
      </c>
      <c r="AG60" s="229">
        <v>-1.2999999999999999E-3</v>
      </c>
      <c r="AH60" s="228">
        <v>34</v>
      </c>
      <c r="AI60" s="228">
        <v>37.5</v>
      </c>
      <c r="AJ60" s="228">
        <v>-3.5</v>
      </c>
      <c r="AK60" s="229">
        <v>4.7999999999999996E-3</v>
      </c>
      <c r="AL60" s="228">
        <v>83</v>
      </c>
      <c r="AM60" s="228">
        <v>85</v>
      </c>
      <c r="AN60" s="228">
        <v>-2</v>
      </c>
      <c r="AO60" s="229">
        <v>1.18E-2</v>
      </c>
      <c r="AP60" s="231">
        <v>7135.33</v>
      </c>
      <c r="AQ60" s="231">
        <v>7173.98</v>
      </c>
      <c r="AR60" s="228">
        <v>0</v>
      </c>
      <c r="AS60" s="230">
        <v>1859</v>
      </c>
      <c r="AT60" s="230">
        <v>1300</v>
      </c>
      <c r="AU60" s="228">
        <v>559</v>
      </c>
      <c r="AV60" s="229">
        <v>0.4304</v>
      </c>
      <c r="AW60" s="228">
        <v>957</v>
      </c>
      <c r="AX60" s="228">
        <v>693</v>
      </c>
      <c r="AY60" s="228">
        <v>264</v>
      </c>
      <c r="AZ60" s="229">
        <v>0.38100000000000001</v>
      </c>
      <c r="BA60" s="228">
        <v>887</v>
      </c>
      <c r="BB60" s="228">
        <v>599</v>
      </c>
      <c r="BC60" s="228">
        <v>288</v>
      </c>
      <c r="BD60" s="229">
        <v>0.48110000000000003</v>
      </c>
      <c r="BE60" s="228">
        <v>15</v>
      </c>
      <c r="BF60" s="228">
        <v>7</v>
      </c>
      <c r="BG60" s="228">
        <v>7</v>
      </c>
      <c r="BH60" s="229">
        <v>0.95279999999999998</v>
      </c>
      <c r="BI60" s="230">
        <v>3528</v>
      </c>
      <c r="BJ60" s="230">
        <v>3408</v>
      </c>
      <c r="BK60" s="228">
        <v>120</v>
      </c>
      <c r="BL60" s="229">
        <v>3.5200000000000002E-2</v>
      </c>
      <c r="BM60" s="230">
        <v>1526</v>
      </c>
      <c r="BN60" s="230">
        <v>1745</v>
      </c>
      <c r="BO60" s="228">
        <v>-219</v>
      </c>
      <c r="BP60" s="229">
        <v>-0.1255</v>
      </c>
      <c r="BQ60" s="230">
        <v>6912</v>
      </c>
      <c r="BR60" s="230">
        <v>6452</v>
      </c>
      <c r="BS60" s="228">
        <v>460</v>
      </c>
      <c r="BT60" s="229">
        <v>7.1300000000000002E-2</v>
      </c>
      <c r="BU60" s="230">
        <v>372678</v>
      </c>
      <c r="BV60" s="230">
        <v>490200</v>
      </c>
      <c r="BW60" s="230">
        <v>-117522</v>
      </c>
      <c r="BX60" s="229">
        <v>-0.2397</v>
      </c>
      <c r="BY60" s="230">
        <v>2145</v>
      </c>
      <c r="BZ60" s="230">
        <v>2133</v>
      </c>
      <c r="CA60" s="228">
        <v>12</v>
      </c>
      <c r="CB60" s="229">
        <v>5.4000000000000003E-3</v>
      </c>
      <c r="CC60" s="230">
        <v>1009</v>
      </c>
      <c r="CD60" s="230">
        <v>1583</v>
      </c>
      <c r="CE60" s="228">
        <v>-575</v>
      </c>
      <c r="CF60" s="229">
        <v>-0.3629</v>
      </c>
      <c r="CG60" s="230">
        <v>1101</v>
      </c>
      <c r="CH60" s="228">
        <v>521</v>
      </c>
      <c r="CI60" s="228">
        <v>580</v>
      </c>
      <c r="CJ60" s="229">
        <v>1.1119000000000001</v>
      </c>
      <c r="CK60" s="228">
        <v>35</v>
      </c>
      <c r="CL60" s="228">
        <v>29</v>
      </c>
      <c r="CM60" s="228">
        <v>6</v>
      </c>
      <c r="CN60" s="229">
        <v>0.22059999999999999</v>
      </c>
      <c r="CO60" s="230">
        <v>1359</v>
      </c>
      <c r="CP60" s="230">
        <v>1301</v>
      </c>
      <c r="CQ60" s="228">
        <v>58</v>
      </c>
      <c r="CR60" s="229">
        <v>4.48E-2</v>
      </c>
      <c r="CS60" s="228">
        <v>667</v>
      </c>
      <c r="CT60" s="228">
        <v>665</v>
      </c>
      <c r="CU60" s="228">
        <v>2</v>
      </c>
      <c r="CV60" s="229">
        <v>3.7000000000000002E-3</v>
      </c>
      <c r="CW60" s="230">
        <v>4172</v>
      </c>
      <c r="CX60" s="230">
        <v>4099</v>
      </c>
      <c r="CY60" s="228">
        <v>72</v>
      </c>
      <c r="CZ60" s="229">
        <v>1.7600000000000001E-2</v>
      </c>
      <c r="DA60" s="228">
        <v>26.75</v>
      </c>
      <c r="DB60" s="228">
        <v>24.39</v>
      </c>
      <c r="DC60" s="228">
        <v>2.36</v>
      </c>
      <c r="DD60" s="228">
        <v>2.36</v>
      </c>
      <c r="DE60" s="228">
        <v>26.29</v>
      </c>
      <c r="DF60" s="228">
        <v>26.3</v>
      </c>
      <c r="DG60" s="228">
        <v>0.46</v>
      </c>
      <c r="DH60" s="228">
        <v>-0.01</v>
      </c>
      <c r="DI60" s="228">
        <v>27.09</v>
      </c>
      <c r="DJ60" s="228">
        <v>25.62</v>
      </c>
      <c r="DK60" s="228">
        <v>1.47</v>
      </c>
      <c r="DL60" s="228">
        <v>1.47</v>
      </c>
      <c r="DM60" s="228">
        <v>26.24</v>
      </c>
      <c r="DN60" s="228">
        <v>21.99</v>
      </c>
      <c r="DO60" s="228">
        <v>4.25</v>
      </c>
      <c r="DP60" s="228">
        <v>4.25</v>
      </c>
      <c r="DQ60" s="228">
        <v>0.49</v>
      </c>
      <c r="DR60" s="228">
        <v>0.51</v>
      </c>
      <c r="DS60" s="228">
        <v>-0.02</v>
      </c>
      <c r="DT60" s="229">
        <v>-3.9199999999999999E-2</v>
      </c>
      <c r="DU60" s="231">
        <v>7800</v>
      </c>
      <c r="DV60" s="231">
        <v>7000</v>
      </c>
      <c r="DW60" s="228">
        <v>0.43</v>
      </c>
      <c r="DX60" s="228">
        <v>0.51</v>
      </c>
      <c r="DY60" s="228">
        <v>-0.08</v>
      </c>
      <c r="DZ60" s="229">
        <v>-0.15690000000000001</v>
      </c>
      <c r="EA60" s="229">
        <v>0.52969999999999995</v>
      </c>
      <c r="EB60" s="230">
        <v>781400</v>
      </c>
      <c r="EC60" s="229">
        <v>6.1000000000000004E-3</v>
      </c>
      <c r="ED60" s="229">
        <v>0.52969999999999995</v>
      </c>
      <c r="EE60" s="228">
        <v>38.65</v>
      </c>
      <c r="EF60" s="229">
        <v>5.4000000000000003E-3</v>
      </c>
      <c r="EG60" s="230">
        <v>205195</v>
      </c>
      <c r="EH60" s="230">
        <v>281658</v>
      </c>
      <c r="EI60" s="229">
        <v>-0.27150000000000002</v>
      </c>
      <c r="EJ60" s="229">
        <v>0.55059999999999998</v>
      </c>
      <c r="EK60" s="231">
        <v>3730.93</v>
      </c>
      <c r="EL60" s="231">
        <v>1545.41</v>
      </c>
      <c r="EM60" s="231">
        <v>1889.18</v>
      </c>
      <c r="EN60" s="228">
        <v>83.25</v>
      </c>
      <c r="EO60" s="231">
        <v>7165.52</v>
      </c>
      <c r="EP60" s="231">
        <v>6688.31</v>
      </c>
      <c r="EQ60" s="228">
        <v>477.21</v>
      </c>
      <c r="ER60" s="229">
        <v>7.1300000000000002E-2</v>
      </c>
      <c r="ES60" s="231">
        <v>1470.26</v>
      </c>
      <c r="ET60" s="228">
        <v>674.69</v>
      </c>
      <c r="EU60" s="231">
        <v>2152.1999999999998</v>
      </c>
      <c r="EV60" s="231">
        <v>19199175</v>
      </c>
      <c r="EW60" s="231">
        <v>4297.1499999999996</v>
      </c>
      <c r="EX60" s="231">
        <v>4249.62</v>
      </c>
      <c r="EY60" s="228">
        <v>47.53</v>
      </c>
      <c r="EZ60" s="229">
        <v>1.12E-2</v>
      </c>
      <c r="FA60" s="229">
        <v>0.30859999999999999</v>
      </c>
      <c r="FB60" s="227" t="s">
        <v>567</v>
      </c>
      <c r="FC60">
        <f t="shared" si="0"/>
        <v>1136</v>
      </c>
    </row>
    <row r="61" spans="1:159" ht="17.25" thickBot="1" x14ac:dyDescent="0.3">
      <c r="A61" s="226">
        <v>46044</v>
      </c>
      <c r="B61" s="227" t="s">
        <v>615</v>
      </c>
      <c r="C61" s="227" t="s">
        <v>667</v>
      </c>
      <c r="D61" s="228">
        <v>2425</v>
      </c>
      <c r="E61" s="228">
        <v>5</v>
      </c>
      <c r="F61" s="228">
        <v>276.39999999999998</v>
      </c>
      <c r="G61" s="228">
        <v>283.85000000000002</v>
      </c>
      <c r="H61" s="228">
        <v>-7.45</v>
      </c>
      <c r="I61" s="229">
        <v>-2.6200000000000001E-2</v>
      </c>
      <c r="J61" s="228">
        <v>275.89999999999998</v>
      </c>
      <c r="K61" s="228">
        <v>283.5</v>
      </c>
      <c r="L61" s="228">
        <v>-7.6</v>
      </c>
      <c r="M61" s="229">
        <v>-2.6800000000000001E-2</v>
      </c>
      <c r="N61" s="228">
        <v>276.39999999999998</v>
      </c>
      <c r="O61" s="228">
        <v>283.85000000000002</v>
      </c>
      <c r="P61" s="228">
        <v>-7.45</v>
      </c>
      <c r="Q61" s="229">
        <v>-2.6200000000000001E-2</v>
      </c>
      <c r="R61" s="228">
        <v>277.85000000000002</v>
      </c>
      <c r="S61" s="228">
        <v>285.45</v>
      </c>
      <c r="T61" s="228">
        <v>-7.6</v>
      </c>
      <c r="U61" s="229">
        <v>-2.6599999999999999E-2</v>
      </c>
      <c r="V61" s="228">
        <v>279.3</v>
      </c>
      <c r="W61" s="228">
        <v>286.10000000000002</v>
      </c>
      <c r="X61" s="228">
        <v>-6.8</v>
      </c>
      <c r="Y61" s="229">
        <v>-2.3800000000000002E-2</v>
      </c>
      <c r="Z61" s="228">
        <v>0.5</v>
      </c>
      <c r="AA61" s="228">
        <v>0.35</v>
      </c>
      <c r="AB61" s="228">
        <v>0.15</v>
      </c>
      <c r="AC61" s="229">
        <v>1.8E-3</v>
      </c>
      <c r="AD61" s="228">
        <v>0.5</v>
      </c>
      <c r="AE61" s="228">
        <v>0.35</v>
      </c>
      <c r="AF61" s="228">
        <v>0.15</v>
      </c>
      <c r="AG61" s="229">
        <v>1.8E-3</v>
      </c>
      <c r="AH61" s="228">
        <v>1.95</v>
      </c>
      <c r="AI61" s="228">
        <v>1.95</v>
      </c>
      <c r="AJ61" s="228">
        <v>0</v>
      </c>
      <c r="AK61" s="229">
        <v>7.1000000000000004E-3</v>
      </c>
      <c r="AL61" s="228">
        <v>3.4</v>
      </c>
      <c r="AM61" s="228">
        <v>2.6</v>
      </c>
      <c r="AN61" s="228">
        <v>0.8</v>
      </c>
      <c r="AO61" s="229">
        <v>1.23E-2</v>
      </c>
      <c r="AP61" s="228">
        <v>285.62</v>
      </c>
      <c r="AQ61" s="228">
        <v>284.76</v>
      </c>
      <c r="AR61" s="228">
        <v>0</v>
      </c>
      <c r="AS61" s="230">
        <v>9833</v>
      </c>
      <c r="AT61" s="230">
        <v>8058</v>
      </c>
      <c r="AU61" s="230">
        <v>1775</v>
      </c>
      <c r="AV61" s="229">
        <v>0.2203</v>
      </c>
      <c r="AW61" s="230">
        <v>5350</v>
      </c>
      <c r="AX61" s="230">
        <v>4522</v>
      </c>
      <c r="AY61" s="228">
        <v>829</v>
      </c>
      <c r="AZ61" s="229">
        <v>0.18329999999999999</v>
      </c>
      <c r="BA61" s="230">
        <v>4407</v>
      </c>
      <c r="BB61" s="230">
        <v>3511</v>
      </c>
      <c r="BC61" s="228">
        <v>897</v>
      </c>
      <c r="BD61" s="229">
        <v>0.25540000000000002</v>
      </c>
      <c r="BE61" s="228">
        <v>75</v>
      </c>
      <c r="BF61" s="228">
        <v>26</v>
      </c>
      <c r="BG61" s="228">
        <v>49</v>
      </c>
      <c r="BH61" s="229">
        <v>1.9240999999999999</v>
      </c>
      <c r="BI61" s="230">
        <v>17891</v>
      </c>
      <c r="BJ61" s="230">
        <v>12550</v>
      </c>
      <c r="BK61" s="230">
        <v>5341</v>
      </c>
      <c r="BL61" s="229">
        <v>0.42559999999999998</v>
      </c>
      <c r="BM61" s="230">
        <v>14563</v>
      </c>
      <c r="BN61" s="230">
        <v>7781</v>
      </c>
      <c r="BO61" s="230">
        <v>6782</v>
      </c>
      <c r="BP61" s="229">
        <v>0.87150000000000005</v>
      </c>
      <c r="BQ61" s="230">
        <v>42286</v>
      </c>
      <c r="BR61" s="230">
        <v>28389</v>
      </c>
      <c r="BS61" s="230">
        <v>13898</v>
      </c>
      <c r="BT61" s="229">
        <v>0.48949999999999999</v>
      </c>
      <c r="BU61" s="230">
        <v>162774847</v>
      </c>
      <c r="BV61" s="230">
        <v>75902744</v>
      </c>
      <c r="BW61" s="230">
        <v>86872103</v>
      </c>
      <c r="BX61" s="229">
        <v>1.1445000000000001</v>
      </c>
      <c r="BY61" s="230">
        <v>9525</v>
      </c>
      <c r="BZ61" s="230">
        <v>9184</v>
      </c>
      <c r="CA61" s="228">
        <v>341</v>
      </c>
      <c r="CB61" s="229">
        <v>3.7100000000000001E-2</v>
      </c>
      <c r="CC61" s="230">
        <v>2949</v>
      </c>
      <c r="CD61" s="230">
        <v>5517</v>
      </c>
      <c r="CE61" s="230">
        <v>-2569</v>
      </c>
      <c r="CF61" s="229">
        <v>-0.46560000000000001</v>
      </c>
      <c r="CG61" s="230">
        <v>6446</v>
      </c>
      <c r="CH61" s="230">
        <v>3578</v>
      </c>
      <c r="CI61" s="230">
        <v>2868</v>
      </c>
      <c r="CJ61" s="229">
        <v>0.80169999999999997</v>
      </c>
      <c r="CK61" s="228">
        <v>131</v>
      </c>
      <c r="CL61" s="228">
        <v>89</v>
      </c>
      <c r="CM61" s="228">
        <v>41</v>
      </c>
      <c r="CN61" s="229">
        <v>0.46139999999999998</v>
      </c>
      <c r="CO61" s="230">
        <v>3030</v>
      </c>
      <c r="CP61" s="230">
        <v>2833</v>
      </c>
      <c r="CQ61" s="228">
        <v>197</v>
      </c>
      <c r="CR61" s="229">
        <v>6.9599999999999995E-2</v>
      </c>
      <c r="CS61" s="230">
        <v>1669</v>
      </c>
      <c r="CT61" s="230">
        <v>2169</v>
      </c>
      <c r="CU61" s="228">
        <v>-501</v>
      </c>
      <c r="CV61" s="229">
        <v>-0.23080000000000001</v>
      </c>
      <c r="CW61" s="230">
        <v>14223</v>
      </c>
      <c r="CX61" s="230">
        <v>14186</v>
      </c>
      <c r="CY61" s="228">
        <v>37</v>
      </c>
      <c r="CZ61" s="229">
        <v>2.5999999999999999E-3</v>
      </c>
      <c r="DA61" s="228">
        <v>41.59</v>
      </c>
      <c r="DB61" s="228">
        <v>73.98</v>
      </c>
      <c r="DC61" s="228">
        <v>-32.39</v>
      </c>
      <c r="DD61" s="228">
        <v>-32.39</v>
      </c>
      <c r="DE61" s="228">
        <v>43.44</v>
      </c>
      <c r="DF61" s="228">
        <v>43.4</v>
      </c>
      <c r="DG61" s="228">
        <v>-1.85</v>
      </c>
      <c r="DH61" s="228">
        <v>0.04</v>
      </c>
      <c r="DI61" s="228">
        <v>41.61</v>
      </c>
      <c r="DJ61" s="228">
        <v>71.88</v>
      </c>
      <c r="DK61" s="228">
        <v>-30.27</v>
      </c>
      <c r="DL61" s="228">
        <v>-30.27</v>
      </c>
      <c r="DM61" s="228">
        <v>41.55</v>
      </c>
      <c r="DN61" s="228">
        <v>77.349999999999994</v>
      </c>
      <c r="DO61" s="228">
        <v>-35.799999999999997</v>
      </c>
      <c r="DP61" s="228">
        <v>-35.799999999999997</v>
      </c>
      <c r="DQ61" s="228">
        <v>0.55000000000000004</v>
      </c>
      <c r="DR61" s="228">
        <v>0.77</v>
      </c>
      <c r="DS61" s="228">
        <v>-0.22</v>
      </c>
      <c r="DT61" s="229">
        <v>-0.28570000000000001</v>
      </c>
      <c r="DU61" s="228">
        <v>300</v>
      </c>
      <c r="DV61" s="228">
        <v>265</v>
      </c>
      <c r="DW61" s="228">
        <v>0.81</v>
      </c>
      <c r="DX61" s="228">
        <v>0.62</v>
      </c>
      <c r="DY61" s="228">
        <v>0.19</v>
      </c>
      <c r="DZ61" s="229">
        <v>0.30649999999999999</v>
      </c>
      <c r="EA61" s="229">
        <v>0.69040000000000001</v>
      </c>
      <c r="EB61" s="230">
        <v>132666900</v>
      </c>
      <c r="EC61" s="229">
        <v>5.1999999999999998E-3</v>
      </c>
      <c r="ED61" s="229">
        <v>0.69040000000000001</v>
      </c>
      <c r="EE61" s="228">
        <v>-0.86</v>
      </c>
      <c r="EF61" s="229">
        <v>-3.0000000000000001E-3</v>
      </c>
      <c r="EG61" s="230">
        <v>65857674</v>
      </c>
      <c r="EH61" s="230">
        <v>27928735</v>
      </c>
      <c r="EI61" s="229">
        <v>1.3581000000000001</v>
      </c>
      <c r="EJ61" s="229">
        <v>0.40460000000000002</v>
      </c>
      <c r="EK61" s="231">
        <v>19560.04</v>
      </c>
      <c r="EL61" s="231">
        <v>14583.61</v>
      </c>
      <c r="EM61" s="231">
        <v>10146.76</v>
      </c>
      <c r="EN61" s="228">
        <v>547.46</v>
      </c>
      <c r="EO61" s="231">
        <v>44290.41</v>
      </c>
      <c r="EP61" s="231">
        <v>29536.42</v>
      </c>
      <c r="EQ61" s="231">
        <v>14754</v>
      </c>
      <c r="ER61" s="229">
        <v>0.4995</v>
      </c>
      <c r="ES61" s="231">
        <v>3290.37</v>
      </c>
      <c r="ET61" s="231">
        <v>1646.45</v>
      </c>
      <c r="EU61" s="231">
        <v>9559.92</v>
      </c>
      <c r="EV61" s="231">
        <v>1251309857</v>
      </c>
      <c r="EW61" s="231">
        <v>14496.74</v>
      </c>
      <c r="EX61" s="231">
        <v>14657.94</v>
      </c>
      <c r="EY61" s="228">
        <v>-161.19999999999999</v>
      </c>
      <c r="EZ61" s="229">
        <v>-1.0999999999999999E-2</v>
      </c>
      <c r="FA61" s="229">
        <v>0.41120000000000001</v>
      </c>
      <c r="FB61" s="227" t="s">
        <v>567</v>
      </c>
      <c r="FC61">
        <f t="shared" si="0"/>
        <v>6576</v>
      </c>
    </row>
    <row r="62" spans="1:159" ht="17.25" thickBot="1" x14ac:dyDescent="0.3">
      <c r="A62" s="226">
        <v>46044</v>
      </c>
      <c r="B62" s="227" t="s">
        <v>162</v>
      </c>
      <c r="C62" s="227" t="s">
        <v>211</v>
      </c>
      <c r="D62" s="228">
        <v>1800</v>
      </c>
      <c r="E62" s="228">
        <v>5</v>
      </c>
      <c r="F62" s="228">
        <v>334.45</v>
      </c>
      <c r="G62" s="228">
        <v>326.25</v>
      </c>
      <c r="H62" s="228">
        <v>8.1999999999999993</v>
      </c>
      <c r="I62" s="229">
        <v>2.5100000000000001E-2</v>
      </c>
      <c r="J62" s="228">
        <v>334.25</v>
      </c>
      <c r="K62" s="228">
        <v>325.95</v>
      </c>
      <c r="L62" s="228">
        <v>8.3000000000000007</v>
      </c>
      <c r="M62" s="229">
        <v>2.5499999999999998E-2</v>
      </c>
      <c r="N62" s="228">
        <v>334.45</v>
      </c>
      <c r="O62" s="228">
        <v>326.25</v>
      </c>
      <c r="P62" s="228">
        <v>8.1999999999999993</v>
      </c>
      <c r="Q62" s="229">
        <v>2.5100000000000001E-2</v>
      </c>
      <c r="R62" s="228">
        <v>336.1</v>
      </c>
      <c r="S62" s="228">
        <v>328</v>
      </c>
      <c r="T62" s="228">
        <v>8.1</v>
      </c>
      <c r="U62" s="229">
        <v>2.47E-2</v>
      </c>
      <c r="V62" s="228">
        <v>338.05</v>
      </c>
      <c r="W62" s="228">
        <v>330.5</v>
      </c>
      <c r="X62" s="228">
        <v>7.55</v>
      </c>
      <c r="Y62" s="229">
        <v>2.2800000000000001E-2</v>
      </c>
      <c r="Z62" s="228">
        <v>0.2</v>
      </c>
      <c r="AA62" s="228">
        <v>0.3</v>
      </c>
      <c r="AB62" s="228">
        <v>-0.1</v>
      </c>
      <c r="AC62" s="229">
        <v>5.9999999999999995E-4</v>
      </c>
      <c r="AD62" s="228">
        <v>0.2</v>
      </c>
      <c r="AE62" s="228">
        <v>0.3</v>
      </c>
      <c r="AF62" s="228">
        <v>-0.1</v>
      </c>
      <c r="AG62" s="229">
        <v>5.9999999999999995E-4</v>
      </c>
      <c r="AH62" s="228">
        <v>1.85</v>
      </c>
      <c r="AI62" s="228">
        <v>2.0499999999999998</v>
      </c>
      <c r="AJ62" s="228">
        <v>-0.2</v>
      </c>
      <c r="AK62" s="229">
        <v>5.4999999999999997E-3</v>
      </c>
      <c r="AL62" s="228">
        <v>3.8</v>
      </c>
      <c r="AM62" s="228">
        <v>4.55</v>
      </c>
      <c r="AN62" s="228">
        <v>-0.75</v>
      </c>
      <c r="AO62" s="229">
        <v>1.14E-2</v>
      </c>
      <c r="AP62" s="228">
        <v>333.1</v>
      </c>
      <c r="AQ62" s="228">
        <v>334.83</v>
      </c>
      <c r="AR62" s="228">
        <v>0</v>
      </c>
      <c r="AS62" s="228">
        <v>583</v>
      </c>
      <c r="AT62" s="228">
        <v>551</v>
      </c>
      <c r="AU62" s="228">
        <v>32</v>
      </c>
      <c r="AV62" s="229">
        <v>5.8799999999999998E-2</v>
      </c>
      <c r="AW62" s="228">
        <v>297</v>
      </c>
      <c r="AX62" s="228">
        <v>287</v>
      </c>
      <c r="AY62" s="228">
        <v>10</v>
      </c>
      <c r="AZ62" s="229">
        <v>3.5900000000000001E-2</v>
      </c>
      <c r="BA62" s="228">
        <v>282</v>
      </c>
      <c r="BB62" s="228">
        <v>255</v>
      </c>
      <c r="BC62" s="228">
        <v>26</v>
      </c>
      <c r="BD62" s="229">
        <v>0.10349999999999999</v>
      </c>
      <c r="BE62" s="228">
        <v>4</v>
      </c>
      <c r="BF62" s="228">
        <v>9</v>
      </c>
      <c r="BG62" s="228">
        <v>-4</v>
      </c>
      <c r="BH62" s="229">
        <v>-0.50700000000000001</v>
      </c>
      <c r="BI62" s="228">
        <v>543</v>
      </c>
      <c r="BJ62" s="228">
        <v>788</v>
      </c>
      <c r="BK62" s="228">
        <v>-246</v>
      </c>
      <c r="BL62" s="229">
        <v>-0.31159999999999999</v>
      </c>
      <c r="BM62" s="228">
        <v>298</v>
      </c>
      <c r="BN62" s="228">
        <v>534</v>
      </c>
      <c r="BO62" s="228">
        <v>-236</v>
      </c>
      <c r="BP62" s="229">
        <v>-0.44269999999999998</v>
      </c>
      <c r="BQ62" s="230">
        <v>1423</v>
      </c>
      <c r="BR62" s="230">
        <v>1873</v>
      </c>
      <c r="BS62" s="228">
        <v>-450</v>
      </c>
      <c r="BT62" s="229">
        <v>-0.24</v>
      </c>
      <c r="BU62" s="230">
        <v>1397950</v>
      </c>
      <c r="BV62" s="230">
        <v>2939996</v>
      </c>
      <c r="BW62" s="230">
        <v>-1542046</v>
      </c>
      <c r="BX62" s="229">
        <v>-0.52449999999999997</v>
      </c>
      <c r="BY62" s="230">
        <v>1089</v>
      </c>
      <c r="BZ62" s="230">
        <v>1119</v>
      </c>
      <c r="CA62" s="228">
        <v>-30</v>
      </c>
      <c r="CB62" s="229">
        <v>-2.7199999999999998E-2</v>
      </c>
      <c r="CC62" s="228">
        <v>561</v>
      </c>
      <c r="CD62" s="228">
        <v>779</v>
      </c>
      <c r="CE62" s="228">
        <v>-218</v>
      </c>
      <c r="CF62" s="229">
        <v>-0.27979999999999999</v>
      </c>
      <c r="CG62" s="228">
        <v>507</v>
      </c>
      <c r="CH62" s="228">
        <v>320</v>
      </c>
      <c r="CI62" s="228">
        <v>187</v>
      </c>
      <c r="CJ62" s="229">
        <v>0.58499999999999996</v>
      </c>
      <c r="CK62" s="228">
        <v>21</v>
      </c>
      <c r="CL62" s="228">
        <v>20</v>
      </c>
      <c r="CM62" s="228">
        <v>0</v>
      </c>
      <c r="CN62" s="229">
        <v>1.78E-2</v>
      </c>
      <c r="CO62" s="228">
        <v>630</v>
      </c>
      <c r="CP62" s="228">
        <v>709</v>
      </c>
      <c r="CQ62" s="228">
        <v>-79</v>
      </c>
      <c r="CR62" s="229">
        <v>-0.11119999999999999</v>
      </c>
      <c r="CS62" s="228">
        <v>403</v>
      </c>
      <c r="CT62" s="228">
        <v>421</v>
      </c>
      <c r="CU62" s="228">
        <v>-18</v>
      </c>
      <c r="CV62" s="229">
        <v>-4.2299999999999997E-2</v>
      </c>
      <c r="CW62" s="230">
        <v>2122</v>
      </c>
      <c r="CX62" s="230">
        <v>2249</v>
      </c>
      <c r="CY62" s="228">
        <v>-127</v>
      </c>
      <c r="CZ62" s="229">
        <v>-5.6500000000000002E-2</v>
      </c>
      <c r="DA62" s="228">
        <v>28.58</v>
      </c>
      <c r="DB62" s="228">
        <v>27.14</v>
      </c>
      <c r="DC62" s="228">
        <v>1.44</v>
      </c>
      <c r="DD62" s="228">
        <v>1.44</v>
      </c>
      <c r="DE62" s="228">
        <v>32.75</v>
      </c>
      <c r="DF62" s="228">
        <v>32.659999999999997</v>
      </c>
      <c r="DG62" s="228">
        <v>-4.17</v>
      </c>
      <c r="DH62" s="228">
        <v>0.09</v>
      </c>
      <c r="DI62" s="228">
        <v>28.11</v>
      </c>
      <c r="DJ62" s="228">
        <v>28.45</v>
      </c>
      <c r="DK62" s="228">
        <v>-0.34</v>
      </c>
      <c r="DL62" s="228">
        <v>-0.34</v>
      </c>
      <c r="DM62" s="228">
        <v>29.27</v>
      </c>
      <c r="DN62" s="228">
        <v>25.21</v>
      </c>
      <c r="DO62" s="228">
        <v>4.0599999999999996</v>
      </c>
      <c r="DP62" s="228">
        <v>4.0599999999999996</v>
      </c>
      <c r="DQ62" s="228">
        <v>0.64</v>
      </c>
      <c r="DR62" s="228">
        <v>0.59</v>
      </c>
      <c r="DS62" s="228">
        <v>0.05</v>
      </c>
      <c r="DT62" s="229">
        <v>8.4699999999999998E-2</v>
      </c>
      <c r="DU62" s="228">
        <v>380</v>
      </c>
      <c r="DV62" s="228">
        <v>325</v>
      </c>
      <c r="DW62" s="228">
        <v>0.55000000000000004</v>
      </c>
      <c r="DX62" s="228">
        <v>0.68</v>
      </c>
      <c r="DY62" s="228">
        <v>-0.13</v>
      </c>
      <c r="DZ62" s="229">
        <v>-0.19120000000000001</v>
      </c>
      <c r="EA62" s="229">
        <v>0.48480000000000001</v>
      </c>
      <c r="EB62" s="230">
        <v>10175400</v>
      </c>
      <c r="EC62" s="229">
        <v>4.8999999999999998E-3</v>
      </c>
      <c r="ED62" s="229">
        <v>0.48480000000000001</v>
      </c>
      <c r="EE62" s="228">
        <v>1.73</v>
      </c>
      <c r="EF62" s="229">
        <v>5.1999999999999998E-3</v>
      </c>
      <c r="EG62" s="230">
        <v>516696</v>
      </c>
      <c r="EH62" s="230">
        <v>1298659</v>
      </c>
      <c r="EI62" s="229">
        <v>-0.60209999999999997</v>
      </c>
      <c r="EJ62" s="229">
        <v>0.36959999999999998</v>
      </c>
      <c r="EK62" s="228">
        <v>567.48</v>
      </c>
      <c r="EL62" s="228">
        <v>302.42</v>
      </c>
      <c r="EM62" s="228">
        <v>582.19000000000005</v>
      </c>
      <c r="EN62" s="228">
        <v>43.11</v>
      </c>
      <c r="EO62" s="231">
        <v>1452.09</v>
      </c>
      <c r="EP62" s="231">
        <v>1900.54</v>
      </c>
      <c r="EQ62" s="228">
        <v>-448.45</v>
      </c>
      <c r="ER62" s="229">
        <v>-0.23599999999999999</v>
      </c>
      <c r="ES62" s="228">
        <v>691.79</v>
      </c>
      <c r="ET62" s="228">
        <v>423.67</v>
      </c>
      <c r="EU62" s="231">
        <v>1091.6400000000001</v>
      </c>
      <c r="EV62" s="231">
        <v>68856800</v>
      </c>
      <c r="EW62" s="231">
        <v>2207.1</v>
      </c>
      <c r="EX62" s="231">
        <v>2314.46</v>
      </c>
      <c r="EY62" s="228">
        <v>-107.36</v>
      </c>
      <c r="EZ62" s="229">
        <v>-4.6399999999999997E-2</v>
      </c>
      <c r="FA62" s="229">
        <v>0.92159999999999997</v>
      </c>
      <c r="FB62" s="227" t="s">
        <v>556</v>
      </c>
      <c r="FC62">
        <f t="shared" si="0"/>
        <v>528</v>
      </c>
    </row>
    <row r="63" spans="1:159" ht="17.25" thickBot="1" x14ac:dyDescent="0.3">
      <c r="A63" s="226">
        <v>46044</v>
      </c>
      <c r="B63" s="227" t="s">
        <v>172</v>
      </c>
      <c r="C63" s="227" t="s">
        <v>212</v>
      </c>
      <c r="D63" s="228">
        <v>5000</v>
      </c>
      <c r="E63" s="228">
        <v>5</v>
      </c>
      <c r="F63" s="228">
        <v>281.95</v>
      </c>
      <c r="G63" s="228">
        <v>275.95</v>
      </c>
      <c r="H63" s="228">
        <v>6</v>
      </c>
      <c r="I63" s="229">
        <v>2.1700000000000001E-2</v>
      </c>
      <c r="J63" s="228">
        <v>282.2</v>
      </c>
      <c r="K63" s="228">
        <v>276.10000000000002</v>
      </c>
      <c r="L63" s="228">
        <v>6.1</v>
      </c>
      <c r="M63" s="229">
        <v>2.2100000000000002E-2</v>
      </c>
      <c r="N63" s="228">
        <v>281.95</v>
      </c>
      <c r="O63" s="228">
        <v>275.95</v>
      </c>
      <c r="P63" s="228">
        <v>6</v>
      </c>
      <c r="Q63" s="229">
        <v>2.1700000000000001E-2</v>
      </c>
      <c r="R63" s="228">
        <v>283.25</v>
      </c>
      <c r="S63" s="228">
        <v>276.95</v>
      </c>
      <c r="T63" s="228">
        <v>6.3</v>
      </c>
      <c r="U63" s="229">
        <v>2.2700000000000001E-2</v>
      </c>
      <c r="V63" s="228">
        <v>283.85000000000002</v>
      </c>
      <c r="W63" s="228">
        <v>278.05</v>
      </c>
      <c r="X63" s="228">
        <v>5.8</v>
      </c>
      <c r="Y63" s="229">
        <v>2.0899999999999998E-2</v>
      </c>
      <c r="Z63" s="228">
        <v>-0.25</v>
      </c>
      <c r="AA63" s="228">
        <v>-0.15</v>
      </c>
      <c r="AB63" s="228">
        <v>-0.1</v>
      </c>
      <c r="AC63" s="229">
        <v>-8.9999999999999998E-4</v>
      </c>
      <c r="AD63" s="228">
        <v>-0.25</v>
      </c>
      <c r="AE63" s="228">
        <v>-0.15</v>
      </c>
      <c r="AF63" s="228">
        <v>-0.1</v>
      </c>
      <c r="AG63" s="229">
        <v>-8.9999999999999998E-4</v>
      </c>
      <c r="AH63" s="228">
        <v>1.05</v>
      </c>
      <c r="AI63" s="228">
        <v>0.85</v>
      </c>
      <c r="AJ63" s="228">
        <v>0.2</v>
      </c>
      <c r="AK63" s="229">
        <v>3.7000000000000002E-3</v>
      </c>
      <c r="AL63" s="228">
        <v>1.65</v>
      </c>
      <c r="AM63" s="228">
        <v>1.95</v>
      </c>
      <c r="AN63" s="228">
        <v>-0.3</v>
      </c>
      <c r="AO63" s="229">
        <v>5.7999999999999996E-3</v>
      </c>
      <c r="AP63" s="228">
        <v>282.5</v>
      </c>
      <c r="AQ63" s="228">
        <v>283.77999999999997</v>
      </c>
      <c r="AR63" s="228">
        <v>0</v>
      </c>
      <c r="AS63" s="230">
        <v>2377</v>
      </c>
      <c r="AT63" s="230">
        <v>1613</v>
      </c>
      <c r="AU63" s="228">
        <v>764</v>
      </c>
      <c r="AV63" s="229">
        <v>0.47339999999999999</v>
      </c>
      <c r="AW63" s="230">
        <v>1229</v>
      </c>
      <c r="AX63" s="228">
        <v>957</v>
      </c>
      <c r="AY63" s="228">
        <v>272</v>
      </c>
      <c r="AZ63" s="229">
        <v>0.28420000000000001</v>
      </c>
      <c r="BA63" s="230">
        <v>1126</v>
      </c>
      <c r="BB63" s="228">
        <v>638</v>
      </c>
      <c r="BC63" s="228">
        <v>488</v>
      </c>
      <c r="BD63" s="229">
        <v>0.76470000000000005</v>
      </c>
      <c r="BE63" s="228">
        <v>22</v>
      </c>
      <c r="BF63" s="228">
        <v>18</v>
      </c>
      <c r="BG63" s="228">
        <v>4</v>
      </c>
      <c r="BH63" s="229">
        <v>0.2031</v>
      </c>
      <c r="BI63" s="230">
        <v>7533</v>
      </c>
      <c r="BJ63" s="230">
        <v>4675</v>
      </c>
      <c r="BK63" s="230">
        <v>2858</v>
      </c>
      <c r="BL63" s="229">
        <v>0.61140000000000005</v>
      </c>
      <c r="BM63" s="230">
        <v>4156</v>
      </c>
      <c r="BN63" s="230">
        <v>4243</v>
      </c>
      <c r="BO63" s="228">
        <v>-87</v>
      </c>
      <c r="BP63" s="229">
        <v>-2.0500000000000001E-2</v>
      </c>
      <c r="BQ63" s="230">
        <v>14066</v>
      </c>
      <c r="BR63" s="230">
        <v>10531</v>
      </c>
      <c r="BS63" s="230">
        <v>3535</v>
      </c>
      <c r="BT63" s="229">
        <v>0.3357</v>
      </c>
      <c r="BU63" s="230">
        <v>17355508</v>
      </c>
      <c r="BV63" s="230">
        <v>12308683</v>
      </c>
      <c r="BW63" s="230">
        <v>5046825</v>
      </c>
      <c r="BX63" s="229">
        <v>0.41</v>
      </c>
      <c r="BY63" s="230">
        <v>1917</v>
      </c>
      <c r="BZ63" s="230">
        <v>1796</v>
      </c>
      <c r="CA63" s="228">
        <v>121</v>
      </c>
      <c r="CB63" s="229">
        <v>6.7100000000000007E-2</v>
      </c>
      <c r="CC63" s="228">
        <v>845</v>
      </c>
      <c r="CD63" s="230">
        <v>1136</v>
      </c>
      <c r="CE63" s="228">
        <v>-290</v>
      </c>
      <c r="CF63" s="229">
        <v>-0.25569999999999998</v>
      </c>
      <c r="CG63" s="230">
        <v>1027</v>
      </c>
      <c r="CH63" s="228">
        <v>617</v>
      </c>
      <c r="CI63" s="228">
        <v>409</v>
      </c>
      <c r="CJ63" s="229">
        <v>0.66290000000000004</v>
      </c>
      <c r="CK63" s="228">
        <v>45</v>
      </c>
      <c r="CL63" s="228">
        <v>43</v>
      </c>
      <c r="CM63" s="228">
        <v>2</v>
      </c>
      <c r="CN63" s="229">
        <v>3.9E-2</v>
      </c>
      <c r="CO63" s="230">
        <v>1637</v>
      </c>
      <c r="CP63" s="230">
        <v>1700</v>
      </c>
      <c r="CQ63" s="228">
        <v>-63</v>
      </c>
      <c r="CR63" s="229">
        <v>-3.7100000000000001E-2</v>
      </c>
      <c r="CS63" s="230">
        <v>1860</v>
      </c>
      <c r="CT63" s="230">
        <v>1851</v>
      </c>
      <c r="CU63" s="228">
        <v>8</v>
      </c>
      <c r="CV63" s="229">
        <v>4.5999999999999999E-3</v>
      </c>
      <c r="CW63" s="230">
        <v>5414</v>
      </c>
      <c r="CX63" s="230">
        <v>5348</v>
      </c>
      <c r="CY63" s="228">
        <v>66</v>
      </c>
      <c r="CZ63" s="229">
        <v>1.23E-2</v>
      </c>
      <c r="DA63" s="228">
        <v>27.91</v>
      </c>
      <c r="DB63" s="228">
        <v>27.3</v>
      </c>
      <c r="DC63" s="228">
        <v>0.61</v>
      </c>
      <c r="DD63" s="228">
        <v>0.61</v>
      </c>
      <c r="DE63" s="228">
        <v>30.69</v>
      </c>
      <c r="DF63" s="228">
        <v>30.63</v>
      </c>
      <c r="DG63" s="228">
        <v>-2.78</v>
      </c>
      <c r="DH63" s="228">
        <v>0.06</v>
      </c>
      <c r="DI63" s="228">
        <v>27.06</v>
      </c>
      <c r="DJ63" s="228">
        <v>25.35</v>
      </c>
      <c r="DK63" s="228">
        <v>1.71</v>
      </c>
      <c r="DL63" s="228">
        <v>1.71</v>
      </c>
      <c r="DM63" s="228">
        <v>28.89</v>
      </c>
      <c r="DN63" s="228">
        <v>29.44</v>
      </c>
      <c r="DO63" s="228">
        <v>-0.55000000000000004</v>
      </c>
      <c r="DP63" s="228">
        <v>-0.55000000000000004</v>
      </c>
      <c r="DQ63" s="228">
        <v>1.1399999999999999</v>
      </c>
      <c r="DR63" s="228">
        <v>1.0900000000000001</v>
      </c>
      <c r="DS63" s="228">
        <v>0.05</v>
      </c>
      <c r="DT63" s="229">
        <v>4.5900000000000003E-2</v>
      </c>
      <c r="DU63" s="228">
        <v>290</v>
      </c>
      <c r="DV63" s="228">
        <v>250</v>
      </c>
      <c r="DW63" s="228">
        <v>0.55000000000000004</v>
      </c>
      <c r="DX63" s="228">
        <v>0.91</v>
      </c>
      <c r="DY63" s="228">
        <v>-0.36</v>
      </c>
      <c r="DZ63" s="229">
        <v>-0.39560000000000001</v>
      </c>
      <c r="EA63" s="229">
        <v>0.55910000000000004</v>
      </c>
      <c r="EB63" s="230">
        <v>23435000</v>
      </c>
      <c r="EC63" s="229">
        <v>4.5999999999999999E-3</v>
      </c>
      <c r="ED63" s="229">
        <v>0.55910000000000004</v>
      </c>
      <c r="EE63" s="228">
        <v>1.28</v>
      </c>
      <c r="EF63" s="229">
        <v>4.4999999999999997E-3</v>
      </c>
      <c r="EG63" s="230">
        <v>7954259</v>
      </c>
      <c r="EH63" s="230">
        <v>5345017</v>
      </c>
      <c r="EI63" s="229">
        <v>0.48820000000000002</v>
      </c>
      <c r="EJ63" s="229">
        <v>0.45829999999999999</v>
      </c>
      <c r="EK63" s="231">
        <v>7769.35</v>
      </c>
      <c r="EL63" s="231">
        <v>4043.59</v>
      </c>
      <c r="EM63" s="231">
        <v>2387.1999999999998</v>
      </c>
      <c r="EN63" s="228">
        <v>166.06</v>
      </c>
      <c r="EO63" s="231">
        <v>14200.14</v>
      </c>
      <c r="EP63" s="231">
        <v>10261.42</v>
      </c>
      <c r="EQ63" s="231">
        <v>3938.72</v>
      </c>
      <c r="ER63" s="229">
        <v>0.38379999999999997</v>
      </c>
      <c r="ES63" s="231">
        <v>1635.06</v>
      </c>
      <c r="ET63" s="231">
        <v>1712</v>
      </c>
      <c r="EU63" s="231">
        <v>1921.87</v>
      </c>
      <c r="EV63" s="231">
        <v>320636733</v>
      </c>
      <c r="EW63" s="231">
        <v>5268.94</v>
      </c>
      <c r="EX63" s="231">
        <v>5135.51</v>
      </c>
      <c r="EY63" s="228">
        <v>133.43</v>
      </c>
      <c r="EZ63" s="229">
        <v>2.5999999999999999E-2</v>
      </c>
      <c r="FA63" s="229">
        <v>0.5988</v>
      </c>
      <c r="FB63" s="227" t="s">
        <v>555</v>
      </c>
      <c r="FC63">
        <f t="shared" si="0"/>
        <v>1072</v>
      </c>
    </row>
    <row r="64" spans="1:159" ht="17.25" thickBot="1" x14ac:dyDescent="0.3">
      <c r="A64" s="226">
        <v>46044</v>
      </c>
      <c r="B64" s="227" t="s">
        <v>181</v>
      </c>
      <c r="C64" s="227" t="s">
        <v>480</v>
      </c>
      <c r="D64" s="228">
        <v>60</v>
      </c>
      <c r="E64" s="228">
        <v>5</v>
      </c>
      <c r="F64" s="231">
        <v>27244.9</v>
      </c>
      <c r="G64" s="231">
        <v>27005</v>
      </c>
      <c r="H64" s="228">
        <v>239.9</v>
      </c>
      <c r="I64" s="229">
        <v>8.8999999999999999E-3</v>
      </c>
      <c r="J64" s="231">
        <v>27149.95</v>
      </c>
      <c r="K64" s="231">
        <v>26963.5</v>
      </c>
      <c r="L64" s="228">
        <v>186.45</v>
      </c>
      <c r="M64" s="229">
        <v>6.8999999999999999E-3</v>
      </c>
      <c r="N64" s="231">
        <v>27244.9</v>
      </c>
      <c r="O64" s="231">
        <v>27005</v>
      </c>
      <c r="P64" s="228">
        <v>239.9</v>
      </c>
      <c r="Q64" s="229">
        <v>8.8999999999999999E-3</v>
      </c>
      <c r="R64" s="231">
        <v>27349.8</v>
      </c>
      <c r="S64" s="231">
        <v>27139.5</v>
      </c>
      <c r="T64" s="228">
        <v>210.3</v>
      </c>
      <c r="U64" s="229">
        <v>7.7000000000000002E-3</v>
      </c>
      <c r="V64" s="228">
        <v>0</v>
      </c>
      <c r="W64" s="228">
        <v>0</v>
      </c>
      <c r="X64" s="228">
        <v>0</v>
      </c>
      <c r="Y64" s="229">
        <v>0</v>
      </c>
      <c r="Z64" s="228">
        <v>94.95</v>
      </c>
      <c r="AA64" s="228">
        <v>41.5</v>
      </c>
      <c r="AB64" s="228">
        <v>53.45</v>
      </c>
      <c r="AC64" s="229">
        <v>3.5000000000000001E-3</v>
      </c>
      <c r="AD64" s="228">
        <v>94.95</v>
      </c>
      <c r="AE64" s="228">
        <v>41.5</v>
      </c>
      <c r="AF64" s="228">
        <v>53.45</v>
      </c>
      <c r="AG64" s="229">
        <v>3.5000000000000001E-3</v>
      </c>
      <c r="AH64" s="228">
        <v>199.85</v>
      </c>
      <c r="AI64" s="228">
        <v>176</v>
      </c>
      <c r="AJ64" s="228">
        <v>23.85</v>
      </c>
      <c r="AK64" s="229">
        <v>7.4000000000000003E-3</v>
      </c>
      <c r="AL64" s="228">
        <v>0</v>
      </c>
      <c r="AM64" s="228">
        <v>0</v>
      </c>
      <c r="AN64" s="228">
        <v>0</v>
      </c>
      <c r="AO64" s="229">
        <v>0</v>
      </c>
      <c r="AP64" s="231">
        <v>27159.25</v>
      </c>
      <c r="AQ64" s="231">
        <v>27293.919999999998</v>
      </c>
      <c r="AR64" s="228">
        <v>0</v>
      </c>
      <c r="AS64" s="228">
        <v>99</v>
      </c>
      <c r="AT64" s="228">
        <v>131</v>
      </c>
      <c r="AU64" s="228">
        <v>-32</v>
      </c>
      <c r="AV64" s="229">
        <v>-0.24440000000000001</v>
      </c>
      <c r="AW64" s="228">
        <v>85</v>
      </c>
      <c r="AX64" s="228">
        <v>99</v>
      </c>
      <c r="AY64" s="228">
        <v>-14</v>
      </c>
      <c r="AZ64" s="229">
        <v>-0.13880000000000001</v>
      </c>
      <c r="BA64" s="228">
        <v>14</v>
      </c>
      <c r="BB64" s="228">
        <v>32</v>
      </c>
      <c r="BC64" s="228">
        <v>-18</v>
      </c>
      <c r="BD64" s="229">
        <v>-0.56850000000000001</v>
      </c>
      <c r="BE64" s="228">
        <v>0</v>
      </c>
      <c r="BF64" s="228">
        <v>0</v>
      </c>
      <c r="BG64" s="228">
        <v>0</v>
      </c>
      <c r="BH64" s="229">
        <v>0</v>
      </c>
      <c r="BI64" s="230">
        <v>19086</v>
      </c>
      <c r="BJ64" s="230">
        <v>30535</v>
      </c>
      <c r="BK64" s="230">
        <v>-11449</v>
      </c>
      <c r="BL64" s="229">
        <v>-0.375</v>
      </c>
      <c r="BM64" s="230">
        <v>15816</v>
      </c>
      <c r="BN64" s="230">
        <v>27182</v>
      </c>
      <c r="BO64" s="230">
        <v>-11366</v>
      </c>
      <c r="BP64" s="229">
        <v>-0.41810000000000003</v>
      </c>
      <c r="BQ64" s="230">
        <v>35001</v>
      </c>
      <c r="BR64" s="230">
        <v>57848</v>
      </c>
      <c r="BS64" s="230">
        <v>-22847</v>
      </c>
      <c r="BT64" s="229">
        <v>-0.39500000000000002</v>
      </c>
      <c r="BU64" s="228">
        <v>0</v>
      </c>
      <c r="BV64" s="228">
        <v>0</v>
      </c>
      <c r="BW64" s="228">
        <v>0</v>
      </c>
      <c r="BX64" s="229">
        <v>0</v>
      </c>
      <c r="BY64" s="228">
        <v>155</v>
      </c>
      <c r="BZ64" s="228">
        <v>150</v>
      </c>
      <c r="CA64" s="228">
        <v>5</v>
      </c>
      <c r="CB64" s="229">
        <v>3.49E-2</v>
      </c>
      <c r="CC64" s="228">
        <v>131</v>
      </c>
      <c r="CD64" s="228">
        <v>131</v>
      </c>
      <c r="CE64" s="228">
        <v>0</v>
      </c>
      <c r="CF64" s="229">
        <v>2.5000000000000001E-3</v>
      </c>
      <c r="CG64" s="228">
        <v>24</v>
      </c>
      <c r="CH64" s="228">
        <v>19</v>
      </c>
      <c r="CI64" s="228">
        <v>5</v>
      </c>
      <c r="CJ64" s="229">
        <v>0.25419999999999998</v>
      </c>
      <c r="CK64" s="228">
        <v>0</v>
      </c>
      <c r="CL64" s="228">
        <v>0</v>
      </c>
      <c r="CM64" s="228">
        <v>0</v>
      </c>
      <c r="CN64" s="229">
        <v>0</v>
      </c>
      <c r="CO64" s="230">
        <v>3264</v>
      </c>
      <c r="CP64" s="230">
        <v>4312</v>
      </c>
      <c r="CQ64" s="230">
        <v>-1048</v>
      </c>
      <c r="CR64" s="229">
        <v>-0.24299999999999999</v>
      </c>
      <c r="CS64" s="230">
        <v>2588</v>
      </c>
      <c r="CT64" s="230">
        <v>2114</v>
      </c>
      <c r="CU64" s="228">
        <v>474</v>
      </c>
      <c r="CV64" s="229">
        <v>0.22439999999999999</v>
      </c>
      <c r="CW64" s="230">
        <v>6007</v>
      </c>
      <c r="CX64" s="230">
        <v>6575</v>
      </c>
      <c r="CY64" s="228">
        <v>-568</v>
      </c>
      <c r="CZ64" s="229">
        <v>-8.6400000000000005E-2</v>
      </c>
      <c r="DA64" s="228">
        <v>14.35</v>
      </c>
      <c r="DB64" s="228">
        <v>14.4</v>
      </c>
      <c r="DC64" s="228">
        <v>-0.05</v>
      </c>
      <c r="DD64" s="228">
        <v>-0.05</v>
      </c>
      <c r="DE64" s="228">
        <v>16.04</v>
      </c>
      <c r="DF64" s="228">
        <v>16.059999999999999</v>
      </c>
      <c r="DG64" s="228">
        <v>-1.69</v>
      </c>
      <c r="DH64" s="228">
        <v>-0.02</v>
      </c>
      <c r="DI64" s="228">
        <v>13.76</v>
      </c>
      <c r="DJ64" s="228">
        <v>14</v>
      </c>
      <c r="DK64" s="228">
        <v>-0.24</v>
      </c>
      <c r="DL64" s="228">
        <v>-0.24</v>
      </c>
      <c r="DM64" s="228">
        <v>15.28</v>
      </c>
      <c r="DN64" s="228">
        <v>14.85</v>
      </c>
      <c r="DO64" s="228">
        <v>0.43</v>
      </c>
      <c r="DP64" s="228">
        <v>0.43</v>
      </c>
      <c r="DQ64" s="228">
        <v>0.79</v>
      </c>
      <c r="DR64" s="228">
        <v>0.49</v>
      </c>
      <c r="DS64" s="228">
        <v>0.3</v>
      </c>
      <c r="DT64" s="229">
        <v>0.61219999999999997</v>
      </c>
      <c r="DU64" s="231">
        <v>27500</v>
      </c>
      <c r="DV64" s="231">
        <v>27000</v>
      </c>
      <c r="DW64" s="228">
        <v>0.83</v>
      </c>
      <c r="DX64" s="228">
        <v>0.89</v>
      </c>
      <c r="DY64" s="228">
        <v>-0.06</v>
      </c>
      <c r="DZ64" s="229">
        <v>-6.7400000000000002E-2</v>
      </c>
      <c r="EA64" s="229">
        <v>0.15579999999999999</v>
      </c>
      <c r="EB64" s="230">
        <v>7080</v>
      </c>
      <c r="EC64" s="229">
        <v>3.8999999999999998E-3</v>
      </c>
      <c r="ED64" s="229">
        <v>0.15579999999999999</v>
      </c>
      <c r="EE64" s="228">
        <v>134.66999999999999</v>
      </c>
      <c r="EF64" s="229">
        <v>5.0000000000000001E-3</v>
      </c>
      <c r="EG64" s="228">
        <v>0</v>
      </c>
      <c r="EH64" s="228">
        <v>0</v>
      </c>
      <c r="EI64" s="229">
        <v>0</v>
      </c>
      <c r="EJ64" s="229">
        <v>0</v>
      </c>
      <c r="EK64" s="231">
        <v>19338.689999999999</v>
      </c>
      <c r="EL64" s="231">
        <v>15502.98</v>
      </c>
      <c r="EM64" s="228">
        <v>98.82</v>
      </c>
      <c r="EN64" s="228">
        <v>0</v>
      </c>
      <c r="EO64" s="231">
        <v>34940.49</v>
      </c>
      <c r="EP64" s="231">
        <v>57784.91</v>
      </c>
      <c r="EQ64" s="231">
        <v>-22844.42</v>
      </c>
      <c r="ER64" s="229">
        <v>-0.39529999999999998</v>
      </c>
      <c r="ES64" s="231">
        <v>3322.39</v>
      </c>
      <c r="ET64" s="231">
        <v>2550.81</v>
      </c>
      <c r="EU64" s="228">
        <v>155.38999999999999</v>
      </c>
      <c r="EV64" s="228">
        <v>0</v>
      </c>
      <c r="EW64" s="231">
        <v>6028.59</v>
      </c>
      <c r="EX64" s="231">
        <v>6621.41</v>
      </c>
      <c r="EY64" s="228">
        <v>-592.82000000000005</v>
      </c>
      <c r="EZ64" s="229">
        <v>-8.9499999999999996E-2</v>
      </c>
      <c r="FA64" s="229">
        <v>0</v>
      </c>
      <c r="FB64" s="227" t="s">
        <v>555</v>
      </c>
      <c r="FC64">
        <f t="shared" si="0"/>
        <v>24</v>
      </c>
    </row>
    <row r="65" spans="1:159" ht="17.25" thickBot="1" x14ac:dyDescent="0.3">
      <c r="A65" s="226">
        <v>46044</v>
      </c>
      <c r="B65" s="227" t="s">
        <v>170</v>
      </c>
      <c r="C65" s="227" t="s">
        <v>677</v>
      </c>
      <c r="D65" s="228">
        <v>775</v>
      </c>
      <c r="E65" s="228">
        <v>5</v>
      </c>
      <c r="F65" s="228">
        <v>842.6</v>
      </c>
      <c r="G65" s="228">
        <v>846.4</v>
      </c>
      <c r="H65" s="228">
        <v>-3.8</v>
      </c>
      <c r="I65" s="229">
        <v>-4.4999999999999997E-3</v>
      </c>
      <c r="J65" s="228">
        <v>841.45</v>
      </c>
      <c r="K65" s="228">
        <v>844.15</v>
      </c>
      <c r="L65" s="228">
        <v>-2.7</v>
      </c>
      <c r="M65" s="229">
        <v>-3.2000000000000002E-3</v>
      </c>
      <c r="N65" s="228">
        <v>842.6</v>
      </c>
      <c r="O65" s="228">
        <v>846.4</v>
      </c>
      <c r="P65" s="228">
        <v>-3.8</v>
      </c>
      <c r="Q65" s="229">
        <v>-4.4999999999999997E-3</v>
      </c>
      <c r="R65" s="228">
        <v>846</v>
      </c>
      <c r="S65" s="228">
        <v>850.75</v>
      </c>
      <c r="T65" s="228">
        <v>-4.75</v>
      </c>
      <c r="U65" s="229">
        <v>-5.5999999999999999E-3</v>
      </c>
      <c r="V65" s="228">
        <v>854.45</v>
      </c>
      <c r="W65" s="228">
        <v>856</v>
      </c>
      <c r="X65" s="228">
        <v>-1.55</v>
      </c>
      <c r="Y65" s="229">
        <v>-1.8E-3</v>
      </c>
      <c r="Z65" s="228">
        <v>1.1499999999999999</v>
      </c>
      <c r="AA65" s="228">
        <v>2.25</v>
      </c>
      <c r="AB65" s="228">
        <v>-1.1000000000000001</v>
      </c>
      <c r="AC65" s="229">
        <v>1.4E-3</v>
      </c>
      <c r="AD65" s="228">
        <v>1.1499999999999999</v>
      </c>
      <c r="AE65" s="228">
        <v>2.25</v>
      </c>
      <c r="AF65" s="228">
        <v>-1.1000000000000001</v>
      </c>
      <c r="AG65" s="229">
        <v>1.4E-3</v>
      </c>
      <c r="AH65" s="228">
        <v>4.55</v>
      </c>
      <c r="AI65" s="228">
        <v>6.6</v>
      </c>
      <c r="AJ65" s="228">
        <v>-2.0499999999999998</v>
      </c>
      <c r="AK65" s="229">
        <v>5.4000000000000003E-3</v>
      </c>
      <c r="AL65" s="228">
        <v>13</v>
      </c>
      <c r="AM65" s="228">
        <v>11.85</v>
      </c>
      <c r="AN65" s="228">
        <v>1.1499999999999999</v>
      </c>
      <c r="AO65" s="229">
        <v>1.54E-2</v>
      </c>
      <c r="AP65" s="228">
        <v>846.8</v>
      </c>
      <c r="AQ65" s="228">
        <v>851.73</v>
      </c>
      <c r="AR65" s="228">
        <v>0</v>
      </c>
      <c r="AS65" s="230">
        <v>1116</v>
      </c>
      <c r="AT65" s="228">
        <v>554</v>
      </c>
      <c r="AU65" s="228">
        <v>562</v>
      </c>
      <c r="AV65" s="229">
        <v>1.014</v>
      </c>
      <c r="AW65" s="228">
        <v>543</v>
      </c>
      <c r="AX65" s="228">
        <v>308</v>
      </c>
      <c r="AY65" s="228">
        <v>236</v>
      </c>
      <c r="AZ65" s="229">
        <v>0.76529999999999998</v>
      </c>
      <c r="BA65" s="228">
        <v>571</v>
      </c>
      <c r="BB65" s="228">
        <v>243</v>
      </c>
      <c r="BC65" s="228">
        <v>328</v>
      </c>
      <c r="BD65" s="229">
        <v>1.3474999999999999</v>
      </c>
      <c r="BE65" s="228">
        <v>1</v>
      </c>
      <c r="BF65" s="228">
        <v>3</v>
      </c>
      <c r="BG65" s="228">
        <v>-2</v>
      </c>
      <c r="BH65" s="229">
        <v>-0.62790000000000001</v>
      </c>
      <c r="BI65" s="228">
        <v>534</v>
      </c>
      <c r="BJ65" s="228">
        <v>520</v>
      </c>
      <c r="BK65" s="228">
        <v>14</v>
      </c>
      <c r="BL65" s="229">
        <v>2.7900000000000001E-2</v>
      </c>
      <c r="BM65" s="228">
        <v>681</v>
      </c>
      <c r="BN65" s="228">
        <v>412</v>
      </c>
      <c r="BO65" s="228">
        <v>269</v>
      </c>
      <c r="BP65" s="229">
        <v>0.65269999999999995</v>
      </c>
      <c r="BQ65" s="230">
        <v>2331</v>
      </c>
      <c r="BR65" s="230">
        <v>1486</v>
      </c>
      <c r="BS65" s="228">
        <v>845</v>
      </c>
      <c r="BT65" s="229">
        <v>0.56879999999999997</v>
      </c>
      <c r="BU65" s="230">
        <v>3178485</v>
      </c>
      <c r="BV65" s="230">
        <v>2768252</v>
      </c>
      <c r="BW65" s="230">
        <v>410233</v>
      </c>
      <c r="BX65" s="229">
        <v>0.1482</v>
      </c>
      <c r="BY65" s="230">
        <v>1071</v>
      </c>
      <c r="BZ65" s="228">
        <v>972</v>
      </c>
      <c r="CA65" s="228">
        <v>99</v>
      </c>
      <c r="CB65" s="229">
        <v>0.1016</v>
      </c>
      <c r="CC65" s="228">
        <v>430</v>
      </c>
      <c r="CD65" s="228">
        <v>738</v>
      </c>
      <c r="CE65" s="228">
        <v>-308</v>
      </c>
      <c r="CF65" s="229">
        <v>-0.4168</v>
      </c>
      <c r="CG65" s="228">
        <v>634</v>
      </c>
      <c r="CH65" s="228">
        <v>228</v>
      </c>
      <c r="CI65" s="228">
        <v>406</v>
      </c>
      <c r="CJ65" s="229">
        <v>1.7778</v>
      </c>
      <c r="CK65" s="228">
        <v>6</v>
      </c>
      <c r="CL65" s="228">
        <v>6</v>
      </c>
      <c r="CM65" s="228">
        <v>0</v>
      </c>
      <c r="CN65" s="229">
        <v>5.8099999999999999E-2</v>
      </c>
      <c r="CO65" s="228">
        <v>373</v>
      </c>
      <c r="CP65" s="228">
        <v>331</v>
      </c>
      <c r="CQ65" s="228">
        <v>42</v>
      </c>
      <c r="CR65" s="229">
        <v>0.1258</v>
      </c>
      <c r="CS65" s="228">
        <v>250</v>
      </c>
      <c r="CT65" s="228">
        <v>226</v>
      </c>
      <c r="CU65" s="228">
        <v>23</v>
      </c>
      <c r="CV65" s="229">
        <v>0.1033</v>
      </c>
      <c r="CW65" s="230">
        <v>1693</v>
      </c>
      <c r="CX65" s="230">
        <v>1529</v>
      </c>
      <c r="CY65" s="228">
        <v>164</v>
      </c>
      <c r="CZ65" s="229">
        <v>0.1071</v>
      </c>
      <c r="DA65" s="228">
        <v>31.64</v>
      </c>
      <c r="DB65" s="228">
        <v>27.21</v>
      </c>
      <c r="DC65" s="228">
        <v>4.43</v>
      </c>
      <c r="DD65" s="228">
        <v>4.43</v>
      </c>
      <c r="DE65" s="228">
        <v>35.03</v>
      </c>
      <c r="DF65" s="228">
        <v>35.119999999999997</v>
      </c>
      <c r="DG65" s="228">
        <v>-3.39</v>
      </c>
      <c r="DH65" s="228">
        <v>-0.09</v>
      </c>
      <c r="DI65" s="228">
        <v>31.7</v>
      </c>
      <c r="DJ65" s="228">
        <v>28.79</v>
      </c>
      <c r="DK65" s="228">
        <v>2.91</v>
      </c>
      <c r="DL65" s="228">
        <v>2.91</v>
      </c>
      <c r="DM65" s="228">
        <v>31.45</v>
      </c>
      <c r="DN65" s="228">
        <v>25.22</v>
      </c>
      <c r="DO65" s="228">
        <v>6.23</v>
      </c>
      <c r="DP65" s="228">
        <v>6.23</v>
      </c>
      <c r="DQ65" s="228">
        <v>0.67</v>
      </c>
      <c r="DR65" s="228">
        <v>0.68</v>
      </c>
      <c r="DS65" s="228">
        <v>-0.01</v>
      </c>
      <c r="DT65" s="229">
        <v>-1.47E-2</v>
      </c>
      <c r="DU65" s="228">
        <v>900</v>
      </c>
      <c r="DV65" s="228">
        <v>820</v>
      </c>
      <c r="DW65" s="228">
        <v>1.27</v>
      </c>
      <c r="DX65" s="228">
        <v>0.79</v>
      </c>
      <c r="DY65" s="228">
        <v>0.48</v>
      </c>
      <c r="DZ65" s="229">
        <v>0.60760000000000003</v>
      </c>
      <c r="EA65" s="229">
        <v>0.59799999999999998</v>
      </c>
      <c r="EB65" s="230">
        <v>2776825</v>
      </c>
      <c r="EC65" s="229">
        <v>4.0000000000000001E-3</v>
      </c>
      <c r="ED65" s="229">
        <v>0.59799999999999998</v>
      </c>
      <c r="EE65" s="228">
        <v>4.93</v>
      </c>
      <c r="EF65" s="229">
        <v>5.7999999999999996E-3</v>
      </c>
      <c r="EG65" s="230">
        <v>1640891</v>
      </c>
      <c r="EH65" s="230">
        <v>1592808</v>
      </c>
      <c r="EI65" s="229">
        <v>3.0200000000000001E-2</v>
      </c>
      <c r="EJ65" s="229">
        <v>0.51619999999999999</v>
      </c>
      <c r="EK65" s="228">
        <v>562.37</v>
      </c>
      <c r="EL65" s="228">
        <v>672.93</v>
      </c>
      <c r="EM65" s="231">
        <v>1124.5899999999999</v>
      </c>
      <c r="EN65" s="228">
        <v>38.020000000000003</v>
      </c>
      <c r="EO65" s="231">
        <v>2359.89</v>
      </c>
      <c r="EP65" s="231">
        <v>1523.97</v>
      </c>
      <c r="EQ65" s="228">
        <v>835.92</v>
      </c>
      <c r="ER65" s="229">
        <v>0.54849999999999999</v>
      </c>
      <c r="ES65" s="228">
        <v>403.91</v>
      </c>
      <c r="ET65" s="228">
        <v>255.5</v>
      </c>
      <c r="EU65" s="231">
        <v>1073.26</v>
      </c>
      <c r="EV65" s="231">
        <v>77949604</v>
      </c>
      <c r="EW65" s="231">
        <v>1732.67</v>
      </c>
      <c r="EX65" s="231">
        <v>1576.23</v>
      </c>
      <c r="EY65" s="228">
        <v>156.44</v>
      </c>
      <c r="EZ65" s="229">
        <v>9.9199999999999997E-2</v>
      </c>
      <c r="FA65" s="229">
        <v>0.25779999999999997</v>
      </c>
      <c r="FB65" s="227" t="s">
        <v>567</v>
      </c>
      <c r="FC65">
        <f t="shared" si="0"/>
        <v>641</v>
      </c>
    </row>
    <row r="66" spans="1:159" ht="17.25" thickBot="1" x14ac:dyDescent="0.3">
      <c r="A66" s="226">
        <v>46044</v>
      </c>
      <c r="B66" s="227" t="s">
        <v>193</v>
      </c>
      <c r="C66" s="227" t="s">
        <v>213</v>
      </c>
      <c r="D66" s="228">
        <v>3150</v>
      </c>
      <c r="E66" s="228">
        <v>5</v>
      </c>
      <c r="F66" s="228">
        <v>163.80000000000001</v>
      </c>
      <c r="G66" s="228">
        <v>162.72</v>
      </c>
      <c r="H66" s="228">
        <v>1.08</v>
      </c>
      <c r="I66" s="229">
        <v>6.6E-3</v>
      </c>
      <c r="J66" s="228">
        <v>163.57</v>
      </c>
      <c r="K66" s="228">
        <v>162.68</v>
      </c>
      <c r="L66" s="228">
        <v>0.89</v>
      </c>
      <c r="M66" s="229">
        <v>5.4999999999999997E-3</v>
      </c>
      <c r="N66" s="228">
        <v>163.80000000000001</v>
      </c>
      <c r="O66" s="228">
        <v>162.72</v>
      </c>
      <c r="P66" s="228">
        <v>1.08</v>
      </c>
      <c r="Q66" s="229">
        <v>6.6E-3</v>
      </c>
      <c r="R66" s="228">
        <v>164.65</v>
      </c>
      <c r="S66" s="228">
        <v>163.58000000000001</v>
      </c>
      <c r="T66" s="228">
        <v>1.07</v>
      </c>
      <c r="U66" s="229">
        <v>6.4999999999999997E-3</v>
      </c>
      <c r="V66" s="228">
        <v>165.91</v>
      </c>
      <c r="W66" s="228">
        <v>164.5</v>
      </c>
      <c r="X66" s="228">
        <v>1.41</v>
      </c>
      <c r="Y66" s="229">
        <v>8.6E-3</v>
      </c>
      <c r="Z66" s="228">
        <v>0.23</v>
      </c>
      <c r="AA66" s="228">
        <v>0.04</v>
      </c>
      <c r="AB66" s="228">
        <v>0.19</v>
      </c>
      <c r="AC66" s="229">
        <v>1.4E-3</v>
      </c>
      <c r="AD66" s="228">
        <v>0.23</v>
      </c>
      <c r="AE66" s="228">
        <v>0.04</v>
      </c>
      <c r="AF66" s="228">
        <v>0.19</v>
      </c>
      <c r="AG66" s="229">
        <v>1.4E-3</v>
      </c>
      <c r="AH66" s="228">
        <v>1.08</v>
      </c>
      <c r="AI66" s="228">
        <v>0.9</v>
      </c>
      <c r="AJ66" s="228">
        <v>0.18</v>
      </c>
      <c r="AK66" s="229">
        <v>6.6E-3</v>
      </c>
      <c r="AL66" s="228">
        <v>2.34</v>
      </c>
      <c r="AM66" s="228">
        <v>1.82</v>
      </c>
      <c r="AN66" s="228">
        <v>0.52</v>
      </c>
      <c r="AO66" s="229">
        <v>1.43E-2</v>
      </c>
      <c r="AP66" s="228">
        <v>163.65</v>
      </c>
      <c r="AQ66" s="228">
        <v>164.46</v>
      </c>
      <c r="AR66" s="228">
        <v>0</v>
      </c>
      <c r="AS66" s="228">
        <v>863</v>
      </c>
      <c r="AT66" s="228">
        <v>668</v>
      </c>
      <c r="AU66" s="228">
        <v>196</v>
      </c>
      <c r="AV66" s="229">
        <v>0.29270000000000002</v>
      </c>
      <c r="AW66" s="228">
        <v>468</v>
      </c>
      <c r="AX66" s="228">
        <v>378</v>
      </c>
      <c r="AY66" s="228">
        <v>89</v>
      </c>
      <c r="AZ66" s="229">
        <v>0.23599999999999999</v>
      </c>
      <c r="BA66" s="228">
        <v>390</v>
      </c>
      <c r="BB66" s="228">
        <v>284</v>
      </c>
      <c r="BC66" s="228">
        <v>106</v>
      </c>
      <c r="BD66" s="229">
        <v>0.37280000000000002</v>
      </c>
      <c r="BE66" s="228">
        <v>5</v>
      </c>
      <c r="BF66" s="228">
        <v>5</v>
      </c>
      <c r="BG66" s="228">
        <v>0</v>
      </c>
      <c r="BH66" s="229">
        <v>0.04</v>
      </c>
      <c r="BI66" s="228">
        <v>440</v>
      </c>
      <c r="BJ66" s="230">
        <v>1055</v>
      </c>
      <c r="BK66" s="228">
        <v>-614</v>
      </c>
      <c r="BL66" s="229">
        <v>-0.58240000000000003</v>
      </c>
      <c r="BM66" s="228">
        <v>369</v>
      </c>
      <c r="BN66" s="228">
        <v>495</v>
      </c>
      <c r="BO66" s="228">
        <v>-126</v>
      </c>
      <c r="BP66" s="229">
        <v>-0.25419999999999998</v>
      </c>
      <c r="BQ66" s="230">
        <v>1673</v>
      </c>
      <c r="BR66" s="230">
        <v>2217</v>
      </c>
      <c r="BS66" s="228">
        <v>-544</v>
      </c>
      <c r="BT66" s="229">
        <v>-0.2455</v>
      </c>
      <c r="BU66" s="230">
        <v>12689789</v>
      </c>
      <c r="BV66" s="230">
        <v>16477482</v>
      </c>
      <c r="BW66" s="230">
        <v>-3787693</v>
      </c>
      <c r="BX66" s="229">
        <v>-0.22989999999999999</v>
      </c>
      <c r="BY66" s="230">
        <v>1520</v>
      </c>
      <c r="BZ66" s="230">
        <v>1594</v>
      </c>
      <c r="CA66" s="228">
        <v>-74</v>
      </c>
      <c r="CB66" s="229">
        <v>-4.6699999999999998E-2</v>
      </c>
      <c r="CC66" s="228">
        <v>816</v>
      </c>
      <c r="CD66" s="230">
        <v>1168</v>
      </c>
      <c r="CE66" s="228">
        <v>-352</v>
      </c>
      <c r="CF66" s="229">
        <v>-0.30170000000000002</v>
      </c>
      <c r="CG66" s="228">
        <v>682</v>
      </c>
      <c r="CH66" s="228">
        <v>407</v>
      </c>
      <c r="CI66" s="228">
        <v>275</v>
      </c>
      <c r="CJ66" s="229">
        <v>0.67720000000000002</v>
      </c>
      <c r="CK66" s="228">
        <v>22</v>
      </c>
      <c r="CL66" s="228">
        <v>19</v>
      </c>
      <c r="CM66" s="228">
        <v>3</v>
      </c>
      <c r="CN66" s="229">
        <v>0.13980000000000001</v>
      </c>
      <c r="CO66" s="228">
        <v>689</v>
      </c>
      <c r="CP66" s="228">
        <v>703</v>
      </c>
      <c r="CQ66" s="228">
        <v>-14</v>
      </c>
      <c r="CR66" s="229">
        <v>-1.95E-2</v>
      </c>
      <c r="CS66" s="228">
        <v>566</v>
      </c>
      <c r="CT66" s="228">
        <v>566</v>
      </c>
      <c r="CU66" s="228">
        <v>0</v>
      </c>
      <c r="CV66" s="229">
        <v>1E-4</v>
      </c>
      <c r="CW66" s="230">
        <v>2775</v>
      </c>
      <c r="CX66" s="230">
        <v>2863</v>
      </c>
      <c r="CY66" s="228">
        <v>-88</v>
      </c>
      <c r="CZ66" s="229">
        <v>-3.0800000000000001E-2</v>
      </c>
      <c r="DA66" s="228">
        <v>27.97</v>
      </c>
      <c r="DB66" s="228">
        <v>26.35</v>
      </c>
      <c r="DC66" s="228">
        <v>1.62</v>
      </c>
      <c r="DD66" s="228">
        <v>1.62</v>
      </c>
      <c r="DE66" s="228">
        <v>33.39</v>
      </c>
      <c r="DF66" s="228">
        <v>33.46</v>
      </c>
      <c r="DG66" s="228">
        <v>-5.42</v>
      </c>
      <c r="DH66" s="228">
        <v>-7.0000000000000007E-2</v>
      </c>
      <c r="DI66" s="228">
        <v>27.93</v>
      </c>
      <c r="DJ66" s="228">
        <v>26.43</v>
      </c>
      <c r="DK66" s="228">
        <v>1.5</v>
      </c>
      <c r="DL66" s="228">
        <v>1.5</v>
      </c>
      <c r="DM66" s="228">
        <v>28.03</v>
      </c>
      <c r="DN66" s="228">
        <v>26.17</v>
      </c>
      <c r="DO66" s="228">
        <v>1.86</v>
      </c>
      <c r="DP66" s="228">
        <v>1.86</v>
      </c>
      <c r="DQ66" s="228">
        <v>0.82</v>
      </c>
      <c r="DR66" s="228">
        <v>0.81</v>
      </c>
      <c r="DS66" s="228">
        <v>0.01</v>
      </c>
      <c r="DT66" s="229">
        <v>1.23E-2</v>
      </c>
      <c r="DU66" s="228">
        <v>175</v>
      </c>
      <c r="DV66" s="228">
        <v>160</v>
      </c>
      <c r="DW66" s="228">
        <v>0.84</v>
      </c>
      <c r="DX66" s="228">
        <v>0.47</v>
      </c>
      <c r="DY66" s="228">
        <v>0.37</v>
      </c>
      <c r="DZ66" s="229">
        <v>0.78720000000000001</v>
      </c>
      <c r="EA66" s="229">
        <v>0.46310000000000001</v>
      </c>
      <c r="EB66" s="230">
        <v>25990650</v>
      </c>
      <c r="EC66" s="229">
        <v>5.1999999999999998E-3</v>
      </c>
      <c r="ED66" s="229">
        <v>0.46310000000000001</v>
      </c>
      <c r="EE66" s="228">
        <v>0.81</v>
      </c>
      <c r="EF66" s="229">
        <v>4.8999999999999998E-3</v>
      </c>
      <c r="EG66" s="230">
        <v>8072262</v>
      </c>
      <c r="EH66" s="230">
        <v>6722315</v>
      </c>
      <c r="EI66" s="229">
        <v>0.20080000000000001</v>
      </c>
      <c r="EJ66" s="229">
        <v>0.6361</v>
      </c>
      <c r="EK66" s="228">
        <v>459.44</v>
      </c>
      <c r="EL66" s="228">
        <v>373.53</v>
      </c>
      <c r="EM66" s="228">
        <v>864.58</v>
      </c>
      <c r="EN66" s="228">
        <v>62.31</v>
      </c>
      <c r="EO66" s="231">
        <v>1697.55</v>
      </c>
      <c r="EP66" s="231">
        <v>2258.54</v>
      </c>
      <c r="EQ66" s="228">
        <v>-561</v>
      </c>
      <c r="ER66" s="229">
        <v>-0.24840000000000001</v>
      </c>
      <c r="ES66" s="228">
        <v>737.62</v>
      </c>
      <c r="ET66" s="228">
        <v>591.07000000000005</v>
      </c>
      <c r="EU66" s="231">
        <v>1523.35</v>
      </c>
      <c r="EV66" s="231">
        <v>435694919</v>
      </c>
      <c r="EW66" s="231">
        <v>2852.04</v>
      </c>
      <c r="EX66" s="231">
        <v>2928.93</v>
      </c>
      <c r="EY66" s="228">
        <v>-76.89</v>
      </c>
      <c r="EZ66" s="229">
        <v>-2.63E-2</v>
      </c>
      <c r="FA66" s="229">
        <v>0.38879999999999998</v>
      </c>
      <c r="FB66" s="227" t="s">
        <v>556</v>
      </c>
      <c r="FC66">
        <f t="shared" si="0"/>
        <v>704</v>
      </c>
    </row>
    <row r="67" spans="1:159" ht="17.25" thickBot="1" x14ac:dyDescent="0.3">
      <c r="A67" s="226">
        <v>46044</v>
      </c>
      <c r="B67" s="227" t="s">
        <v>170</v>
      </c>
      <c r="C67" s="227" t="s">
        <v>214</v>
      </c>
      <c r="D67" s="228">
        <v>375</v>
      </c>
      <c r="E67" s="228">
        <v>5</v>
      </c>
      <c r="F67" s="231">
        <v>1994.9</v>
      </c>
      <c r="G67" s="231">
        <v>1943</v>
      </c>
      <c r="H67" s="228">
        <v>51.9</v>
      </c>
      <c r="I67" s="229">
        <v>2.6700000000000002E-2</v>
      </c>
      <c r="J67" s="231">
        <v>1997.2</v>
      </c>
      <c r="K67" s="231">
        <v>1941.4</v>
      </c>
      <c r="L67" s="228">
        <v>55.8</v>
      </c>
      <c r="M67" s="229">
        <v>2.87E-2</v>
      </c>
      <c r="N67" s="231">
        <v>1994.9</v>
      </c>
      <c r="O67" s="231">
        <v>1943</v>
      </c>
      <c r="P67" s="228">
        <v>51.9</v>
      </c>
      <c r="Q67" s="229">
        <v>2.6700000000000002E-2</v>
      </c>
      <c r="R67" s="231">
        <v>2005.3</v>
      </c>
      <c r="S67" s="231">
        <v>1953.4</v>
      </c>
      <c r="T67" s="228">
        <v>51.9</v>
      </c>
      <c r="U67" s="229">
        <v>2.6599999999999999E-2</v>
      </c>
      <c r="V67" s="231">
        <v>2019.9</v>
      </c>
      <c r="W67" s="231">
        <v>1964.9</v>
      </c>
      <c r="X67" s="228">
        <v>55</v>
      </c>
      <c r="Y67" s="229">
        <v>2.8000000000000001E-2</v>
      </c>
      <c r="Z67" s="228">
        <v>-2.2999999999999998</v>
      </c>
      <c r="AA67" s="228">
        <v>1.6</v>
      </c>
      <c r="AB67" s="228">
        <v>-3.9</v>
      </c>
      <c r="AC67" s="229">
        <v>-1.1999999999999999E-3</v>
      </c>
      <c r="AD67" s="228">
        <v>-2.2999999999999998</v>
      </c>
      <c r="AE67" s="228">
        <v>1.6</v>
      </c>
      <c r="AF67" s="228">
        <v>-3.9</v>
      </c>
      <c r="AG67" s="229">
        <v>-1.1999999999999999E-3</v>
      </c>
      <c r="AH67" s="228">
        <v>8.1</v>
      </c>
      <c r="AI67" s="228">
        <v>12</v>
      </c>
      <c r="AJ67" s="228">
        <v>-3.9</v>
      </c>
      <c r="AK67" s="229">
        <v>4.1000000000000003E-3</v>
      </c>
      <c r="AL67" s="228">
        <v>22.7</v>
      </c>
      <c r="AM67" s="228">
        <v>23.5</v>
      </c>
      <c r="AN67" s="228">
        <v>-0.8</v>
      </c>
      <c r="AO67" s="229">
        <v>1.14E-2</v>
      </c>
      <c r="AP67" s="231">
        <v>1979.74</v>
      </c>
      <c r="AQ67" s="231">
        <v>1990.46</v>
      </c>
      <c r="AR67" s="228">
        <v>0</v>
      </c>
      <c r="AS67" s="230">
        <v>1451</v>
      </c>
      <c r="AT67" s="230">
        <v>1388</v>
      </c>
      <c r="AU67" s="228">
        <v>62</v>
      </c>
      <c r="AV67" s="229">
        <v>4.4999999999999998E-2</v>
      </c>
      <c r="AW67" s="228">
        <v>767</v>
      </c>
      <c r="AX67" s="228">
        <v>781</v>
      </c>
      <c r="AY67" s="228">
        <v>-14</v>
      </c>
      <c r="AZ67" s="229">
        <v>-1.7399999999999999E-2</v>
      </c>
      <c r="BA67" s="228">
        <v>682</v>
      </c>
      <c r="BB67" s="228">
        <v>606</v>
      </c>
      <c r="BC67" s="228">
        <v>76</v>
      </c>
      <c r="BD67" s="229">
        <v>0.1249</v>
      </c>
      <c r="BE67" s="228">
        <v>2</v>
      </c>
      <c r="BF67" s="228">
        <v>1</v>
      </c>
      <c r="BG67" s="228">
        <v>0</v>
      </c>
      <c r="BH67" s="229">
        <v>0.29409999999999997</v>
      </c>
      <c r="BI67" s="230">
        <v>1096</v>
      </c>
      <c r="BJ67" s="228">
        <v>950</v>
      </c>
      <c r="BK67" s="228">
        <v>145</v>
      </c>
      <c r="BL67" s="229">
        <v>0.15279999999999999</v>
      </c>
      <c r="BM67" s="228">
        <v>472</v>
      </c>
      <c r="BN67" s="228">
        <v>522</v>
      </c>
      <c r="BO67" s="228">
        <v>-50</v>
      </c>
      <c r="BP67" s="229">
        <v>-9.5000000000000001E-2</v>
      </c>
      <c r="BQ67" s="230">
        <v>3019</v>
      </c>
      <c r="BR67" s="230">
        <v>2861</v>
      </c>
      <c r="BS67" s="228">
        <v>158</v>
      </c>
      <c r="BT67" s="229">
        <v>5.5300000000000002E-2</v>
      </c>
      <c r="BU67" s="230">
        <v>772070</v>
      </c>
      <c r="BV67" s="230">
        <v>475710</v>
      </c>
      <c r="BW67" s="230">
        <v>296360</v>
      </c>
      <c r="BX67" s="229">
        <v>0.623</v>
      </c>
      <c r="BY67" s="230">
        <v>2229</v>
      </c>
      <c r="BZ67" s="230">
        <v>2284</v>
      </c>
      <c r="CA67" s="228">
        <v>-55</v>
      </c>
      <c r="CB67" s="229">
        <v>-2.41E-2</v>
      </c>
      <c r="CC67" s="230">
        <v>1115</v>
      </c>
      <c r="CD67" s="230">
        <v>1672</v>
      </c>
      <c r="CE67" s="228">
        <v>-557</v>
      </c>
      <c r="CF67" s="229">
        <v>-0.33310000000000001</v>
      </c>
      <c r="CG67" s="230">
        <v>1108</v>
      </c>
      <c r="CH67" s="228">
        <v>606</v>
      </c>
      <c r="CI67" s="228">
        <v>502</v>
      </c>
      <c r="CJ67" s="229">
        <v>0.8286</v>
      </c>
      <c r="CK67" s="228">
        <v>6</v>
      </c>
      <c r="CL67" s="228">
        <v>6</v>
      </c>
      <c r="CM67" s="228">
        <v>0</v>
      </c>
      <c r="CN67" s="229">
        <v>-3.5700000000000003E-2</v>
      </c>
      <c r="CO67" s="228">
        <v>716</v>
      </c>
      <c r="CP67" s="228">
        <v>774</v>
      </c>
      <c r="CQ67" s="228">
        <v>-58</v>
      </c>
      <c r="CR67" s="229">
        <v>-7.5499999999999998E-2</v>
      </c>
      <c r="CS67" s="228">
        <v>395</v>
      </c>
      <c r="CT67" s="228">
        <v>426</v>
      </c>
      <c r="CU67" s="228">
        <v>-30</v>
      </c>
      <c r="CV67" s="229">
        <v>-7.0999999999999994E-2</v>
      </c>
      <c r="CW67" s="230">
        <v>3340</v>
      </c>
      <c r="CX67" s="230">
        <v>3484</v>
      </c>
      <c r="CY67" s="228">
        <v>-144</v>
      </c>
      <c r="CZ67" s="229">
        <v>-4.1300000000000003E-2</v>
      </c>
      <c r="DA67" s="228">
        <v>31.74</v>
      </c>
      <c r="DB67" s="228">
        <v>27.82</v>
      </c>
      <c r="DC67" s="228">
        <v>3.92</v>
      </c>
      <c r="DD67" s="228">
        <v>3.92</v>
      </c>
      <c r="DE67" s="228">
        <v>35.25</v>
      </c>
      <c r="DF67" s="228">
        <v>35.130000000000003</v>
      </c>
      <c r="DG67" s="228">
        <v>-3.51</v>
      </c>
      <c r="DH67" s="228">
        <v>0.12</v>
      </c>
      <c r="DI67" s="228">
        <v>31.9</v>
      </c>
      <c r="DJ67" s="228">
        <v>29.19</v>
      </c>
      <c r="DK67" s="228">
        <v>2.71</v>
      </c>
      <c r="DL67" s="228">
        <v>2.71</v>
      </c>
      <c r="DM67" s="228">
        <v>31.44</v>
      </c>
      <c r="DN67" s="228">
        <v>25.32</v>
      </c>
      <c r="DO67" s="228">
        <v>6.12</v>
      </c>
      <c r="DP67" s="228">
        <v>6.12</v>
      </c>
      <c r="DQ67" s="228">
        <v>0.55000000000000004</v>
      </c>
      <c r="DR67" s="228">
        <v>0.55000000000000004</v>
      </c>
      <c r="DS67" s="228">
        <v>0</v>
      </c>
      <c r="DT67" s="229">
        <v>0</v>
      </c>
      <c r="DU67" s="231">
        <v>2100</v>
      </c>
      <c r="DV67" s="231">
        <v>1900</v>
      </c>
      <c r="DW67" s="228">
        <v>0.43</v>
      </c>
      <c r="DX67" s="228">
        <v>0.55000000000000004</v>
      </c>
      <c r="DY67" s="228">
        <v>-0.12</v>
      </c>
      <c r="DZ67" s="229">
        <v>-0.21820000000000001</v>
      </c>
      <c r="EA67" s="229">
        <v>0.49969999999999998</v>
      </c>
      <c r="EB67" s="230">
        <v>3068250</v>
      </c>
      <c r="EC67" s="229">
        <v>5.1999999999999998E-3</v>
      </c>
      <c r="ED67" s="229">
        <v>0.49969999999999998</v>
      </c>
      <c r="EE67" s="228">
        <v>10.72</v>
      </c>
      <c r="EF67" s="229">
        <v>5.4000000000000003E-3</v>
      </c>
      <c r="EG67" s="230">
        <v>514763</v>
      </c>
      <c r="EH67" s="230">
        <v>146369</v>
      </c>
      <c r="EI67" s="229">
        <v>2.5169000000000001</v>
      </c>
      <c r="EJ67" s="229">
        <v>0.66669999999999996</v>
      </c>
      <c r="EK67" s="231">
        <v>1129.4000000000001</v>
      </c>
      <c r="EL67" s="228">
        <v>467</v>
      </c>
      <c r="EM67" s="231">
        <v>1443.51</v>
      </c>
      <c r="EN67" s="228">
        <v>73.72</v>
      </c>
      <c r="EO67" s="231">
        <v>3039.91</v>
      </c>
      <c r="EP67" s="231">
        <v>2833.38</v>
      </c>
      <c r="EQ67" s="228">
        <v>206.53</v>
      </c>
      <c r="ER67" s="229">
        <v>7.2900000000000006E-2</v>
      </c>
      <c r="ES67" s="228">
        <v>752.76</v>
      </c>
      <c r="ET67" s="228">
        <v>387.6</v>
      </c>
      <c r="EU67" s="231">
        <v>2234.63</v>
      </c>
      <c r="EV67" s="231">
        <v>22585180</v>
      </c>
      <c r="EW67" s="231">
        <v>3374.99</v>
      </c>
      <c r="EX67" s="231">
        <v>3458</v>
      </c>
      <c r="EY67" s="228">
        <v>-83.01</v>
      </c>
      <c r="EZ67" s="229">
        <v>-2.4E-2</v>
      </c>
      <c r="FA67" s="229">
        <v>0.74129999999999996</v>
      </c>
      <c r="FB67" s="227" t="s">
        <v>556</v>
      </c>
      <c r="FC67">
        <f t="shared" ref="FC67:FC130" si="1">BY67-CC67</f>
        <v>1114</v>
      </c>
    </row>
    <row r="68" spans="1:159" ht="17.25" thickBot="1" x14ac:dyDescent="0.3">
      <c r="A68" s="226">
        <v>46044</v>
      </c>
      <c r="B68" s="227" t="s">
        <v>215</v>
      </c>
      <c r="C68" s="227" t="s">
        <v>631</v>
      </c>
      <c r="D68" s="228">
        <v>6975</v>
      </c>
      <c r="E68" s="228">
        <v>5</v>
      </c>
      <c r="F68" s="228">
        <v>95.17</v>
      </c>
      <c r="G68" s="228">
        <v>93.77</v>
      </c>
      <c r="H68" s="228">
        <v>1.4</v>
      </c>
      <c r="I68" s="229">
        <v>1.49E-2</v>
      </c>
      <c r="J68" s="228">
        <v>95.1</v>
      </c>
      <c r="K68" s="228">
        <v>93.84</v>
      </c>
      <c r="L68" s="228">
        <v>1.26</v>
      </c>
      <c r="M68" s="229">
        <v>1.34E-2</v>
      </c>
      <c r="N68" s="228">
        <v>95.17</v>
      </c>
      <c r="O68" s="228">
        <v>93.77</v>
      </c>
      <c r="P68" s="228">
        <v>1.4</v>
      </c>
      <c r="Q68" s="229">
        <v>1.49E-2</v>
      </c>
      <c r="R68" s="228">
        <v>95.66</v>
      </c>
      <c r="S68" s="228">
        <v>94.26</v>
      </c>
      <c r="T68" s="228">
        <v>1.4</v>
      </c>
      <c r="U68" s="229">
        <v>1.49E-2</v>
      </c>
      <c r="V68" s="228">
        <v>96.46</v>
      </c>
      <c r="W68" s="228">
        <v>94.97</v>
      </c>
      <c r="X68" s="228">
        <v>1.49</v>
      </c>
      <c r="Y68" s="229">
        <v>1.5699999999999999E-2</v>
      </c>
      <c r="Z68" s="228">
        <v>7.0000000000000007E-2</v>
      </c>
      <c r="AA68" s="228">
        <v>-7.0000000000000007E-2</v>
      </c>
      <c r="AB68" s="228">
        <v>0.14000000000000001</v>
      </c>
      <c r="AC68" s="229">
        <v>6.9999999999999999E-4</v>
      </c>
      <c r="AD68" s="228">
        <v>7.0000000000000007E-2</v>
      </c>
      <c r="AE68" s="228">
        <v>-7.0000000000000007E-2</v>
      </c>
      <c r="AF68" s="228">
        <v>0.14000000000000001</v>
      </c>
      <c r="AG68" s="229">
        <v>6.9999999999999999E-4</v>
      </c>
      <c r="AH68" s="228">
        <v>0.56000000000000005</v>
      </c>
      <c r="AI68" s="228">
        <v>0.42</v>
      </c>
      <c r="AJ68" s="228">
        <v>0.14000000000000001</v>
      </c>
      <c r="AK68" s="229">
        <v>5.8999999999999999E-3</v>
      </c>
      <c r="AL68" s="228">
        <v>1.36</v>
      </c>
      <c r="AM68" s="228">
        <v>1.1299999999999999</v>
      </c>
      <c r="AN68" s="228">
        <v>0.23</v>
      </c>
      <c r="AO68" s="229">
        <v>1.43E-2</v>
      </c>
      <c r="AP68" s="228">
        <v>95.32</v>
      </c>
      <c r="AQ68" s="228">
        <v>95.83</v>
      </c>
      <c r="AR68" s="228">
        <v>0</v>
      </c>
      <c r="AS68" s="228">
        <v>802</v>
      </c>
      <c r="AT68" s="228">
        <v>770</v>
      </c>
      <c r="AU68" s="228">
        <v>33</v>
      </c>
      <c r="AV68" s="229">
        <v>4.2599999999999999E-2</v>
      </c>
      <c r="AW68" s="228">
        <v>402</v>
      </c>
      <c r="AX68" s="228">
        <v>433</v>
      </c>
      <c r="AY68" s="228">
        <v>-31</v>
      </c>
      <c r="AZ68" s="229">
        <v>-7.22E-2</v>
      </c>
      <c r="BA68" s="228">
        <v>396</v>
      </c>
      <c r="BB68" s="228">
        <v>329</v>
      </c>
      <c r="BC68" s="228">
        <v>67</v>
      </c>
      <c r="BD68" s="229">
        <v>0.20380000000000001</v>
      </c>
      <c r="BE68" s="228">
        <v>4</v>
      </c>
      <c r="BF68" s="228">
        <v>7</v>
      </c>
      <c r="BG68" s="228">
        <v>-3</v>
      </c>
      <c r="BH68" s="229">
        <v>-0.40179999999999999</v>
      </c>
      <c r="BI68" s="228">
        <v>738</v>
      </c>
      <c r="BJ68" s="230">
        <v>1211</v>
      </c>
      <c r="BK68" s="228">
        <v>-473</v>
      </c>
      <c r="BL68" s="229">
        <v>-0.39040000000000002</v>
      </c>
      <c r="BM68" s="228">
        <v>349</v>
      </c>
      <c r="BN68" s="228">
        <v>658</v>
      </c>
      <c r="BO68" s="228">
        <v>-309</v>
      </c>
      <c r="BP68" s="229">
        <v>-0.46920000000000001</v>
      </c>
      <c r="BQ68" s="230">
        <v>1890</v>
      </c>
      <c r="BR68" s="230">
        <v>2639</v>
      </c>
      <c r="BS68" s="228">
        <v>-749</v>
      </c>
      <c r="BT68" s="229">
        <v>-0.2838</v>
      </c>
      <c r="BU68" s="230">
        <v>4884886</v>
      </c>
      <c r="BV68" s="230">
        <v>13017979</v>
      </c>
      <c r="BW68" s="230">
        <v>-8133093</v>
      </c>
      <c r="BX68" s="229">
        <v>-0.62480000000000002</v>
      </c>
      <c r="BY68" s="230">
        <v>1730</v>
      </c>
      <c r="BZ68" s="230">
        <v>1721</v>
      </c>
      <c r="CA68" s="228">
        <v>9</v>
      </c>
      <c r="CB68" s="229">
        <v>5.4000000000000003E-3</v>
      </c>
      <c r="CC68" s="228">
        <v>976</v>
      </c>
      <c r="CD68" s="230">
        <v>1276</v>
      </c>
      <c r="CE68" s="228">
        <v>-300</v>
      </c>
      <c r="CF68" s="229">
        <v>-0.2351</v>
      </c>
      <c r="CG68" s="228">
        <v>737</v>
      </c>
      <c r="CH68" s="228">
        <v>429</v>
      </c>
      <c r="CI68" s="228">
        <v>308</v>
      </c>
      <c r="CJ68" s="229">
        <v>0.71830000000000005</v>
      </c>
      <c r="CK68" s="228">
        <v>17</v>
      </c>
      <c r="CL68" s="228">
        <v>16</v>
      </c>
      <c r="CM68" s="228">
        <v>1</v>
      </c>
      <c r="CN68" s="229">
        <v>7.8799999999999995E-2</v>
      </c>
      <c r="CO68" s="230">
        <v>1114</v>
      </c>
      <c r="CP68" s="230">
        <v>1189</v>
      </c>
      <c r="CQ68" s="228">
        <v>-74</v>
      </c>
      <c r="CR68" s="229">
        <v>-6.25E-2</v>
      </c>
      <c r="CS68" s="228">
        <v>590</v>
      </c>
      <c r="CT68" s="228">
        <v>574</v>
      </c>
      <c r="CU68" s="228">
        <v>15</v>
      </c>
      <c r="CV68" s="229">
        <v>2.6200000000000001E-2</v>
      </c>
      <c r="CW68" s="230">
        <v>3434</v>
      </c>
      <c r="CX68" s="230">
        <v>3484</v>
      </c>
      <c r="CY68" s="228">
        <v>-50</v>
      </c>
      <c r="CZ68" s="229">
        <v>-1.43E-2</v>
      </c>
      <c r="DA68" s="228">
        <v>28.97</v>
      </c>
      <c r="DB68" s="228">
        <v>32.92</v>
      </c>
      <c r="DC68" s="228">
        <v>-3.95</v>
      </c>
      <c r="DD68" s="228">
        <v>-3.95</v>
      </c>
      <c r="DE68" s="228">
        <v>36.36</v>
      </c>
      <c r="DF68" s="228">
        <v>36.4</v>
      </c>
      <c r="DG68" s="228">
        <v>-7.39</v>
      </c>
      <c r="DH68" s="228">
        <v>-0.04</v>
      </c>
      <c r="DI68" s="228">
        <v>30.11</v>
      </c>
      <c r="DJ68" s="228">
        <v>36.159999999999997</v>
      </c>
      <c r="DK68" s="228">
        <v>-6.05</v>
      </c>
      <c r="DL68" s="228">
        <v>-6.05</v>
      </c>
      <c r="DM68" s="228">
        <v>27.58</v>
      </c>
      <c r="DN68" s="228">
        <v>26.96</v>
      </c>
      <c r="DO68" s="228">
        <v>0.62</v>
      </c>
      <c r="DP68" s="228">
        <v>0.62</v>
      </c>
      <c r="DQ68" s="228">
        <v>0.53</v>
      </c>
      <c r="DR68" s="228">
        <v>0.48</v>
      </c>
      <c r="DS68" s="228">
        <v>0.05</v>
      </c>
      <c r="DT68" s="229">
        <v>0.1042</v>
      </c>
      <c r="DU68" s="228">
        <v>105</v>
      </c>
      <c r="DV68" s="228">
        <v>98</v>
      </c>
      <c r="DW68" s="228">
        <v>0.47</v>
      </c>
      <c r="DX68" s="228">
        <v>0.54</v>
      </c>
      <c r="DY68" s="228">
        <v>-7.0000000000000007E-2</v>
      </c>
      <c r="DZ68" s="229">
        <v>-0.12959999999999999</v>
      </c>
      <c r="EA68" s="229">
        <v>0.43590000000000001</v>
      </c>
      <c r="EB68" s="230">
        <v>46746450</v>
      </c>
      <c r="EC68" s="229">
        <v>5.1000000000000004E-3</v>
      </c>
      <c r="ED68" s="229">
        <v>0.43590000000000001</v>
      </c>
      <c r="EE68" s="228">
        <v>0.51</v>
      </c>
      <c r="EF68" s="229">
        <v>5.4000000000000003E-3</v>
      </c>
      <c r="EG68" s="230">
        <v>2268371</v>
      </c>
      <c r="EH68" s="230">
        <v>5312706</v>
      </c>
      <c r="EI68" s="229">
        <v>-0.57299999999999995</v>
      </c>
      <c r="EJ68" s="229">
        <v>0.46439999999999998</v>
      </c>
      <c r="EK68" s="228">
        <v>788.59</v>
      </c>
      <c r="EL68" s="228">
        <v>363.79</v>
      </c>
      <c r="EM68" s="228">
        <v>805.77</v>
      </c>
      <c r="EN68" s="228">
        <v>62.24</v>
      </c>
      <c r="EO68" s="231">
        <v>1958.15</v>
      </c>
      <c r="EP68" s="231">
        <v>2724.9</v>
      </c>
      <c r="EQ68" s="228">
        <v>-766.76</v>
      </c>
      <c r="ER68" s="229">
        <v>-0.28139999999999998</v>
      </c>
      <c r="ES68" s="231">
        <v>1238.1199999999999</v>
      </c>
      <c r="ET68" s="228">
        <v>609.01</v>
      </c>
      <c r="EU68" s="231">
        <v>1734.25</v>
      </c>
      <c r="EV68" s="231">
        <v>534704421</v>
      </c>
      <c r="EW68" s="231">
        <v>3581.38</v>
      </c>
      <c r="EX68" s="231">
        <v>3613.99</v>
      </c>
      <c r="EY68" s="228">
        <v>-32.61</v>
      </c>
      <c r="EZ68" s="229">
        <v>-8.9999999999999993E-3</v>
      </c>
      <c r="FA68" s="229">
        <v>0.67490000000000006</v>
      </c>
      <c r="FB68" s="227" t="s">
        <v>555</v>
      </c>
      <c r="FC68">
        <f t="shared" si="1"/>
        <v>754</v>
      </c>
    </row>
    <row r="69" spans="1:159" ht="17.25" thickBot="1" x14ac:dyDescent="0.3">
      <c r="A69" s="226">
        <v>46044</v>
      </c>
      <c r="B69" s="227" t="s">
        <v>168</v>
      </c>
      <c r="C69" s="227" t="s">
        <v>217</v>
      </c>
      <c r="D69" s="228">
        <v>500</v>
      </c>
      <c r="E69" s="228">
        <v>5</v>
      </c>
      <c r="F69" s="231">
        <v>1249</v>
      </c>
      <c r="G69" s="231">
        <v>1223.5</v>
      </c>
      <c r="H69" s="228">
        <v>25.5</v>
      </c>
      <c r="I69" s="229">
        <v>2.0799999999999999E-2</v>
      </c>
      <c r="J69" s="231">
        <v>1246</v>
      </c>
      <c r="K69" s="231">
        <v>1222.5</v>
      </c>
      <c r="L69" s="228">
        <v>23.5</v>
      </c>
      <c r="M69" s="229">
        <v>1.9199999999999998E-2</v>
      </c>
      <c r="N69" s="231">
        <v>1249</v>
      </c>
      <c r="O69" s="231">
        <v>1223.5</v>
      </c>
      <c r="P69" s="228">
        <v>25.5</v>
      </c>
      <c r="Q69" s="229">
        <v>2.0799999999999999E-2</v>
      </c>
      <c r="R69" s="231">
        <v>1250.7</v>
      </c>
      <c r="S69" s="231">
        <v>1225.2</v>
      </c>
      <c r="T69" s="228">
        <v>25.5</v>
      </c>
      <c r="U69" s="229">
        <v>2.0799999999999999E-2</v>
      </c>
      <c r="V69" s="231">
        <v>1254</v>
      </c>
      <c r="W69" s="231">
        <v>1232.9000000000001</v>
      </c>
      <c r="X69" s="228">
        <v>21.1</v>
      </c>
      <c r="Y69" s="229">
        <v>1.7100000000000001E-2</v>
      </c>
      <c r="Z69" s="228">
        <v>3</v>
      </c>
      <c r="AA69" s="228">
        <v>1</v>
      </c>
      <c r="AB69" s="228">
        <v>2</v>
      </c>
      <c r="AC69" s="229">
        <v>2.3999999999999998E-3</v>
      </c>
      <c r="AD69" s="228">
        <v>3</v>
      </c>
      <c r="AE69" s="228">
        <v>1</v>
      </c>
      <c r="AF69" s="228">
        <v>2</v>
      </c>
      <c r="AG69" s="229">
        <v>2.3999999999999998E-3</v>
      </c>
      <c r="AH69" s="228">
        <v>4.7</v>
      </c>
      <c r="AI69" s="228">
        <v>2.7</v>
      </c>
      <c r="AJ69" s="228">
        <v>2</v>
      </c>
      <c r="AK69" s="229">
        <v>3.8E-3</v>
      </c>
      <c r="AL69" s="228">
        <v>8</v>
      </c>
      <c r="AM69" s="228">
        <v>10.4</v>
      </c>
      <c r="AN69" s="228">
        <v>-2.4</v>
      </c>
      <c r="AO69" s="229">
        <v>6.4000000000000003E-3</v>
      </c>
      <c r="AP69" s="231">
        <v>1238.3599999999999</v>
      </c>
      <c r="AQ69" s="231">
        <v>1239.97</v>
      </c>
      <c r="AR69" s="228">
        <v>0</v>
      </c>
      <c r="AS69" s="230">
        <v>1025</v>
      </c>
      <c r="AT69" s="228">
        <v>719</v>
      </c>
      <c r="AU69" s="228">
        <v>306</v>
      </c>
      <c r="AV69" s="229">
        <v>0.42480000000000001</v>
      </c>
      <c r="AW69" s="228">
        <v>514</v>
      </c>
      <c r="AX69" s="228">
        <v>391</v>
      </c>
      <c r="AY69" s="228">
        <v>123</v>
      </c>
      <c r="AZ69" s="229">
        <v>0.31590000000000001</v>
      </c>
      <c r="BA69" s="228">
        <v>510</v>
      </c>
      <c r="BB69" s="228">
        <v>328</v>
      </c>
      <c r="BC69" s="228">
        <v>182</v>
      </c>
      <c r="BD69" s="229">
        <v>0.55600000000000005</v>
      </c>
      <c r="BE69" s="228">
        <v>0</v>
      </c>
      <c r="BF69" s="228">
        <v>0</v>
      </c>
      <c r="BG69" s="228">
        <v>0</v>
      </c>
      <c r="BH69" s="229">
        <v>-0.5</v>
      </c>
      <c r="BI69" s="228">
        <v>465</v>
      </c>
      <c r="BJ69" s="228">
        <v>313</v>
      </c>
      <c r="BK69" s="228">
        <v>152</v>
      </c>
      <c r="BL69" s="229">
        <v>0.48630000000000001</v>
      </c>
      <c r="BM69" s="228">
        <v>255</v>
      </c>
      <c r="BN69" s="228">
        <v>224</v>
      </c>
      <c r="BO69" s="228">
        <v>31</v>
      </c>
      <c r="BP69" s="229">
        <v>0.13780000000000001</v>
      </c>
      <c r="BQ69" s="230">
        <v>1745</v>
      </c>
      <c r="BR69" s="230">
        <v>1256</v>
      </c>
      <c r="BS69" s="228">
        <v>489</v>
      </c>
      <c r="BT69" s="229">
        <v>0.38879999999999998</v>
      </c>
      <c r="BU69" s="230">
        <v>1024351</v>
      </c>
      <c r="BV69" s="230">
        <v>404603</v>
      </c>
      <c r="BW69" s="230">
        <v>619748</v>
      </c>
      <c r="BX69" s="229">
        <v>1.5317000000000001</v>
      </c>
      <c r="BY69" s="230">
        <v>1100</v>
      </c>
      <c r="BZ69" s="230">
        <v>1090</v>
      </c>
      <c r="CA69" s="228">
        <v>10</v>
      </c>
      <c r="CB69" s="229">
        <v>8.9999999999999993E-3</v>
      </c>
      <c r="CC69" s="228">
        <v>439</v>
      </c>
      <c r="CD69" s="228">
        <v>828</v>
      </c>
      <c r="CE69" s="228">
        <v>-389</v>
      </c>
      <c r="CF69" s="229">
        <v>-0.46970000000000001</v>
      </c>
      <c r="CG69" s="228">
        <v>660</v>
      </c>
      <c r="CH69" s="228">
        <v>261</v>
      </c>
      <c r="CI69" s="228">
        <v>399</v>
      </c>
      <c r="CJ69" s="229">
        <v>1.5246</v>
      </c>
      <c r="CK69" s="228">
        <v>1</v>
      </c>
      <c r="CL69" s="228">
        <v>1</v>
      </c>
      <c r="CM69" s="228">
        <v>0</v>
      </c>
      <c r="CN69" s="229">
        <v>0.1111</v>
      </c>
      <c r="CO69" s="228">
        <v>235</v>
      </c>
      <c r="CP69" s="228">
        <v>274</v>
      </c>
      <c r="CQ69" s="228">
        <v>-39</v>
      </c>
      <c r="CR69" s="229">
        <v>-0.14219999999999999</v>
      </c>
      <c r="CS69" s="228">
        <v>160</v>
      </c>
      <c r="CT69" s="228">
        <v>172</v>
      </c>
      <c r="CU69" s="228">
        <v>-13</v>
      </c>
      <c r="CV69" s="229">
        <v>-7.3499999999999996E-2</v>
      </c>
      <c r="CW69" s="230">
        <v>1495</v>
      </c>
      <c r="CX69" s="230">
        <v>1537</v>
      </c>
      <c r="CY69" s="228">
        <v>-42</v>
      </c>
      <c r="CZ69" s="229">
        <v>-2.7199999999999998E-2</v>
      </c>
      <c r="DA69" s="228">
        <v>26.48</v>
      </c>
      <c r="DB69" s="228">
        <v>29.21</v>
      </c>
      <c r="DC69" s="228">
        <v>-2.73</v>
      </c>
      <c r="DD69" s="228">
        <v>-2.73</v>
      </c>
      <c r="DE69" s="228">
        <v>27.7</v>
      </c>
      <c r="DF69" s="228">
        <v>27.65</v>
      </c>
      <c r="DG69" s="228">
        <v>-1.22</v>
      </c>
      <c r="DH69" s="228">
        <v>0.05</v>
      </c>
      <c r="DI69" s="228">
        <v>26.33</v>
      </c>
      <c r="DJ69" s="228">
        <v>29.15</v>
      </c>
      <c r="DK69" s="228">
        <v>-2.82</v>
      </c>
      <c r="DL69" s="228">
        <v>-2.82</v>
      </c>
      <c r="DM69" s="228">
        <v>26.91</v>
      </c>
      <c r="DN69" s="228">
        <v>29.3</v>
      </c>
      <c r="DO69" s="228">
        <v>-2.39</v>
      </c>
      <c r="DP69" s="228">
        <v>-2.39</v>
      </c>
      <c r="DQ69" s="228">
        <v>0.68</v>
      </c>
      <c r="DR69" s="228">
        <v>0.63</v>
      </c>
      <c r="DS69" s="228">
        <v>0.05</v>
      </c>
      <c r="DT69" s="229">
        <v>7.9399999999999998E-2</v>
      </c>
      <c r="DU69" s="231">
        <v>1300</v>
      </c>
      <c r="DV69" s="231">
        <v>1170</v>
      </c>
      <c r="DW69" s="228">
        <v>0.55000000000000004</v>
      </c>
      <c r="DX69" s="228">
        <v>0.72</v>
      </c>
      <c r="DY69" s="228">
        <v>-0.17</v>
      </c>
      <c r="DZ69" s="229">
        <v>-0.2361</v>
      </c>
      <c r="EA69" s="229">
        <v>0.60099999999999998</v>
      </c>
      <c r="EB69" s="230">
        <v>2102000</v>
      </c>
      <c r="EC69" s="229">
        <v>1.4E-3</v>
      </c>
      <c r="ED69" s="229">
        <v>0.60099999999999998</v>
      </c>
      <c r="EE69" s="228">
        <v>1.61</v>
      </c>
      <c r="EF69" s="229">
        <v>1.2999999999999999E-3</v>
      </c>
      <c r="EG69" s="230">
        <v>650779</v>
      </c>
      <c r="EH69" s="230">
        <v>167641</v>
      </c>
      <c r="EI69" s="229">
        <v>2.8820000000000001</v>
      </c>
      <c r="EJ69" s="229">
        <v>0.63529999999999998</v>
      </c>
      <c r="EK69" s="228">
        <v>476.6</v>
      </c>
      <c r="EL69" s="228">
        <v>251.13</v>
      </c>
      <c r="EM69" s="231">
        <v>1016.86</v>
      </c>
      <c r="EN69" s="228">
        <v>49.86</v>
      </c>
      <c r="EO69" s="231">
        <v>1744.59</v>
      </c>
      <c r="EP69" s="231">
        <v>1248.26</v>
      </c>
      <c r="EQ69" s="228">
        <v>496.34</v>
      </c>
      <c r="ER69" s="229">
        <v>0.39760000000000001</v>
      </c>
      <c r="ES69" s="228">
        <v>243.36</v>
      </c>
      <c r="ET69" s="228">
        <v>152.4</v>
      </c>
      <c r="EU69" s="231">
        <v>1101.1500000000001</v>
      </c>
      <c r="EV69" s="231">
        <v>72031016</v>
      </c>
      <c r="EW69" s="231">
        <v>1496.91</v>
      </c>
      <c r="EX69" s="231">
        <v>1515.19</v>
      </c>
      <c r="EY69" s="228">
        <v>-18.28</v>
      </c>
      <c r="EZ69" s="229">
        <v>-1.21E-2</v>
      </c>
      <c r="FA69" s="229">
        <v>0.16619999999999999</v>
      </c>
      <c r="FB69" s="227" t="s">
        <v>555</v>
      </c>
      <c r="FC69">
        <f t="shared" si="1"/>
        <v>661</v>
      </c>
    </row>
    <row r="70" spans="1:159" ht="17.25" thickBot="1" x14ac:dyDescent="0.3">
      <c r="A70" s="226">
        <v>46044</v>
      </c>
      <c r="B70" s="227" t="s">
        <v>206</v>
      </c>
      <c r="C70" s="227" t="s">
        <v>218</v>
      </c>
      <c r="D70" s="228">
        <v>275</v>
      </c>
      <c r="E70" s="228">
        <v>5</v>
      </c>
      <c r="F70" s="231">
        <v>1623.5</v>
      </c>
      <c r="G70" s="231">
        <v>1648.5</v>
      </c>
      <c r="H70" s="228">
        <v>-25</v>
      </c>
      <c r="I70" s="229">
        <v>-1.52E-2</v>
      </c>
      <c r="J70" s="231">
        <v>1620.4</v>
      </c>
      <c r="K70" s="231">
        <v>1644.4</v>
      </c>
      <c r="L70" s="228">
        <v>-24</v>
      </c>
      <c r="M70" s="229">
        <v>-1.46E-2</v>
      </c>
      <c r="N70" s="231">
        <v>1623.5</v>
      </c>
      <c r="O70" s="231">
        <v>1648.5</v>
      </c>
      <c r="P70" s="228">
        <v>-25</v>
      </c>
      <c r="Q70" s="229">
        <v>-1.52E-2</v>
      </c>
      <c r="R70" s="231">
        <v>1631.9</v>
      </c>
      <c r="S70" s="231">
        <v>1657.1</v>
      </c>
      <c r="T70" s="228">
        <v>-25.2</v>
      </c>
      <c r="U70" s="229">
        <v>-1.52E-2</v>
      </c>
      <c r="V70" s="231">
        <v>1642.8</v>
      </c>
      <c r="W70" s="231">
        <v>1667</v>
      </c>
      <c r="X70" s="228">
        <v>-24.2</v>
      </c>
      <c r="Y70" s="229">
        <v>-1.4500000000000001E-2</v>
      </c>
      <c r="Z70" s="228">
        <v>3.1</v>
      </c>
      <c r="AA70" s="228">
        <v>4.0999999999999996</v>
      </c>
      <c r="AB70" s="228">
        <v>-1</v>
      </c>
      <c r="AC70" s="229">
        <v>1.9E-3</v>
      </c>
      <c r="AD70" s="228">
        <v>3.1</v>
      </c>
      <c r="AE70" s="228">
        <v>4.0999999999999996</v>
      </c>
      <c r="AF70" s="228">
        <v>-1</v>
      </c>
      <c r="AG70" s="229">
        <v>1.9E-3</v>
      </c>
      <c r="AH70" s="228">
        <v>11.5</v>
      </c>
      <c r="AI70" s="228">
        <v>12.7</v>
      </c>
      <c r="AJ70" s="228">
        <v>-1.2</v>
      </c>
      <c r="AK70" s="229">
        <v>7.1000000000000004E-3</v>
      </c>
      <c r="AL70" s="228">
        <v>22.4</v>
      </c>
      <c r="AM70" s="228">
        <v>22.6</v>
      </c>
      <c r="AN70" s="228">
        <v>-0.2</v>
      </c>
      <c r="AO70" s="229">
        <v>1.38E-2</v>
      </c>
      <c r="AP70" s="231">
        <v>1630.36</v>
      </c>
      <c r="AQ70" s="231">
        <v>1638.05</v>
      </c>
      <c r="AR70" s="228">
        <v>0</v>
      </c>
      <c r="AS70" s="230">
        <v>1354</v>
      </c>
      <c r="AT70" s="230">
        <v>1191</v>
      </c>
      <c r="AU70" s="228">
        <v>164</v>
      </c>
      <c r="AV70" s="229">
        <v>0.13739999999999999</v>
      </c>
      <c r="AW70" s="228">
        <v>646</v>
      </c>
      <c r="AX70" s="228">
        <v>604</v>
      </c>
      <c r="AY70" s="228">
        <v>42</v>
      </c>
      <c r="AZ70" s="229">
        <v>7.0199999999999999E-2</v>
      </c>
      <c r="BA70" s="228">
        <v>699</v>
      </c>
      <c r="BB70" s="228">
        <v>578</v>
      </c>
      <c r="BC70" s="228">
        <v>121</v>
      </c>
      <c r="BD70" s="229">
        <v>0.20880000000000001</v>
      </c>
      <c r="BE70" s="228">
        <v>9</v>
      </c>
      <c r="BF70" s="228">
        <v>9</v>
      </c>
      <c r="BG70" s="228">
        <v>0</v>
      </c>
      <c r="BH70" s="229">
        <v>5.6099999999999997E-2</v>
      </c>
      <c r="BI70" s="230">
        <v>1529</v>
      </c>
      <c r="BJ70" s="230">
        <v>2463</v>
      </c>
      <c r="BK70" s="228">
        <v>-933</v>
      </c>
      <c r="BL70" s="229">
        <v>-0.379</v>
      </c>
      <c r="BM70" s="228">
        <v>947</v>
      </c>
      <c r="BN70" s="230">
        <v>1583</v>
      </c>
      <c r="BO70" s="228">
        <v>-636</v>
      </c>
      <c r="BP70" s="229">
        <v>-0.4017</v>
      </c>
      <c r="BQ70" s="230">
        <v>3830</v>
      </c>
      <c r="BR70" s="230">
        <v>5236</v>
      </c>
      <c r="BS70" s="230">
        <v>-1405</v>
      </c>
      <c r="BT70" s="229">
        <v>-0.26840000000000003</v>
      </c>
      <c r="BU70" s="230">
        <v>1573345</v>
      </c>
      <c r="BV70" s="230">
        <v>2898376</v>
      </c>
      <c r="BW70" s="230">
        <v>-1325031</v>
      </c>
      <c r="BX70" s="229">
        <v>-0.4572</v>
      </c>
      <c r="BY70" s="230">
        <v>1899</v>
      </c>
      <c r="BZ70" s="230">
        <v>1838</v>
      </c>
      <c r="CA70" s="228">
        <v>60</v>
      </c>
      <c r="CB70" s="229">
        <v>3.2800000000000003E-2</v>
      </c>
      <c r="CC70" s="228">
        <v>755</v>
      </c>
      <c r="CD70" s="230">
        <v>1218</v>
      </c>
      <c r="CE70" s="228">
        <v>-462</v>
      </c>
      <c r="CF70" s="229">
        <v>-0.3795</v>
      </c>
      <c r="CG70" s="230">
        <v>1119</v>
      </c>
      <c r="CH70" s="228">
        <v>600</v>
      </c>
      <c r="CI70" s="228">
        <v>520</v>
      </c>
      <c r="CJ70" s="229">
        <v>0.86619999999999997</v>
      </c>
      <c r="CK70" s="228">
        <v>24</v>
      </c>
      <c r="CL70" s="228">
        <v>21</v>
      </c>
      <c r="CM70" s="228">
        <v>3</v>
      </c>
      <c r="CN70" s="229">
        <v>0.1295</v>
      </c>
      <c r="CO70" s="230">
        <v>1178</v>
      </c>
      <c r="CP70" s="230">
        <v>1177</v>
      </c>
      <c r="CQ70" s="228">
        <v>1</v>
      </c>
      <c r="CR70" s="229">
        <v>8.0000000000000004E-4</v>
      </c>
      <c r="CS70" s="228">
        <v>704</v>
      </c>
      <c r="CT70" s="228">
        <v>691</v>
      </c>
      <c r="CU70" s="228">
        <v>13</v>
      </c>
      <c r="CV70" s="229">
        <v>1.8700000000000001E-2</v>
      </c>
      <c r="CW70" s="230">
        <v>3781</v>
      </c>
      <c r="CX70" s="230">
        <v>3707</v>
      </c>
      <c r="CY70" s="228">
        <v>74</v>
      </c>
      <c r="CZ70" s="229">
        <v>0.02</v>
      </c>
      <c r="DA70" s="228">
        <v>45.51</v>
      </c>
      <c r="DB70" s="228">
        <v>40.619999999999997</v>
      </c>
      <c r="DC70" s="228">
        <v>4.8899999999999997</v>
      </c>
      <c r="DD70" s="228">
        <v>4.8899999999999997</v>
      </c>
      <c r="DE70" s="228">
        <v>42.99</v>
      </c>
      <c r="DF70" s="228">
        <v>43.05</v>
      </c>
      <c r="DG70" s="228">
        <v>2.52</v>
      </c>
      <c r="DH70" s="228">
        <v>-0.06</v>
      </c>
      <c r="DI70" s="228">
        <v>46.13</v>
      </c>
      <c r="DJ70" s="228">
        <v>42.06</v>
      </c>
      <c r="DK70" s="228">
        <v>4.07</v>
      </c>
      <c r="DL70" s="228">
        <v>4.07</v>
      </c>
      <c r="DM70" s="228">
        <v>44.46</v>
      </c>
      <c r="DN70" s="228">
        <v>38.380000000000003</v>
      </c>
      <c r="DO70" s="228">
        <v>6.08</v>
      </c>
      <c r="DP70" s="228">
        <v>6.08</v>
      </c>
      <c r="DQ70" s="228">
        <v>0.6</v>
      </c>
      <c r="DR70" s="228">
        <v>0.59</v>
      </c>
      <c r="DS70" s="228">
        <v>0.01</v>
      </c>
      <c r="DT70" s="229">
        <v>1.6899999999999998E-2</v>
      </c>
      <c r="DU70" s="231">
        <v>1900</v>
      </c>
      <c r="DV70" s="231">
        <v>1900</v>
      </c>
      <c r="DW70" s="228">
        <v>0.62</v>
      </c>
      <c r="DX70" s="228">
        <v>0.64</v>
      </c>
      <c r="DY70" s="228">
        <v>-0.02</v>
      </c>
      <c r="DZ70" s="229">
        <v>-3.1300000000000001E-2</v>
      </c>
      <c r="EA70" s="229">
        <v>0.60209999999999997</v>
      </c>
      <c r="EB70" s="230">
        <v>3824425</v>
      </c>
      <c r="EC70" s="229">
        <v>5.1999999999999998E-3</v>
      </c>
      <c r="ED70" s="229">
        <v>0.60209999999999997</v>
      </c>
      <c r="EE70" s="228">
        <v>7.69</v>
      </c>
      <c r="EF70" s="229">
        <v>4.7000000000000002E-3</v>
      </c>
      <c r="EG70" s="230">
        <v>757667</v>
      </c>
      <c r="EH70" s="230">
        <v>1361905</v>
      </c>
      <c r="EI70" s="229">
        <v>-0.44369999999999998</v>
      </c>
      <c r="EJ70" s="229">
        <v>0.48159999999999997</v>
      </c>
      <c r="EK70" s="231">
        <v>1658.08</v>
      </c>
      <c r="EL70" s="228">
        <v>965.25</v>
      </c>
      <c r="EM70" s="231">
        <v>1363.27</v>
      </c>
      <c r="EN70" s="228">
        <v>143.13</v>
      </c>
      <c r="EO70" s="231">
        <v>3986.6</v>
      </c>
      <c r="EP70" s="231">
        <v>5560.03</v>
      </c>
      <c r="EQ70" s="231">
        <v>-1573.42</v>
      </c>
      <c r="ER70" s="229">
        <v>-0.28299999999999997</v>
      </c>
      <c r="ES70" s="231">
        <v>1392.46</v>
      </c>
      <c r="ET70" s="228">
        <v>790.99</v>
      </c>
      <c r="EU70" s="231">
        <v>1904.75</v>
      </c>
      <c r="EV70" s="231">
        <v>17263909</v>
      </c>
      <c r="EW70" s="231">
        <v>4088.19</v>
      </c>
      <c r="EX70" s="231">
        <v>4055.37</v>
      </c>
      <c r="EY70" s="228">
        <v>32.82</v>
      </c>
      <c r="EZ70" s="229">
        <v>8.0999999999999996E-3</v>
      </c>
      <c r="FA70" s="229">
        <v>1.3489</v>
      </c>
      <c r="FB70" s="227" t="s">
        <v>567</v>
      </c>
      <c r="FC70">
        <f t="shared" si="1"/>
        <v>1144</v>
      </c>
    </row>
    <row r="71" spans="1:159" ht="17.25" thickBot="1" x14ac:dyDescent="0.3">
      <c r="A71" s="226">
        <v>46044</v>
      </c>
      <c r="B71" s="227" t="s">
        <v>157</v>
      </c>
      <c r="C71" s="227" t="s">
        <v>219</v>
      </c>
      <c r="D71" s="228">
        <v>250</v>
      </c>
      <c r="E71" s="228">
        <v>5</v>
      </c>
      <c r="F71" s="231">
        <v>2793</v>
      </c>
      <c r="G71" s="231">
        <v>2737.7</v>
      </c>
      <c r="H71" s="228">
        <v>55.3</v>
      </c>
      <c r="I71" s="229">
        <v>2.0199999999999999E-2</v>
      </c>
      <c r="J71" s="231">
        <v>2787.6</v>
      </c>
      <c r="K71" s="231">
        <v>2735.6</v>
      </c>
      <c r="L71" s="228">
        <v>52</v>
      </c>
      <c r="M71" s="229">
        <v>1.9E-2</v>
      </c>
      <c r="N71" s="231">
        <v>2793</v>
      </c>
      <c r="O71" s="231">
        <v>2737.7</v>
      </c>
      <c r="P71" s="228">
        <v>55.3</v>
      </c>
      <c r="Q71" s="229">
        <v>2.0199999999999999E-2</v>
      </c>
      <c r="R71" s="231">
        <v>2808.6</v>
      </c>
      <c r="S71" s="231">
        <v>2752.8</v>
      </c>
      <c r="T71" s="228">
        <v>55.8</v>
      </c>
      <c r="U71" s="229">
        <v>2.0299999999999999E-2</v>
      </c>
      <c r="V71" s="231">
        <v>2816.3</v>
      </c>
      <c r="W71" s="231">
        <v>2761.8</v>
      </c>
      <c r="X71" s="228">
        <v>54.5</v>
      </c>
      <c r="Y71" s="229">
        <v>1.9699999999999999E-2</v>
      </c>
      <c r="Z71" s="228">
        <v>5.4</v>
      </c>
      <c r="AA71" s="228">
        <v>2.1</v>
      </c>
      <c r="AB71" s="228">
        <v>3.3</v>
      </c>
      <c r="AC71" s="229">
        <v>1.9E-3</v>
      </c>
      <c r="AD71" s="228">
        <v>5.4</v>
      </c>
      <c r="AE71" s="228">
        <v>2.1</v>
      </c>
      <c r="AF71" s="228">
        <v>3.3</v>
      </c>
      <c r="AG71" s="229">
        <v>1.9E-3</v>
      </c>
      <c r="AH71" s="228">
        <v>21</v>
      </c>
      <c r="AI71" s="228">
        <v>17.2</v>
      </c>
      <c r="AJ71" s="228">
        <v>3.8</v>
      </c>
      <c r="AK71" s="229">
        <v>7.4999999999999997E-3</v>
      </c>
      <c r="AL71" s="228">
        <v>28.7</v>
      </c>
      <c r="AM71" s="228">
        <v>26.2</v>
      </c>
      <c r="AN71" s="228">
        <v>2.5</v>
      </c>
      <c r="AO71" s="229">
        <v>1.03E-2</v>
      </c>
      <c r="AP71" s="231">
        <v>2780.06</v>
      </c>
      <c r="AQ71" s="231">
        <v>2795.66</v>
      </c>
      <c r="AR71" s="228">
        <v>0</v>
      </c>
      <c r="AS71" s="230">
        <v>3310</v>
      </c>
      <c r="AT71" s="230">
        <v>2147</v>
      </c>
      <c r="AU71" s="230">
        <v>1163</v>
      </c>
      <c r="AV71" s="229">
        <v>0.54169999999999996</v>
      </c>
      <c r="AW71" s="230">
        <v>1645</v>
      </c>
      <c r="AX71" s="230">
        <v>1149</v>
      </c>
      <c r="AY71" s="228">
        <v>496</v>
      </c>
      <c r="AZ71" s="229">
        <v>0.43130000000000002</v>
      </c>
      <c r="BA71" s="230">
        <v>1664</v>
      </c>
      <c r="BB71" s="228">
        <v>995</v>
      </c>
      <c r="BC71" s="228">
        <v>669</v>
      </c>
      <c r="BD71" s="229">
        <v>0.67190000000000005</v>
      </c>
      <c r="BE71" s="228">
        <v>1</v>
      </c>
      <c r="BF71" s="228">
        <v>2</v>
      </c>
      <c r="BG71" s="228">
        <v>-1</v>
      </c>
      <c r="BH71" s="229">
        <v>-0.61760000000000004</v>
      </c>
      <c r="BI71" s="228">
        <v>623</v>
      </c>
      <c r="BJ71" s="228">
        <v>740</v>
      </c>
      <c r="BK71" s="228">
        <v>-117</v>
      </c>
      <c r="BL71" s="229">
        <v>-0.15790000000000001</v>
      </c>
      <c r="BM71" s="228">
        <v>453</v>
      </c>
      <c r="BN71" s="228">
        <v>453</v>
      </c>
      <c r="BO71" s="228">
        <v>1</v>
      </c>
      <c r="BP71" s="229">
        <v>1.1999999999999999E-3</v>
      </c>
      <c r="BQ71" s="230">
        <v>4386</v>
      </c>
      <c r="BR71" s="230">
        <v>3340</v>
      </c>
      <c r="BS71" s="230">
        <v>1047</v>
      </c>
      <c r="BT71" s="229">
        <v>0.31340000000000001</v>
      </c>
      <c r="BU71" s="230">
        <v>907051</v>
      </c>
      <c r="BV71" s="230">
        <v>948988</v>
      </c>
      <c r="BW71" s="230">
        <v>-41937</v>
      </c>
      <c r="BX71" s="229">
        <v>-4.4200000000000003E-2</v>
      </c>
      <c r="BY71" s="230">
        <v>4692</v>
      </c>
      <c r="BZ71" s="230">
        <v>4721</v>
      </c>
      <c r="CA71" s="228">
        <v>-29</v>
      </c>
      <c r="CB71" s="229">
        <v>-6.0000000000000001E-3</v>
      </c>
      <c r="CC71" s="230">
        <v>1412</v>
      </c>
      <c r="CD71" s="230">
        <v>2884</v>
      </c>
      <c r="CE71" s="230">
        <v>-1472</v>
      </c>
      <c r="CF71" s="229">
        <v>-0.51039999999999996</v>
      </c>
      <c r="CG71" s="230">
        <v>3263</v>
      </c>
      <c r="CH71" s="230">
        <v>1821</v>
      </c>
      <c r="CI71" s="230">
        <v>1443</v>
      </c>
      <c r="CJ71" s="229">
        <v>0.79239999999999999</v>
      </c>
      <c r="CK71" s="228">
        <v>17</v>
      </c>
      <c r="CL71" s="228">
        <v>16</v>
      </c>
      <c r="CM71" s="228">
        <v>0</v>
      </c>
      <c r="CN71" s="229">
        <v>0.03</v>
      </c>
      <c r="CO71" s="228">
        <v>427</v>
      </c>
      <c r="CP71" s="228">
        <v>463</v>
      </c>
      <c r="CQ71" s="228">
        <v>-36</v>
      </c>
      <c r="CR71" s="229">
        <v>-7.8399999999999997E-2</v>
      </c>
      <c r="CS71" s="228">
        <v>433</v>
      </c>
      <c r="CT71" s="228">
        <v>449</v>
      </c>
      <c r="CU71" s="228">
        <v>-16</v>
      </c>
      <c r="CV71" s="229">
        <v>-3.5299999999999998E-2</v>
      </c>
      <c r="CW71" s="230">
        <v>5552</v>
      </c>
      <c r="CX71" s="230">
        <v>5633</v>
      </c>
      <c r="CY71" s="228">
        <v>-81</v>
      </c>
      <c r="CZ71" s="229">
        <v>-1.43E-2</v>
      </c>
      <c r="DA71" s="228">
        <v>21.11</v>
      </c>
      <c r="DB71" s="228">
        <v>18.32</v>
      </c>
      <c r="DC71" s="228">
        <v>2.79</v>
      </c>
      <c r="DD71" s="228">
        <v>2.79</v>
      </c>
      <c r="DE71" s="228">
        <v>24.9</v>
      </c>
      <c r="DF71" s="228">
        <v>24.82</v>
      </c>
      <c r="DG71" s="228">
        <v>-3.79</v>
      </c>
      <c r="DH71" s="228">
        <v>0.08</v>
      </c>
      <c r="DI71" s="228">
        <v>20.94</v>
      </c>
      <c r="DJ71" s="228">
        <v>18.809999999999999</v>
      </c>
      <c r="DK71" s="228">
        <v>2.13</v>
      </c>
      <c r="DL71" s="228">
        <v>2.13</v>
      </c>
      <c r="DM71" s="228">
        <v>21.28</v>
      </c>
      <c r="DN71" s="228">
        <v>17.52</v>
      </c>
      <c r="DO71" s="228">
        <v>3.76</v>
      </c>
      <c r="DP71" s="228">
        <v>3.76</v>
      </c>
      <c r="DQ71" s="228">
        <v>1.01</v>
      </c>
      <c r="DR71" s="228">
        <v>0.97</v>
      </c>
      <c r="DS71" s="228">
        <v>0.04</v>
      </c>
      <c r="DT71" s="229">
        <v>4.1200000000000001E-2</v>
      </c>
      <c r="DU71" s="231">
        <v>2900</v>
      </c>
      <c r="DV71" s="231">
        <v>2600</v>
      </c>
      <c r="DW71" s="228">
        <v>0.73</v>
      </c>
      <c r="DX71" s="228">
        <v>0.61</v>
      </c>
      <c r="DY71" s="228">
        <v>0.12</v>
      </c>
      <c r="DZ71" s="229">
        <v>0.19670000000000001</v>
      </c>
      <c r="EA71" s="229">
        <v>0.69910000000000005</v>
      </c>
      <c r="EB71" s="230">
        <v>6577250</v>
      </c>
      <c r="EC71" s="229">
        <v>5.5999999999999999E-3</v>
      </c>
      <c r="ED71" s="229">
        <v>0.69910000000000005</v>
      </c>
      <c r="EE71" s="228">
        <v>15.6</v>
      </c>
      <c r="EF71" s="229">
        <v>5.5999999999999999E-3</v>
      </c>
      <c r="EG71" s="230">
        <v>531285</v>
      </c>
      <c r="EH71" s="230">
        <v>478564</v>
      </c>
      <c r="EI71" s="229">
        <v>0.11020000000000001</v>
      </c>
      <c r="EJ71" s="229">
        <v>0.5857</v>
      </c>
      <c r="EK71" s="228">
        <v>634.73</v>
      </c>
      <c r="EL71" s="228">
        <v>447.18</v>
      </c>
      <c r="EM71" s="231">
        <v>3303.96</v>
      </c>
      <c r="EN71" s="228">
        <v>165.54</v>
      </c>
      <c r="EO71" s="231">
        <v>4385.87</v>
      </c>
      <c r="EP71" s="231">
        <v>3292.86</v>
      </c>
      <c r="EQ71" s="231">
        <v>1093.01</v>
      </c>
      <c r="ER71" s="229">
        <v>0.33189999999999997</v>
      </c>
      <c r="ES71" s="228">
        <v>445</v>
      </c>
      <c r="ET71" s="228">
        <v>423.82</v>
      </c>
      <c r="EU71" s="231">
        <v>4710.68</v>
      </c>
      <c r="EV71" s="231">
        <v>38505832</v>
      </c>
      <c r="EW71" s="231">
        <v>5579.5</v>
      </c>
      <c r="EX71" s="231">
        <v>5558.49</v>
      </c>
      <c r="EY71" s="228">
        <v>21.01</v>
      </c>
      <c r="EZ71" s="229">
        <v>3.8E-3</v>
      </c>
      <c r="FA71" s="229">
        <v>0.51619999999999999</v>
      </c>
      <c r="FB71" s="227" t="s">
        <v>556</v>
      </c>
      <c r="FC71">
        <f t="shared" si="1"/>
        <v>3280</v>
      </c>
    </row>
    <row r="72" spans="1:159" ht="17.25" thickBot="1" x14ac:dyDescent="0.3">
      <c r="A72" s="226">
        <v>46044</v>
      </c>
      <c r="B72" s="227" t="s">
        <v>184</v>
      </c>
      <c r="C72" s="227" t="s">
        <v>513</v>
      </c>
      <c r="D72" s="228">
        <v>150</v>
      </c>
      <c r="E72" s="228">
        <v>5</v>
      </c>
      <c r="F72" s="231">
        <v>4350.1000000000004</v>
      </c>
      <c r="G72" s="231">
        <v>4256.3999999999996</v>
      </c>
      <c r="H72" s="228">
        <v>93.7</v>
      </c>
      <c r="I72" s="229">
        <v>2.1999999999999999E-2</v>
      </c>
      <c r="J72" s="231">
        <v>4353.2</v>
      </c>
      <c r="K72" s="231">
        <v>4259.3999999999996</v>
      </c>
      <c r="L72" s="228">
        <v>93.8</v>
      </c>
      <c r="M72" s="229">
        <v>2.1999999999999999E-2</v>
      </c>
      <c r="N72" s="231">
        <v>4350.1000000000004</v>
      </c>
      <c r="O72" s="231">
        <v>4256.3999999999996</v>
      </c>
      <c r="P72" s="228">
        <v>93.7</v>
      </c>
      <c r="Q72" s="229">
        <v>2.1999999999999999E-2</v>
      </c>
      <c r="R72" s="231">
        <v>4354.3</v>
      </c>
      <c r="S72" s="231">
        <v>4264.6000000000004</v>
      </c>
      <c r="T72" s="228">
        <v>89.7</v>
      </c>
      <c r="U72" s="229">
        <v>2.1000000000000001E-2</v>
      </c>
      <c r="V72" s="231">
        <v>4372.3999999999996</v>
      </c>
      <c r="W72" s="231">
        <v>4282.3</v>
      </c>
      <c r="X72" s="228">
        <v>90.1</v>
      </c>
      <c r="Y72" s="229">
        <v>2.1000000000000001E-2</v>
      </c>
      <c r="Z72" s="228">
        <v>-3.1</v>
      </c>
      <c r="AA72" s="228">
        <v>-3</v>
      </c>
      <c r="AB72" s="228">
        <v>-0.1</v>
      </c>
      <c r="AC72" s="229">
        <v>-6.9999999999999999E-4</v>
      </c>
      <c r="AD72" s="228">
        <v>-3.1</v>
      </c>
      <c r="AE72" s="228">
        <v>-3</v>
      </c>
      <c r="AF72" s="228">
        <v>-0.1</v>
      </c>
      <c r="AG72" s="229">
        <v>-6.9999999999999999E-4</v>
      </c>
      <c r="AH72" s="228">
        <v>1.1000000000000001</v>
      </c>
      <c r="AI72" s="228">
        <v>5.2</v>
      </c>
      <c r="AJ72" s="228">
        <v>-4.0999999999999996</v>
      </c>
      <c r="AK72" s="229">
        <v>2.9999999999999997E-4</v>
      </c>
      <c r="AL72" s="228">
        <v>19.2</v>
      </c>
      <c r="AM72" s="228">
        <v>22.9</v>
      </c>
      <c r="AN72" s="228">
        <v>-3.7</v>
      </c>
      <c r="AO72" s="229">
        <v>4.4000000000000003E-3</v>
      </c>
      <c r="AP72" s="231">
        <v>4327.26</v>
      </c>
      <c r="AQ72" s="231">
        <v>4332.79</v>
      </c>
      <c r="AR72" s="228">
        <v>0</v>
      </c>
      <c r="AS72" s="230">
        <v>1998</v>
      </c>
      <c r="AT72" s="230">
        <v>1532</v>
      </c>
      <c r="AU72" s="228">
        <v>465</v>
      </c>
      <c r="AV72" s="229">
        <v>0.30359999999999998</v>
      </c>
      <c r="AW72" s="230">
        <v>1019</v>
      </c>
      <c r="AX72" s="228">
        <v>854</v>
      </c>
      <c r="AY72" s="228">
        <v>165</v>
      </c>
      <c r="AZ72" s="229">
        <v>0.1928</v>
      </c>
      <c r="BA72" s="228">
        <v>935</v>
      </c>
      <c r="BB72" s="228">
        <v>650</v>
      </c>
      <c r="BC72" s="228">
        <v>284</v>
      </c>
      <c r="BD72" s="229">
        <v>0.43740000000000001</v>
      </c>
      <c r="BE72" s="228">
        <v>44</v>
      </c>
      <c r="BF72" s="228">
        <v>28</v>
      </c>
      <c r="BG72" s="228">
        <v>16</v>
      </c>
      <c r="BH72" s="229">
        <v>0.57709999999999995</v>
      </c>
      <c r="BI72" s="230">
        <v>4736</v>
      </c>
      <c r="BJ72" s="230">
        <v>5077</v>
      </c>
      <c r="BK72" s="228">
        <v>-341</v>
      </c>
      <c r="BL72" s="229">
        <v>-6.7199999999999996E-2</v>
      </c>
      <c r="BM72" s="230">
        <v>2006</v>
      </c>
      <c r="BN72" s="230">
        <v>3069</v>
      </c>
      <c r="BO72" s="230">
        <v>-1063</v>
      </c>
      <c r="BP72" s="229">
        <v>-0.34639999999999999</v>
      </c>
      <c r="BQ72" s="230">
        <v>8740</v>
      </c>
      <c r="BR72" s="230">
        <v>9678</v>
      </c>
      <c r="BS72" s="228">
        <v>-939</v>
      </c>
      <c r="BT72" s="229">
        <v>-9.7000000000000003E-2</v>
      </c>
      <c r="BU72" s="230">
        <v>804330</v>
      </c>
      <c r="BV72" s="230">
        <v>1163886</v>
      </c>
      <c r="BW72" s="230">
        <v>-359556</v>
      </c>
      <c r="BX72" s="229">
        <v>-0.30890000000000001</v>
      </c>
      <c r="BY72" s="230">
        <v>4015</v>
      </c>
      <c r="BZ72" s="230">
        <v>4075</v>
      </c>
      <c r="CA72" s="228">
        <v>-60</v>
      </c>
      <c r="CB72" s="229">
        <v>-1.46E-2</v>
      </c>
      <c r="CC72" s="230">
        <v>1994</v>
      </c>
      <c r="CD72" s="230">
        <v>2710</v>
      </c>
      <c r="CE72" s="228">
        <v>-716</v>
      </c>
      <c r="CF72" s="229">
        <v>-0.2641</v>
      </c>
      <c r="CG72" s="230">
        <v>1911</v>
      </c>
      <c r="CH72" s="230">
        <v>1280</v>
      </c>
      <c r="CI72" s="228">
        <v>632</v>
      </c>
      <c r="CJ72" s="229">
        <v>0.49349999999999999</v>
      </c>
      <c r="CK72" s="228">
        <v>110</v>
      </c>
      <c r="CL72" s="228">
        <v>85</v>
      </c>
      <c r="CM72" s="228">
        <v>24</v>
      </c>
      <c r="CN72" s="229">
        <v>0.2863</v>
      </c>
      <c r="CO72" s="230">
        <v>2521</v>
      </c>
      <c r="CP72" s="230">
        <v>2788</v>
      </c>
      <c r="CQ72" s="228">
        <v>-267</v>
      </c>
      <c r="CR72" s="229">
        <v>-9.5600000000000004E-2</v>
      </c>
      <c r="CS72" s="230">
        <v>1490</v>
      </c>
      <c r="CT72" s="230">
        <v>1488</v>
      </c>
      <c r="CU72" s="228">
        <v>2</v>
      </c>
      <c r="CV72" s="229">
        <v>1.4E-3</v>
      </c>
      <c r="CW72" s="230">
        <v>8027</v>
      </c>
      <c r="CX72" s="230">
        <v>8351</v>
      </c>
      <c r="CY72" s="228">
        <v>-324</v>
      </c>
      <c r="CZ72" s="229">
        <v>-3.8800000000000001E-2</v>
      </c>
      <c r="DA72" s="228">
        <v>33.14</v>
      </c>
      <c r="DB72" s="228">
        <v>35.28</v>
      </c>
      <c r="DC72" s="228">
        <v>-2.14</v>
      </c>
      <c r="DD72" s="228">
        <v>-2.14</v>
      </c>
      <c r="DE72" s="228">
        <v>36.659999999999997</v>
      </c>
      <c r="DF72" s="228">
        <v>36.630000000000003</v>
      </c>
      <c r="DG72" s="228">
        <v>-3.52</v>
      </c>
      <c r="DH72" s="228">
        <v>0.03</v>
      </c>
      <c r="DI72" s="228">
        <v>33.29</v>
      </c>
      <c r="DJ72" s="228">
        <v>36.79</v>
      </c>
      <c r="DK72" s="228">
        <v>-3.5</v>
      </c>
      <c r="DL72" s="228">
        <v>-3.5</v>
      </c>
      <c r="DM72" s="228">
        <v>32.86</v>
      </c>
      <c r="DN72" s="228">
        <v>32.79</v>
      </c>
      <c r="DO72" s="228">
        <v>7.0000000000000007E-2</v>
      </c>
      <c r="DP72" s="228">
        <v>7.0000000000000007E-2</v>
      </c>
      <c r="DQ72" s="228">
        <v>0.59</v>
      </c>
      <c r="DR72" s="228">
        <v>0.53</v>
      </c>
      <c r="DS72" s="228">
        <v>0.06</v>
      </c>
      <c r="DT72" s="229">
        <v>0.1132</v>
      </c>
      <c r="DU72" s="231">
        <v>4500</v>
      </c>
      <c r="DV72" s="231">
        <v>4400</v>
      </c>
      <c r="DW72" s="228">
        <v>0.42</v>
      </c>
      <c r="DX72" s="228">
        <v>0.6</v>
      </c>
      <c r="DY72" s="228">
        <v>-0.18</v>
      </c>
      <c r="DZ72" s="229">
        <v>-0.3</v>
      </c>
      <c r="EA72" s="229">
        <v>0.50329999999999997</v>
      </c>
      <c r="EB72" s="230">
        <v>3138000</v>
      </c>
      <c r="EC72" s="229">
        <v>1E-3</v>
      </c>
      <c r="ED72" s="229">
        <v>0.50329999999999997</v>
      </c>
      <c r="EE72" s="228">
        <v>5.53</v>
      </c>
      <c r="EF72" s="229">
        <v>1.2999999999999999E-3</v>
      </c>
      <c r="EG72" s="230">
        <v>389357</v>
      </c>
      <c r="EH72" s="230">
        <v>493523</v>
      </c>
      <c r="EI72" s="229">
        <v>-0.21110000000000001</v>
      </c>
      <c r="EJ72" s="229">
        <v>0.48409999999999997</v>
      </c>
      <c r="EK72" s="231">
        <v>4950.26</v>
      </c>
      <c r="EL72" s="231">
        <v>2007.7</v>
      </c>
      <c r="EM72" s="231">
        <v>1988.56</v>
      </c>
      <c r="EN72" s="228">
        <v>172.3</v>
      </c>
      <c r="EO72" s="231">
        <v>8946.52</v>
      </c>
      <c r="EP72" s="231">
        <v>9821.24</v>
      </c>
      <c r="EQ72" s="228">
        <v>-874.73</v>
      </c>
      <c r="ER72" s="229">
        <v>-8.9099999999999999E-2</v>
      </c>
      <c r="ES72" s="231">
        <v>2691.62</v>
      </c>
      <c r="ET72" s="231">
        <v>1501.81</v>
      </c>
      <c r="EU72" s="231">
        <v>4017.73</v>
      </c>
      <c r="EV72" s="231">
        <v>28450886</v>
      </c>
      <c r="EW72" s="231">
        <v>8211.16</v>
      </c>
      <c r="EX72" s="231">
        <v>8465.07</v>
      </c>
      <c r="EY72" s="228">
        <v>-253.91</v>
      </c>
      <c r="EZ72" s="229">
        <v>-0.03</v>
      </c>
      <c r="FA72" s="229">
        <v>0.64859999999999995</v>
      </c>
      <c r="FB72" s="227" t="s">
        <v>556</v>
      </c>
      <c r="FC72">
        <f t="shared" si="1"/>
        <v>2021</v>
      </c>
    </row>
    <row r="73" spans="1:159" ht="17.25" thickBot="1" x14ac:dyDescent="0.3">
      <c r="A73" s="226">
        <v>46044</v>
      </c>
      <c r="B73" s="227" t="s">
        <v>184</v>
      </c>
      <c r="C73" s="227" t="s">
        <v>220</v>
      </c>
      <c r="D73" s="228">
        <v>500</v>
      </c>
      <c r="E73" s="228">
        <v>5</v>
      </c>
      <c r="F73" s="231">
        <v>1308.5</v>
      </c>
      <c r="G73" s="231">
        <v>1315.6</v>
      </c>
      <c r="H73" s="228">
        <v>-7.1</v>
      </c>
      <c r="I73" s="229">
        <v>-5.4000000000000003E-3</v>
      </c>
      <c r="J73" s="231">
        <v>1311.8</v>
      </c>
      <c r="K73" s="231">
        <v>1316</v>
      </c>
      <c r="L73" s="228">
        <v>-4.2</v>
      </c>
      <c r="M73" s="229">
        <v>-3.2000000000000002E-3</v>
      </c>
      <c r="N73" s="231">
        <v>1308.5</v>
      </c>
      <c r="O73" s="231">
        <v>1315.6</v>
      </c>
      <c r="P73" s="228">
        <v>-7.1</v>
      </c>
      <c r="Q73" s="229">
        <v>-5.4000000000000003E-3</v>
      </c>
      <c r="R73" s="231">
        <v>1314.7</v>
      </c>
      <c r="S73" s="231">
        <v>1321.8</v>
      </c>
      <c r="T73" s="228">
        <v>-7.1</v>
      </c>
      <c r="U73" s="229">
        <v>-5.4000000000000003E-3</v>
      </c>
      <c r="V73" s="231">
        <v>1324.6</v>
      </c>
      <c r="W73" s="231">
        <v>1330.1</v>
      </c>
      <c r="X73" s="228">
        <v>-5.5</v>
      </c>
      <c r="Y73" s="229">
        <v>-4.1000000000000003E-3</v>
      </c>
      <c r="Z73" s="228">
        <v>-3.3</v>
      </c>
      <c r="AA73" s="228">
        <v>-0.4</v>
      </c>
      <c r="AB73" s="228">
        <v>-2.9</v>
      </c>
      <c r="AC73" s="229">
        <v>-2.5000000000000001E-3</v>
      </c>
      <c r="AD73" s="228">
        <v>-3.3</v>
      </c>
      <c r="AE73" s="228">
        <v>-0.4</v>
      </c>
      <c r="AF73" s="228">
        <v>-2.9</v>
      </c>
      <c r="AG73" s="229">
        <v>-2.5000000000000001E-3</v>
      </c>
      <c r="AH73" s="228">
        <v>2.9</v>
      </c>
      <c r="AI73" s="228">
        <v>5.8</v>
      </c>
      <c r="AJ73" s="228">
        <v>-2.9</v>
      </c>
      <c r="AK73" s="229">
        <v>2.2000000000000001E-3</v>
      </c>
      <c r="AL73" s="228">
        <v>12.8</v>
      </c>
      <c r="AM73" s="228">
        <v>14.1</v>
      </c>
      <c r="AN73" s="228">
        <v>-1.3</v>
      </c>
      <c r="AO73" s="229">
        <v>9.7999999999999997E-3</v>
      </c>
      <c r="AP73" s="231">
        <v>1316.34</v>
      </c>
      <c r="AQ73" s="231">
        <v>1322.65</v>
      </c>
      <c r="AR73" s="228">
        <v>0</v>
      </c>
      <c r="AS73" s="230">
        <v>1190</v>
      </c>
      <c r="AT73" s="230">
        <v>1210</v>
      </c>
      <c r="AU73" s="228">
        <v>-20</v>
      </c>
      <c r="AV73" s="229">
        <v>-1.6400000000000001E-2</v>
      </c>
      <c r="AW73" s="228">
        <v>613</v>
      </c>
      <c r="AX73" s="228">
        <v>671</v>
      </c>
      <c r="AY73" s="228">
        <v>-58</v>
      </c>
      <c r="AZ73" s="229">
        <v>-8.6300000000000002E-2</v>
      </c>
      <c r="BA73" s="228">
        <v>570</v>
      </c>
      <c r="BB73" s="228">
        <v>530</v>
      </c>
      <c r="BC73" s="228">
        <v>41</v>
      </c>
      <c r="BD73" s="229">
        <v>7.7200000000000005E-2</v>
      </c>
      <c r="BE73" s="228">
        <v>6</v>
      </c>
      <c r="BF73" s="228">
        <v>9</v>
      </c>
      <c r="BG73" s="228">
        <v>-3</v>
      </c>
      <c r="BH73" s="229">
        <v>-0.31159999999999999</v>
      </c>
      <c r="BI73" s="230">
        <v>1264</v>
      </c>
      <c r="BJ73" s="230">
        <v>3407</v>
      </c>
      <c r="BK73" s="230">
        <v>-2142</v>
      </c>
      <c r="BL73" s="229">
        <v>-0.62890000000000001</v>
      </c>
      <c r="BM73" s="228">
        <v>554</v>
      </c>
      <c r="BN73" s="230">
        <v>3032</v>
      </c>
      <c r="BO73" s="230">
        <v>-2478</v>
      </c>
      <c r="BP73" s="229">
        <v>-0.81720000000000004</v>
      </c>
      <c r="BQ73" s="230">
        <v>3008</v>
      </c>
      <c r="BR73" s="230">
        <v>7648</v>
      </c>
      <c r="BS73" s="230">
        <v>-4640</v>
      </c>
      <c r="BT73" s="229">
        <v>-0.60660000000000003</v>
      </c>
      <c r="BU73" s="230">
        <v>933075</v>
      </c>
      <c r="BV73" s="230">
        <v>2377470</v>
      </c>
      <c r="BW73" s="230">
        <v>-1444395</v>
      </c>
      <c r="BX73" s="229">
        <v>-0.60750000000000004</v>
      </c>
      <c r="BY73" s="230">
        <v>1392</v>
      </c>
      <c r="BZ73" s="230">
        <v>1428</v>
      </c>
      <c r="CA73" s="228">
        <v>-36</v>
      </c>
      <c r="CB73" s="229">
        <v>-2.4899999999999999E-2</v>
      </c>
      <c r="CC73" s="228">
        <v>650</v>
      </c>
      <c r="CD73" s="230">
        <v>1040</v>
      </c>
      <c r="CE73" s="228">
        <v>-389</v>
      </c>
      <c r="CF73" s="229">
        <v>-0.37440000000000001</v>
      </c>
      <c r="CG73" s="228">
        <v>727</v>
      </c>
      <c r="CH73" s="228">
        <v>377</v>
      </c>
      <c r="CI73" s="228">
        <v>350</v>
      </c>
      <c r="CJ73" s="229">
        <v>0.92669999999999997</v>
      </c>
      <c r="CK73" s="228">
        <v>15</v>
      </c>
      <c r="CL73" s="228">
        <v>11</v>
      </c>
      <c r="CM73" s="228">
        <v>4</v>
      </c>
      <c r="CN73" s="229">
        <v>0.38040000000000002</v>
      </c>
      <c r="CO73" s="230">
        <v>1005</v>
      </c>
      <c r="CP73" s="230">
        <v>1095</v>
      </c>
      <c r="CQ73" s="228">
        <v>-90</v>
      </c>
      <c r="CR73" s="229">
        <v>-8.2600000000000007E-2</v>
      </c>
      <c r="CS73" s="228">
        <v>617</v>
      </c>
      <c r="CT73" s="228">
        <v>637</v>
      </c>
      <c r="CU73" s="228">
        <v>-20</v>
      </c>
      <c r="CV73" s="229">
        <v>-3.0700000000000002E-2</v>
      </c>
      <c r="CW73" s="230">
        <v>3014</v>
      </c>
      <c r="CX73" s="230">
        <v>3160</v>
      </c>
      <c r="CY73" s="228">
        <v>-146</v>
      </c>
      <c r="CZ73" s="229">
        <v>-4.6100000000000002E-2</v>
      </c>
      <c r="DA73" s="228">
        <v>26.42</v>
      </c>
      <c r="DB73" s="228">
        <v>25.58</v>
      </c>
      <c r="DC73" s="228">
        <v>0.84</v>
      </c>
      <c r="DD73" s="228">
        <v>0.84</v>
      </c>
      <c r="DE73" s="228">
        <v>28.45</v>
      </c>
      <c r="DF73" s="228">
        <v>28.51</v>
      </c>
      <c r="DG73" s="228">
        <v>-2.0299999999999998</v>
      </c>
      <c r="DH73" s="228">
        <v>-0.06</v>
      </c>
      <c r="DI73" s="228">
        <v>26.81</v>
      </c>
      <c r="DJ73" s="228">
        <v>26.95</v>
      </c>
      <c r="DK73" s="228">
        <v>-0.14000000000000001</v>
      </c>
      <c r="DL73" s="228">
        <v>-0.14000000000000001</v>
      </c>
      <c r="DM73" s="228">
        <v>25.56</v>
      </c>
      <c r="DN73" s="228">
        <v>24.04</v>
      </c>
      <c r="DO73" s="228">
        <v>1.52</v>
      </c>
      <c r="DP73" s="228">
        <v>1.52</v>
      </c>
      <c r="DQ73" s="228">
        <v>0.61</v>
      </c>
      <c r="DR73" s="228">
        <v>0.57999999999999996</v>
      </c>
      <c r="DS73" s="228">
        <v>0.03</v>
      </c>
      <c r="DT73" s="229">
        <v>5.1700000000000003E-2</v>
      </c>
      <c r="DU73" s="231">
        <v>1450</v>
      </c>
      <c r="DV73" s="231">
        <v>1300</v>
      </c>
      <c r="DW73" s="228">
        <v>0.44</v>
      </c>
      <c r="DX73" s="228">
        <v>0.89</v>
      </c>
      <c r="DY73" s="228">
        <v>-0.45</v>
      </c>
      <c r="DZ73" s="229">
        <v>-0.50560000000000005</v>
      </c>
      <c r="EA73" s="229">
        <v>0.53280000000000005</v>
      </c>
      <c r="EB73" s="230">
        <v>2966000</v>
      </c>
      <c r="EC73" s="229">
        <v>4.7000000000000002E-3</v>
      </c>
      <c r="ED73" s="229">
        <v>0.53280000000000005</v>
      </c>
      <c r="EE73" s="228">
        <v>6.31</v>
      </c>
      <c r="EF73" s="229">
        <v>4.7999999999999996E-3</v>
      </c>
      <c r="EG73" s="230">
        <v>499267</v>
      </c>
      <c r="EH73" s="230">
        <v>832645</v>
      </c>
      <c r="EI73" s="229">
        <v>-0.40039999999999998</v>
      </c>
      <c r="EJ73" s="229">
        <v>0.53510000000000002</v>
      </c>
      <c r="EK73" s="231">
        <v>1336.77</v>
      </c>
      <c r="EL73" s="228">
        <v>557.9</v>
      </c>
      <c r="EM73" s="231">
        <v>1199.83</v>
      </c>
      <c r="EN73" s="228">
        <v>111.21</v>
      </c>
      <c r="EO73" s="231">
        <v>3094.49</v>
      </c>
      <c r="EP73" s="231">
        <v>7852.66</v>
      </c>
      <c r="EQ73" s="231">
        <v>-4758.17</v>
      </c>
      <c r="ER73" s="229">
        <v>-0.60589999999999999</v>
      </c>
      <c r="ES73" s="231">
        <v>1104.32</v>
      </c>
      <c r="ET73" s="228">
        <v>641.45000000000005</v>
      </c>
      <c r="EU73" s="231">
        <v>1396</v>
      </c>
      <c r="EV73" s="231">
        <v>35667502</v>
      </c>
      <c r="EW73" s="231">
        <v>3141.77</v>
      </c>
      <c r="EX73" s="231">
        <v>3305.62</v>
      </c>
      <c r="EY73" s="228">
        <v>-163.85</v>
      </c>
      <c r="EZ73" s="229">
        <v>-4.9599999999999998E-2</v>
      </c>
      <c r="FA73" s="229">
        <v>0.64590000000000003</v>
      </c>
      <c r="FB73" s="227" t="s">
        <v>568</v>
      </c>
      <c r="FC73">
        <f t="shared" si="1"/>
        <v>742</v>
      </c>
    </row>
    <row r="74" spans="1:159" ht="17.25" thickBot="1" x14ac:dyDescent="0.3">
      <c r="A74" s="226">
        <v>46044</v>
      </c>
      <c r="B74" s="227" t="s">
        <v>221</v>
      </c>
      <c r="C74" s="227" t="s">
        <v>222</v>
      </c>
      <c r="D74" s="228">
        <v>350</v>
      </c>
      <c r="E74" s="228">
        <v>5</v>
      </c>
      <c r="F74" s="231">
        <v>1702.6</v>
      </c>
      <c r="G74" s="231">
        <v>1683.5</v>
      </c>
      <c r="H74" s="228">
        <v>19.100000000000001</v>
      </c>
      <c r="I74" s="229">
        <v>1.1299999999999999E-2</v>
      </c>
      <c r="J74" s="231">
        <v>1703.1</v>
      </c>
      <c r="K74" s="231">
        <v>1682.5</v>
      </c>
      <c r="L74" s="228">
        <v>20.6</v>
      </c>
      <c r="M74" s="229">
        <v>1.2200000000000001E-2</v>
      </c>
      <c r="N74" s="231">
        <v>1702.6</v>
      </c>
      <c r="O74" s="231">
        <v>1683.5</v>
      </c>
      <c r="P74" s="228">
        <v>19.100000000000001</v>
      </c>
      <c r="Q74" s="229">
        <v>1.1299999999999999E-2</v>
      </c>
      <c r="R74" s="231">
        <v>1711.2</v>
      </c>
      <c r="S74" s="231">
        <v>1692.8</v>
      </c>
      <c r="T74" s="228">
        <v>18.399999999999999</v>
      </c>
      <c r="U74" s="229">
        <v>1.09E-2</v>
      </c>
      <c r="V74" s="231">
        <v>1723.7</v>
      </c>
      <c r="W74" s="231">
        <v>1703.4</v>
      </c>
      <c r="X74" s="228">
        <v>20.3</v>
      </c>
      <c r="Y74" s="229">
        <v>1.1900000000000001E-2</v>
      </c>
      <c r="Z74" s="228">
        <v>-0.5</v>
      </c>
      <c r="AA74" s="228">
        <v>1</v>
      </c>
      <c r="AB74" s="228">
        <v>-1.5</v>
      </c>
      <c r="AC74" s="229">
        <v>-2.9999999999999997E-4</v>
      </c>
      <c r="AD74" s="228">
        <v>-0.5</v>
      </c>
      <c r="AE74" s="228">
        <v>1</v>
      </c>
      <c r="AF74" s="228">
        <v>-1.5</v>
      </c>
      <c r="AG74" s="229">
        <v>-2.9999999999999997E-4</v>
      </c>
      <c r="AH74" s="228">
        <v>8.1</v>
      </c>
      <c r="AI74" s="228">
        <v>10.3</v>
      </c>
      <c r="AJ74" s="228">
        <v>-2.2000000000000002</v>
      </c>
      <c r="AK74" s="229">
        <v>4.7999999999999996E-3</v>
      </c>
      <c r="AL74" s="228">
        <v>20.6</v>
      </c>
      <c r="AM74" s="228">
        <v>20.9</v>
      </c>
      <c r="AN74" s="228">
        <v>-0.3</v>
      </c>
      <c r="AO74" s="229">
        <v>1.21E-2</v>
      </c>
      <c r="AP74" s="231">
        <v>1696.27</v>
      </c>
      <c r="AQ74" s="231">
        <v>1704.7</v>
      </c>
      <c r="AR74" s="228">
        <v>0</v>
      </c>
      <c r="AS74" s="230">
        <v>2277</v>
      </c>
      <c r="AT74" s="230">
        <v>1858</v>
      </c>
      <c r="AU74" s="228">
        <v>419</v>
      </c>
      <c r="AV74" s="229">
        <v>0.22559999999999999</v>
      </c>
      <c r="AW74" s="230">
        <v>1125</v>
      </c>
      <c r="AX74" s="228">
        <v>998</v>
      </c>
      <c r="AY74" s="228">
        <v>128</v>
      </c>
      <c r="AZ74" s="229">
        <v>0.128</v>
      </c>
      <c r="BA74" s="230">
        <v>1139</v>
      </c>
      <c r="BB74" s="228">
        <v>856</v>
      </c>
      <c r="BC74" s="228">
        <v>283</v>
      </c>
      <c r="BD74" s="229">
        <v>0.33090000000000003</v>
      </c>
      <c r="BE74" s="228">
        <v>12</v>
      </c>
      <c r="BF74" s="228">
        <v>4</v>
      </c>
      <c r="BG74" s="228">
        <v>8</v>
      </c>
      <c r="BH74" s="229">
        <v>1.9437</v>
      </c>
      <c r="BI74" s="230">
        <v>1932</v>
      </c>
      <c r="BJ74" s="230">
        <v>2130</v>
      </c>
      <c r="BK74" s="228">
        <v>-198</v>
      </c>
      <c r="BL74" s="229">
        <v>-9.2999999999999999E-2</v>
      </c>
      <c r="BM74" s="230">
        <v>1176</v>
      </c>
      <c r="BN74" s="230">
        <v>1548</v>
      </c>
      <c r="BO74" s="228">
        <v>-371</v>
      </c>
      <c r="BP74" s="229">
        <v>-0.24</v>
      </c>
      <c r="BQ74" s="230">
        <v>5386</v>
      </c>
      <c r="BR74" s="230">
        <v>5536</v>
      </c>
      <c r="BS74" s="228">
        <v>-150</v>
      </c>
      <c r="BT74" s="229">
        <v>-2.7099999999999999E-2</v>
      </c>
      <c r="BU74" s="230">
        <v>1928248</v>
      </c>
      <c r="BV74" s="230">
        <v>1802567</v>
      </c>
      <c r="BW74" s="230">
        <v>125681</v>
      </c>
      <c r="BX74" s="229">
        <v>6.9699999999999998E-2</v>
      </c>
      <c r="BY74" s="230">
        <v>3022</v>
      </c>
      <c r="BZ74" s="230">
        <v>2954</v>
      </c>
      <c r="CA74" s="228">
        <v>68</v>
      </c>
      <c r="CB74" s="229">
        <v>2.3099999999999999E-2</v>
      </c>
      <c r="CC74" s="230">
        <v>1138</v>
      </c>
      <c r="CD74" s="230">
        <v>1949</v>
      </c>
      <c r="CE74" s="228">
        <v>-810</v>
      </c>
      <c r="CF74" s="229">
        <v>-0.41589999999999999</v>
      </c>
      <c r="CG74" s="230">
        <v>1828</v>
      </c>
      <c r="CH74" s="228">
        <v>959</v>
      </c>
      <c r="CI74" s="228">
        <v>869</v>
      </c>
      <c r="CJ74" s="229">
        <v>0.90559999999999996</v>
      </c>
      <c r="CK74" s="228">
        <v>55</v>
      </c>
      <c r="CL74" s="228">
        <v>46</v>
      </c>
      <c r="CM74" s="228">
        <v>10</v>
      </c>
      <c r="CN74" s="229">
        <v>0.21410000000000001</v>
      </c>
      <c r="CO74" s="230">
        <v>1335</v>
      </c>
      <c r="CP74" s="230">
        <v>1404</v>
      </c>
      <c r="CQ74" s="228">
        <v>-69</v>
      </c>
      <c r="CR74" s="229">
        <v>-4.9099999999999998E-2</v>
      </c>
      <c r="CS74" s="228">
        <v>794</v>
      </c>
      <c r="CT74" s="228">
        <v>799</v>
      </c>
      <c r="CU74" s="228">
        <v>-4</v>
      </c>
      <c r="CV74" s="229">
        <v>-5.4999999999999997E-3</v>
      </c>
      <c r="CW74" s="230">
        <v>5151</v>
      </c>
      <c r="CX74" s="230">
        <v>5156</v>
      </c>
      <c r="CY74" s="228">
        <v>-5</v>
      </c>
      <c r="CZ74" s="229">
        <v>-1E-3</v>
      </c>
      <c r="DA74" s="228">
        <v>21.39</v>
      </c>
      <c r="DB74" s="228">
        <v>18.18</v>
      </c>
      <c r="DC74" s="228">
        <v>3.21</v>
      </c>
      <c r="DD74" s="228">
        <v>3.21</v>
      </c>
      <c r="DE74" s="228">
        <v>27.42</v>
      </c>
      <c r="DF74" s="228">
        <v>27.44</v>
      </c>
      <c r="DG74" s="228">
        <v>-6.03</v>
      </c>
      <c r="DH74" s="228">
        <v>-0.02</v>
      </c>
      <c r="DI74" s="228">
        <v>21.11</v>
      </c>
      <c r="DJ74" s="228">
        <v>16.89</v>
      </c>
      <c r="DK74" s="228">
        <v>4.22</v>
      </c>
      <c r="DL74" s="228">
        <v>4.22</v>
      </c>
      <c r="DM74" s="228">
        <v>21.88</v>
      </c>
      <c r="DN74" s="228">
        <v>19.940000000000001</v>
      </c>
      <c r="DO74" s="228">
        <v>1.94</v>
      </c>
      <c r="DP74" s="228">
        <v>1.94</v>
      </c>
      <c r="DQ74" s="228">
        <v>0.59</v>
      </c>
      <c r="DR74" s="228">
        <v>0.56999999999999995</v>
      </c>
      <c r="DS74" s="228">
        <v>0.02</v>
      </c>
      <c r="DT74" s="229">
        <v>3.5099999999999999E-2</v>
      </c>
      <c r="DU74" s="231">
        <v>1680</v>
      </c>
      <c r="DV74" s="231">
        <v>1680</v>
      </c>
      <c r="DW74" s="228">
        <v>0.61</v>
      </c>
      <c r="DX74" s="228">
        <v>0.73</v>
      </c>
      <c r="DY74" s="228">
        <v>-0.12</v>
      </c>
      <c r="DZ74" s="229">
        <v>-0.16439999999999999</v>
      </c>
      <c r="EA74" s="229">
        <v>0.62329999999999997</v>
      </c>
      <c r="EB74" s="230">
        <v>5903100</v>
      </c>
      <c r="EC74" s="229">
        <v>5.1000000000000004E-3</v>
      </c>
      <c r="ED74" s="229">
        <v>0.62329999999999997</v>
      </c>
      <c r="EE74" s="228">
        <v>8.43</v>
      </c>
      <c r="EF74" s="229">
        <v>5.0000000000000001E-3</v>
      </c>
      <c r="EG74" s="230">
        <v>1137150</v>
      </c>
      <c r="EH74" s="230">
        <v>995847</v>
      </c>
      <c r="EI74" s="229">
        <v>0.1419</v>
      </c>
      <c r="EJ74" s="229">
        <v>0.5897</v>
      </c>
      <c r="EK74" s="231">
        <v>1959.59</v>
      </c>
      <c r="EL74" s="231">
        <v>1150.81</v>
      </c>
      <c r="EM74" s="231">
        <v>2274.71</v>
      </c>
      <c r="EN74" s="228">
        <v>170.52</v>
      </c>
      <c r="EO74" s="231">
        <v>5385.11</v>
      </c>
      <c r="EP74" s="231">
        <v>5499.56</v>
      </c>
      <c r="EQ74" s="228">
        <v>-114.45</v>
      </c>
      <c r="ER74" s="229">
        <v>-2.0799999999999999E-2</v>
      </c>
      <c r="ES74" s="231">
        <v>1351.26</v>
      </c>
      <c r="ET74" s="228">
        <v>750.85</v>
      </c>
      <c r="EU74" s="231">
        <v>3031.9</v>
      </c>
      <c r="EV74" s="231">
        <v>106857976</v>
      </c>
      <c r="EW74" s="231">
        <v>5134</v>
      </c>
      <c r="EX74" s="231">
        <v>5098.88</v>
      </c>
      <c r="EY74" s="228">
        <v>35.119999999999997</v>
      </c>
      <c r="EZ74" s="229">
        <v>6.8999999999999999E-3</v>
      </c>
      <c r="FA74" s="229">
        <v>0.28310000000000002</v>
      </c>
      <c r="FB74" s="227" t="s">
        <v>555</v>
      </c>
      <c r="FC74">
        <f t="shared" si="1"/>
        <v>1884</v>
      </c>
    </row>
    <row r="75" spans="1:159" ht="17.25" thickBot="1" x14ac:dyDescent="0.3">
      <c r="A75" s="226">
        <v>46044</v>
      </c>
      <c r="B75" s="227" t="s">
        <v>175</v>
      </c>
      <c r="C75" s="227" t="s">
        <v>475</v>
      </c>
      <c r="D75" s="228">
        <v>300</v>
      </c>
      <c r="E75" s="228">
        <v>5</v>
      </c>
      <c r="F75" s="231">
        <v>2497.4</v>
      </c>
      <c r="G75" s="231">
        <v>2473.6999999999998</v>
      </c>
      <c r="H75" s="228">
        <v>23.7</v>
      </c>
      <c r="I75" s="229">
        <v>9.5999999999999992E-3</v>
      </c>
      <c r="J75" s="231">
        <v>2498.9</v>
      </c>
      <c r="K75" s="231">
        <v>2476</v>
      </c>
      <c r="L75" s="228">
        <v>22.9</v>
      </c>
      <c r="M75" s="229">
        <v>9.1999999999999998E-3</v>
      </c>
      <c r="N75" s="231">
        <v>2497.4</v>
      </c>
      <c r="O75" s="231">
        <v>2473.6999999999998</v>
      </c>
      <c r="P75" s="228">
        <v>23.7</v>
      </c>
      <c r="Q75" s="229">
        <v>9.5999999999999992E-3</v>
      </c>
      <c r="R75" s="231">
        <v>2510.1</v>
      </c>
      <c r="S75" s="231">
        <v>2485.8000000000002</v>
      </c>
      <c r="T75" s="228">
        <v>24.3</v>
      </c>
      <c r="U75" s="229">
        <v>9.7999999999999997E-3</v>
      </c>
      <c r="V75" s="231">
        <v>2526.4</v>
      </c>
      <c r="W75" s="231">
        <v>2505</v>
      </c>
      <c r="X75" s="228">
        <v>21.4</v>
      </c>
      <c r="Y75" s="229">
        <v>8.5000000000000006E-3</v>
      </c>
      <c r="Z75" s="228">
        <v>-1.5</v>
      </c>
      <c r="AA75" s="228">
        <v>-2.2999999999999998</v>
      </c>
      <c r="AB75" s="228">
        <v>0.8</v>
      </c>
      <c r="AC75" s="229">
        <v>-5.9999999999999995E-4</v>
      </c>
      <c r="AD75" s="228">
        <v>-1.5</v>
      </c>
      <c r="AE75" s="228">
        <v>-2.2999999999999998</v>
      </c>
      <c r="AF75" s="228">
        <v>0.8</v>
      </c>
      <c r="AG75" s="229">
        <v>-5.9999999999999995E-4</v>
      </c>
      <c r="AH75" s="228">
        <v>11.2</v>
      </c>
      <c r="AI75" s="228">
        <v>9.8000000000000007</v>
      </c>
      <c r="AJ75" s="228">
        <v>1.4</v>
      </c>
      <c r="AK75" s="229">
        <v>4.4999999999999997E-3</v>
      </c>
      <c r="AL75" s="228">
        <v>27.5</v>
      </c>
      <c r="AM75" s="228">
        <v>29</v>
      </c>
      <c r="AN75" s="228">
        <v>-1.5</v>
      </c>
      <c r="AO75" s="229">
        <v>1.0999999999999999E-2</v>
      </c>
      <c r="AP75" s="231">
        <v>2500.77</v>
      </c>
      <c r="AQ75" s="231">
        <v>2513.83</v>
      </c>
      <c r="AR75" s="228">
        <v>0</v>
      </c>
      <c r="AS75" s="230">
        <v>1503</v>
      </c>
      <c r="AT75" s="230">
        <v>1190</v>
      </c>
      <c r="AU75" s="228">
        <v>313</v>
      </c>
      <c r="AV75" s="229">
        <v>0.26319999999999999</v>
      </c>
      <c r="AW75" s="228">
        <v>776</v>
      </c>
      <c r="AX75" s="228">
        <v>681</v>
      </c>
      <c r="AY75" s="228">
        <v>95</v>
      </c>
      <c r="AZ75" s="229">
        <v>0.1396</v>
      </c>
      <c r="BA75" s="228">
        <v>725</v>
      </c>
      <c r="BB75" s="228">
        <v>506</v>
      </c>
      <c r="BC75" s="228">
        <v>219</v>
      </c>
      <c r="BD75" s="229">
        <v>0.43190000000000001</v>
      </c>
      <c r="BE75" s="228">
        <v>2</v>
      </c>
      <c r="BF75" s="228">
        <v>2</v>
      </c>
      <c r="BG75" s="228">
        <v>-1</v>
      </c>
      <c r="BH75" s="229">
        <v>-0.2424</v>
      </c>
      <c r="BI75" s="228">
        <v>869</v>
      </c>
      <c r="BJ75" s="230">
        <v>1823</v>
      </c>
      <c r="BK75" s="228">
        <v>-954</v>
      </c>
      <c r="BL75" s="229">
        <v>-0.52339999999999998</v>
      </c>
      <c r="BM75" s="228">
        <v>333</v>
      </c>
      <c r="BN75" s="228">
        <v>948</v>
      </c>
      <c r="BO75" s="228">
        <v>-615</v>
      </c>
      <c r="BP75" s="229">
        <v>-0.64859999999999995</v>
      </c>
      <c r="BQ75" s="230">
        <v>2704</v>
      </c>
      <c r="BR75" s="230">
        <v>3960</v>
      </c>
      <c r="BS75" s="230">
        <v>-1256</v>
      </c>
      <c r="BT75" s="229">
        <v>-0.31709999999999999</v>
      </c>
      <c r="BU75" s="230">
        <v>699524</v>
      </c>
      <c r="BV75" s="230">
        <v>1105190</v>
      </c>
      <c r="BW75" s="230">
        <v>-405666</v>
      </c>
      <c r="BX75" s="229">
        <v>-0.36709999999999998</v>
      </c>
      <c r="BY75" s="230">
        <v>1941</v>
      </c>
      <c r="BZ75" s="230">
        <v>1987</v>
      </c>
      <c r="CA75" s="228">
        <v>-46</v>
      </c>
      <c r="CB75" s="229">
        <v>-2.3199999999999998E-2</v>
      </c>
      <c r="CC75" s="228">
        <v>864</v>
      </c>
      <c r="CD75" s="230">
        <v>1483</v>
      </c>
      <c r="CE75" s="228">
        <v>-619</v>
      </c>
      <c r="CF75" s="229">
        <v>-0.41749999999999998</v>
      </c>
      <c r="CG75" s="230">
        <v>1070</v>
      </c>
      <c r="CH75" s="228">
        <v>498</v>
      </c>
      <c r="CI75" s="228">
        <v>572</v>
      </c>
      <c r="CJ75" s="229">
        <v>1.1491</v>
      </c>
      <c r="CK75" s="228">
        <v>7</v>
      </c>
      <c r="CL75" s="228">
        <v>7</v>
      </c>
      <c r="CM75" s="228">
        <v>1</v>
      </c>
      <c r="CN75" s="229">
        <v>9.1999999999999998E-2</v>
      </c>
      <c r="CO75" s="228">
        <v>828</v>
      </c>
      <c r="CP75" s="228">
        <v>907</v>
      </c>
      <c r="CQ75" s="228">
        <v>-79</v>
      </c>
      <c r="CR75" s="229">
        <v>-8.7300000000000003E-2</v>
      </c>
      <c r="CS75" s="228">
        <v>386</v>
      </c>
      <c r="CT75" s="228">
        <v>410</v>
      </c>
      <c r="CU75" s="228">
        <v>-24</v>
      </c>
      <c r="CV75" s="229">
        <v>-5.8900000000000001E-2</v>
      </c>
      <c r="CW75" s="230">
        <v>3154</v>
      </c>
      <c r="CX75" s="230">
        <v>3304</v>
      </c>
      <c r="CY75" s="228">
        <v>-149</v>
      </c>
      <c r="CZ75" s="229">
        <v>-4.5199999999999997E-2</v>
      </c>
      <c r="DA75" s="228">
        <v>24.29</v>
      </c>
      <c r="DB75" s="228">
        <v>25.55</v>
      </c>
      <c r="DC75" s="228">
        <v>-1.26</v>
      </c>
      <c r="DD75" s="228">
        <v>-1.26</v>
      </c>
      <c r="DE75" s="228">
        <v>33.61</v>
      </c>
      <c r="DF75" s="228">
        <v>33.67</v>
      </c>
      <c r="DG75" s="228">
        <v>-9.32</v>
      </c>
      <c r="DH75" s="228">
        <v>-0.06</v>
      </c>
      <c r="DI75" s="228">
        <v>24.25</v>
      </c>
      <c r="DJ75" s="228">
        <v>27.43</v>
      </c>
      <c r="DK75" s="228">
        <v>-3.18</v>
      </c>
      <c r="DL75" s="228">
        <v>-3.18</v>
      </c>
      <c r="DM75" s="228">
        <v>24.35</v>
      </c>
      <c r="DN75" s="228">
        <v>21.95</v>
      </c>
      <c r="DO75" s="228">
        <v>2.4</v>
      </c>
      <c r="DP75" s="228">
        <v>2.4</v>
      </c>
      <c r="DQ75" s="228">
        <v>0.47</v>
      </c>
      <c r="DR75" s="228">
        <v>0.45</v>
      </c>
      <c r="DS75" s="228">
        <v>0.02</v>
      </c>
      <c r="DT75" s="229">
        <v>4.4400000000000002E-2</v>
      </c>
      <c r="DU75" s="231">
        <v>2700</v>
      </c>
      <c r="DV75" s="231">
        <v>2400</v>
      </c>
      <c r="DW75" s="228">
        <v>0.38</v>
      </c>
      <c r="DX75" s="228">
        <v>0.52</v>
      </c>
      <c r="DY75" s="228">
        <v>-0.14000000000000001</v>
      </c>
      <c r="DZ75" s="229">
        <v>-0.26919999999999999</v>
      </c>
      <c r="EA75" s="229">
        <v>0.55500000000000005</v>
      </c>
      <c r="EB75" s="230">
        <v>2019900</v>
      </c>
      <c r="EC75" s="229">
        <v>5.1000000000000004E-3</v>
      </c>
      <c r="ED75" s="229">
        <v>0.55500000000000005</v>
      </c>
      <c r="EE75" s="228">
        <v>13.06</v>
      </c>
      <c r="EF75" s="229">
        <v>5.1999999999999998E-3</v>
      </c>
      <c r="EG75" s="230">
        <v>459188</v>
      </c>
      <c r="EH75" s="230">
        <v>599303</v>
      </c>
      <c r="EI75" s="229">
        <v>-0.23380000000000001</v>
      </c>
      <c r="EJ75" s="229">
        <v>0.65639999999999998</v>
      </c>
      <c r="EK75" s="228">
        <v>916.08</v>
      </c>
      <c r="EL75" s="228">
        <v>333.41</v>
      </c>
      <c r="EM75" s="231">
        <v>1508.47</v>
      </c>
      <c r="EN75" s="228">
        <v>112.39</v>
      </c>
      <c r="EO75" s="231">
        <v>2757.97</v>
      </c>
      <c r="EP75" s="231">
        <v>4046.98</v>
      </c>
      <c r="EQ75" s="231">
        <v>-1289.02</v>
      </c>
      <c r="ER75" s="229">
        <v>-0.31850000000000001</v>
      </c>
      <c r="ES75" s="228">
        <v>888.82</v>
      </c>
      <c r="ET75" s="228">
        <v>387.08</v>
      </c>
      <c r="EU75" s="231">
        <v>1946.45</v>
      </c>
      <c r="EV75" s="231">
        <v>30592324</v>
      </c>
      <c r="EW75" s="231">
        <v>3222.35</v>
      </c>
      <c r="EX75" s="231">
        <v>3356.62</v>
      </c>
      <c r="EY75" s="228">
        <v>-134.27000000000001</v>
      </c>
      <c r="EZ75" s="229">
        <v>-0.04</v>
      </c>
      <c r="FA75" s="229">
        <v>0.4128</v>
      </c>
      <c r="FB75" s="227" t="s">
        <v>556</v>
      </c>
      <c r="FC75">
        <f t="shared" si="1"/>
        <v>1077</v>
      </c>
    </row>
    <row r="76" spans="1:159" ht="17.25" thickBot="1" x14ac:dyDescent="0.3">
      <c r="A76" s="226">
        <v>46044</v>
      </c>
      <c r="B76" s="227" t="s">
        <v>172</v>
      </c>
      <c r="C76" s="227" t="s">
        <v>224</v>
      </c>
      <c r="D76" s="228">
        <v>550</v>
      </c>
      <c r="E76" s="228">
        <v>5</v>
      </c>
      <c r="F76" s="228">
        <v>921.55</v>
      </c>
      <c r="G76" s="228">
        <v>922.45</v>
      </c>
      <c r="H76" s="228">
        <v>-0.9</v>
      </c>
      <c r="I76" s="229">
        <v>-1E-3</v>
      </c>
      <c r="J76" s="228">
        <v>918.7</v>
      </c>
      <c r="K76" s="228">
        <v>920.35</v>
      </c>
      <c r="L76" s="228">
        <v>-1.65</v>
      </c>
      <c r="M76" s="229">
        <v>-1.8E-3</v>
      </c>
      <c r="N76" s="228">
        <v>921.55</v>
      </c>
      <c r="O76" s="228">
        <v>922.45</v>
      </c>
      <c r="P76" s="228">
        <v>-0.9</v>
      </c>
      <c r="Q76" s="229">
        <v>-1E-3</v>
      </c>
      <c r="R76" s="228">
        <v>926.35</v>
      </c>
      <c r="S76" s="228">
        <v>927.4</v>
      </c>
      <c r="T76" s="228">
        <v>-1.05</v>
      </c>
      <c r="U76" s="229">
        <v>-1.1000000000000001E-3</v>
      </c>
      <c r="V76" s="228">
        <v>932.85</v>
      </c>
      <c r="W76" s="228">
        <v>933.35</v>
      </c>
      <c r="X76" s="228">
        <v>-0.5</v>
      </c>
      <c r="Y76" s="229">
        <v>-5.0000000000000001E-4</v>
      </c>
      <c r="Z76" s="228">
        <v>2.85</v>
      </c>
      <c r="AA76" s="228">
        <v>2.1</v>
      </c>
      <c r="AB76" s="228">
        <v>0.75</v>
      </c>
      <c r="AC76" s="229">
        <v>3.0999999999999999E-3</v>
      </c>
      <c r="AD76" s="228">
        <v>2.85</v>
      </c>
      <c r="AE76" s="228">
        <v>2.1</v>
      </c>
      <c r="AF76" s="228">
        <v>0.75</v>
      </c>
      <c r="AG76" s="229">
        <v>3.0999999999999999E-3</v>
      </c>
      <c r="AH76" s="228">
        <v>7.65</v>
      </c>
      <c r="AI76" s="228">
        <v>7.05</v>
      </c>
      <c r="AJ76" s="228">
        <v>0.6</v>
      </c>
      <c r="AK76" s="229">
        <v>8.3000000000000001E-3</v>
      </c>
      <c r="AL76" s="228">
        <v>14.15</v>
      </c>
      <c r="AM76" s="228">
        <v>13</v>
      </c>
      <c r="AN76" s="228">
        <v>1.1499999999999999</v>
      </c>
      <c r="AO76" s="229">
        <v>1.54E-2</v>
      </c>
      <c r="AP76" s="228">
        <v>920.89</v>
      </c>
      <c r="AQ76" s="228">
        <v>925.71</v>
      </c>
      <c r="AR76" s="228">
        <v>0</v>
      </c>
      <c r="AS76" s="230">
        <v>12045</v>
      </c>
      <c r="AT76" s="230">
        <v>11403</v>
      </c>
      <c r="AU76" s="228">
        <v>642</v>
      </c>
      <c r="AV76" s="229">
        <v>5.6300000000000003E-2</v>
      </c>
      <c r="AW76" s="230">
        <v>5855</v>
      </c>
      <c r="AX76" s="230">
        <v>5976</v>
      </c>
      <c r="AY76" s="228">
        <v>-121</v>
      </c>
      <c r="AZ76" s="229">
        <v>-2.0199999999999999E-2</v>
      </c>
      <c r="BA76" s="230">
        <v>5897</v>
      </c>
      <c r="BB76" s="230">
        <v>5360</v>
      </c>
      <c r="BC76" s="228">
        <v>537</v>
      </c>
      <c r="BD76" s="229">
        <v>0.10009999999999999</v>
      </c>
      <c r="BE76" s="228">
        <v>293</v>
      </c>
      <c r="BF76" s="228">
        <v>67</v>
      </c>
      <c r="BG76" s="228">
        <v>226</v>
      </c>
      <c r="BH76" s="229">
        <v>3.3742000000000001</v>
      </c>
      <c r="BI76" s="230">
        <v>14128</v>
      </c>
      <c r="BJ76" s="230">
        <v>15531</v>
      </c>
      <c r="BK76" s="230">
        <v>-1403</v>
      </c>
      <c r="BL76" s="229">
        <v>-9.0300000000000005E-2</v>
      </c>
      <c r="BM76" s="230">
        <v>8581</v>
      </c>
      <c r="BN76" s="230">
        <v>12169</v>
      </c>
      <c r="BO76" s="230">
        <v>-3587</v>
      </c>
      <c r="BP76" s="229">
        <v>-0.29480000000000001</v>
      </c>
      <c r="BQ76" s="230">
        <v>34754</v>
      </c>
      <c r="BR76" s="230">
        <v>39103</v>
      </c>
      <c r="BS76" s="230">
        <v>-4349</v>
      </c>
      <c r="BT76" s="229">
        <v>-0.11119999999999999</v>
      </c>
      <c r="BU76" s="230">
        <v>46417429</v>
      </c>
      <c r="BV76" s="230">
        <v>33451862</v>
      </c>
      <c r="BW76" s="230">
        <v>12965567</v>
      </c>
      <c r="BX76" s="229">
        <v>0.3876</v>
      </c>
      <c r="BY76" s="230">
        <v>24573</v>
      </c>
      <c r="BZ76" s="230">
        <v>23423</v>
      </c>
      <c r="CA76" s="230">
        <v>1150</v>
      </c>
      <c r="CB76" s="229">
        <v>4.9099999999999998E-2</v>
      </c>
      <c r="CC76" s="230">
        <v>9753</v>
      </c>
      <c r="CD76" s="230">
        <v>13754</v>
      </c>
      <c r="CE76" s="230">
        <v>-4002</v>
      </c>
      <c r="CF76" s="229">
        <v>-0.29089999999999999</v>
      </c>
      <c r="CG76" s="230">
        <v>12630</v>
      </c>
      <c r="CH76" s="230">
        <v>7751</v>
      </c>
      <c r="CI76" s="230">
        <v>4879</v>
      </c>
      <c r="CJ76" s="229">
        <v>0.62939999999999996</v>
      </c>
      <c r="CK76" s="230">
        <v>2190</v>
      </c>
      <c r="CL76" s="230">
        <v>1917</v>
      </c>
      <c r="CM76" s="228">
        <v>273</v>
      </c>
      <c r="CN76" s="229">
        <v>0.14230000000000001</v>
      </c>
      <c r="CO76" s="230">
        <v>8772</v>
      </c>
      <c r="CP76" s="230">
        <v>9075</v>
      </c>
      <c r="CQ76" s="228">
        <v>-304</v>
      </c>
      <c r="CR76" s="229">
        <v>-3.3399999999999999E-2</v>
      </c>
      <c r="CS76" s="230">
        <v>4269</v>
      </c>
      <c r="CT76" s="230">
        <v>4344</v>
      </c>
      <c r="CU76" s="228">
        <v>-75</v>
      </c>
      <c r="CV76" s="229">
        <v>-1.72E-2</v>
      </c>
      <c r="CW76" s="230">
        <v>37614</v>
      </c>
      <c r="CX76" s="230">
        <v>36842</v>
      </c>
      <c r="CY76" s="228">
        <v>772</v>
      </c>
      <c r="CZ76" s="229">
        <v>2.1000000000000001E-2</v>
      </c>
      <c r="DA76" s="228">
        <v>20.48</v>
      </c>
      <c r="DB76" s="228">
        <v>19.399999999999999</v>
      </c>
      <c r="DC76" s="228">
        <v>1.08</v>
      </c>
      <c r="DD76" s="228">
        <v>1.08</v>
      </c>
      <c r="DE76" s="228">
        <v>19.62</v>
      </c>
      <c r="DF76" s="228">
        <v>19.670000000000002</v>
      </c>
      <c r="DG76" s="228">
        <v>0.86</v>
      </c>
      <c r="DH76" s="228">
        <v>-0.05</v>
      </c>
      <c r="DI76" s="228">
        <v>20.7</v>
      </c>
      <c r="DJ76" s="228">
        <v>20</v>
      </c>
      <c r="DK76" s="228">
        <v>0.7</v>
      </c>
      <c r="DL76" s="228">
        <v>0.7</v>
      </c>
      <c r="DM76" s="228">
        <v>19.899999999999999</v>
      </c>
      <c r="DN76" s="228">
        <v>18.64</v>
      </c>
      <c r="DO76" s="228">
        <v>1.26</v>
      </c>
      <c r="DP76" s="228">
        <v>1.26</v>
      </c>
      <c r="DQ76" s="228">
        <v>0.49</v>
      </c>
      <c r="DR76" s="228">
        <v>0.48</v>
      </c>
      <c r="DS76" s="228">
        <v>0.01</v>
      </c>
      <c r="DT76" s="229">
        <v>2.0799999999999999E-2</v>
      </c>
      <c r="DU76" s="228">
        <v>950</v>
      </c>
      <c r="DV76" s="228">
        <v>900</v>
      </c>
      <c r="DW76" s="228">
        <v>0.61</v>
      </c>
      <c r="DX76" s="228">
        <v>0.78</v>
      </c>
      <c r="DY76" s="228">
        <v>-0.17</v>
      </c>
      <c r="DZ76" s="229">
        <v>-0.21790000000000001</v>
      </c>
      <c r="EA76" s="229">
        <v>0.60309999999999997</v>
      </c>
      <c r="EB76" s="230">
        <v>104919100</v>
      </c>
      <c r="EC76" s="229">
        <v>5.1999999999999998E-3</v>
      </c>
      <c r="ED76" s="229">
        <v>0.60309999999999997</v>
      </c>
      <c r="EE76" s="228">
        <v>4.82</v>
      </c>
      <c r="EF76" s="229">
        <v>5.1999999999999998E-3</v>
      </c>
      <c r="EG76" s="230">
        <v>29470143</v>
      </c>
      <c r="EH76" s="230">
        <v>18843469</v>
      </c>
      <c r="EI76" s="229">
        <v>0.56389999999999996</v>
      </c>
      <c r="EJ76" s="229">
        <v>0.63490000000000002</v>
      </c>
      <c r="EK76" s="231">
        <v>14493.5</v>
      </c>
      <c r="EL76" s="231">
        <v>8573.52</v>
      </c>
      <c r="EM76" s="231">
        <v>12069.92</v>
      </c>
      <c r="EN76" s="231">
        <v>1235.1099999999999</v>
      </c>
      <c r="EO76" s="231">
        <v>35136.94</v>
      </c>
      <c r="EP76" s="231">
        <v>39708.550000000003</v>
      </c>
      <c r="EQ76" s="231">
        <v>-4571.6099999999997</v>
      </c>
      <c r="ER76" s="229">
        <v>-0.11509999999999999</v>
      </c>
      <c r="ES76" s="231">
        <v>9239.09</v>
      </c>
      <c r="ET76" s="231">
        <v>4333.47</v>
      </c>
      <c r="EU76" s="231">
        <v>24665.71</v>
      </c>
      <c r="EV76" s="231">
        <v>1330694977</v>
      </c>
      <c r="EW76" s="231">
        <v>38238.28</v>
      </c>
      <c r="EX76" s="231">
        <v>37490.769999999997</v>
      </c>
      <c r="EY76" s="228">
        <v>747.51</v>
      </c>
      <c r="EZ76" s="229">
        <v>1.9900000000000001E-2</v>
      </c>
      <c r="FA76" s="229">
        <v>0.30669999999999997</v>
      </c>
      <c r="FB76" s="227" t="s">
        <v>567</v>
      </c>
      <c r="FC76">
        <f t="shared" si="1"/>
        <v>14820</v>
      </c>
    </row>
    <row r="77" spans="1:159" ht="17.25" thickBot="1" x14ac:dyDescent="0.3">
      <c r="A77" s="226">
        <v>46044</v>
      </c>
      <c r="B77" s="227" t="s">
        <v>175</v>
      </c>
      <c r="C77" s="227" t="s">
        <v>225</v>
      </c>
      <c r="D77" s="228">
        <v>1100</v>
      </c>
      <c r="E77" s="228">
        <v>5</v>
      </c>
      <c r="F77" s="228">
        <v>725.4</v>
      </c>
      <c r="G77" s="228">
        <v>725.6</v>
      </c>
      <c r="H77" s="228">
        <v>-0.2</v>
      </c>
      <c r="I77" s="229">
        <v>-2.9999999999999997E-4</v>
      </c>
      <c r="J77" s="228">
        <v>725.1</v>
      </c>
      <c r="K77" s="228">
        <v>724.35</v>
      </c>
      <c r="L77" s="228">
        <v>0.75</v>
      </c>
      <c r="M77" s="229">
        <v>1E-3</v>
      </c>
      <c r="N77" s="228">
        <v>725.4</v>
      </c>
      <c r="O77" s="228">
        <v>725.6</v>
      </c>
      <c r="P77" s="228">
        <v>-0.2</v>
      </c>
      <c r="Q77" s="229">
        <v>-2.9999999999999997E-4</v>
      </c>
      <c r="R77" s="228">
        <v>728.8</v>
      </c>
      <c r="S77" s="228">
        <v>729.6</v>
      </c>
      <c r="T77" s="228">
        <v>-0.8</v>
      </c>
      <c r="U77" s="229">
        <v>-1.1000000000000001E-3</v>
      </c>
      <c r="V77" s="228">
        <v>733</v>
      </c>
      <c r="W77" s="228">
        <v>735.1</v>
      </c>
      <c r="X77" s="228">
        <v>-2.1</v>
      </c>
      <c r="Y77" s="229">
        <v>-2.8999999999999998E-3</v>
      </c>
      <c r="Z77" s="228">
        <v>0.3</v>
      </c>
      <c r="AA77" s="228">
        <v>1.25</v>
      </c>
      <c r="AB77" s="228">
        <v>-0.95</v>
      </c>
      <c r="AC77" s="229">
        <v>4.0000000000000002E-4</v>
      </c>
      <c r="AD77" s="228">
        <v>0.3</v>
      </c>
      <c r="AE77" s="228">
        <v>1.25</v>
      </c>
      <c r="AF77" s="228">
        <v>-0.95</v>
      </c>
      <c r="AG77" s="229">
        <v>4.0000000000000002E-4</v>
      </c>
      <c r="AH77" s="228">
        <v>3.7</v>
      </c>
      <c r="AI77" s="228">
        <v>5.25</v>
      </c>
      <c r="AJ77" s="228">
        <v>-1.55</v>
      </c>
      <c r="AK77" s="229">
        <v>5.1000000000000004E-3</v>
      </c>
      <c r="AL77" s="228">
        <v>7.9</v>
      </c>
      <c r="AM77" s="228">
        <v>10.75</v>
      </c>
      <c r="AN77" s="228">
        <v>-2.85</v>
      </c>
      <c r="AO77" s="229">
        <v>1.09E-2</v>
      </c>
      <c r="AP77" s="228">
        <v>724.02</v>
      </c>
      <c r="AQ77" s="228">
        <v>727.54</v>
      </c>
      <c r="AR77" s="228">
        <v>0</v>
      </c>
      <c r="AS77" s="230">
        <v>1945</v>
      </c>
      <c r="AT77" s="230">
        <v>1821</v>
      </c>
      <c r="AU77" s="228">
        <v>124</v>
      </c>
      <c r="AV77" s="229">
        <v>6.7900000000000002E-2</v>
      </c>
      <c r="AW77" s="228">
        <v>997</v>
      </c>
      <c r="AX77" s="228">
        <v>991</v>
      </c>
      <c r="AY77" s="228">
        <v>6</v>
      </c>
      <c r="AZ77" s="229">
        <v>6.0000000000000001E-3</v>
      </c>
      <c r="BA77" s="228">
        <v>946</v>
      </c>
      <c r="BB77" s="228">
        <v>827</v>
      </c>
      <c r="BC77" s="228">
        <v>119</v>
      </c>
      <c r="BD77" s="229">
        <v>0.14410000000000001</v>
      </c>
      <c r="BE77" s="228">
        <v>2</v>
      </c>
      <c r="BF77" s="228">
        <v>3</v>
      </c>
      <c r="BG77" s="228">
        <v>-1</v>
      </c>
      <c r="BH77" s="229">
        <v>-0.42859999999999998</v>
      </c>
      <c r="BI77" s="230">
        <v>1091</v>
      </c>
      <c r="BJ77" s="230">
        <v>1615</v>
      </c>
      <c r="BK77" s="228">
        <v>-523</v>
      </c>
      <c r="BL77" s="229">
        <v>-0.3241</v>
      </c>
      <c r="BM77" s="228">
        <v>732</v>
      </c>
      <c r="BN77" s="228">
        <v>941</v>
      </c>
      <c r="BO77" s="228">
        <v>-209</v>
      </c>
      <c r="BP77" s="229">
        <v>-0.2218</v>
      </c>
      <c r="BQ77" s="230">
        <v>3769</v>
      </c>
      <c r="BR77" s="230">
        <v>4377</v>
      </c>
      <c r="BS77" s="228">
        <v>-608</v>
      </c>
      <c r="BT77" s="229">
        <v>-0.13900000000000001</v>
      </c>
      <c r="BU77" s="230">
        <v>4392615</v>
      </c>
      <c r="BV77" s="230">
        <v>3523061</v>
      </c>
      <c r="BW77" s="230">
        <v>869554</v>
      </c>
      <c r="BX77" s="229">
        <v>0.24679999999999999</v>
      </c>
      <c r="BY77" s="230">
        <v>2834</v>
      </c>
      <c r="BZ77" s="230">
        <v>2827</v>
      </c>
      <c r="CA77" s="228">
        <v>8</v>
      </c>
      <c r="CB77" s="229">
        <v>2.7000000000000001E-3</v>
      </c>
      <c r="CC77" s="230">
        <v>1179</v>
      </c>
      <c r="CD77" s="230">
        <v>1973</v>
      </c>
      <c r="CE77" s="228">
        <v>-794</v>
      </c>
      <c r="CF77" s="229">
        <v>-0.40229999999999999</v>
      </c>
      <c r="CG77" s="230">
        <v>1638</v>
      </c>
      <c r="CH77" s="228">
        <v>838</v>
      </c>
      <c r="CI77" s="228">
        <v>800</v>
      </c>
      <c r="CJ77" s="229">
        <v>0.95469999999999999</v>
      </c>
      <c r="CK77" s="228">
        <v>17</v>
      </c>
      <c r="CL77" s="228">
        <v>16</v>
      </c>
      <c r="CM77" s="228">
        <v>1</v>
      </c>
      <c r="CN77" s="229">
        <v>7.0000000000000007E-2</v>
      </c>
      <c r="CO77" s="230">
        <v>1110</v>
      </c>
      <c r="CP77" s="230">
        <v>1091</v>
      </c>
      <c r="CQ77" s="228">
        <v>19</v>
      </c>
      <c r="CR77" s="229">
        <v>1.7500000000000002E-2</v>
      </c>
      <c r="CS77" s="228">
        <v>498</v>
      </c>
      <c r="CT77" s="228">
        <v>518</v>
      </c>
      <c r="CU77" s="228">
        <v>-20</v>
      </c>
      <c r="CV77" s="229">
        <v>-3.7999999999999999E-2</v>
      </c>
      <c r="CW77" s="230">
        <v>4443</v>
      </c>
      <c r="CX77" s="230">
        <v>4436</v>
      </c>
      <c r="CY77" s="228">
        <v>7</v>
      </c>
      <c r="CZ77" s="229">
        <v>1.6000000000000001E-3</v>
      </c>
      <c r="DA77" s="228">
        <v>22.07</v>
      </c>
      <c r="DB77" s="228">
        <v>20.41</v>
      </c>
      <c r="DC77" s="228">
        <v>1.66</v>
      </c>
      <c r="DD77" s="228">
        <v>1.66</v>
      </c>
      <c r="DE77" s="228">
        <v>24.65</v>
      </c>
      <c r="DF77" s="228">
        <v>24.71</v>
      </c>
      <c r="DG77" s="228">
        <v>-2.58</v>
      </c>
      <c r="DH77" s="228">
        <v>-0.06</v>
      </c>
      <c r="DI77" s="228">
        <v>22.21</v>
      </c>
      <c r="DJ77" s="228">
        <v>21.06</v>
      </c>
      <c r="DK77" s="228">
        <v>1.1499999999999999</v>
      </c>
      <c r="DL77" s="228">
        <v>1.1499999999999999</v>
      </c>
      <c r="DM77" s="228">
        <v>21.94</v>
      </c>
      <c r="DN77" s="228">
        <v>19.29</v>
      </c>
      <c r="DO77" s="228">
        <v>2.65</v>
      </c>
      <c r="DP77" s="228">
        <v>2.65</v>
      </c>
      <c r="DQ77" s="228">
        <v>0.45</v>
      </c>
      <c r="DR77" s="228">
        <v>0.47</v>
      </c>
      <c r="DS77" s="228">
        <v>-0.02</v>
      </c>
      <c r="DT77" s="229">
        <v>-4.2599999999999999E-2</v>
      </c>
      <c r="DU77" s="228">
        <v>780</v>
      </c>
      <c r="DV77" s="228">
        <v>720</v>
      </c>
      <c r="DW77" s="228">
        <v>0.67</v>
      </c>
      <c r="DX77" s="228">
        <v>0.57999999999999996</v>
      </c>
      <c r="DY77" s="228">
        <v>0.09</v>
      </c>
      <c r="DZ77" s="229">
        <v>0.1552</v>
      </c>
      <c r="EA77" s="229">
        <v>0.58399999999999996</v>
      </c>
      <c r="EB77" s="230">
        <v>11774400</v>
      </c>
      <c r="EC77" s="229">
        <v>4.7000000000000002E-3</v>
      </c>
      <c r="ED77" s="229">
        <v>0.58399999999999996</v>
      </c>
      <c r="EE77" s="228">
        <v>3.52</v>
      </c>
      <c r="EF77" s="229">
        <v>4.8999999999999998E-3</v>
      </c>
      <c r="EG77" s="230">
        <v>3414522</v>
      </c>
      <c r="EH77" s="230">
        <v>2123080</v>
      </c>
      <c r="EI77" s="229">
        <v>0.60829999999999995</v>
      </c>
      <c r="EJ77" s="229">
        <v>0.77729999999999999</v>
      </c>
      <c r="EK77" s="231">
        <v>1126</v>
      </c>
      <c r="EL77" s="228">
        <v>732.57</v>
      </c>
      <c r="EM77" s="231">
        <v>1945.89</v>
      </c>
      <c r="EN77" s="228">
        <v>114.59</v>
      </c>
      <c r="EO77" s="231">
        <v>3804.46</v>
      </c>
      <c r="EP77" s="231">
        <v>4465.7700000000004</v>
      </c>
      <c r="EQ77" s="228">
        <v>-661.31</v>
      </c>
      <c r="ER77" s="229">
        <v>-0.14810000000000001</v>
      </c>
      <c r="ES77" s="231">
        <v>1185.3900000000001</v>
      </c>
      <c r="ET77" s="228">
        <v>497.38</v>
      </c>
      <c r="EU77" s="231">
        <v>2842.3</v>
      </c>
      <c r="EV77" s="231">
        <v>128849634</v>
      </c>
      <c r="EW77" s="231">
        <v>4525.07</v>
      </c>
      <c r="EX77" s="231">
        <v>4517.1899999999996</v>
      </c>
      <c r="EY77" s="228">
        <v>7.88</v>
      </c>
      <c r="EZ77" s="229">
        <v>1.6999999999999999E-3</v>
      </c>
      <c r="FA77" s="229">
        <v>0.47539999999999999</v>
      </c>
      <c r="FB77" s="227" t="s">
        <v>567</v>
      </c>
      <c r="FC77">
        <f t="shared" si="1"/>
        <v>1655</v>
      </c>
    </row>
    <row r="78" spans="1:159" ht="17.25" thickBot="1" x14ac:dyDescent="0.3">
      <c r="A78" s="226">
        <v>46044</v>
      </c>
      <c r="B78" s="227" t="s">
        <v>162</v>
      </c>
      <c r="C78" s="227" t="s">
        <v>226</v>
      </c>
      <c r="D78" s="228">
        <v>150</v>
      </c>
      <c r="E78" s="228">
        <v>5</v>
      </c>
      <c r="F78" s="231">
        <v>5485</v>
      </c>
      <c r="G78" s="231">
        <v>5537</v>
      </c>
      <c r="H78" s="228">
        <v>-52</v>
      </c>
      <c r="I78" s="229">
        <v>-9.4000000000000004E-3</v>
      </c>
      <c r="J78" s="231">
        <v>5488.5</v>
      </c>
      <c r="K78" s="231">
        <v>5538.5</v>
      </c>
      <c r="L78" s="228">
        <v>-50</v>
      </c>
      <c r="M78" s="229">
        <v>-8.9999999999999993E-3</v>
      </c>
      <c r="N78" s="231">
        <v>5485</v>
      </c>
      <c r="O78" s="231">
        <v>5537</v>
      </c>
      <c r="P78" s="228">
        <v>-52</v>
      </c>
      <c r="Q78" s="229">
        <v>-9.4000000000000004E-3</v>
      </c>
      <c r="R78" s="231">
        <v>5434</v>
      </c>
      <c r="S78" s="231">
        <v>5501.5</v>
      </c>
      <c r="T78" s="228">
        <v>-67.5</v>
      </c>
      <c r="U78" s="229">
        <v>-1.23E-2</v>
      </c>
      <c r="V78" s="231">
        <v>5467</v>
      </c>
      <c r="W78" s="231">
        <v>5527</v>
      </c>
      <c r="X78" s="228">
        <v>-60</v>
      </c>
      <c r="Y78" s="229">
        <v>-1.09E-2</v>
      </c>
      <c r="Z78" s="228">
        <v>-3.5</v>
      </c>
      <c r="AA78" s="228">
        <v>-1.5</v>
      </c>
      <c r="AB78" s="228">
        <v>-2</v>
      </c>
      <c r="AC78" s="229">
        <v>-5.9999999999999995E-4</v>
      </c>
      <c r="AD78" s="228">
        <v>-3.5</v>
      </c>
      <c r="AE78" s="228">
        <v>-1.5</v>
      </c>
      <c r="AF78" s="228">
        <v>-2</v>
      </c>
      <c r="AG78" s="229">
        <v>-5.9999999999999995E-4</v>
      </c>
      <c r="AH78" s="228">
        <v>-54.5</v>
      </c>
      <c r="AI78" s="228">
        <v>-37</v>
      </c>
      <c r="AJ78" s="228">
        <v>-17.5</v>
      </c>
      <c r="AK78" s="229">
        <v>-9.9000000000000008E-3</v>
      </c>
      <c r="AL78" s="228">
        <v>-21.5</v>
      </c>
      <c r="AM78" s="228">
        <v>-11.5</v>
      </c>
      <c r="AN78" s="228">
        <v>-10</v>
      </c>
      <c r="AO78" s="229">
        <v>-3.8999999999999998E-3</v>
      </c>
      <c r="AP78" s="231">
        <v>5569.23</v>
      </c>
      <c r="AQ78" s="231">
        <v>5517.52</v>
      </c>
      <c r="AR78" s="228">
        <v>0</v>
      </c>
      <c r="AS78" s="230">
        <v>2619</v>
      </c>
      <c r="AT78" s="230">
        <v>2423</v>
      </c>
      <c r="AU78" s="228">
        <v>197</v>
      </c>
      <c r="AV78" s="229">
        <v>8.1100000000000005E-2</v>
      </c>
      <c r="AW78" s="230">
        <v>1424</v>
      </c>
      <c r="AX78" s="230">
        <v>1368</v>
      </c>
      <c r="AY78" s="228">
        <v>56</v>
      </c>
      <c r="AZ78" s="229">
        <v>4.0800000000000003E-2</v>
      </c>
      <c r="BA78" s="230">
        <v>1184</v>
      </c>
      <c r="BB78" s="230">
        <v>1046</v>
      </c>
      <c r="BC78" s="228">
        <v>138</v>
      </c>
      <c r="BD78" s="229">
        <v>0.13200000000000001</v>
      </c>
      <c r="BE78" s="228">
        <v>11</v>
      </c>
      <c r="BF78" s="228">
        <v>8</v>
      </c>
      <c r="BG78" s="228">
        <v>3</v>
      </c>
      <c r="BH78" s="229">
        <v>0.3367</v>
      </c>
      <c r="BI78" s="230">
        <v>3743</v>
      </c>
      <c r="BJ78" s="230">
        <v>4422</v>
      </c>
      <c r="BK78" s="228">
        <v>-679</v>
      </c>
      <c r="BL78" s="229">
        <v>-0.15359999999999999</v>
      </c>
      <c r="BM78" s="230">
        <v>1632</v>
      </c>
      <c r="BN78" s="230">
        <v>2465</v>
      </c>
      <c r="BO78" s="228">
        <v>-833</v>
      </c>
      <c r="BP78" s="229">
        <v>-0.33810000000000001</v>
      </c>
      <c r="BQ78" s="230">
        <v>7994</v>
      </c>
      <c r="BR78" s="230">
        <v>9310</v>
      </c>
      <c r="BS78" s="230">
        <v>-1316</v>
      </c>
      <c r="BT78" s="229">
        <v>-0.1414</v>
      </c>
      <c r="BU78" s="230">
        <v>407282</v>
      </c>
      <c r="BV78" s="230">
        <v>420054</v>
      </c>
      <c r="BW78" s="230">
        <v>-12772</v>
      </c>
      <c r="BX78" s="229">
        <v>-3.04E-2</v>
      </c>
      <c r="BY78" s="230">
        <v>2633</v>
      </c>
      <c r="BZ78" s="230">
        <v>2718</v>
      </c>
      <c r="CA78" s="228">
        <v>-85</v>
      </c>
      <c r="CB78" s="229">
        <v>-3.1099999999999999E-2</v>
      </c>
      <c r="CC78" s="230">
        <v>1259</v>
      </c>
      <c r="CD78" s="230">
        <v>1989</v>
      </c>
      <c r="CE78" s="228">
        <v>-730</v>
      </c>
      <c r="CF78" s="229">
        <v>-0.36709999999999998</v>
      </c>
      <c r="CG78" s="230">
        <v>1354</v>
      </c>
      <c r="CH78" s="228">
        <v>712</v>
      </c>
      <c r="CI78" s="228">
        <v>642</v>
      </c>
      <c r="CJ78" s="229">
        <v>0.90200000000000002</v>
      </c>
      <c r="CK78" s="228">
        <v>20</v>
      </c>
      <c r="CL78" s="228">
        <v>16</v>
      </c>
      <c r="CM78" s="228">
        <v>3</v>
      </c>
      <c r="CN78" s="229">
        <v>0.20100000000000001</v>
      </c>
      <c r="CO78" s="230">
        <v>1859</v>
      </c>
      <c r="CP78" s="230">
        <v>1962</v>
      </c>
      <c r="CQ78" s="228">
        <v>-103</v>
      </c>
      <c r="CR78" s="229">
        <v>-5.2299999999999999E-2</v>
      </c>
      <c r="CS78" s="228">
        <v>887</v>
      </c>
      <c r="CT78" s="228">
        <v>909</v>
      </c>
      <c r="CU78" s="228">
        <v>-23</v>
      </c>
      <c r="CV78" s="229">
        <v>-2.4799999999999999E-2</v>
      </c>
      <c r="CW78" s="230">
        <v>5379</v>
      </c>
      <c r="CX78" s="230">
        <v>5589</v>
      </c>
      <c r="CY78" s="228">
        <v>-210</v>
      </c>
      <c r="CZ78" s="229">
        <v>-3.7499999999999999E-2</v>
      </c>
      <c r="DA78" s="228">
        <v>28.21</v>
      </c>
      <c r="DB78" s="228">
        <v>27.39</v>
      </c>
      <c r="DC78" s="228">
        <v>0.82</v>
      </c>
      <c r="DD78" s="228">
        <v>0.82</v>
      </c>
      <c r="DE78" s="228">
        <v>29.94</v>
      </c>
      <c r="DF78" s="228">
        <v>29.99</v>
      </c>
      <c r="DG78" s="228">
        <v>-1.73</v>
      </c>
      <c r="DH78" s="228">
        <v>-0.05</v>
      </c>
      <c r="DI78" s="228">
        <v>28.66</v>
      </c>
      <c r="DJ78" s="228">
        <v>28.61</v>
      </c>
      <c r="DK78" s="228">
        <v>0.05</v>
      </c>
      <c r="DL78" s="228">
        <v>0.05</v>
      </c>
      <c r="DM78" s="228">
        <v>27.42</v>
      </c>
      <c r="DN78" s="228">
        <v>25.22</v>
      </c>
      <c r="DO78" s="228">
        <v>2.2000000000000002</v>
      </c>
      <c r="DP78" s="228">
        <v>2.2000000000000002</v>
      </c>
      <c r="DQ78" s="228">
        <v>0.48</v>
      </c>
      <c r="DR78" s="228">
        <v>0.46</v>
      </c>
      <c r="DS78" s="228">
        <v>0.02</v>
      </c>
      <c r="DT78" s="229">
        <v>4.3499999999999997E-2</v>
      </c>
      <c r="DU78" s="231">
        <v>6000</v>
      </c>
      <c r="DV78" s="231">
        <v>5400</v>
      </c>
      <c r="DW78" s="228">
        <v>0.44</v>
      </c>
      <c r="DX78" s="228">
        <v>0.56000000000000005</v>
      </c>
      <c r="DY78" s="228">
        <v>-0.12</v>
      </c>
      <c r="DZ78" s="229">
        <v>-0.21429999999999999</v>
      </c>
      <c r="EA78" s="229">
        <v>0.52180000000000004</v>
      </c>
      <c r="EB78" s="230">
        <v>1328100</v>
      </c>
      <c r="EC78" s="229">
        <v>-9.2999999999999992E-3</v>
      </c>
      <c r="ED78" s="229">
        <v>0.52180000000000004</v>
      </c>
      <c r="EE78" s="228">
        <v>-51.71</v>
      </c>
      <c r="EF78" s="229">
        <v>-9.2999999999999992E-3</v>
      </c>
      <c r="EG78" s="230">
        <v>233156</v>
      </c>
      <c r="EH78" s="230">
        <v>198552</v>
      </c>
      <c r="EI78" s="229">
        <v>0.17430000000000001</v>
      </c>
      <c r="EJ78" s="229">
        <v>0.57250000000000001</v>
      </c>
      <c r="EK78" s="231">
        <v>3969.91</v>
      </c>
      <c r="EL78" s="231">
        <v>1657.18</v>
      </c>
      <c r="EM78" s="231">
        <v>2648.29</v>
      </c>
      <c r="EN78" s="228">
        <v>127.31</v>
      </c>
      <c r="EO78" s="231">
        <v>8275.39</v>
      </c>
      <c r="EP78" s="231">
        <v>9652.84</v>
      </c>
      <c r="EQ78" s="231">
        <v>-1377.45</v>
      </c>
      <c r="ER78" s="229">
        <v>-0.14269999999999999</v>
      </c>
      <c r="ES78" s="231">
        <v>2017.35</v>
      </c>
      <c r="ET78" s="228">
        <v>901.74</v>
      </c>
      <c r="EU78" s="231">
        <v>2620.4699999999998</v>
      </c>
      <c r="EV78" s="231">
        <v>19586951</v>
      </c>
      <c r="EW78" s="231">
        <v>5539.56</v>
      </c>
      <c r="EX78" s="231">
        <v>5802.28</v>
      </c>
      <c r="EY78" s="228">
        <v>-262.72000000000003</v>
      </c>
      <c r="EZ78" s="229">
        <v>-4.53E-2</v>
      </c>
      <c r="FA78" s="229">
        <v>0.50070000000000003</v>
      </c>
      <c r="FB78" s="227" t="s">
        <v>568</v>
      </c>
      <c r="FC78">
        <f t="shared" si="1"/>
        <v>1374</v>
      </c>
    </row>
    <row r="79" spans="1:159" ht="17.25" thickBot="1" x14ac:dyDescent="0.3">
      <c r="A79" s="226">
        <v>46044</v>
      </c>
      <c r="B79" s="227" t="s">
        <v>227</v>
      </c>
      <c r="C79" s="227" t="s">
        <v>228</v>
      </c>
      <c r="D79" s="228">
        <v>700</v>
      </c>
      <c r="E79" s="228">
        <v>5</v>
      </c>
      <c r="F79" s="228">
        <v>941.15</v>
      </c>
      <c r="G79" s="228">
        <v>937.6</v>
      </c>
      <c r="H79" s="228">
        <v>3.55</v>
      </c>
      <c r="I79" s="229">
        <v>3.8E-3</v>
      </c>
      <c r="J79" s="228">
        <v>944.45</v>
      </c>
      <c r="K79" s="228">
        <v>939.2</v>
      </c>
      <c r="L79" s="228">
        <v>5.25</v>
      </c>
      <c r="M79" s="229">
        <v>5.5999999999999999E-3</v>
      </c>
      <c r="N79" s="228">
        <v>941.15</v>
      </c>
      <c r="O79" s="228">
        <v>937.6</v>
      </c>
      <c r="P79" s="228">
        <v>3.55</v>
      </c>
      <c r="Q79" s="229">
        <v>3.8E-3</v>
      </c>
      <c r="R79" s="228">
        <v>946.55</v>
      </c>
      <c r="S79" s="228">
        <v>943.1</v>
      </c>
      <c r="T79" s="228">
        <v>3.45</v>
      </c>
      <c r="U79" s="229">
        <v>3.7000000000000002E-3</v>
      </c>
      <c r="V79" s="228">
        <v>953.75</v>
      </c>
      <c r="W79" s="228">
        <v>949.05</v>
      </c>
      <c r="X79" s="228">
        <v>4.7</v>
      </c>
      <c r="Y79" s="229">
        <v>5.0000000000000001E-3</v>
      </c>
      <c r="Z79" s="228">
        <v>-3.3</v>
      </c>
      <c r="AA79" s="228">
        <v>-1.6</v>
      </c>
      <c r="AB79" s="228">
        <v>-1.7</v>
      </c>
      <c r="AC79" s="229">
        <v>-3.5000000000000001E-3</v>
      </c>
      <c r="AD79" s="228">
        <v>-3.3</v>
      </c>
      <c r="AE79" s="228">
        <v>-1.6</v>
      </c>
      <c r="AF79" s="228">
        <v>-1.7</v>
      </c>
      <c r="AG79" s="229">
        <v>-3.5000000000000001E-3</v>
      </c>
      <c r="AH79" s="228">
        <v>2.1</v>
      </c>
      <c r="AI79" s="228">
        <v>3.9</v>
      </c>
      <c r="AJ79" s="228">
        <v>-1.8</v>
      </c>
      <c r="AK79" s="229">
        <v>2.2000000000000001E-3</v>
      </c>
      <c r="AL79" s="228">
        <v>9.3000000000000007</v>
      </c>
      <c r="AM79" s="228">
        <v>9.85</v>
      </c>
      <c r="AN79" s="228">
        <v>-0.55000000000000004</v>
      </c>
      <c r="AO79" s="229">
        <v>9.7999999999999997E-3</v>
      </c>
      <c r="AP79" s="228">
        <v>940.61</v>
      </c>
      <c r="AQ79" s="228">
        <v>945.82</v>
      </c>
      <c r="AR79" s="228">
        <v>0</v>
      </c>
      <c r="AS79" s="230">
        <v>3924</v>
      </c>
      <c r="AT79" s="230">
        <v>2714</v>
      </c>
      <c r="AU79" s="230">
        <v>1210</v>
      </c>
      <c r="AV79" s="229">
        <v>0.4461</v>
      </c>
      <c r="AW79" s="230">
        <v>2109</v>
      </c>
      <c r="AX79" s="230">
        <v>1567</v>
      </c>
      <c r="AY79" s="228">
        <v>542</v>
      </c>
      <c r="AZ79" s="229">
        <v>0.34599999999999997</v>
      </c>
      <c r="BA79" s="230">
        <v>1795</v>
      </c>
      <c r="BB79" s="230">
        <v>1139</v>
      </c>
      <c r="BC79" s="228">
        <v>657</v>
      </c>
      <c r="BD79" s="229">
        <v>0.57669999999999999</v>
      </c>
      <c r="BE79" s="228">
        <v>20</v>
      </c>
      <c r="BF79" s="228">
        <v>8</v>
      </c>
      <c r="BG79" s="228">
        <v>12</v>
      </c>
      <c r="BH79" s="229">
        <v>1.4048</v>
      </c>
      <c r="BI79" s="230">
        <v>3034</v>
      </c>
      <c r="BJ79" s="230">
        <v>3704</v>
      </c>
      <c r="BK79" s="228">
        <v>-671</v>
      </c>
      <c r="BL79" s="229">
        <v>-0.18099999999999999</v>
      </c>
      <c r="BM79" s="230">
        <v>1928</v>
      </c>
      <c r="BN79" s="230">
        <v>2011</v>
      </c>
      <c r="BO79" s="228">
        <v>-83</v>
      </c>
      <c r="BP79" s="229">
        <v>-4.1300000000000003E-2</v>
      </c>
      <c r="BQ79" s="230">
        <v>8886</v>
      </c>
      <c r="BR79" s="230">
        <v>8429</v>
      </c>
      <c r="BS79" s="228">
        <v>457</v>
      </c>
      <c r="BT79" s="229">
        <v>5.4199999999999998E-2</v>
      </c>
      <c r="BU79" s="230">
        <v>6272221</v>
      </c>
      <c r="BV79" s="230">
        <v>5707158</v>
      </c>
      <c r="BW79" s="230">
        <v>565063</v>
      </c>
      <c r="BX79" s="229">
        <v>9.9000000000000005E-2</v>
      </c>
      <c r="BY79" s="230">
        <v>4785</v>
      </c>
      <c r="BZ79" s="230">
        <v>4811</v>
      </c>
      <c r="CA79" s="228">
        <v>-26</v>
      </c>
      <c r="CB79" s="229">
        <v>-5.3E-3</v>
      </c>
      <c r="CC79" s="230">
        <v>1675</v>
      </c>
      <c r="CD79" s="230">
        <v>3066</v>
      </c>
      <c r="CE79" s="230">
        <v>-1390</v>
      </c>
      <c r="CF79" s="229">
        <v>-0.45350000000000001</v>
      </c>
      <c r="CG79" s="230">
        <v>3003</v>
      </c>
      <c r="CH79" s="230">
        <v>1650</v>
      </c>
      <c r="CI79" s="230">
        <v>1353</v>
      </c>
      <c r="CJ79" s="229">
        <v>0.82030000000000003</v>
      </c>
      <c r="CK79" s="228">
        <v>107</v>
      </c>
      <c r="CL79" s="228">
        <v>96</v>
      </c>
      <c r="CM79" s="228">
        <v>11</v>
      </c>
      <c r="CN79" s="229">
        <v>0.1192</v>
      </c>
      <c r="CO79" s="230">
        <v>1557</v>
      </c>
      <c r="CP79" s="230">
        <v>1749</v>
      </c>
      <c r="CQ79" s="228">
        <v>-191</v>
      </c>
      <c r="CR79" s="229">
        <v>-0.10929999999999999</v>
      </c>
      <c r="CS79" s="230">
        <v>1190</v>
      </c>
      <c r="CT79" s="230">
        <v>1244</v>
      </c>
      <c r="CU79" s="228">
        <v>-54</v>
      </c>
      <c r="CV79" s="229">
        <v>-4.36E-2</v>
      </c>
      <c r="CW79" s="230">
        <v>7533</v>
      </c>
      <c r="CX79" s="230">
        <v>7804</v>
      </c>
      <c r="CY79" s="228">
        <v>-271</v>
      </c>
      <c r="CZ79" s="229">
        <v>-3.4700000000000002E-2</v>
      </c>
      <c r="DA79" s="228">
        <v>29.43</v>
      </c>
      <c r="DB79" s="228">
        <v>26.29</v>
      </c>
      <c r="DC79" s="228">
        <v>3.14</v>
      </c>
      <c r="DD79" s="228">
        <v>3.14</v>
      </c>
      <c r="DE79" s="228">
        <v>32.29</v>
      </c>
      <c r="DF79" s="228">
        <v>32.369999999999997</v>
      </c>
      <c r="DG79" s="228">
        <v>-2.86</v>
      </c>
      <c r="DH79" s="228">
        <v>-0.08</v>
      </c>
      <c r="DI79" s="228">
        <v>29.47</v>
      </c>
      <c r="DJ79" s="228">
        <v>25.68</v>
      </c>
      <c r="DK79" s="228">
        <v>3.79</v>
      </c>
      <c r="DL79" s="228">
        <v>3.79</v>
      </c>
      <c r="DM79" s="228">
        <v>29.39</v>
      </c>
      <c r="DN79" s="228">
        <v>27.42</v>
      </c>
      <c r="DO79" s="228">
        <v>1.97</v>
      </c>
      <c r="DP79" s="228">
        <v>1.97</v>
      </c>
      <c r="DQ79" s="228">
        <v>0.76</v>
      </c>
      <c r="DR79" s="228">
        <v>0.71</v>
      </c>
      <c r="DS79" s="228">
        <v>0.05</v>
      </c>
      <c r="DT79" s="229">
        <v>7.0400000000000004E-2</v>
      </c>
      <c r="DU79" s="228">
        <v>960</v>
      </c>
      <c r="DV79" s="228">
        <v>900</v>
      </c>
      <c r="DW79" s="228">
        <v>0.64</v>
      </c>
      <c r="DX79" s="228">
        <v>0.54</v>
      </c>
      <c r="DY79" s="228">
        <v>0.1</v>
      </c>
      <c r="DZ79" s="229">
        <v>0.1852</v>
      </c>
      <c r="EA79" s="229">
        <v>0.64990000000000003</v>
      </c>
      <c r="EB79" s="230">
        <v>18545100</v>
      </c>
      <c r="EC79" s="229">
        <v>5.7000000000000002E-3</v>
      </c>
      <c r="ED79" s="229">
        <v>0.64990000000000003</v>
      </c>
      <c r="EE79" s="228">
        <v>5.21</v>
      </c>
      <c r="EF79" s="229">
        <v>5.4999999999999997E-3</v>
      </c>
      <c r="EG79" s="230">
        <v>4077255</v>
      </c>
      <c r="EH79" s="230">
        <v>3551106</v>
      </c>
      <c r="EI79" s="229">
        <v>0.1482</v>
      </c>
      <c r="EJ79" s="229">
        <v>0.65</v>
      </c>
      <c r="EK79" s="231">
        <v>3117.83</v>
      </c>
      <c r="EL79" s="231">
        <v>1903.67</v>
      </c>
      <c r="EM79" s="231">
        <v>3932.07</v>
      </c>
      <c r="EN79" s="228">
        <v>247.97</v>
      </c>
      <c r="EO79" s="231">
        <v>8953.58</v>
      </c>
      <c r="EP79" s="231">
        <v>8465.02</v>
      </c>
      <c r="EQ79" s="228">
        <v>488.56</v>
      </c>
      <c r="ER79" s="229">
        <v>5.7700000000000001E-2</v>
      </c>
      <c r="ES79" s="231">
        <v>1586.21</v>
      </c>
      <c r="ET79" s="231">
        <v>1117.19</v>
      </c>
      <c r="EU79" s="231">
        <v>4804.03</v>
      </c>
      <c r="EV79" s="231">
        <v>212176873</v>
      </c>
      <c r="EW79" s="231">
        <v>7507.42</v>
      </c>
      <c r="EX79" s="231">
        <v>7751.85</v>
      </c>
      <c r="EY79" s="228">
        <v>-244.43</v>
      </c>
      <c r="EZ79" s="229">
        <v>-3.15E-2</v>
      </c>
      <c r="FA79" s="229">
        <v>0.37719999999999998</v>
      </c>
      <c r="FB79" s="227" t="s">
        <v>556</v>
      </c>
      <c r="FC79">
        <f t="shared" si="1"/>
        <v>3110</v>
      </c>
    </row>
    <row r="80" spans="1:159" ht="17.25" thickBot="1" x14ac:dyDescent="0.3">
      <c r="A80" s="226">
        <v>46044</v>
      </c>
      <c r="B80" s="227" t="s">
        <v>193</v>
      </c>
      <c r="C80" s="227" t="s">
        <v>229</v>
      </c>
      <c r="D80" s="228">
        <v>2025</v>
      </c>
      <c r="E80" s="228">
        <v>5</v>
      </c>
      <c r="F80" s="228">
        <v>427.5</v>
      </c>
      <c r="G80" s="228">
        <v>430.25</v>
      </c>
      <c r="H80" s="228">
        <v>-2.75</v>
      </c>
      <c r="I80" s="229">
        <v>-6.4000000000000003E-3</v>
      </c>
      <c r="J80" s="228">
        <v>427.7</v>
      </c>
      <c r="K80" s="228">
        <v>429.05</v>
      </c>
      <c r="L80" s="228">
        <v>-1.35</v>
      </c>
      <c r="M80" s="229">
        <v>-3.0999999999999999E-3</v>
      </c>
      <c r="N80" s="228">
        <v>427.5</v>
      </c>
      <c r="O80" s="228">
        <v>430.25</v>
      </c>
      <c r="P80" s="228">
        <v>-2.75</v>
      </c>
      <c r="Q80" s="229">
        <v>-6.4000000000000003E-3</v>
      </c>
      <c r="R80" s="228">
        <v>429.7</v>
      </c>
      <c r="S80" s="228">
        <v>432.2</v>
      </c>
      <c r="T80" s="228">
        <v>-2.5</v>
      </c>
      <c r="U80" s="229">
        <v>-5.7999999999999996E-3</v>
      </c>
      <c r="V80" s="228">
        <v>432.2</v>
      </c>
      <c r="W80" s="228">
        <v>435.1</v>
      </c>
      <c r="X80" s="228">
        <v>-2.9</v>
      </c>
      <c r="Y80" s="229">
        <v>-6.7000000000000002E-3</v>
      </c>
      <c r="Z80" s="228">
        <v>-0.2</v>
      </c>
      <c r="AA80" s="228">
        <v>1.2</v>
      </c>
      <c r="AB80" s="228">
        <v>-1.4</v>
      </c>
      <c r="AC80" s="229">
        <v>-5.0000000000000001E-4</v>
      </c>
      <c r="AD80" s="228">
        <v>-0.2</v>
      </c>
      <c r="AE80" s="228">
        <v>1.2</v>
      </c>
      <c r="AF80" s="228">
        <v>-1.4</v>
      </c>
      <c r="AG80" s="229">
        <v>-5.0000000000000001E-4</v>
      </c>
      <c r="AH80" s="228">
        <v>2</v>
      </c>
      <c r="AI80" s="228">
        <v>3.15</v>
      </c>
      <c r="AJ80" s="228">
        <v>-1.1499999999999999</v>
      </c>
      <c r="AK80" s="229">
        <v>4.7000000000000002E-3</v>
      </c>
      <c r="AL80" s="228">
        <v>4.5</v>
      </c>
      <c r="AM80" s="228">
        <v>6.05</v>
      </c>
      <c r="AN80" s="228">
        <v>-1.55</v>
      </c>
      <c r="AO80" s="229">
        <v>1.0500000000000001E-2</v>
      </c>
      <c r="AP80" s="228">
        <v>427.08</v>
      </c>
      <c r="AQ80" s="228">
        <v>429.06</v>
      </c>
      <c r="AR80" s="228">
        <v>0</v>
      </c>
      <c r="AS80" s="230">
        <v>1146</v>
      </c>
      <c r="AT80" s="228">
        <v>899</v>
      </c>
      <c r="AU80" s="228">
        <v>246</v>
      </c>
      <c r="AV80" s="229">
        <v>0.27389999999999998</v>
      </c>
      <c r="AW80" s="228">
        <v>598</v>
      </c>
      <c r="AX80" s="228">
        <v>531</v>
      </c>
      <c r="AY80" s="228">
        <v>67</v>
      </c>
      <c r="AZ80" s="229">
        <v>0.12690000000000001</v>
      </c>
      <c r="BA80" s="228">
        <v>538</v>
      </c>
      <c r="BB80" s="228">
        <v>359</v>
      </c>
      <c r="BC80" s="228">
        <v>179</v>
      </c>
      <c r="BD80" s="229">
        <v>0.49819999999999998</v>
      </c>
      <c r="BE80" s="228">
        <v>9</v>
      </c>
      <c r="BF80" s="228">
        <v>9</v>
      </c>
      <c r="BG80" s="228">
        <v>0</v>
      </c>
      <c r="BH80" s="229">
        <v>-9.4000000000000004E-3</v>
      </c>
      <c r="BI80" s="230">
        <v>1867</v>
      </c>
      <c r="BJ80" s="230">
        <v>1917</v>
      </c>
      <c r="BK80" s="228">
        <v>-51</v>
      </c>
      <c r="BL80" s="229">
        <v>-2.6499999999999999E-2</v>
      </c>
      <c r="BM80" s="230">
        <v>1176</v>
      </c>
      <c r="BN80" s="230">
        <v>1207</v>
      </c>
      <c r="BO80" s="228">
        <v>-31</v>
      </c>
      <c r="BP80" s="229">
        <v>-2.5700000000000001E-2</v>
      </c>
      <c r="BQ80" s="230">
        <v>4189</v>
      </c>
      <c r="BR80" s="230">
        <v>4024</v>
      </c>
      <c r="BS80" s="228">
        <v>164</v>
      </c>
      <c r="BT80" s="229">
        <v>4.0899999999999999E-2</v>
      </c>
      <c r="BU80" s="230">
        <v>4981463</v>
      </c>
      <c r="BV80" s="230">
        <v>5533488</v>
      </c>
      <c r="BW80" s="230">
        <v>-552025</v>
      </c>
      <c r="BX80" s="229">
        <v>-9.98E-2</v>
      </c>
      <c r="BY80" s="230">
        <v>1702</v>
      </c>
      <c r="BZ80" s="230">
        <v>1687</v>
      </c>
      <c r="CA80" s="228">
        <v>15</v>
      </c>
      <c r="CB80" s="229">
        <v>9.1000000000000004E-3</v>
      </c>
      <c r="CC80" s="228">
        <v>987</v>
      </c>
      <c r="CD80" s="230">
        <v>1358</v>
      </c>
      <c r="CE80" s="228">
        <v>-371</v>
      </c>
      <c r="CF80" s="229">
        <v>-0.27350000000000002</v>
      </c>
      <c r="CG80" s="228">
        <v>701</v>
      </c>
      <c r="CH80" s="228">
        <v>316</v>
      </c>
      <c r="CI80" s="228">
        <v>385</v>
      </c>
      <c r="CJ80" s="229">
        <v>1.2166999999999999</v>
      </c>
      <c r="CK80" s="228">
        <v>14</v>
      </c>
      <c r="CL80" s="228">
        <v>12</v>
      </c>
      <c r="CM80" s="228">
        <v>2</v>
      </c>
      <c r="CN80" s="229">
        <v>0.14580000000000001</v>
      </c>
      <c r="CO80" s="228">
        <v>964</v>
      </c>
      <c r="CP80" s="230">
        <v>1038</v>
      </c>
      <c r="CQ80" s="228">
        <v>-74</v>
      </c>
      <c r="CR80" s="229">
        <v>-7.17E-2</v>
      </c>
      <c r="CS80" s="228">
        <v>503</v>
      </c>
      <c r="CT80" s="228">
        <v>552</v>
      </c>
      <c r="CU80" s="228">
        <v>-49</v>
      </c>
      <c r="CV80" s="229">
        <v>-8.8999999999999996E-2</v>
      </c>
      <c r="CW80" s="230">
        <v>3169</v>
      </c>
      <c r="CX80" s="230">
        <v>3277</v>
      </c>
      <c r="CY80" s="228">
        <v>-108</v>
      </c>
      <c r="CZ80" s="229">
        <v>-3.3000000000000002E-2</v>
      </c>
      <c r="DA80" s="228">
        <v>31.79</v>
      </c>
      <c r="DB80" s="228">
        <v>40.840000000000003</v>
      </c>
      <c r="DC80" s="228">
        <v>-9.0500000000000007</v>
      </c>
      <c r="DD80" s="228">
        <v>-9.0500000000000007</v>
      </c>
      <c r="DE80" s="228">
        <v>38.79</v>
      </c>
      <c r="DF80" s="228">
        <v>38.880000000000003</v>
      </c>
      <c r="DG80" s="228">
        <v>-7</v>
      </c>
      <c r="DH80" s="228">
        <v>-0.09</v>
      </c>
      <c r="DI80" s="228">
        <v>31.16</v>
      </c>
      <c r="DJ80" s="228">
        <v>41.29</v>
      </c>
      <c r="DK80" s="228">
        <v>-10.130000000000001</v>
      </c>
      <c r="DL80" s="228">
        <v>-10.130000000000001</v>
      </c>
      <c r="DM80" s="228">
        <v>32.520000000000003</v>
      </c>
      <c r="DN80" s="228">
        <v>40.130000000000003</v>
      </c>
      <c r="DO80" s="228">
        <v>-7.61</v>
      </c>
      <c r="DP80" s="228">
        <v>-7.61</v>
      </c>
      <c r="DQ80" s="228">
        <v>0.52</v>
      </c>
      <c r="DR80" s="228">
        <v>0.53</v>
      </c>
      <c r="DS80" s="228">
        <v>-0.01</v>
      </c>
      <c r="DT80" s="229">
        <v>-1.89E-2</v>
      </c>
      <c r="DU80" s="228">
        <v>500</v>
      </c>
      <c r="DV80" s="228">
        <v>450</v>
      </c>
      <c r="DW80" s="228">
        <v>0.63</v>
      </c>
      <c r="DX80" s="228">
        <v>0.63</v>
      </c>
      <c r="DY80" s="228">
        <v>0</v>
      </c>
      <c r="DZ80" s="229">
        <v>0</v>
      </c>
      <c r="EA80" s="229">
        <v>0.4204</v>
      </c>
      <c r="EB80" s="230">
        <v>7692975</v>
      </c>
      <c r="EC80" s="229">
        <v>5.1000000000000004E-3</v>
      </c>
      <c r="ED80" s="229">
        <v>0.4204</v>
      </c>
      <c r="EE80" s="228">
        <v>1.98</v>
      </c>
      <c r="EF80" s="229">
        <v>4.5999999999999999E-3</v>
      </c>
      <c r="EG80" s="230">
        <v>2194798</v>
      </c>
      <c r="EH80" s="230">
        <v>2792580</v>
      </c>
      <c r="EI80" s="229">
        <v>-0.21410000000000001</v>
      </c>
      <c r="EJ80" s="229">
        <v>0.44059999999999999</v>
      </c>
      <c r="EK80" s="231">
        <v>1972.59</v>
      </c>
      <c r="EL80" s="231">
        <v>1179.43</v>
      </c>
      <c r="EM80" s="231">
        <v>1147.03</v>
      </c>
      <c r="EN80" s="228">
        <v>62.65</v>
      </c>
      <c r="EO80" s="231">
        <v>4299.04</v>
      </c>
      <c r="EP80" s="231">
        <v>4195.58</v>
      </c>
      <c r="EQ80" s="228">
        <v>103.47</v>
      </c>
      <c r="ER80" s="229">
        <v>2.47E-2</v>
      </c>
      <c r="ES80" s="231">
        <v>1078.33</v>
      </c>
      <c r="ET80" s="228">
        <v>523.12</v>
      </c>
      <c r="EU80" s="231">
        <v>1706.14</v>
      </c>
      <c r="EV80" s="231">
        <v>143933168</v>
      </c>
      <c r="EW80" s="231">
        <v>3307.58</v>
      </c>
      <c r="EX80" s="231">
        <v>3441.22</v>
      </c>
      <c r="EY80" s="228">
        <v>-133.63999999999999</v>
      </c>
      <c r="EZ80" s="229">
        <v>-3.8800000000000001E-2</v>
      </c>
      <c r="FA80" s="229">
        <v>0.5151</v>
      </c>
      <c r="FB80" s="227" t="s">
        <v>567</v>
      </c>
      <c r="FC80">
        <f t="shared" si="1"/>
        <v>715</v>
      </c>
    </row>
    <row r="81" spans="1:159" ht="17.25" thickBot="1" x14ac:dyDescent="0.3">
      <c r="A81" s="226">
        <v>46044</v>
      </c>
      <c r="B81" s="227" t="s">
        <v>168</v>
      </c>
      <c r="C81" s="227" t="s">
        <v>230</v>
      </c>
      <c r="D81" s="228">
        <v>300</v>
      </c>
      <c r="E81" s="228">
        <v>5</v>
      </c>
      <c r="F81" s="231">
        <v>2395.6</v>
      </c>
      <c r="G81" s="231">
        <v>2368.4</v>
      </c>
      <c r="H81" s="228">
        <v>27.2</v>
      </c>
      <c r="I81" s="229">
        <v>1.15E-2</v>
      </c>
      <c r="J81" s="231">
        <v>2390.6</v>
      </c>
      <c r="K81" s="231">
        <v>2368</v>
      </c>
      <c r="L81" s="228">
        <v>22.6</v>
      </c>
      <c r="M81" s="229">
        <v>9.4999999999999998E-3</v>
      </c>
      <c r="N81" s="231">
        <v>2395.6</v>
      </c>
      <c r="O81" s="231">
        <v>2368.4</v>
      </c>
      <c r="P81" s="228">
        <v>27.2</v>
      </c>
      <c r="Q81" s="229">
        <v>1.15E-2</v>
      </c>
      <c r="R81" s="231">
        <v>2405.5</v>
      </c>
      <c r="S81" s="231">
        <v>2378.1</v>
      </c>
      <c r="T81" s="228">
        <v>27.4</v>
      </c>
      <c r="U81" s="229">
        <v>1.15E-2</v>
      </c>
      <c r="V81" s="231">
        <v>2417.4</v>
      </c>
      <c r="W81" s="231">
        <v>2392.5</v>
      </c>
      <c r="X81" s="228">
        <v>24.9</v>
      </c>
      <c r="Y81" s="229">
        <v>1.04E-2</v>
      </c>
      <c r="Z81" s="228">
        <v>5</v>
      </c>
      <c r="AA81" s="228">
        <v>0.4</v>
      </c>
      <c r="AB81" s="228">
        <v>4.5999999999999996</v>
      </c>
      <c r="AC81" s="229">
        <v>2.0999999999999999E-3</v>
      </c>
      <c r="AD81" s="228">
        <v>5</v>
      </c>
      <c r="AE81" s="228">
        <v>0.4</v>
      </c>
      <c r="AF81" s="228">
        <v>4.5999999999999996</v>
      </c>
      <c r="AG81" s="229">
        <v>2.0999999999999999E-3</v>
      </c>
      <c r="AH81" s="228">
        <v>14.9</v>
      </c>
      <c r="AI81" s="228">
        <v>10.1</v>
      </c>
      <c r="AJ81" s="228">
        <v>4.8</v>
      </c>
      <c r="AK81" s="229">
        <v>6.1999999999999998E-3</v>
      </c>
      <c r="AL81" s="228">
        <v>26.8</v>
      </c>
      <c r="AM81" s="228">
        <v>24.5</v>
      </c>
      <c r="AN81" s="228">
        <v>2.2999999999999998</v>
      </c>
      <c r="AO81" s="229">
        <v>1.12E-2</v>
      </c>
      <c r="AP81" s="231">
        <v>2379.5700000000002</v>
      </c>
      <c r="AQ81" s="231">
        <v>2389.09</v>
      </c>
      <c r="AR81" s="228">
        <v>0</v>
      </c>
      <c r="AS81" s="230">
        <v>3142</v>
      </c>
      <c r="AT81" s="230">
        <v>2775</v>
      </c>
      <c r="AU81" s="228">
        <v>367</v>
      </c>
      <c r="AV81" s="229">
        <v>0.13220000000000001</v>
      </c>
      <c r="AW81" s="230">
        <v>1675</v>
      </c>
      <c r="AX81" s="230">
        <v>1448</v>
      </c>
      <c r="AY81" s="228">
        <v>228</v>
      </c>
      <c r="AZ81" s="229">
        <v>0.1573</v>
      </c>
      <c r="BA81" s="230">
        <v>1455</v>
      </c>
      <c r="BB81" s="230">
        <v>1322</v>
      </c>
      <c r="BC81" s="228">
        <v>133</v>
      </c>
      <c r="BD81" s="229">
        <v>0.1002</v>
      </c>
      <c r="BE81" s="228">
        <v>12</v>
      </c>
      <c r="BF81" s="228">
        <v>5</v>
      </c>
      <c r="BG81" s="228">
        <v>7</v>
      </c>
      <c r="BH81" s="229">
        <v>1.3143</v>
      </c>
      <c r="BI81" s="230">
        <v>3486</v>
      </c>
      <c r="BJ81" s="230">
        <v>3459</v>
      </c>
      <c r="BK81" s="228">
        <v>28</v>
      </c>
      <c r="BL81" s="229">
        <v>8.0000000000000002E-3</v>
      </c>
      <c r="BM81" s="230">
        <v>1753</v>
      </c>
      <c r="BN81" s="230">
        <v>2079</v>
      </c>
      <c r="BO81" s="228">
        <v>-325</v>
      </c>
      <c r="BP81" s="229">
        <v>-0.1565</v>
      </c>
      <c r="BQ81" s="230">
        <v>8381</v>
      </c>
      <c r="BR81" s="230">
        <v>8312</v>
      </c>
      <c r="BS81" s="228">
        <v>69</v>
      </c>
      <c r="BT81" s="229">
        <v>8.3000000000000001E-3</v>
      </c>
      <c r="BU81" s="230">
        <v>1930976</v>
      </c>
      <c r="BV81" s="230">
        <v>1108267</v>
      </c>
      <c r="BW81" s="230">
        <v>822709</v>
      </c>
      <c r="BX81" s="229">
        <v>0.74229999999999996</v>
      </c>
      <c r="BY81" s="230">
        <v>3238</v>
      </c>
      <c r="BZ81" s="230">
        <v>3436</v>
      </c>
      <c r="CA81" s="228">
        <v>-198</v>
      </c>
      <c r="CB81" s="229">
        <v>-5.7599999999999998E-2</v>
      </c>
      <c r="CC81" s="228">
        <v>981</v>
      </c>
      <c r="CD81" s="230">
        <v>2170</v>
      </c>
      <c r="CE81" s="230">
        <v>-1189</v>
      </c>
      <c r="CF81" s="229">
        <v>-0.54800000000000004</v>
      </c>
      <c r="CG81" s="230">
        <v>2219</v>
      </c>
      <c r="CH81" s="230">
        <v>1230</v>
      </c>
      <c r="CI81" s="228">
        <v>989</v>
      </c>
      <c r="CJ81" s="229">
        <v>0.80449999999999999</v>
      </c>
      <c r="CK81" s="228">
        <v>38</v>
      </c>
      <c r="CL81" s="228">
        <v>36</v>
      </c>
      <c r="CM81" s="228">
        <v>2</v>
      </c>
      <c r="CN81" s="229">
        <v>5.3499999999999999E-2</v>
      </c>
      <c r="CO81" s="230">
        <v>1715</v>
      </c>
      <c r="CP81" s="230">
        <v>1771</v>
      </c>
      <c r="CQ81" s="228">
        <v>-56</v>
      </c>
      <c r="CR81" s="229">
        <v>-3.1800000000000002E-2</v>
      </c>
      <c r="CS81" s="228">
        <v>901</v>
      </c>
      <c r="CT81" s="228">
        <v>847</v>
      </c>
      <c r="CU81" s="228">
        <v>54</v>
      </c>
      <c r="CV81" s="229">
        <v>6.3299999999999995E-2</v>
      </c>
      <c r="CW81" s="230">
        <v>5853</v>
      </c>
      <c r="CX81" s="230">
        <v>6054</v>
      </c>
      <c r="CY81" s="228">
        <v>-201</v>
      </c>
      <c r="CZ81" s="229">
        <v>-3.3099999999999997E-2</v>
      </c>
      <c r="DA81" s="228">
        <v>21.73</v>
      </c>
      <c r="DB81" s="228">
        <v>16.66</v>
      </c>
      <c r="DC81" s="228">
        <v>5.07</v>
      </c>
      <c r="DD81" s="228">
        <v>5.07</v>
      </c>
      <c r="DE81" s="228">
        <v>21.87</v>
      </c>
      <c r="DF81" s="228">
        <v>21.88</v>
      </c>
      <c r="DG81" s="228">
        <v>-0.14000000000000001</v>
      </c>
      <c r="DH81" s="228">
        <v>-0.01</v>
      </c>
      <c r="DI81" s="228">
        <v>21.72</v>
      </c>
      <c r="DJ81" s="228">
        <v>16.87</v>
      </c>
      <c r="DK81" s="228">
        <v>4.8499999999999996</v>
      </c>
      <c r="DL81" s="228">
        <v>4.8499999999999996</v>
      </c>
      <c r="DM81" s="228">
        <v>21.74</v>
      </c>
      <c r="DN81" s="228">
        <v>16.3</v>
      </c>
      <c r="DO81" s="228">
        <v>5.44</v>
      </c>
      <c r="DP81" s="228">
        <v>5.44</v>
      </c>
      <c r="DQ81" s="228">
        <v>0.53</v>
      </c>
      <c r="DR81" s="228">
        <v>0.48</v>
      </c>
      <c r="DS81" s="228">
        <v>0.05</v>
      </c>
      <c r="DT81" s="229">
        <v>0.1042</v>
      </c>
      <c r="DU81" s="231">
        <v>2440</v>
      </c>
      <c r="DV81" s="231">
        <v>2300</v>
      </c>
      <c r="DW81" s="228">
        <v>0.5</v>
      </c>
      <c r="DX81" s="228">
        <v>0.6</v>
      </c>
      <c r="DY81" s="228">
        <v>-0.1</v>
      </c>
      <c r="DZ81" s="229">
        <v>-0.16669999999999999</v>
      </c>
      <c r="EA81" s="229">
        <v>0.69710000000000005</v>
      </c>
      <c r="EB81" s="230">
        <v>5283900</v>
      </c>
      <c r="EC81" s="229">
        <v>4.1000000000000003E-3</v>
      </c>
      <c r="ED81" s="229">
        <v>0.69710000000000005</v>
      </c>
      <c r="EE81" s="228">
        <v>9.52</v>
      </c>
      <c r="EF81" s="229">
        <v>4.0000000000000001E-3</v>
      </c>
      <c r="EG81" s="230">
        <v>1081253</v>
      </c>
      <c r="EH81" s="230">
        <v>572241</v>
      </c>
      <c r="EI81" s="229">
        <v>0.88949999999999996</v>
      </c>
      <c r="EJ81" s="229">
        <v>0.56000000000000005</v>
      </c>
      <c r="EK81" s="231">
        <v>3533.26</v>
      </c>
      <c r="EL81" s="231">
        <v>1733.23</v>
      </c>
      <c r="EM81" s="231">
        <v>3126.88</v>
      </c>
      <c r="EN81" s="228">
        <v>165.48</v>
      </c>
      <c r="EO81" s="231">
        <v>8393.3700000000008</v>
      </c>
      <c r="EP81" s="231">
        <v>8332.7900000000009</v>
      </c>
      <c r="EQ81" s="228">
        <v>60.58</v>
      </c>
      <c r="ER81" s="229">
        <v>7.3000000000000001E-3</v>
      </c>
      <c r="ES81" s="231">
        <v>1743.82</v>
      </c>
      <c r="ET81" s="228">
        <v>870.71</v>
      </c>
      <c r="EU81" s="231">
        <v>3247.24</v>
      </c>
      <c r="EV81" s="231">
        <v>91001773</v>
      </c>
      <c r="EW81" s="231">
        <v>5861.77</v>
      </c>
      <c r="EX81" s="231">
        <v>6019.82</v>
      </c>
      <c r="EY81" s="228">
        <v>-158.05000000000001</v>
      </c>
      <c r="EZ81" s="229">
        <v>-2.63E-2</v>
      </c>
      <c r="FA81" s="229">
        <v>0.26850000000000002</v>
      </c>
      <c r="FB81" s="227" t="s">
        <v>556</v>
      </c>
      <c r="FC81">
        <f t="shared" si="1"/>
        <v>2257</v>
      </c>
    </row>
    <row r="82" spans="1:159" ht="17.25" thickBot="1" x14ac:dyDescent="0.3">
      <c r="A82" s="226">
        <v>46044</v>
      </c>
      <c r="B82" s="227" t="s">
        <v>227</v>
      </c>
      <c r="C82" s="227" t="s">
        <v>668</v>
      </c>
      <c r="D82" s="228">
        <v>1225</v>
      </c>
      <c r="E82" s="228">
        <v>5</v>
      </c>
      <c r="F82" s="228">
        <v>665.9</v>
      </c>
      <c r="G82" s="228">
        <v>695.45</v>
      </c>
      <c r="H82" s="228">
        <v>-29.55</v>
      </c>
      <c r="I82" s="229">
        <v>-4.2500000000000003E-2</v>
      </c>
      <c r="J82" s="228">
        <v>668.25</v>
      </c>
      <c r="K82" s="228">
        <v>697.55</v>
      </c>
      <c r="L82" s="228">
        <v>-29.3</v>
      </c>
      <c r="M82" s="229">
        <v>-4.2000000000000003E-2</v>
      </c>
      <c r="N82" s="228">
        <v>665.9</v>
      </c>
      <c r="O82" s="228">
        <v>695.45</v>
      </c>
      <c r="P82" s="228">
        <v>-29.55</v>
      </c>
      <c r="Q82" s="229">
        <v>-4.2500000000000003E-2</v>
      </c>
      <c r="R82" s="228">
        <v>665.9</v>
      </c>
      <c r="S82" s="228">
        <v>699.4</v>
      </c>
      <c r="T82" s="228">
        <v>-33.5</v>
      </c>
      <c r="U82" s="229">
        <v>-4.7899999999999998E-2</v>
      </c>
      <c r="V82" s="228">
        <v>669.9</v>
      </c>
      <c r="W82" s="228">
        <v>704.3</v>
      </c>
      <c r="X82" s="228">
        <v>-34.4</v>
      </c>
      <c r="Y82" s="229">
        <v>-4.8800000000000003E-2</v>
      </c>
      <c r="Z82" s="228">
        <v>-2.35</v>
      </c>
      <c r="AA82" s="228">
        <v>-2.1</v>
      </c>
      <c r="AB82" s="228">
        <v>-0.25</v>
      </c>
      <c r="AC82" s="229">
        <v>-3.5000000000000001E-3</v>
      </c>
      <c r="AD82" s="228">
        <v>-2.35</v>
      </c>
      <c r="AE82" s="228">
        <v>-2.1</v>
      </c>
      <c r="AF82" s="228">
        <v>-0.25</v>
      </c>
      <c r="AG82" s="229">
        <v>-3.5000000000000001E-3</v>
      </c>
      <c r="AH82" s="228">
        <v>-2.35</v>
      </c>
      <c r="AI82" s="228">
        <v>1.85</v>
      </c>
      <c r="AJ82" s="228">
        <v>-4.2</v>
      </c>
      <c r="AK82" s="229">
        <v>-3.5000000000000001E-3</v>
      </c>
      <c r="AL82" s="228">
        <v>1.65</v>
      </c>
      <c r="AM82" s="228">
        <v>6.75</v>
      </c>
      <c r="AN82" s="228">
        <v>-5.0999999999999996</v>
      </c>
      <c r="AO82" s="229">
        <v>2.5000000000000001E-3</v>
      </c>
      <c r="AP82" s="228">
        <v>669.49</v>
      </c>
      <c r="AQ82" s="228">
        <v>671.47</v>
      </c>
      <c r="AR82" s="228">
        <v>0</v>
      </c>
      <c r="AS82" s="230">
        <v>3641</v>
      </c>
      <c r="AT82" s="230">
        <v>2574</v>
      </c>
      <c r="AU82" s="230">
        <v>1067</v>
      </c>
      <c r="AV82" s="229">
        <v>0.41449999999999998</v>
      </c>
      <c r="AW82" s="230">
        <v>2065</v>
      </c>
      <c r="AX82" s="230">
        <v>1540</v>
      </c>
      <c r="AY82" s="228">
        <v>524</v>
      </c>
      <c r="AZ82" s="229">
        <v>0.34029999999999999</v>
      </c>
      <c r="BA82" s="230">
        <v>1522</v>
      </c>
      <c r="BB82" s="228">
        <v>999</v>
      </c>
      <c r="BC82" s="228">
        <v>522</v>
      </c>
      <c r="BD82" s="229">
        <v>0.52280000000000004</v>
      </c>
      <c r="BE82" s="228">
        <v>54</v>
      </c>
      <c r="BF82" s="228">
        <v>34</v>
      </c>
      <c r="BG82" s="228">
        <v>20</v>
      </c>
      <c r="BH82" s="229">
        <v>0.59189999999999998</v>
      </c>
      <c r="BI82" s="230">
        <v>20600</v>
      </c>
      <c r="BJ82" s="230">
        <v>20012</v>
      </c>
      <c r="BK82" s="228">
        <v>588</v>
      </c>
      <c r="BL82" s="229">
        <v>2.9399999999999999E-2</v>
      </c>
      <c r="BM82" s="230">
        <v>10800</v>
      </c>
      <c r="BN82" s="230">
        <v>6615</v>
      </c>
      <c r="BO82" s="230">
        <v>4185</v>
      </c>
      <c r="BP82" s="229">
        <v>0.63270000000000004</v>
      </c>
      <c r="BQ82" s="230">
        <v>35041</v>
      </c>
      <c r="BR82" s="230">
        <v>29201</v>
      </c>
      <c r="BS82" s="230">
        <v>5840</v>
      </c>
      <c r="BT82" s="229">
        <v>0.2</v>
      </c>
      <c r="BU82" s="230">
        <v>29752893</v>
      </c>
      <c r="BV82" s="230">
        <v>30962568</v>
      </c>
      <c r="BW82" s="230">
        <v>-1209675</v>
      </c>
      <c r="BX82" s="229">
        <v>-3.9100000000000003E-2</v>
      </c>
      <c r="BY82" s="230">
        <v>2341</v>
      </c>
      <c r="BZ82" s="230">
        <v>2441</v>
      </c>
      <c r="CA82" s="228">
        <v>-100</v>
      </c>
      <c r="CB82" s="229">
        <v>-4.0899999999999999E-2</v>
      </c>
      <c r="CC82" s="228">
        <v>771</v>
      </c>
      <c r="CD82" s="230">
        <v>1294</v>
      </c>
      <c r="CE82" s="228">
        <v>-523</v>
      </c>
      <c r="CF82" s="229">
        <v>-0.40439999999999998</v>
      </c>
      <c r="CG82" s="230">
        <v>1492</v>
      </c>
      <c r="CH82" s="230">
        <v>1073</v>
      </c>
      <c r="CI82" s="228">
        <v>419</v>
      </c>
      <c r="CJ82" s="229">
        <v>0.3906</v>
      </c>
      <c r="CK82" s="228">
        <v>79</v>
      </c>
      <c r="CL82" s="228">
        <v>74</v>
      </c>
      <c r="CM82" s="228">
        <v>4</v>
      </c>
      <c r="CN82" s="229">
        <v>5.9299999999999999E-2</v>
      </c>
      <c r="CO82" s="230">
        <v>4398</v>
      </c>
      <c r="CP82" s="230">
        <v>4407</v>
      </c>
      <c r="CQ82" s="228">
        <v>-9</v>
      </c>
      <c r="CR82" s="229">
        <v>-2E-3</v>
      </c>
      <c r="CS82" s="230">
        <v>2545</v>
      </c>
      <c r="CT82" s="230">
        <v>2612</v>
      </c>
      <c r="CU82" s="228">
        <v>-67</v>
      </c>
      <c r="CV82" s="229">
        <v>-2.5600000000000001E-2</v>
      </c>
      <c r="CW82" s="230">
        <v>9284</v>
      </c>
      <c r="CX82" s="230">
        <v>9459</v>
      </c>
      <c r="CY82" s="228">
        <v>-176</v>
      </c>
      <c r="CZ82" s="229">
        <v>-1.8599999999999998E-2</v>
      </c>
      <c r="DA82" s="228">
        <v>48.9</v>
      </c>
      <c r="DB82" s="228">
        <v>46.3</v>
      </c>
      <c r="DC82" s="228">
        <v>2.6</v>
      </c>
      <c r="DD82" s="228">
        <v>2.6</v>
      </c>
      <c r="DE82" s="228">
        <v>44.6</v>
      </c>
      <c r="DF82" s="228">
        <v>44.33</v>
      </c>
      <c r="DG82" s="228">
        <v>4.3</v>
      </c>
      <c r="DH82" s="228">
        <v>0.27</v>
      </c>
      <c r="DI82" s="228">
        <v>49.4</v>
      </c>
      <c r="DJ82" s="228">
        <v>46.55</v>
      </c>
      <c r="DK82" s="228">
        <v>2.85</v>
      </c>
      <c r="DL82" s="228">
        <v>2.85</v>
      </c>
      <c r="DM82" s="228">
        <v>47.92</v>
      </c>
      <c r="DN82" s="228">
        <v>45.56</v>
      </c>
      <c r="DO82" s="228">
        <v>2.36</v>
      </c>
      <c r="DP82" s="228">
        <v>2.36</v>
      </c>
      <c r="DQ82" s="228">
        <v>0.57999999999999996</v>
      </c>
      <c r="DR82" s="228">
        <v>0.59</v>
      </c>
      <c r="DS82" s="228">
        <v>-0.01</v>
      </c>
      <c r="DT82" s="229">
        <v>-1.6899999999999998E-2</v>
      </c>
      <c r="DU82" s="228">
        <v>700</v>
      </c>
      <c r="DV82" s="228">
        <v>690</v>
      </c>
      <c r="DW82" s="228">
        <v>0.52</v>
      </c>
      <c r="DX82" s="228">
        <v>0.33</v>
      </c>
      <c r="DY82" s="228">
        <v>0.19</v>
      </c>
      <c r="DZ82" s="229">
        <v>0.57579999999999998</v>
      </c>
      <c r="EA82" s="229">
        <v>0.67079999999999995</v>
      </c>
      <c r="EB82" s="230">
        <v>17223500</v>
      </c>
      <c r="EC82" s="229">
        <v>0</v>
      </c>
      <c r="ED82" s="229">
        <v>0.67079999999999995</v>
      </c>
      <c r="EE82" s="228">
        <v>1.98</v>
      </c>
      <c r="EF82" s="229">
        <v>3.0000000000000001E-3</v>
      </c>
      <c r="EG82" s="230">
        <v>9055306</v>
      </c>
      <c r="EH82" s="230">
        <v>8782773</v>
      </c>
      <c r="EI82" s="229">
        <v>3.1E-2</v>
      </c>
      <c r="EJ82" s="229">
        <v>0.3044</v>
      </c>
      <c r="EK82" s="231">
        <v>21934.46</v>
      </c>
      <c r="EL82" s="231">
        <v>10726.18</v>
      </c>
      <c r="EM82" s="231">
        <v>3665.08</v>
      </c>
      <c r="EN82" s="228">
        <v>267</v>
      </c>
      <c r="EO82" s="231">
        <v>36325.72</v>
      </c>
      <c r="EP82" s="231">
        <v>31190.84</v>
      </c>
      <c r="EQ82" s="231">
        <v>5134.8900000000003</v>
      </c>
      <c r="ER82" s="229">
        <v>0.1646</v>
      </c>
      <c r="ES82" s="231">
        <v>4584.17</v>
      </c>
      <c r="ET82" s="231">
        <v>2388.9499999999998</v>
      </c>
      <c r="EU82" s="231">
        <v>2341.4499999999998</v>
      </c>
      <c r="EV82" s="231">
        <v>161247058</v>
      </c>
      <c r="EW82" s="231">
        <v>9314.56</v>
      </c>
      <c r="EX82" s="231">
        <v>9642.7099999999991</v>
      </c>
      <c r="EY82" s="228">
        <v>-328.15</v>
      </c>
      <c r="EZ82" s="229">
        <v>-3.4000000000000002E-2</v>
      </c>
      <c r="FA82" s="229">
        <v>0.86460000000000004</v>
      </c>
      <c r="FB82" s="227" t="s">
        <v>568</v>
      </c>
      <c r="FC82">
        <f t="shared" si="1"/>
        <v>1570</v>
      </c>
    </row>
    <row r="83" spans="1:159" ht="17.25" thickBot="1" x14ac:dyDescent="0.3">
      <c r="A83" s="226">
        <v>46044</v>
      </c>
      <c r="B83" s="227" t="s">
        <v>206</v>
      </c>
      <c r="C83" s="227" t="s">
        <v>608</v>
      </c>
      <c r="D83" s="228">
        <v>2775</v>
      </c>
      <c r="E83" s="228">
        <v>5</v>
      </c>
      <c r="F83" s="228">
        <v>206.98</v>
      </c>
      <c r="G83" s="228">
        <v>203.36</v>
      </c>
      <c r="H83" s="228">
        <v>3.62</v>
      </c>
      <c r="I83" s="229">
        <v>1.78E-2</v>
      </c>
      <c r="J83" s="228">
        <v>207.11</v>
      </c>
      <c r="K83" s="228">
        <v>203.14</v>
      </c>
      <c r="L83" s="228">
        <v>3.97</v>
      </c>
      <c r="M83" s="229">
        <v>1.95E-2</v>
      </c>
      <c r="N83" s="228">
        <v>206.98</v>
      </c>
      <c r="O83" s="228">
        <v>203.36</v>
      </c>
      <c r="P83" s="228">
        <v>3.62</v>
      </c>
      <c r="Q83" s="229">
        <v>1.78E-2</v>
      </c>
      <c r="R83" s="228">
        <v>207.62</v>
      </c>
      <c r="S83" s="228">
        <v>203.94</v>
      </c>
      <c r="T83" s="228">
        <v>3.68</v>
      </c>
      <c r="U83" s="229">
        <v>1.7999999999999999E-2</v>
      </c>
      <c r="V83" s="228">
        <v>207.94</v>
      </c>
      <c r="W83" s="228">
        <v>204.85</v>
      </c>
      <c r="X83" s="228">
        <v>3.09</v>
      </c>
      <c r="Y83" s="229">
        <v>1.5100000000000001E-2</v>
      </c>
      <c r="Z83" s="228">
        <v>-0.13</v>
      </c>
      <c r="AA83" s="228">
        <v>0.22</v>
      </c>
      <c r="AB83" s="228">
        <v>-0.35</v>
      </c>
      <c r="AC83" s="229">
        <v>-5.9999999999999995E-4</v>
      </c>
      <c r="AD83" s="228">
        <v>-0.13</v>
      </c>
      <c r="AE83" s="228">
        <v>0.22</v>
      </c>
      <c r="AF83" s="228">
        <v>-0.35</v>
      </c>
      <c r="AG83" s="229">
        <v>-5.9999999999999995E-4</v>
      </c>
      <c r="AH83" s="228">
        <v>0.51</v>
      </c>
      <c r="AI83" s="228">
        <v>0.8</v>
      </c>
      <c r="AJ83" s="228">
        <v>-0.28999999999999998</v>
      </c>
      <c r="AK83" s="229">
        <v>2.5000000000000001E-3</v>
      </c>
      <c r="AL83" s="228">
        <v>0.83</v>
      </c>
      <c r="AM83" s="228">
        <v>1.71</v>
      </c>
      <c r="AN83" s="228">
        <v>-0.88</v>
      </c>
      <c r="AO83" s="229">
        <v>4.0000000000000001E-3</v>
      </c>
      <c r="AP83" s="228">
        <v>206.84</v>
      </c>
      <c r="AQ83" s="228">
        <v>207.31</v>
      </c>
      <c r="AR83" s="228">
        <v>0</v>
      </c>
      <c r="AS83" s="228">
        <v>591</v>
      </c>
      <c r="AT83" s="228">
        <v>399</v>
      </c>
      <c r="AU83" s="228">
        <v>192</v>
      </c>
      <c r="AV83" s="229">
        <v>0.48159999999999997</v>
      </c>
      <c r="AW83" s="228">
        <v>288</v>
      </c>
      <c r="AX83" s="228">
        <v>236</v>
      </c>
      <c r="AY83" s="228">
        <v>53</v>
      </c>
      <c r="AZ83" s="229">
        <v>0.22289999999999999</v>
      </c>
      <c r="BA83" s="228">
        <v>295</v>
      </c>
      <c r="BB83" s="228">
        <v>159</v>
      </c>
      <c r="BC83" s="228">
        <v>136</v>
      </c>
      <c r="BD83" s="229">
        <v>0.85729999999999995</v>
      </c>
      <c r="BE83" s="228">
        <v>8</v>
      </c>
      <c r="BF83" s="228">
        <v>5</v>
      </c>
      <c r="BG83" s="228">
        <v>4</v>
      </c>
      <c r="BH83" s="229">
        <v>0.79749999999999999</v>
      </c>
      <c r="BI83" s="228">
        <v>635</v>
      </c>
      <c r="BJ83" s="228">
        <v>646</v>
      </c>
      <c r="BK83" s="228">
        <v>-11</v>
      </c>
      <c r="BL83" s="229">
        <v>-1.6899999999999998E-2</v>
      </c>
      <c r="BM83" s="228">
        <v>301</v>
      </c>
      <c r="BN83" s="228">
        <v>462</v>
      </c>
      <c r="BO83" s="228">
        <v>-162</v>
      </c>
      <c r="BP83" s="229">
        <v>-0.35</v>
      </c>
      <c r="BQ83" s="230">
        <v>1527</v>
      </c>
      <c r="BR83" s="230">
        <v>1508</v>
      </c>
      <c r="BS83" s="228">
        <v>19</v>
      </c>
      <c r="BT83" s="229">
        <v>1.2800000000000001E-2</v>
      </c>
      <c r="BU83" s="230">
        <v>3053577</v>
      </c>
      <c r="BV83" s="230">
        <v>4491945</v>
      </c>
      <c r="BW83" s="230">
        <v>-1438368</v>
      </c>
      <c r="BX83" s="229">
        <v>-0.32019999999999998</v>
      </c>
      <c r="BY83" s="228">
        <v>864</v>
      </c>
      <c r="BZ83" s="228">
        <v>866</v>
      </c>
      <c r="CA83" s="228">
        <v>-3</v>
      </c>
      <c r="CB83" s="229">
        <v>-2.8999999999999998E-3</v>
      </c>
      <c r="CC83" s="228">
        <v>526</v>
      </c>
      <c r="CD83" s="228">
        <v>678</v>
      </c>
      <c r="CE83" s="228">
        <v>-152</v>
      </c>
      <c r="CF83" s="229">
        <v>-0.22439999999999999</v>
      </c>
      <c r="CG83" s="228">
        <v>324</v>
      </c>
      <c r="CH83" s="228">
        <v>178</v>
      </c>
      <c r="CI83" s="228">
        <v>146</v>
      </c>
      <c r="CJ83" s="229">
        <v>0.82279999999999998</v>
      </c>
      <c r="CK83" s="228">
        <v>14</v>
      </c>
      <c r="CL83" s="228">
        <v>10</v>
      </c>
      <c r="CM83" s="228">
        <v>4</v>
      </c>
      <c r="CN83" s="229">
        <v>0.3352</v>
      </c>
      <c r="CO83" s="228">
        <v>572</v>
      </c>
      <c r="CP83" s="228">
        <v>602</v>
      </c>
      <c r="CQ83" s="228">
        <v>-31</v>
      </c>
      <c r="CR83" s="229">
        <v>-5.11E-2</v>
      </c>
      <c r="CS83" s="228">
        <v>344</v>
      </c>
      <c r="CT83" s="228">
        <v>348</v>
      </c>
      <c r="CU83" s="228">
        <v>-4</v>
      </c>
      <c r="CV83" s="229">
        <v>-1.09E-2</v>
      </c>
      <c r="CW83" s="230">
        <v>1779</v>
      </c>
      <c r="CX83" s="230">
        <v>1816</v>
      </c>
      <c r="CY83" s="228">
        <v>-37</v>
      </c>
      <c r="CZ83" s="229">
        <v>-2.0400000000000001E-2</v>
      </c>
      <c r="DA83" s="228">
        <v>38.96</v>
      </c>
      <c r="DB83" s="228">
        <v>39.1</v>
      </c>
      <c r="DC83" s="228">
        <v>-0.14000000000000001</v>
      </c>
      <c r="DD83" s="228">
        <v>-0.14000000000000001</v>
      </c>
      <c r="DE83" s="228">
        <v>49.67</v>
      </c>
      <c r="DF83" s="228">
        <v>49.74</v>
      </c>
      <c r="DG83" s="228">
        <v>-10.71</v>
      </c>
      <c r="DH83" s="228">
        <v>-7.0000000000000007E-2</v>
      </c>
      <c r="DI83" s="228">
        <v>39.369999999999997</v>
      </c>
      <c r="DJ83" s="228">
        <v>40.76</v>
      </c>
      <c r="DK83" s="228">
        <v>-1.39</v>
      </c>
      <c r="DL83" s="228">
        <v>-1.39</v>
      </c>
      <c r="DM83" s="228">
        <v>38.35</v>
      </c>
      <c r="DN83" s="228">
        <v>36.78</v>
      </c>
      <c r="DO83" s="228">
        <v>1.57</v>
      </c>
      <c r="DP83" s="228">
        <v>1.57</v>
      </c>
      <c r="DQ83" s="228">
        <v>0.6</v>
      </c>
      <c r="DR83" s="228">
        <v>0.57999999999999996</v>
      </c>
      <c r="DS83" s="228">
        <v>0.02</v>
      </c>
      <c r="DT83" s="229">
        <v>3.4500000000000003E-2</v>
      </c>
      <c r="DU83" s="228">
        <v>230</v>
      </c>
      <c r="DV83" s="228">
        <v>200</v>
      </c>
      <c r="DW83" s="228">
        <v>0.47</v>
      </c>
      <c r="DX83" s="228">
        <v>0.72</v>
      </c>
      <c r="DY83" s="228">
        <v>-0.25</v>
      </c>
      <c r="DZ83" s="229">
        <v>-0.34720000000000001</v>
      </c>
      <c r="EA83" s="229">
        <v>0.39100000000000001</v>
      </c>
      <c r="EB83" s="230">
        <v>9085350</v>
      </c>
      <c r="EC83" s="229">
        <v>3.0999999999999999E-3</v>
      </c>
      <c r="ED83" s="229">
        <v>0.39100000000000001</v>
      </c>
      <c r="EE83" s="228">
        <v>0.47</v>
      </c>
      <c r="EF83" s="229">
        <v>2.3E-3</v>
      </c>
      <c r="EG83" s="230">
        <v>826461</v>
      </c>
      <c r="EH83" s="230">
        <v>1113209</v>
      </c>
      <c r="EI83" s="229">
        <v>-0.2576</v>
      </c>
      <c r="EJ83" s="229">
        <v>0.2707</v>
      </c>
      <c r="EK83" s="228">
        <v>677.53</v>
      </c>
      <c r="EL83" s="228">
        <v>304.55</v>
      </c>
      <c r="EM83" s="228">
        <v>591.34</v>
      </c>
      <c r="EN83" s="228">
        <v>38.75</v>
      </c>
      <c r="EO83" s="231">
        <v>1573.41</v>
      </c>
      <c r="EP83" s="231">
        <v>1539.87</v>
      </c>
      <c r="EQ83" s="228">
        <v>33.54</v>
      </c>
      <c r="ER83" s="229">
        <v>2.18E-2</v>
      </c>
      <c r="ES83" s="228">
        <v>629.49</v>
      </c>
      <c r="ET83" s="228">
        <v>351.31</v>
      </c>
      <c r="EU83" s="228">
        <v>864.63</v>
      </c>
      <c r="EV83" s="231">
        <v>75071250</v>
      </c>
      <c r="EW83" s="231">
        <v>1845.42</v>
      </c>
      <c r="EX83" s="231">
        <v>1871.91</v>
      </c>
      <c r="EY83" s="228">
        <v>-26.49</v>
      </c>
      <c r="EZ83" s="229">
        <v>-1.4200000000000001E-2</v>
      </c>
      <c r="FA83" s="229">
        <v>1.145</v>
      </c>
      <c r="FB83" s="227" t="s">
        <v>556</v>
      </c>
      <c r="FC83">
        <f t="shared" si="1"/>
        <v>338</v>
      </c>
    </row>
    <row r="84" spans="1:159" ht="17.25" thickBot="1" x14ac:dyDescent="0.3">
      <c r="A84" s="226">
        <v>46044</v>
      </c>
      <c r="B84" s="227" t="s">
        <v>172</v>
      </c>
      <c r="C84" s="227" t="s">
        <v>232</v>
      </c>
      <c r="D84" s="228">
        <v>700</v>
      </c>
      <c r="E84" s="228">
        <v>5</v>
      </c>
      <c r="F84" s="231">
        <v>1348.6</v>
      </c>
      <c r="G84" s="231">
        <v>1347.2</v>
      </c>
      <c r="H84" s="228">
        <v>1.4</v>
      </c>
      <c r="I84" s="229">
        <v>1E-3</v>
      </c>
      <c r="J84" s="231">
        <v>1345.5</v>
      </c>
      <c r="K84" s="231">
        <v>1349</v>
      </c>
      <c r="L84" s="228">
        <v>-3.5</v>
      </c>
      <c r="M84" s="229">
        <v>-2.5999999999999999E-3</v>
      </c>
      <c r="N84" s="231">
        <v>1348.6</v>
      </c>
      <c r="O84" s="231">
        <v>1347.2</v>
      </c>
      <c r="P84" s="228">
        <v>1.4</v>
      </c>
      <c r="Q84" s="229">
        <v>1E-3</v>
      </c>
      <c r="R84" s="231">
        <v>1355.6</v>
      </c>
      <c r="S84" s="231">
        <v>1354.3</v>
      </c>
      <c r="T84" s="228">
        <v>1.3</v>
      </c>
      <c r="U84" s="229">
        <v>1E-3</v>
      </c>
      <c r="V84" s="231">
        <v>1365.5</v>
      </c>
      <c r="W84" s="231">
        <v>1362.4</v>
      </c>
      <c r="X84" s="228">
        <v>3.1</v>
      </c>
      <c r="Y84" s="229">
        <v>2.3E-3</v>
      </c>
      <c r="Z84" s="228">
        <v>3.1</v>
      </c>
      <c r="AA84" s="228">
        <v>-1.8</v>
      </c>
      <c r="AB84" s="228">
        <v>4.9000000000000004</v>
      </c>
      <c r="AC84" s="229">
        <v>2.3E-3</v>
      </c>
      <c r="AD84" s="228">
        <v>3.1</v>
      </c>
      <c r="AE84" s="228">
        <v>-1.8</v>
      </c>
      <c r="AF84" s="228">
        <v>4.9000000000000004</v>
      </c>
      <c r="AG84" s="229">
        <v>2.3E-3</v>
      </c>
      <c r="AH84" s="228">
        <v>10.1</v>
      </c>
      <c r="AI84" s="228">
        <v>5.3</v>
      </c>
      <c r="AJ84" s="228">
        <v>4.8</v>
      </c>
      <c r="AK84" s="229">
        <v>7.4999999999999997E-3</v>
      </c>
      <c r="AL84" s="228">
        <v>20</v>
      </c>
      <c r="AM84" s="228">
        <v>13.4</v>
      </c>
      <c r="AN84" s="228">
        <v>6.6</v>
      </c>
      <c r="AO84" s="229">
        <v>1.49E-2</v>
      </c>
      <c r="AP84" s="231">
        <v>1347.17</v>
      </c>
      <c r="AQ84" s="231">
        <v>1354.11</v>
      </c>
      <c r="AR84" s="228">
        <v>0</v>
      </c>
      <c r="AS84" s="230">
        <v>8710</v>
      </c>
      <c r="AT84" s="230">
        <v>8629</v>
      </c>
      <c r="AU84" s="228">
        <v>81</v>
      </c>
      <c r="AV84" s="229">
        <v>9.4000000000000004E-3</v>
      </c>
      <c r="AW84" s="230">
        <v>4471</v>
      </c>
      <c r="AX84" s="230">
        <v>4965</v>
      </c>
      <c r="AY84" s="228">
        <v>-495</v>
      </c>
      <c r="AZ84" s="229">
        <v>-9.9599999999999994E-2</v>
      </c>
      <c r="BA84" s="230">
        <v>4216</v>
      </c>
      <c r="BB84" s="230">
        <v>3601</v>
      </c>
      <c r="BC84" s="228">
        <v>614</v>
      </c>
      <c r="BD84" s="229">
        <v>0.1706</v>
      </c>
      <c r="BE84" s="228">
        <v>24</v>
      </c>
      <c r="BF84" s="228">
        <v>63</v>
      </c>
      <c r="BG84" s="228">
        <v>-39</v>
      </c>
      <c r="BH84" s="229">
        <v>-0.61539999999999995</v>
      </c>
      <c r="BI84" s="230">
        <v>10582</v>
      </c>
      <c r="BJ84" s="230">
        <v>18679</v>
      </c>
      <c r="BK84" s="230">
        <v>-8097</v>
      </c>
      <c r="BL84" s="229">
        <v>-0.4335</v>
      </c>
      <c r="BM84" s="230">
        <v>8173</v>
      </c>
      <c r="BN84" s="230">
        <v>14126</v>
      </c>
      <c r="BO84" s="230">
        <v>-5953</v>
      </c>
      <c r="BP84" s="229">
        <v>-0.4214</v>
      </c>
      <c r="BQ84" s="230">
        <v>27465</v>
      </c>
      <c r="BR84" s="230">
        <v>41433</v>
      </c>
      <c r="BS84" s="230">
        <v>-13968</v>
      </c>
      <c r="BT84" s="229">
        <v>-0.33710000000000001</v>
      </c>
      <c r="BU84" s="230">
        <v>17630577</v>
      </c>
      <c r="BV84" s="230">
        <v>22081180</v>
      </c>
      <c r="BW84" s="230">
        <v>-4450603</v>
      </c>
      <c r="BX84" s="229">
        <v>-0.2016</v>
      </c>
      <c r="BY84" s="230">
        <v>17993</v>
      </c>
      <c r="BZ84" s="230">
        <v>17914</v>
      </c>
      <c r="CA84" s="228">
        <v>79</v>
      </c>
      <c r="CB84" s="229">
        <v>4.4000000000000003E-3</v>
      </c>
      <c r="CC84" s="230">
        <v>7141</v>
      </c>
      <c r="CD84" s="230">
        <v>10364</v>
      </c>
      <c r="CE84" s="230">
        <v>-3223</v>
      </c>
      <c r="CF84" s="229">
        <v>-0.311</v>
      </c>
      <c r="CG84" s="230">
        <v>9358</v>
      </c>
      <c r="CH84" s="230">
        <v>6069</v>
      </c>
      <c r="CI84" s="230">
        <v>3289</v>
      </c>
      <c r="CJ84" s="229">
        <v>0.54200000000000004</v>
      </c>
      <c r="CK84" s="230">
        <v>1494</v>
      </c>
      <c r="CL84" s="230">
        <v>1481</v>
      </c>
      <c r="CM84" s="228">
        <v>13</v>
      </c>
      <c r="CN84" s="229">
        <v>8.8000000000000005E-3</v>
      </c>
      <c r="CO84" s="230">
        <v>6998</v>
      </c>
      <c r="CP84" s="230">
        <v>7149</v>
      </c>
      <c r="CQ84" s="228">
        <v>-150</v>
      </c>
      <c r="CR84" s="229">
        <v>-2.1000000000000001E-2</v>
      </c>
      <c r="CS84" s="230">
        <v>3293</v>
      </c>
      <c r="CT84" s="230">
        <v>3405</v>
      </c>
      <c r="CU84" s="228">
        <v>-113</v>
      </c>
      <c r="CV84" s="229">
        <v>-3.3099999999999997E-2</v>
      </c>
      <c r="CW84" s="230">
        <v>28284</v>
      </c>
      <c r="CX84" s="230">
        <v>28469</v>
      </c>
      <c r="CY84" s="228">
        <v>-184</v>
      </c>
      <c r="CZ84" s="229">
        <v>-6.4999999999999997E-3</v>
      </c>
      <c r="DA84" s="228">
        <v>16.93</v>
      </c>
      <c r="DB84" s="228">
        <v>17.010000000000002</v>
      </c>
      <c r="DC84" s="228">
        <v>-0.08</v>
      </c>
      <c r="DD84" s="228">
        <v>-0.08</v>
      </c>
      <c r="DE84" s="228">
        <v>20.78</v>
      </c>
      <c r="DF84" s="228">
        <v>20.83</v>
      </c>
      <c r="DG84" s="228">
        <v>-3.85</v>
      </c>
      <c r="DH84" s="228">
        <v>-0.05</v>
      </c>
      <c r="DI84" s="228">
        <v>16.809999999999999</v>
      </c>
      <c r="DJ84" s="228">
        <v>17.96</v>
      </c>
      <c r="DK84" s="228">
        <v>-1.1499999999999999</v>
      </c>
      <c r="DL84" s="228">
        <v>-1.1499999999999999</v>
      </c>
      <c r="DM84" s="228">
        <v>17.16</v>
      </c>
      <c r="DN84" s="228">
        <v>15.75</v>
      </c>
      <c r="DO84" s="228">
        <v>1.41</v>
      </c>
      <c r="DP84" s="228">
        <v>1.41</v>
      </c>
      <c r="DQ84" s="228">
        <v>0.47</v>
      </c>
      <c r="DR84" s="228">
        <v>0.48</v>
      </c>
      <c r="DS84" s="228">
        <v>-0.01</v>
      </c>
      <c r="DT84" s="229">
        <v>-2.0799999999999999E-2</v>
      </c>
      <c r="DU84" s="231">
        <v>1450</v>
      </c>
      <c r="DV84" s="231">
        <v>1400</v>
      </c>
      <c r="DW84" s="228">
        <v>0.77</v>
      </c>
      <c r="DX84" s="228">
        <v>0.76</v>
      </c>
      <c r="DY84" s="228">
        <v>0.01</v>
      </c>
      <c r="DZ84" s="229">
        <v>1.32E-2</v>
      </c>
      <c r="EA84" s="229">
        <v>0.60309999999999997</v>
      </c>
      <c r="EB84" s="230">
        <v>55986700</v>
      </c>
      <c r="EC84" s="229">
        <v>5.1999999999999998E-3</v>
      </c>
      <c r="ED84" s="229">
        <v>0.60309999999999997</v>
      </c>
      <c r="EE84" s="228">
        <v>6.94</v>
      </c>
      <c r="EF84" s="229">
        <v>5.1999999999999998E-3</v>
      </c>
      <c r="EG84" s="230">
        <v>9837356</v>
      </c>
      <c r="EH84" s="230">
        <v>12609514</v>
      </c>
      <c r="EI84" s="229">
        <v>-0.2198</v>
      </c>
      <c r="EJ84" s="229">
        <v>0.55800000000000005</v>
      </c>
      <c r="EK84" s="231">
        <v>10865.48</v>
      </c>
      <c r="EL84" s="231">
        <v>8132.62</v>
      </c>
      <c r="EM84" s="231">
        <v>8722.93</v>
      </c>
      <c r="EN84" s="228">
        <v>681.36</v>
      </c>
      <c r="EO84" s="231">
        <v>27721.02</v>
      </c>
      <c r="EP84" s="231">
        <v>42062.85</v>
      </c>
      <c r="EQ84" s="231">
        <v>-14341.83</v>
      </c>
      <c r="ER84" s="229">
        <v>-0.34100000000000003</v>
      </c>
      <c r="ES84" s="231">
        <v>7370.78</v>
      </c>
      <c r="ET84" s="231">
        <v>3335.57</v>
      </c>
      <c r="EU84" s="231">
        <v>18060.61</v>
      </c>
      <c r="EV84" s="231">
        <v>580601807</v>
      </c>
      <c r="EW84" s="231">
        <v>28766.95</v>
      </c>
      <c r="EX84" s="231">
        <v>28935.35</v>
      </c>
      <c r="EY84" s="228">
        <v>-168.4</v>
      </c>
      <c r="EZ84" s="229">
        <v>-5.7999999999999996E-3</v>
      </c>
      <c r="FA84" s="229">
        <v>0.36120000000000002</v>
      </c>
      <c r="FB84" s="227" t="s">
        <v>555</v>
      </c>
      <c r="FC84">
        <f t="shared" si="1"/>
        <v>10852</v>
      </c>
    </row>
    <row r="85" spans="1:159" ht="17.25" thickBot="1" x14ac:dyDescent="0.3">
      <c r="A85" s="226">
        <v>46044</v>
      </c>
      <c r="B85" s="227" t="s">
        <v>175</v>
      </c>
      <c r="C85" s="227" t="s">
        <v>472</v>
      </c>
      <c r="D85" s="228">
        <v>325</v>
      </c>
      <c r="E85" s="228">
        <v>5</v>
      </c>
      <c r="F85" s="231">
        <v>1831.2</v>
      </c>
      <c r="G85" s="231">
        <v>1840.7</v>
      </c>
      <c r="H85" s="228">
        <v>-9.5</v>
      </c>
      <c r="I85" s="229">
        <v>-5.1999999999999998E-3</v>
      </c>
      <c r="J85" s="231">
        <v>1824.7</v>
      </c>
      <c r="K85" s="231">
        <v>1834.6</v>
      </c>
      <c r="L85" s="228">
        <v>-9.9</v>
      </c>
      <c r="M85" s="229">
        <v>-5.4000000000000003E-3</v>
      </c>
      <c r="N85" s="231">
        <v>1831.2</v>
      </c>
      <c r="O85" s="231">
        <v>1840.7</v>
      </c>
      <c r="P85" s="228">
        <v>-9.5</v>
      </c>
      <c r="Q85" s="229">
        <v>-5.1999999999999998E-3</v>
      </c>
      <c r="R85" s="231">
        <v>1829.6</v>
      </c>
      <c r="S85" s="231">
        <v>1839</v>
      </c>
      <c r="T85" s="228">
        <v>-9.4</v>
      </c>
      <c r="U85" s="229">
        <v>-5.1000000000000004E-3</v>
      </c>
      <c r="V85" s="231">
        <v>1836.3</v>
      </c>
      <c r="W85" s="231">
        <v>1840</v>
      </c>
      <c r="X85" s="228">
        <v>-3.7</v>
      </c>
      <c r="Y85" s="229">
        <v>-2E-3</v>
      </c>
      <c r="Z85" s="228">
        <v>6.5</v>
      </c>
      <c r="AA85" s="228">
        <v>6.1</v>
      </c>
      <c r="AB85" s="228">
        <v>0.4</v>
      </c>
      <c r="AC85" s="229">
        <v>3.5999999999999999E-3</v>
      </c>
      <c r="AD85" s="228">
        <v>6.5</v>
      </c>
      <c r="AE85" s="228">
        <v>6.1</v>
      </c>
      <c r="AF85" s="228">
        <v>0.4</v>
      </c>
      <c r="AG85" s="229">
        <v>3.5999999999999999E-3</v>
      </c>
      <c r="AH85" s="228">
        <v>4.9000000000000004</v>
      </c>
      <c r="AI85" s="228">
        <v>4.4000000000000004</v>
      </c>
      <c r="AJ85" s="228">
        <v>0.5</v>
      </c>
      <c r="AK85" s="229">
        <v>2.7000000000000001E-3</v>
      </c>
      <c r="AL85" s="228">
        <v>11.6</v>
      </c>
      <c r="AM85" s="228">
        <v>5.4</v>
      </c>
      <c r="AN85" s="228">
        <v>6.2</v>
      </c>
      <c r="AO85" s="229">
        <v>6.4000000000000003E-3</v>
      </c>
      <c r="AP85" s="231">
        <v>1830.24</v>
      </c>
      <c r="AQ85" s="231">
        <v>1830.49</v>
      </c>
      <c r="AR85" s="228">
        <v>0</v>
      </c>
      <c r="AS85" s="228">
        <v>862</v>
      </c>
      <c r="AT85" s="228">
        <v>755</v>
      </c>
      <c r="AU85" s="228">
        <v>107</v>
      </c>
      <c r="AV85" s="229">
        <v>0.1416</v>
      </c>
      <c r="AW85" s="228">
        <v>445</v>
      </c>
      <c r="AX85" s="228">
        <v>424</v>
      </c>
      <c r="AY85" s="228">
        <v>22</v>
      </c>
      <c r="AZ85" s="229">
        <v>5.11E-2</v>
      </c>
      <c r="BA85" s="228">
        <v>416</v>
      </c>
      <c r="BB85" s="228">
        <v>330</v>
      </c>
      <c r="BC85" s="228">
        <v>86</v>
      </c>
      <c r="BD85" s="229">
        <v>0.25969999999999999</v>
      </c>
      <c r="BE85" s="228">
        <v>1</v>
      </c>
      <c r="BF85" s="228">
        <v>1</v>
      </c>
      <c r="BG85" s="228">
        <v>0</v>
      </c>
      <c r="BH85" s="229">
        <v>-0.33329999999999999</v>
      </c>
      <c r="BI85" s="228">
        <v>241</v>
      </c>
      <c r="BJ85" s="228">
        <v>442</v>
      </c>
      <c r="BK85" s="228">
        <v>-202</v>
      </c>
      <c r="BL85" s="229">
        <v>-0.45610000000000001</v>
      </c>
      <c r="BM85" s="228">
        <v>138</v>
      </c>
      <c r="BN85" s="228">
        <v>248</v>
      </c>
      <c r="BO85" s="228">
        <v>-110</v>
      </c>
      <c r="BP85" s="229">
        <v>-0.44230000000000003</v>
      </c>
      <c r="BQ85" s="230">
        <v>1241</v>
      </c>
      <c r="BR85" s="230">
        <v>1445</v>
      </c>
      <c r="BS85" s="228">
        <v>-204</v>
      </c>
      <c r="BT85" s="229">
        <v>-0.1414</v>
      </c>
      <c r="BU85" s="230">
        <v>718230</v>
      </c>
      <c r="BV85" s="230">
        <v>1789883</v>
      </c>
      <c r="BW85" s="230">
        <v>-1071653</v>
      </c>
      <c r="BX85" s="229">
        <v>-0.59870000000000001</v>
      </c>
      <c r="BY85" s="230">
        <v>1179</v>
      </c>
      <c r="BZ85" s="230">
        <v>1238</v>
      </c>
      <c r="CA85" s="228">
        <v>-59</v>
      </c>
      <c r="CB85" s="229">
        <v>-4.7399999999999998E-2</v>
      </c>
      <c r="CC85" s="228">
        <v>509</v>
      </c>
      <c r="CD85" s="228">
        <v>793</v>
      </c>
      <c r="CE85" s="228">
        <v>-284</v>
      </c>
      <c r="CF85" s="229">
        <v>-0.3579</v>
      </c>
      <c r="CG85" s="228">
        <v>664</v>
      </c>
      <c r="CH85" s="228">
        <v>439</v>
      </c>
      <c r="CI85" s="228">
        <v>225</v>
      </c>
      <c r="CJ85" s="229">
        <v>0.51160000000000005</v>
      </c>
      <c r="CK85" s="228">
        <v>6</v>
      </c>
      <c r="CL85" s="228">
        <v>5</v>
      </c>
      <c r="CM85" s="228">
        <v>0</v>
      </c>
      <c r="CN85" s="229">
        <v>7.7799999999999994E-2</v>
      </c>
      <c r="CO85" s="228">
        <v>256</v>
      </c>
      <c r="CP85" s="228">
        <v>271</v>
      </c>
      <c r="CQ85" s="228">
        <v>-15</v>
      </c>
      <c r="CR85" s="229">
        <v>-5.5199999999999999E-2</v>
      </c>
      <c r="CS85" s="228">
        <v>159</v>
      </c>
      <c r="CT85" s="228">
        <v>169</v>
      </c>
      <c r="CU85" s="228">
        <v>-10</v>
      </c>
      <c r="CV85" s="229">
        <v>-5.7200000000000001E-2</v>
      </c>
      <c r="CW85" s="230">
        <v>1594</v>
      </c>
      <c r="CX85" s="230">
        <v>1677</v>
      </c>
      <c r="CY85" s="228">
        <v>-83</v>
      </c>
      <c r="CZ85" s="229">
        <v>-4.9700000000000001E-2</v>
      </c>
      <c r="DA85" s="228">
        <v>23.07</v>
      </c>
      <c r="DB85" s="228">
        <v>24.23</v>
      </c>
      <c r="DC85" s="228">
        <v>-1.1599999999999999</v>
      </c>
      <c r="DD85" s="228">
        <v>-1.1599999999999999</v>
      </c>
      <c r="DE85" s="228">
        <v>27.55</v>
      </c>
      <c r="DF85" s="228">
        <v>27.61</v>
      </c>
      <c r="DG85" s="228">
        <v>-4.4800000000000004</v>
      </c>
      <c r="DH85" s="228">
        <v>-0.06</v>
      </c>
      <c r="DI85" s="228">
        <v>23.69</v>
      </c>
      <c r="DJ85" s="228">
        <v>25.38</v>
      </c>
      <c r="DK85" s="228">
        <v>-1.69</v>
      </c>
      <c r="DL85" s="228">
        <v>-1.69</v>
      </c>
      <c r="DM85" s="228">
        <v>22.46</v>
      </c>
      <c r="DN85" s="228">
        <v>22.17</v>
      </c>
      <c r="DO85" s="228">
        <v>0.28999999999999998</v>
      </c>
      <c r="DP85" s="228">
        <v>0.28999999999999998</v>
      </c>
      <c r="DQ85" s="228">
        <v>0.62</v>
      </c>
      <c r="DR85" s="228">
        <v>0.62</v>
      </c>
      <c r="DS85" s="228">
        <v>0</v>
      </c>
      <c r="DT85" s="229">
        <v>0</v>
      </c>
      <c r="DU85" s="231">
        <v>2000</v>
      </c>
      <c r="DV85" s="231">
        <v>1800</v>
      </c>
      <c r="DW85" s="228">
        <v>0.56999999999999995</v>
      </c>
      <c r="DX85" s="228">
        <v>0.56000000000000005</v>
      </c>
      <c r="DY85" s="228">
        <v>0.01</v>
      </c>
      <c r="DZ85" s="229">
        <v>1.7899999999999999E-2</v>
      </c>
      <c r="EA85" s="229">
        <v>0.56810000000000005</v>
      </c>
      <c r="EB85" s="230">
        <v>2428400</v>
      </c>
      <c r="EC85" s="229">
        <v>-8.9999999999999998E-4</v>
      </c>
      <c r="ED85" s="229">
        <v>0.56810000000000005</v>
      </c>
      <c r="EE85" s="228">
        <v>0.25</v>
      </c>
      <c r="EF85" s="229">
        <v>1E-4</v>
      </c>
      <c r="EG85" s="230">
        <v>469748</v>
      </c>
      <c r="EH85" s="230">
        <v>1144624</v>
      </c>
      <c r="EI85" s="229">
        <v>-0.58960000000000001</v>
      </c>
      <c r="EJ85" s="229">
        <v>0.65400000000000003</v>
      </c>
      <c r="EK85" s="228">
        <v>254.22</v>
      </c>
      <c r="EL85" s="228">
        <v>139.22999999999999</v>
      </c>
      <c r="EM85" s="228">
        <v>861.85</v>
      </c>
      <c r="EN85" s="228">
        <v>76.930000000000007</v>
      </c>
      <c r="EO85" s="231">
        <v>1255.3</v>
      </c>
      <c r="EP85" s="231">
        <v>1472.29</v>
      </c>
      <c r="EQ85" s="228">
        <v>-216.99</v>
      </c>
      <c r="ER85" s="229">
        <v>-0.1474</v>
      </c>
      <c r="ES85" s="228">
        <v>276.07</v>
      </c>
      <c r="ET85" s="228">
        <v>160.79</v>
      </c>
      <c r="EU85" s="231">
        <v>1178.6500000000001</v>
      </c>
      <c r="EV85" s="231">
        <v>28747897</v>
      </c>
      <c r="EW85" s="231">
        <v>1615.51</v>
      </c>
      <c r="EX85" s="231">
        <v>1707.32</v>
      </c>
      <c r="EY85" s="228">
        <v>-91.81</v>
      </c>
      <c r="EZ85" s="229">
        <v>-5.3800000000000001E-2</v>
      </c>
      <c r="FA85" s="229">
        <v>0.30280000000000001</v>
      </c>
      <c r="FB85" s="227" t="s">
        <v>568</v>
      </c>
      <c r="FC85">
        <f t="shared" si="1"/>
        <v>670</v>
      </c>
    </row>
    <row r="86" spans="1:159" ht="17.25" thickBot="1" x14ac:dyDescent="0.3">
      <c r="A86" s="226">
        <v>46044</v>
      </c>
      <c r="B86" s="227" t="s">
        <v>175</v>
      </c>
      <c r="C86" s="227" t="s">
        <v>233</v>
      </c>
      <c r="D86" s="228">
        <v>925</v>
      </c>
      <c r="E86" s="228">
        <v>5</v>
      </c>
      <c r="F86" s="228">
        <v>653.95000000000005</v>
      </c>
      <c r="G86" s="228">
        <v>648</v>
      </c>
      <c r="H86" s="228">
        <v>5.95</v>
      </c>
      <c r="I86" s="229">
        <v>9.1999999999999998E-3</v>
      </c>
      <c r="J86" s="228">
        <v>653.15</v>
      </c>
      <c r="K86" s="228">
        <v>647.1</v>
      </c>
      <c r="L86" s="228">
        <v>6.05</v>
      </c>
      <c r="M86" s="229">
        <v>9.2999999999999992E-3</v>
      </c>
      <c r="N86" s="228">
        <v>653.95000000000005</v>
      </c>
      <c r="O86" s="228">
        <v>648</v>
      </c>
      <c r="P86" s="228">
        <v>5.95</v>
      </c>
      <c r="Q86" s="229">
        <v>9.1999999999999998E-3</v>
      </c>
      <c r="R86" s="228">
        <v>657.5</v>
      </c>
      <c r="S86" s="228">
        <v>651.35</v>
      </c>
      <c r="T86" s="228">
        <v>6.15</v>
      </c>
      <c r="U86" s="229">
        <v>9.4000000000000004E-3</v>
      </c>
      <c r="V86" s="228">
        <v>663.2</v>
      </c>
      <c r="W86" s="228">
        <v>659</v>
      </c>
      <c r="X86" s="228">
        <v>4.2</v>
      </c>
      <c r="Y86" s="229">
        <v>6.4000000000000003E-3</v>
      </c>
      <c r="Z86" s="228">
        <v>0.8</v>
      </c>
      <c r="AA86" s="228">
        <v>0.9</v>
      </c>
      <c r="AB86" s="228">
        <v>-0.1</v>
      </c>
      <c r="AC86" s="229">
        <v>1.1999999999999999E-3</v>
      </c>
      <c r="AD86" s="228">
        <v>0.8</v>
      </c>
      <c r="AE86" s="228">
        <v>0.9</v>
      </c>
      <c r="AF86" s="228">
        <v>-0.1</v>
      </c>
      <c r="AG86" s="229">
        <v>1.1999999999999999E-3</v>
      </c>
      <c r="AH86" s="228">
        <v>4.3499999999999996</v>
      </c>
      <c r="AI86" s="228">
        <v>4.25</v>
      </c>
      <c r="AJ86" s="228">
        <v>0.1</v>
      </c>
      <c r="AK86" s="229">
        <v>6.7000000000000002E-3</v>
      </c>
      <c r="AL86" s="228">
        <v>10.050000000000001</v>
      </c>
      <c r="AM86" s="228">
        <v>11.9</v>
      </c>
      <c r="AN86" s="228">
        <v>-1.85</v>
      </c>
      <c r="AO86" s="229">
        <v>1.54E-2</v>
      </c>
      <c r="AP86" s="228">
        <v>653.83000000000004</v>
      </c>
      <c r="AQ86" s="228">
        <v>657.42</v>
      </c>
      <c r="AR86" s="228">
        <v>0</v>
      </c>
      <c r="AS86" s="230">
        <v>1205</v>
      </c>
      <c r="AT86" s="228">
        <v>534</v>
      </c>
      <c r="AU86" s="228">
        <v>670</v>
      </c>
      <c r="AV86" s="229">
        <v>1.254</v>
      </c>
      <c r="AW86" s="228">
        <v>581</v>
      </c>
      <c r="AX86" s="228">
        <v>284</v>
      </c>
      <c r="AY86" s="228">
        <v>297</v>
      </c>
      <c r="AZ86" s="229">
        <v>1.0458000000000001</v>
      </c>
      <c r="BA86" s="228">
        <v>624</v>
      </c>
      <c r="BB86" s="228">
        <v>250</v>
      </c>
      <c r="BC86" s="228">
        <v>373</v>
      </c>
      <c r="BD86" s="229">
        <v>1.4901</v>
      </c>
      <c r="BE86" s="228">
        <v>0</v>
      </c>
      <c r="BF86" s="228">
        <v>0</v>
      </c>
      <c r="BG86" s="228">
        <v>0</v>
      </c>
      <c r="BH86" s="229">
        <v>1</v>
      </c>
      <c r="BI86" s="228">
        <v>294</v>
      </c>
      <c r="BJ86" s="228">
        <v>346</v>
      </c>
      <c r="BK86" s="228">
        <v>-52</v>
      </c>
      <c r="BL86" s="229">
        <v>-0.15</v>
      </c>
      <c r="BM86" s="228">
        <v>154</v>
      </c>
      <c r="BN86" s="228">
        <v>195</v>
      </c>
      <c r="BO86" s="228">
        <v>-42</v>
      </c>
      <c r="BP86" s="229">
        <v>-0.21310000000000001</v>
      </c>
      <c r="BQ86" s="230">
        <v>1652</v>
      </c>
      <c r="BR86" s="230">
        <v>1075</v>
      </c>
      <c r="BS86" s="228">
        <v>577</v>
      </c>
      <c r="BT86" s="229">
        <v>0.5363</v>
      </c>
      <c r="BU86" s="230">
        <v>1539730</v>
      </c>
      <c r="BV86" s="230">
        <v>1376864</v>
      </c>
      <c r="BW86" s="230">
        <v>162866</v>
      </c>
      <c r="BX86" s="229">
        <v>0.1183</v>
      </c>
      <c r="BY86" s="230">
        <v>1143</v>
      </c>
      <c r="BZ86" s="230">
        <v>1129</v>
      </c>
      <c r="CA86" s="228">
        <v>14</v>
      </c>
      <c r="CB86" s="229">
        <v>1.23E-2</v>
      </c>
      <c r="CC86" s="228">
        <v>437</v>
      </c>
      <c r="CD86" s="228">
        <v>918</v>
      </c>
      <c r="CE86" s="228">
        <v>-482</v>
      </c>
      <c r="CF86" s="229">
        <v>-0.52459999999999996</v>
      </c>
      <c r="CG86" s="228">
        <v>705</v>
      </c>
      <c r="CH86" s="228">
        <v>209</v>
      </c>
      <c r="CI86" s="228">
        <v>495</v>
      </c>
      <c r="CJ86" s="229">
        <v>2.3653</v>
      </c>
      <c r="CK86" s="228">
        <v>2</v>
      </c>
      <c r="CL86" s="228">
        <v>2</v>
      </c>
      <c r="CM86" s="228">
        <v>0</v>
      </c>
      <c r="CN86" s="229">
        <v>0.1111</v>
      </c>
      <c r="CO86" s="228">
        <v>313</v>
      </c>
      <c r="CP86" s="228">
        <v>353</v>
      </c>
      <c r="CQ86" s="228">
        <v>-40</v>
      </c>
      <c r="CR86" s="229">
        <v>-0.11409999999999999</v>
      </c>
      <c r="CS86" s="228">
        <v>194</v>
      </c>
      <c r="CT86" s="228">
        <v>206</v>
      </c>
      <c r="CU86" s="228">
        <v>-12</v>
      </c>
      <c r="CV86" s="229">
        <v>-5.9900000000000002E-2</v>
      </c>
      <c r="CW86" s="230">
        <v>1650</v>
      </c>
      <c r="CX86" s="230">
        <v>1689</v>
      </c>
      <c r="CY86" s="228">
        <v>-39</v>
      </c>
      <c r="CZ86" s="229">
        <v>-2.3E-2</v>
      </c>
      <c r="DA86" s="228">
        <v>26.03</v>
      </c>
      <c r="DB86" s="228">
        <v>25.86</v>
      </c>
      <c r="DC86" s="228">
        <v>0.17</v>
      </c>
      <c r="DD86" s="228">
        <v>0.17</v>
      </c>
      <c r="DE86" s="228">
        <v>26.76</v>
      </c>
      <c r="DF86" s="228">
        <v>26.8</v>
      </c>
      <c r="DG86" s="228">
        <v>-0.73</v>
      </c>
      <c r="DH86" s="228">
        <v>-0.04</v>
      </c>
      <c r="DI86" s="228">
        <v>25.93</v>
      </c>
      <c r="DJ86" s="228">
        <v>26.57</v>
      </c>
      <c r="DK86" s="228">
        <v>-0.64</v>
      </c>
      <c r="DL86" s="228">
        <v>-0.64</v>
      </c>
      <c r="DM86" s="228">
        <v>26.28</v>
      </c>
      <c r="DN86" s="228">
        <v>24.62</v>
      </c>
      <c r="DO86" s="228">
        <v>1.66</v>
      </c>
      <c r="DP86" s="228">
        <v>1.66</v>
      </c>
      <c r="DQ86" s="228">
        <v>0.62</v>
      </c>
      <c r="DR86" s="228">
        <v>0.57999999999999996</v>
      </c>
      <c r="DS86" s="228">
        <v>0.04</v>
      </c>
      <c r="DT86" s="229">
        <v>6.9000000000000006E-2</v>
      </c>
      <c r="DU86" s="228">
        <v>700</v>
      </c>
      <c r="DV86" s="228">
        <v>620</v>
      </c>
      <c r="DW86" s="228">
        <v>0.52</v>
      </c>
      <c r="DX86" s="228">
        <v>0.56999999999999995</v>
      </c>
      <c r="DY86" s="228">
        <v>-0.05</v>
      </c>
      <c r="DZ86" s="229">
        <v>-8.77E-2</v>
      </c>
      <c r="EA86" s="229">
        <v>0.61819999999999997</v>
      </c>
      <c r="EB86" s="230">
        <v>3228250</v>
      </c>
      <c r="EC86" s="229">
        <v>5.4000000000000003E-3</v>
      </c>
      <c r="ED86" s="229">
        <v>0.61819999999999997</v>
      </c>
      <c r="EE86" s="228">
        <v>3.59</v>
      </c>
      <c r="EF86" s="229">
        <v>5.4999999999999997E-3</v>
      </c>
      <c r="EG86" s="230">
        <v>996152</v>
      </c>
      <c r="EH86" s="230">
        <v>814335</v>
      </c>
      <c r="EI86" s="229">
        <v>0.2233</v>
      </c>
      <c r="EJ86" s="229">
        <v>0.64700000000000002</v>
      </c>
      <c r="EK86" s="228">
        <v>304.33</v>
      </c>
      <c r="EL86" s="228">
        <v>153.06</v>
      </c>
      <c r="EM86" s="231">
        <v>1207.93</v>
      </c>
      <c r="EN86" s="228">
        <v>54.77</v>
      </c>
      <c r="EO86" s="231">
        <v>1665.33</v>
      </c>
      <c r="EP86" s="231">
        <v>1080.78</v>
      </c>
      <c r="EQ86" s="228">
        <v>584.54999999999995</v>
      </c>
      <c r="ER86" s="229">
        <v>0.54090000000000005</v>
      </c>
      <c r="ES86" s="228">
        <v>331.44</v>
      </c>
      <c r="ET86" s="228">
        <v>192.32</v>
      </c>
      <c r="EU86" s="231">
        <v>1147.18</v>
      </c>
      <c r="EV86" s="231">
        <v>58746582</v>
      </c>
      <c r="EW86" s="231">
        <v>1670.94</v>
      </c>
      <c r="EX86" s="231">
        <v>1698.31</v>
      </c>
      <c r="EY86" s="228">
        <v>-27.37</v>
      </c>
      <c r="EZ86" s="229">
        <v>-1.61E-2</v>
      </c>
      <c r="FA86" s="229">
        <v>0.4294</v>
      </c>
      <c r="FB86" s="227" t="s">
        <v>555</v>
      </c>
      <c r="FC86">
        <f t="shared" si="1"/>
        <v>706</v>
      </c>
    </row>
    <row r="87" spans="1:159" ht="17.25" thickBot="1" x14ac:dyDescent="0.3">
      <c r="A87" s="226">
        <v>46044</v>
      </c>
      <c r="B87" s="227" t="s">
        <v>188</v>
      </c>
      <c r="C87" s="227" t="s">
        <v>234</v>
      </c>
      <c r="D87" s="228">
        <v>71475</v>
      </c>
      <c r="E87" s="228">
        <v>5</v>
      </c>
      <c r="F87" s="228">
        <v>10.220000000000001</v>
      </c>
      <c r="G87" s="228">
        <v>10.15</v>
      </c>
      <c r="H87" s="228">
        <v>7.0000000000000007E-2</v>
      </c>
      <c r="I87" s="229">
        <v>6.8999999999999999E-3</v>
      </c>
      <c r="J87" s="228">
        <v>10.18</v>
      </c>
      <c r="K87" s="228">
        <v>10.119999999999999</v>
      </c>
      <c r="L87" s="228">
        <v>0.06</v>
      </c>
      <c r="M87" s="229">
        <v>5.8999999999999999E-3</v>
      </c>
      <c r="N87" s="228">
        <v>10.220000000000001</v>
      </c>
      <c r="O87" s="228">
        <v>10.15</v>
      </c>
      <c r="P87" s="228">
        <v>7.0000000000000007E-2</v>
      </c>
      <c r="Q87" s="229">
        <v>6.8999999999999999E-3</v>
      </c>
      <c r="R87" s="228">
        <v>10.27</v>
      </c>
      <c r="S87" s="228">
        <v>10.19</v>
      </c>
      <c r="T87" s="228">
        <v>0.08</v>
      </c>
      <c r="U87" s="229">
        <v>7.9000000000000008E-3</v>
      </c>
      <c r="V87" s="228">
        <v>10.34</v>
      </c>
      <c r="W87" s="228">
        <v>10.29</v>
      </c>
      <c r="X87" s="228">
        <v>0.05</v>
      </c>
      <c r="Y87" s="229">
        <v>4.8999999999999998E-3</v>
      </c>
      <c r="Z87" s="228">
        <v>0.04</v>
      </c>
      <c r="AA87" s="228">
        <v>0.03</v>
      </c>
      <c r="AB87" s="228">
        <v>0.01</v>
      </c>
      <c r="AC87" s="229">
        <v>3.8999999999999998E-3</v>
      </c>
      <c r="AD87" s="228">
        <v>0.04</v>
      </c>
      <c r="AE87" s="228">
        <v>0.03</v>
      </c>
      <c r="AF87" s="228">
        <v>0.01</v>
      </c>
      <c r="AG87" s="229">
        <v>3.8999999999999998E-3</v>
      </c>
      <c r="AH87" s="228">
        <v>0.09</v>
      </c>
      <c r="AI87" s="228">
        <v>7.0000000000000007E-2</v>
      </c>
      <c r="AJ87" s="228">
        <v>0.02</v>
      </c>
      <c r="AK87" s="229">
        <v>8.8000000000000005E-3</v>
      </c>
      <c r="AL87" s="228">
        <v>0.16</v>
      </c>
      <c r="AM87" s="228">
        <v>0.17</v>
      </c>
      <c r="AN87" s="228">
        <v>-0.01</v>
      </c>
      <c r="AO87" s="229">
        <v>1.5699999999999999E-2</v>
      </c>
      <c r="AP87" s="228">
        <v>10.220000000000001</v>
      </c>
      <c r="AQ87" s="228">
        <v>10.28</v>
      </c>
      <c r="AR87" s="228">
        <v>0</v>
      </c>
      <c r="AS87" s="230">
        <v>2695</v>
      </c>
      <c r="AT87" s="230">
        <v>4282</v>
      </c>
      <c r="AU87" s="230">
        <v>-1587</v>
      </c>
      <c r="AV87" s="229">
        <v>-0.37059999999999998</v>
      </c>
      <c r="AW87" s="230">
        <v>1337</v>
      </c>
      <c r="AX87" s="230">
        <v>2101</v>
      </c>
      <c r="AY87" s="228">
        <v>-764</v>
      </c>
      <c r="AZ87" s="229">
        <v>-0.36359999999999998</v>
      </c>
      <c r="BA87" s="230">
        <v>1337</v>
      </c>
      <c r="BB87" s="230">
        <v>2160</v>
      </c>
      <c r="BC87" s="228">
        <v>-823</v>
      </c>
      <c r="BD87" s="229">
        <v>-0.38100000000000001</v>
      </c>
      <c r="BE87" s="228">
        <v>21</v>
      </c>
      <c r="BF87" s="228">
        <v>22</v>
      </c>
      <c r="BG87" s="228">
        <v>0</v>
      </c>
      <c r="BH87" s="229">
        <v>-1.01E-2</v>
      </c>
      <c r="BI87" s="230">
        <v>1095</v>
      </c>
      <c r="BJ87" s="230">
        <v>2134</v>
      </c>
      <c r="BK87" s="230">
        <v>-1039</v>
      </c>
      <c r="BL87" s="229">
        <v>-0.4869</v>
      </c>
      <c r="BM87" s="228">
        <v>528</v>
      </c>
      <c r="BN87" s="230">
        <v>1010</v>
      </c>
      <c r="BO87" s="228">
        <v>-482</v>
      </c>
      <c r="BP87" s="229">
        <v>-0.47710000000000002</v>
      </c>
      <c r="BQ87" s="230">
        <v>4318</v>
      </c>
      <c r="BR87" s="230">
        <v>7426</v>
      </c>
      <c r="BS87" s="230">
        <v>-3108</v>
      </c>
      <c r="BT87" s="229">
        <v>-0.41849999999999998</v>
      </c>
      <c r="BU87" s="230">
        <v>564426225</v>
      </c>
      <c r="BV87" s="230">
        <v>1241584071</v>
      </c>
      <c r="BW87" s="230">
        <v>-677157846</v>
      </c>
      <c r="BX87" s="229">
        <v>-0.5454</v>
      </c>
      <c r="BY87" s="230">
        <v>7582</v>
      </c>
      <c r="BZ87" s="230">
        <v>7517</v>
      </c>
      <c r="CA87" s="228">
        <v>65</v>
      </c>
      <c r="CB87" s="229">
        <v>8.6999999999999994E-3</v>
      </c>
      <c r="CC87" s="230">
        <v>3716</v>
      </c>
      <c r="CD87" s="230">
        <v>4676</v>
      </c>
      <c r="CE87" s="228">
        <v>-960</v>
      </c>
      <c r="CF87" s="229">
        <v>-0.20530000000000001</v>
      </c>
      <c r="CG87" s="230">
        <v>3762</v>
      </c>
      <c r="CH87" s="230">
        <v>2750</v>
      </c>
      <c r="CI87" s="230">
        <v>1011</v>
      </c>
      <c r="CJ87" s="229">
        <v>0.36770000000000003</v>
      </c>
      <c r="CK87" s="228">
        <v>105</v>
      </c>
      <c r="CL87" s="228">
        <v>91</v>
      </c>
      <c r="CM87" s="228">
        <v>14</v>
      </c>
      <c r="CN87" s="229">
        <v>0.155</v>
      </c>
      <c r="CO87" s="230">
        <v>2982</v>
      </c>
      <c r="CP87" s="230">
        <v>3112</v>
      </c>
      <c r="CQ87" s="228">
        <v>-130</v>
      </c>
      <c r="CR87" s="229">
        <v>-4.1799999999999997E-2</v>
      </c>
      <c r="CS87" s="230">
        <v>1627</v>
      </c>
      <c r="CT87" s="230">
        <v>1638</v>
      </c>
      <c r="CU87" s="228">
        <v>-11</v>
      </c>
      <c r="CV87" s="229">
        <v>-6.7999999999999996E-3</v>
      </c>
      <c r="CW87" s="230">
        <v>12191</v>
      </c>
      <c r="CX87" s="230">
        <v>12267</v>
      </c>
      <c r="CY87" s="228">
        <v>-76</v>
      </c>
      <c r="CZ87" s="229">
        <v>-6.1999999999999998E-3</v>
      </c>
      <c r="DA87" s="228">
        <v>57.64</v>
      </c>
      <c r="DB87" s="228">
        <v>60.58</v>
      </c>
      <c r="DC87" s="228">
        <v>-2.94</v>
      </c>
      <c r="DD87" s="228">
        <v>-2.94</v>
      </c>
      <c r="DE87" s="228">
        <v>67.510000000000005</v>
      </c>
      <c r="DF87" s="228">
        <v>67.67</v>
      </c>
      <c r="DG87" s="228">
        <v>-9.8699999999999992</v>
      </c>
      <c r="DH87" s="228">
        <v>-0.16</v>
      </c>
      <c r="DI87" s="228">
        <v>60.36</v>
      </c>
      <c r="DJ87" s="228">
        <v>61.29</v>
      </c>
      <c r="DK87" s="228">
        <v>-0.93</v>
      </c>
      <c r="DL87" s="228">
        <v>-0.93</v>
      </c>
      <c r="DM87" s="228">
        <v>52.82</v>
      </c>
      <c r="DN87" s="228">
        <v>59.08</v>
      </c>
      <c r="DO87" s="228">
        <v>-6.26</v>
      </c>
      <c r="DP87" s="228">
        <v>-6.26</v>
      </c>
      <c r="DQ87" s="228">
        <v>0.55000000000000004</v>
      </c>
      <c r="DR87" s="228">
        <v>0.53</v>
      </c>
      <c r="DS87" s="228">
        <v>0.02</v>
      </c>
      <c r="DT87" s="229">
        <v>3.7699999999999997E-2</v>
      </c>
      <c r="DU87" s="228">
        <v>12</v>
      </c>
      <c r="DV87" s="228">
        <v>10</v>
      </c>
      <c r="DW87" s="228">
        <v>0.48</v>
      </c>
      <c r="DX87" s="228">
        <v>0.47</v>
      </c>
      <c r="DY87" s="228">
        <v>0.01</v>
      </c>
      <c r="DZ87" s="229">
        <v>2.1299999999999999E-2</v>
      </c>
      <c r="EA87" s="229">
        <v>0.50990000000000002</v>
      </c>
      <c r="EB87" s="230">
        <v>2779591275</v>
      </c>
      <c r="EC87" s="229">
        <v>4.8999999999999998E-3</v>
      </c>
      <c r="ED87" s="229">
        <v>0.50990000000000002</v>
      </c>
      <c r="EE87" s="228">
        <v>0.06</v>
      </c>
      <c r="EF87" s="229">
        <v>5.8999999999999999E-3</v>
      </c>
      <c r="EG87" s="230">
        <v>144453841</v>
      </c>
      <c r="EH87" s="230">
        <v>342799194</v>
      </c>
      <c r="EI87" s="229">
        <v>-0.5786</v>
      </c>
      <c r="EJ87" s="229">
        <v>0.25590000000000002</v>
      </c>
      <c r="EK87" s="231">
        <v>1286.01</v>
      </c>
      <c r="EL87" s="228">
        <v>546.42999999999995</v>
      </c>
      <c r="EM87" s="231">
        <v>2703.65</v>
      </c>
      <c r="EN87" s="228">
        <v>245.76</v>
      </c>
      <c r="EO87" s="231">
        <v>4536.09</v>
      </c>
      <c r="EP87" s="231">
        <v>7682.57</v>
      </c>
      <c r="EQ87" s="231">
        <v>-3146.48</v>
      </c>
      <c r="ER87" s="229">
        <v>-0.40960000000000002</v>
      </c>
      <c r="ES87" s="231">
        <v>3618.61</v>
      </c>
      <c r="ET87" s="231">
        <v>1700.4</v>
      </c>
      <c r="EU87" s="231">
        <v>7601.44</v>
      </c>
      <c r="EV87" s="231">
        <v>12037179660</v>
      </c>
      <c r="EW87" s="231">
        <v>12920.46</v>
      </c>
      <c r="EX87" s="231">
        <v>12990.55</v>
      </c>
      <c r="EY87" s="228">
        <v>-70.09</v>
      </c>
      <c r="EZ87" s="229">
        <v>-5.4000000000000003E-3</v>
      </c>
      <c r="FA87" s="229">
        <v>0.99099999999999999</v>
      </c>
      <c r="FB87" s="227" t="s">
        <v>555</v>
      </c>
      <c r="FC87">
        <f t="shared" si="1"/>
        <v>3866</v>
      </c>
    </row>
    <row r="88" spans="1:159" ht="17.25" thickBot="1" x14ac:dyDescent="0.3">
      <c r="A88" s="226">
        <v>46044</v>
      </c>
      <c r="B88" s="227" t="s">
        <v>172</v>
      </c>
      <c r="C88" s="227" t="s">
        <v>235</v>
      </c>
      <c r="D88" s="228">
        <v>9275</v>
      </c>
      <c r="E88" s="228">
        <v>5</v>
      </c>
      <c r="F88" s="228">
        <v>84.14</v>
      </c>
      <c r="G88" s="228">
        <v>81.44</v>
      </c>
      <c r="H88" s="228">
        <v>2.7</v>
      </c>
      <c r="I88" s="229">
        <v>3.32E-2</v>
      </c>
      <c r="J88" s="228">
        <v>84.2</v>
      </c>
      <c r="K88" s="228">
        <v>81.510000000000005</v>
      </c>
      <c r="L88" s="228">
        <v>2.69</v>
      </c>
      <c r="M88" s="229">
        <v>3.3000000000000002E-2</v>
      </c>
      <c r="N88" s="228">
        <v>84.14</v>
      </c>
      <c r="O88" s="228">
        <v>81.44</v>
      </c>
      <c r="P88" s="228">
        <v>2.7</v>
      </c>
      <c r="Q88" s="229">
        <v>3.32E-2</v>
      </c>
      <c r="R88" s="228">
        <v>84.53</v>
      </c>
      <c r="S88" s="228">
        <v>81.86</v>
      </c>
      <c r="T88" s="228">
        <v>2.67</v>
      </c>
      <c r="U88" s="229">
        <v>3.2599999999999997E-2</v>
      </c>
      <c r="V88" s="228">
        <v>85.09</v>
      </c>
      <c r="W88" s="228">
        <v>82.44</v>
      </c>
      <c r="X88" s="228">
        <v>2.65</v>
      </c>
      <c r="Y88" s="229">
        <v>3.2099999999999997E-2</v>
      </c>
      <c r="Z88" s="228">
        <v>-0.06</v>
      </c>
      <c r="AA88" s="228">
        <v>-7.0000000000000007E-2</v>
      </c>
      <c r="AB88" s="228">
        <v>0.01</v>
      </c>
      <c r="AC88" s="229">
        <v>-6.9999999999999999E-4</v>
      </c>
      <c r="AD88" s="228">
        <v>-0.06</v>
      </c>
      <c r="AE88" s="228">
        <v>-7.0000000000000007E-2</v>
      </c>
      <c r="AF88" s="228">
        <v>0.01</v>
      </c>
      <c r="AG88" s="229">
        <v>-6.9999999999999999E-4</v>
      </c>
      <c r="AH88" s="228">
        <v>0.33</v>
      </c>
      <c r="AI88" s="228">
        <v>0.35</v>
      </c>
      <c r="AJ88" s="228">
        <v>-0.02</v>
      </c>
      <c r="AK88" s="229">
        <v>3.8999999999999998E-3</v>
      </c>
      <c r="AL88" s="228">
        <v>0.89</v>
      </c>
      <c r="AM88" s="228">
        <v>0.93</v>
      </c>
      <c r="AN88" s="228">
        <v>-0.04</v>
      </c>
      <c r="AO88" s="229">
        <v>1.06E-2</v>
      </c>
      <c r="AP88" s="228">
        <v>83.52</v>
      </c>
      <c r="AQ88" s="228">
        <v>83.93</v>
      </c>
      <c r="AR88" s="228">
        <v>0</v>
      </c>
      <c r="AS88" s="230">
        <v>1742</v>
      </c>
      <c r="AT88" s="230">
        <v>1854</v>
      </c>
      <c r="AU88" s="228">
        <v>-112</v>
      </c>
      <c r="AV88" s="229">
        <v>-6.0299999999999999E-2</v>
      </c>
      <c r="AW88" s="228">
        <v>921</v>
      </c>
      <c r="AX88" s="230">
        <v>1029</v>
      </c>
      <c r="AY88" s="228">
        <v>-108</v>
      </c>
      <c r="AZ88" s="229">
        <v>-0.105</v>
      </c>
      <c r="BA88" s="228">
        <v>801</v>
      </c>
      <c r="BB88" s="228">
        <v>791</v>
      </c>
      <c r="BC88" s="228">
        <v>10</v>
      </c>
      <c r="BD88" s="229">
        <v>1.29E-2</v>
      </c>
      <c r="BE88" s="228">
        <v>20</v>
      </c>
      <c r="BF88" s="228">
        <v>34</v>
      </c>
      <c r="BG88" s="228">
        <v>-14</v>
      </c>
      <c r="BH88" s="229">
        <v>-0.41760000000000003</v>
      </c>
      <c r="BI88" s="230">
        <v>1565</v>
      </c>
      <c r="BJ88" s="230">
        <v>1247</v>
      </c>
      <c r="BK88" s="228">
        <v>318</v>
      </c>
      <c r="BL88" s="229">
        <v>0.25480000000000003</v>
      </c>
      <c r="BM88" s="228">
        <v>672</v>
      </c>
      <c r="BN88" s="228">
        <v>799</v>
      </c>
      <c r="BO88" s="228">
        <v>-127</v>
      </c>
      <c r="BP88" s="229">
        <v>-0.15870000000000001</v>
      </c>
      <c r="BQ88" s="230">
        <v>3979</v>
      </c>
      <c r="BR88" s="230">
        <v>3900</v>
      </c>
      <c r="BS88" s="228">
        <v>79</v>
      </c>
      <c r="BT88" s="229">
        <v>2.0299999999999999E-2</v>
      </c>
      <c r="BU88" s="230">
        <v>40758931</v>
      </c>
      <c r="BV88" s="230">
        <v>30691443</v>
      </c>
      <c r="BW88" s="230">
        <v>10067488</v>
      </c>
      <c r="BX88" s="229">
        <v>0.32800000000000001</v>
      </c>
      <c r="BY88" s="230">
        <v>2550</v>
      </c>
      <c r="BZ88" s="230">
        <v>2689</v>
      </c>
      <c r="CA88" s="228">
        <v>-138</v>
      </c>
      <c r="CB88" s="229">
        <v>-5.1400000000000001E-2</v>
      </c>
      <c r="CC88" s="228">
        <v>811</v>
      </c>
      <c r="CD88" s="230">
        <v>1450</v>
      </c>
      <c r="CE88" s="228">
        <v>-638</v>
      </c>
      <c r="CF88" s="229">
        <v>-0.44040000000000001</v>
      </c>
      <c r="CG88" s="230">
        <v>1656</v>
      </c>
      <c r="CH88" s="230">
        <v>1156</v>
      </c>
      <c r="CI88" s="228">
        <v>500</v>
      </c>
      <c r="CJ88" s="229">
        <v>0.43269999999999997</v>
      </c>
      <c r="CK88" s="228">
        <v>83</v>
      </c>
      <c r="CL88" s="228">
        <v>83</v>
      </c>
      <c r="CM88" s="228">
        <v>0</v>
      </c>
      <c r="CN88" s="229">
        <v>1.9E-3</v>
      </c>
      <c r="CO88" s="230">
        <v>1220</v>
      </c>
      <c r="CP88" s="230">
        <v>1276</v>
      </c>
      <c r="CQ88" s="228">
        <v>-56</v>
      </c>
      <c r="CR88" s="229">
        <v>-4.3999999999999997E-2</v>
      </c>
      <c r="CS88" s="228">
        <v>737</v>
      </c>
      <c r="CT88" s="228">
        <v>701</v>
      </c>
      <c r="CU88" s="228">
        <v>36</v>
      </c>
      <c r="CV88" s="229">
        <v>5.0999999999999997E-2</v>
      </c>
      <c r="CW88" s="230">
        <v>4507</v>
      </c>
      <c r="CX88" s="230">
        <v>4666</v>
      </c>
      <c r="CY88" s="228">
        <v>-158</v>
      </c>
      <c r="CZ88" s="229">
        <v>-3.4000000000000002E-2</v>
      </c>
      <c r="DA88" s="228">
        <v>31.73</v>
      </c>
      <c r="DB88" s="228">
        <v>27.63</v>
      </c>
      <c r="DC88" s="228">
        <v>4.0999999999999996</v>
      </c>
      <c r="DD88" s="228">
        <v>4.0999999999999996</v>
      </c>
      <c r="DE88" s="228">
        <v>32.08</v>
      </c>
      <c r="DF88" s="228">
        <v>31.86</v>
      </c>
      <c r="DG88" s="228">
        <v>-0.35</v>
      </c>
      <c r="DH88" s="228">
        <v>0.22</v>
      </c>
      <c r="DI88" s="228">
        <v>31.63</v>
      </c>
      <c r="DJ88" s="228">
        <v>28.2</v>
      </c>
      <c r="DK88" s="228">
        <v>3.43</v>
      </c>
      <c r="DL88" s="228">
        <v>3.43</v>
      </c>
      <c r="DM88" s="228">
        <v>31.93</v>
      </c>
      <c r="DN88" s="228">
        <v>26.74</v>
      </c>
      <c r="DO88" s="228">
        <v>5.19</v>
      </c>
      <c r="DP88" s="228">
        <v>5.19</v>
      </c>
      <c r="DQ88" s="228">
        <v>0.6</v>
      </c>
      <c r="DR88" s="228">
        <v>0.55000000000000004</v>
      </c>
      <c r="DS88" s="228">
        <v>0.05</v>
      </c>
      <c r="DT88" s="229">
        <v>9.0899999999999995E-2</v>
      </c>
      <c r="DU88" s="228">
        <v>90</v>
      </c>
      <c r="DV88" s="228">
        <v>80</v>
      </c>
      <c r="DW88" s="228">
        <v>0.43</v>
      </c>
      <c r="DX88" s="228">
        <v>0.64</v>
      </c>
      <c r="DY88" s="228">
        <v>-0.21</v>
      </c>
      <c r="DZ88" s="229">
        <v>-0.3281</v>
      </c>
      <c r="EA88" s="229">
        <v>0.68189999999999995</v>
      </c>
      <c r="EB88" s="230">
        <v>147259175</v>
      </c>
      <c r="EC88" s="229">
        <v>4.5999999999999999E-3</v>
      </c>
      <c r="ED88" s="229">
        <v>0.68189999999999995</v>
      </c>
      <c r="EE88" s="228">
        <v>0.41</v>
      </c>
      <c r="EF88" s="229">
        <v>4.8999999999999998E-3</v>
      </c>
      <c r="EG88" s="230">
        <v>28671060</v>
      </c>
      <c r="EH88" s="230">
        <v>14597282</v>
      </c>
      <c r="EI88" s="229">
        <v>0.96409999999999996</v>
      </c>
      <c r="EJ88" s="229">
        <v>0.70340000000000003</v>
      </c>
      <c r="EK88" s="231">
        <v>1611.27</v>
      </c>
      <c r="EL88" s="228">
        <v>661.2</v>
      </c>
      <c r="EM88" s="231">
        <v>1733.01</v>
      </c>
      <c r="EN88" s="228">
        <v>124.44</v>
      </c>
      <c r="EO88" s="231">
        <v>4005.48</v>
      </c>
      <c r="EP88" s="231">
        <v>3838.52</v>
      </c>
      <c r="EQ88" s="228">
        <v>166.96</v>
      </c>
      <c r="ER88" s="229">
        <v>4.3499999999999997E-2</v>
      </c>
      <c r="ES88" s="231">
        <v>1266.8699999999999</v>
      </c>
      <c r="ET88" s="228">
        <v>715.29</v>
      </c>
      <c r="EU88" s="231">
        <v>2559.11</v>
      </c>
      <c r="EV88" s="231">
        <v>936861183</v>
      </c>
      <c r="EW88" s="231">
        <v>4541.28</v>
      </c>
      <c r="EX88" s="231">
        <v>4610.49</v>
      </c>
      <c r="EY88" s="228">
        <v>-69.209999999999994</v>
      </c>
      <c r="EZ88" s="229">
        <v>-1.4999999999999999E-2</v>
      </c>
      <c r="FA88" s="229">
        <v>0.57179999999999997</v>
      </c>
      <c r="FB88" s="227" t="s">
        <v>556</v>
      </c>
      <c r="FC88">
        <f t="shared" si="1"/>
        <v>1739</v>
      </c>
    </row>
    <row r="89" spans="1:159" ht="17.25" thickBot="1" x14ac:dyDescent="0.3">
      <c r="A89" s="226">
        <v>46044</v>
      </c>
      <c r="B89" s="227" t="s">
        <v>161</v>
      </c>
      <c r="C89" s="227" t="s">
        <v>514</v>
      </c>
      <c r="D89" s="228">
        <v>3750</v>
      </c>
      <c r="E89" s="228">
        <v>5</v>
      </c>
      <c r="F89" s="228">
        <v>131.43</v>
      </c>
      <c r="G89" s="228">
        <v>128.44999999999999</v>
      </c>
      <c r="H89" s="228">
        <v>2.98</v>
      </c>
      <c r="I89" s="229">
        <v>2.3199999999999998E-2</v>
      </c>
      <c r="J89" s="228">
        <v>131.06</v>
      </c>
      <c r="K89" s="228">
        <v>128.41999999999999</v>
      </c>
      <c r="L89" s="228">
        <v>2.64</v>
      </c>
      <c r="M89" s="229">
        <v>2.06E-2</v>
      </c>
      <c r="N89" s="228">
        <v>131.43</v>
      </c>
      <c r="O89" s="228">
        <v>128.44999999999999</v>
      </c>
      <c r="P89" s="228">
        <v>2.98</v>
      </c>
      <c r="Q89" s="229">
        <v>2.3199999999999998E-2</v>
      </c>
      <c r="R89" s="228">
        <v>130.18</v>
      </c>
      <c r="S89" s="228">
        <v>127.6</v>
      </c>
      <c r="T89" s="228">
        <v>2.58</v>
      </c>
      <c r="U89" s="229">
        <v>2.0199999999999999E-2</v>
      </c>
      <c r="V89" s="228">
        <v>130.79</v>
      </c>
      <c r="W89" s="228">
        <v>128.38999999999999</v>
      </c>
      <c r="X89" s="228">
        <v>2.4</v>
      </c>
      <c r="Y89" s="229">
        <v>1.8700000000000001E-2</v>
      </c>
      <c r="Z89" s="228">
        <v>0.37</v>
      </c>
      <c r="AA89" s="228">
        <v>0.03</v>
      </c>
      <c r="AB89" s="228">
        <v>0.34</v>
      </c>
      <c r="AC89" s="229">
        <v>2.8E-3</v>
      </c>
      <c r="AD89" s="228">
        <v>0.37</v>
      </c>
      <c r="AE89" s="228">
        <v>0.03</v>
      </c>
      <c r="AF89" s="228">
        <v>0.34</v>
      </c>
      <c r="AG89" s="229">
        <v>2.8E-3</v>
      </c>
      <c r="AH89" s="228">
        <v>-0.88</v>
      </c>
      <c r="AI89" s="228">
        <v>-0.82</v>
      </c>
      <c r="AJ89" s="228">
        <v>-0.06</v>
      </c>
      <c r="AK89" s="229">
        <v>-6.7000000000000002E-3</v>
      </c>
      <c r="AL89" s="228">
        <v>-0.27</v>
      </c>
      <c r="AM89" s="228">
        <v>-0.03</v>
      </c>
      <c r="AN89" s="228">
        <v>-0.24</v>
      </c>
      <c r="AO89" s="229">
        <v>-2.0999999999999999E-3</v>
      </c>
      <c r="AP89" s="228">
        <v>131.13999999999999</v>
      </c>
      <c r="AQ89" s="228">
        <v>130.02000000000001</v>
      </c>
      <c r="AR89" s="228">
        <v>0</v>
      </c>
      <c r="AS89" s="228">
        <v>864</v>
      </c>
      <c r="AT89" s="228">
        <v>756</v>
      </c>
      <c r="AU89" s="228">
        <v>108</v>
      </c>
      <c r="AV89" s="229">
        <v>0.1429</v>
      </c>
      <c r="AW89" s="228">
        <v>458</v>
      </c>
      <c r="AX89" s="228">
        <v>423</v>
      </c>
      <c r="AY89" s="228">
        <v>36</v>
      </c>
      <c r="AZ89" s="229">
        <v>8.4000000000000005E-2</v>
      </c>
      <c r="BA89" s="228">
        <v>395</v>
      </c>
      <c r="BB89" s="228">
        <v>323</v>
      </c>
      <c r="BC89" s="228">
        <v>72</v>
      </c>
      <c r="BD89" s="229">
        <v>0.22270000000000001</v>
      </c>
      <c r="BE89" s="228">
        <v>10</v>
      </c>
      <c r="BF89" s="228">
        <v>10</v>
      </c>
      <c r="BG89" s="228">
        <v>0</v>
      </c>
      <c r="BH89" s="229">
        <v>4.9299999999999997E-2</v>
      </c>
      <c r="BI89" s="230">
        <v>1024</v>
      </c>
      <c r="BJ89" s="230">
        <v>1397</v>
      </c>
      <c r="BK89" s="228">
        <v>-373</v>
      </c>
      <c r="BL89" s="229">
        <v>-0.26719999999999999</v>
      </c>
      <c r="BM89" s="228">
        <v>514</v>
      </c>
      <c r="BN89" s="228">
        <v>840</v>
      </c>
      <c r="BO89" s="228">
        <v>-326</v>
      </c>
      <c r="BP89" s="229">
        <v>-0.38779999999999998</v>
      </c>
      <c r="BQ89" s="230">
        <v>2403</v>
      </c>
      <c r="BR89" s="230">
        <v>2994</v>
      </c>
      <c r="BS89" s="228">
        <v>-591</v>
      </c>
      <c r="BT89" s="229">
        <v>-0.19750000000000001</v>
      </c>
      <c r="BU89" s="230">
        <v>8728660</v>
      </c>
      <c r="BV89" s="230">
        <v>15722231</v>
      </c>
      <c r="BW89" s="230">
        <v>-6993571</v>
      </c>
      <c r="BX89" s="229">
        <v>-0.44479999999999997</v>
      </c>
      <c r="BY89" s="230">
        <v>1115</v>
      </c>
      <c r="BZ89" s="230">
        <v>1229</v>
      </c>
      <c r="CA89" s="228">
        <v>-114</v>
      </c>
      <c r="CB89" s="229">
        <v>-9.2899999999999996E-2</v>
      </c>
      <c r="CC89" s="228">
        <v>498</v>
      </c>
      <c r="CD89" s="228">
        <v>768</v>
      </c>
      <c r="CE89" s="228">
        <v>-271</v>
      </c>
      <c r="CF89" s="229">
        <v>-0.35210000000000002</v>
      </c>
      <c r="CG89" s="228">
        <v>591</v>
      </c>
      <c r="CH89" s="228">
        <v>437</v>
      </c>
      <c r="CI89" s="228">
        <v>154</v>
      </c>
      <c r="CJ89" s="229">
        <v>0.35360000000000003</v>
      </c>
      <c r="CK89" s="228">
        <v>26</v>
      </c>
      <c r="CL89" s="228">
        <v>24</v>
      </c>
      <c r="CM89" s="228">
        <v>2</v>
      </c>
      <c r="CN89" s="229">
        <v>8.2799999999999999E-2</v>
      </c>
      <c r="CO89" s="230">
        <v>1382</v>
      </c>
      <c r="CP89" s="230">
        <v>1473</v>
      </c>
      <c r="CQ89" s="228">
        <v>-92</v>
      </c>
      <c r="CR89" s="229">
        <v>-6.2300000000000001E-2</v>
      </c>
      <c r="CS89" s="228">
        <v>924</v>
      </c>
      <c r="CT89" s="228">
        <v>962</v>
      </c>
      <c r="CU89" s="228">
        <v>-38</v>
      </c>
      <c r="CV89" s="229">
        <v>-0.04</v>
      </c>
      <c r="CW89" s="230">
        <v>3420</v>
      </c>
      <c r="CX89" s="230">
        <v>3664</v>
      </c>
      <c r="CY89" s="228">
        <v>-244</v>
      </c>
      <c r="CZ89" s="229">
        <v>-6.6699999999999995E-2</v>
      </c>
      <c r="DA89" s="228">
        <v>43.74</v>
      </c>
      <c r="DB89" s="228">
        <v>51.05</v>
      </c>
      <c r="DC89" s="228">
        <v>-7.31</v>
      </c>
      <c r="DD89" s="228">
        <v>-7.31</v>
      </c>
      <c r="DE89" s="228">
        <v>54.57</v>
      </c>
      <c r="DF89" s="228">
        <v>54.64</v>
      </c>
      <c r="DG89" s="228">
        <v>-10.83</v>
      </c>
      <c r="DH89" s="228">
        <v>-7.0000000000000007E-2</v>
      </c>
      <c r="DI89" s="228">
        <v>43.25</v>
      </c>
      <c r="DJ89" s="228">
        <v>53.97</v>
      </c>
      <c r="DK89" s="228">
        <v>-10.72</v>
      </c>
      <c r="DL89" s="228">
        <v>-10.72</v>
      </c>
      <c r="DM89" s="228">
        <v>44.38</v>
      </c>
      <c r="DN89" s="228">
        <v>46.19</v>
      </c>
      <c r="DO89" s="228">
        <v>-1.81</v>
      </c>
      <c r="DP89" s="228">
        <v>-1.81</v>
      </c>
      <c r="DQ89" s="228">
        <v>0.67</v>
      </c>
      <c r="DR89" s="228">
        <v>0.65</v>
      </c>
      <c r="DS89" s="228">
        <v>0.02</v>
      </c>
      <c r="DT89" s="229">
        <v>3.0800000000000001E-2</v>
      </c>
      <c r="DU89" s="228">
        <v>160</v>
      </c>
      <c r="DV89" s="228">
        <v>140</v>
      </c>
      <c r="DW89" s="228">
        <v>0.5</v>
      </c>
      <c r="DX89" s="228">
        <v>0.6</v>
      </c>
      <c r="DY89" s="228">
        <v>-0.1</v>
      </c>
      <c r="DZ89" s="229">
        <v>-0.16669999999999999</v>
      </c>
      <c r="EA89" s="229">
        <v>0.5534</v>
      </c>
      <c r="EB89" s="230">
        <v>35036250</v>
      </c>
      <c r="EC89" s="229">
        <v>-9.4999999999999998E-3</v>
      </c>
      <c r="ED89" s="229">
        <v>0.5534</v>
      </c>
      <c r="EE89" s="228">
        <v>-1.1200000000000001</v>
      </c>
      <c r="EF89" s="229">
        <v>-8.5000000000000006E-3</v>
      </c>
      <c r="EG89" s="230">
        <v>1750999</v>
      </c>
      <c r="EH89" s="230">
        <v>3202478</v>
      </c>
      <c r="EI89" s="229">
        <v>-0.45319999999999999</v>
      </c>
      <c r="EJ89" s="229">
        <v>0.2006</v>
      </c>
      <c r="EK89" s="231">
        <v>1129.3499999999999</v>
      </c>
      <c r="EL89" s="228">
        <v>524.30999999999995</v>
      </c>
      <c r="EM89" s="228">
        <v>858.96</v>
      </c>
      <c r="EN89" s="228">
        <v>125.49</v>
      </c>
      <c r="EO89" s="231">
        <v>2512.62</v>
      </c>
      <c r="EP89" s="231">
        <v>3121.72</v>
      </c>
      <c r="EQ89" s="228">
        <v>-609.1</v>
      </c>
      <c r="ER89" s="229">
        <v>-0.1951</v>
      </c>
      <c r="ES89" s="231">
        <v>1587.31</v>
      </c>
      <c r="ET89" s="228">
        <v>967.34</v>
      </c>
      <c r="EU89" s="231">
        <v>1109.01</v>
      </c>
      <c r="EV89" s="231">
        <v>133395043</v>
      </c>
      <c r="EW89" s="231">
        <v>3663.66</v>
      </c>
      <c r="EX89" s="231">
        <v>3902.51</v>
      </c>
      <c r="EY89" s="228">
        <v>-238.85</v>
      </c>
      <c r="EZ89" s="229">
        <v>-6.1199999999999997E-2</v>
      </c>
      <c r="FA89" s="229">
        <v>1.9507000000000001</v>
      </c>
      <c r="FB89" s="227" t="s">
        <v>556</v>
      </c>
      <c r="FC89">
        <f t="shared" si="1"/>
        <v>617</v>
      </c>
    </row>
    <row r="90" spans="1:159" ht="17.25" thickBot="1" x14ac:dyDescent="0.3">
      <c r="A90" s="226">
        <v>46044</v>
      </c>
      <c r="B90" s="227" t="s">
        <v>175</v>
      </c>
      <c r="C90" s="227" t="s">
        <v>666</v>
      </c>
      <c r="D90" s="228">
        <v>1650</v>
      </c>
      <c r="E90" s="228">
        <v>5</v>
      </c>
      <c r="F90" s="228">
        <v>542.70000000000005</v>
      </c>
      <c r="G90" s="228">
        <v>624.5</v>
      </c>
      <c r="H90" s="228">
        <v>-81.8</v>
      </c>
      <c r="I90" s="229">
        <v>-0.13100000000000001</v>
      </c>
      <c r="J90" s="228">
        <v>538.75</v>
      </c>
      <c r="K90" s="228">
        <v>622.85</v>
      </c>
      <c r="L90" s="228">
        <v>-84.1</v>
      </c>
      <c r="M90" s="229">
        <v>-0.13500000000000001</v>
      </c>
      <c r="N90" s="228">
        <v>542.70000000000005</v>
      </c>
      <c r="O90" s="228">
        <v>624.5</v>
      </c>
      <c r="P90" s="228">
        <v>-81.8</v>
      </c>
      <c r="Q90" s="229">
        <v>-0.13100000000000001</v>
      </c>
      <c r="R90" s="228">
        <v>0</v>
      </c>
      <c r="S90" s="228">
        <v>0</v>
      </c>
      <c r="T90" s="228">
        <v>0</v>
      </c>
      <c r="U90" s="229">
        <v>0</v>
      </c>
      <c r="V90" s="228">
        <v>0</v>
      </c>
      <c r="W90" s="228">
        <v>0</v>
      </c>
      <c r="X90" s="228">
        <v>0</v>
      </c>
      <c r="Y90" s="229">
        <v>0</v>
      </c>
      <c r="Z90" s="228">
        <v>3.95</v>
      </c>
      <c r="AA90" s="228">
        <v>1.65</v>
      </c>
      <c r="AB90" s="228">
        <v>2.2999999999999998</v>
      </c>
      <c r="AC90" s="229">
        <v>7.3000000000000001E-3</v>
      </c>
      <c r="AD90" s="228">
        <v>3.95</v>
      </c>
      <c r="AE90" s="228">
        <v>1.65</v>
      </c>
      <c r="AF90" s="228">
        <v>2.2999999999999998</v>
      </c>
      <c r="AG90" s="229">
        <v>7.3000000000000001E-3</v>
      </c>
      <c r="AH90" s="228">
        <v>0</v>
      </c>
      <c r="AI90" s="228">
        <v>0</v>
      </c>
      <c r="AJ90" s="228">
        <v>0</v>
      </c>
      <c r="AK90" s="229">
        <v>0</v>
      </c>
      <c r="AL90" s="228">
        <v>0</v>
      </c>
      <c r="AM90" s="228">
        <v>0</v>
      </c>
      <c r="AN90" s="228">
        <v>0</v>
      </c>
      <c r="AO90" s="229">
        <v>0</v>
      </c>
      <c r="AP90" s="228">
        <v>567.46</v>
      </c>
      <c r="AQ90" s="228">
        <v>0</v>
      </c>
      <c r="AR90" s="228">
        <v>0</v>
      </c>
      <c r="AS90" s="230">
        <v>1518</v>
      </c>
      <c r="AT90" s="228">
        <v>291</v>
      </c>
      <c r="AU90" s="230">
        <v>1227</v>
      </c>
      <c r="AV90" s="229">
        <v>4.2130999999999998</v>
      </c>
      <c r="AW90" s="230">
        <v>1518</v>
      </c>
      <c r="AX90" s="228">
        <v>291</v>
      </c>
      <c r="AY90" s="230">
        <v>1227</v>
      </c>
      <c r="AZ90" s="229">
        <v>4.2130999999999998</v>
      </c>
      <c r="BA90" s="228">
        <v>0</v>
      </c>
      <c r="BB90" s="228">
        <v>0</v>
      </c>
      <c r="BC90" s="228">
        <v>0</v>
      </c>
      <c r="BD90" s="229">
        <v>0</v>
      </c>
      <c r="BE90" s="228">
        <v>0</v>
      </c>
      <c r="BF90" s="228">
        <v>0</v>
      </c>
      <c r="BG90" s="228">
        <v>0</v>
      </c>
      <c r="BH90" s="229">
        <v>0</v>
      </c>
      <c r="BI90" s="230">
        <v>5383</v>
      </c>
      <c r="BJ90" s="230">
        <v>1144</v>
      </c>
      <c r="BK90" s="230">
        <v>4239</v>
      </c>
      <c r="BL90" s="229">
        <v>3.7067000000000001</v>
      </c>
      <c r="BM90" s="230">
        <v>5691</v>
      </c>
      <c r="BN90" s="228">
        <v>765</v>
      </c>
      <c r="BO90" s="230">
        <v>4926</v>
      </c>
      <c r="BP90" s="229">
        <v>6.4420000000000002</v>
      </c>
      <c r="BQ90" s="230">
        <v>12592</v>
      </c>
      <c r="BR90" s="230">
        <v>2200</v>
      </c>
      <c r="BS90" s="230">
        <v>10392</v>
      </c>
      <c r="BT90" s="229">
        <v>4.7247000000000003</v>
      </c>
      <c r="BU90" s="230">
        <v>25581932</v>
      </c>
      <c r="BV90" s="230">
        <v>2817230</v>
      </c>
      <c r="BW90" s="230">
        <v>22764702</v>
      </c>
      <c r="BX90" s="229">
        <v>8.0805000000000007</v>
      </c>
      <c r="BY90" s="228">
        <v>598</v>
      </c>
      <c r="BZ90" s="228">
        <v>509</v>
      </c>
      <c r="CA90" s="228">
        <v>89</v>
      </c>
      <c r="CB90" s="229">
        <v>0.1739</v>
      </c>
      <c r="CC90" s="228">
        <v>598</v>
      </c>
      <c r="CD90" s="228">
        <v>509</v>
      </c>
      <c r="CE90" s="228">
        <v>89</v>
      </c>
      <c r="CF90" s="229">
        <v>0.1739</v>
      </c>
      <c r="CG90" s="228">
        <v>0</v>
      </c>
      <c r="CH90" s="228">
        <v>0</v>
      </c>
      <c r="CI90" s="228">
        <v>0</v>
      </c>
      <c r="CJ90" s="229">
        <v>0</v>
      </c>
      <c r="CK90" s="228">
        <v>0</v>
      </c>
      <c r="CL90" s="228">
        <v>0</v>
      </c>
      <c r="CM90" s="228">
        <v>0</v>
      </c>
      <c r="CN90" s="229">
        <v>0</v>
      </c>
      <c r="CO90" s="228">
        <v>770</v>
      </c>
      <c r="CP90" s="228">
        <v>441</v>
      </c>
      <c r="CQ90" s="228">
        <v>329</v>
      </c>
      <c r="CR90" s="229">
        <v>0.74460000000000004</v>
      </c>
      <c r="CS90" s="228">
        <v>434</v>
      </c>
      <c r="CT90" s="228">
        <v>281</v>
      </c>
      <c r="CU90" s="228">
        <v>153</v>
      </c>
      <c r="CV90" s="229">
        <v>0.54279999999999995</v>
      </c>
      <c r="CW90" s="230">
        <v>1802</v>
      </c>
      <c r="CX90" s="230">
        <v>1232</v>
      </c>
      <c r="CY90" s="228">
        <v>570</v>
      </c>
      <c r="CZ90" s="229">
        <v>0.46260000000000001</v>
      </c>
      <c r="DA90" s="228">
        <v>51.8</v>
      </c>
      <c r="DB90" s="228">
        <v>49.98</v>
      </c>
      <c r="DC90" s="228">
        <v>1.82</v>
      </c>
      <c r="DD90" s="228">
        <v>1.82</v>
      </c>
      <c r="DE90" s="228">
        <v>51.8</v>
      </c>
      <c r="DF90" s="228">
        <v>48.11</v>
      </c>
      <c r="DG90" s="228">
        <v>0</v>
      </c>
      <c r="DH90" s="228">
        <v>3.69</v>
      </c>
      <c r="DI90" s="228">
        <v>51.8</v>
      </c>
      <c r="DJ90" s="228">
        <v>51.3</v>
      </c>
      <c r="DK90" s="228">
        <v>0.5</v>
      </c>
      <c r="DL90" s="228">
        <v>0.5</v>
      </c>
      <c r="DM90" s="228">
        <v>51.8</v>
      </c>
      <c r="DN90" s="228">
        <v>48.01</v>
      </c>
      <c r="DO90" s="228">
        <v>3.79</v>
      </c>
      <c r="DP90" s="228">
        <v>3.79</v>
      </c>
      <c r="DQ90" s="228">
        <v>0.56000000000000005</v>
      </c>
      <c r="DR90" s="228">
        <v>0.64</v>
      </c>
      <c r="DS90" s="228">
        <v>-0.08</v>
      </c>
      <c r="DT90" s="229">
        <v>-0.125</v>
      </c>
      <c r="DU90" s="228">
        <v>600</v>
      </c>
      <c r="DV90" s="228">
        <v>500</v>
      </c>
      <c r="DW90" s="228">
        <v>1.06</v>
      </c>
      <c r="DX90" s="228">
        <v>0.67</v>
      </c>
      <c r="DY90" s="228">
        <v>0.39</v>
      </c>
      <c r="DZ90" s="229">
        <v>0.58209999999999995</v>
      </c>
      <c r="EA90" s="229">
        <v>0</v>
      </c>
      <c r="EB90" s="228">
        <v>0</v>
      </c>
      <c r="EC90" s="229">
        <v>0</v>
      </c>
      <c r="ED90" s="229">
        <v>0</v>
      </c>
      <c r="EE90" s="228">
        <v>0</v>
      </c>
      <c r="EF90" s="229">
        <v>0</v>
      </c>
      <c r="EG90" s="230">
        <v>6274251</v>
      </c>
      <c r="EH90" s="230">
        <v>874832</v>
      </c>
      <c r="EI90" s="229">
        <v>6.1718999999999999</v>
      </c>
      <c r="EJ90" s="229">
        <v>0.24529999999999999</v>
      </c>
      <c r="EK90" s="231">
        <v>6151.32</v>
      </c>
      <c r="EL90" s="231">
        <v>5918.59</v>
      </c>
      <c r="EM90" s="231">
        <v>1587.34</v>
      </c>
      <c r="EN90" s="228">
        <v>22.34</v>
      </c>
      <c r="EO90" s="231">
        <v>13657.25</v>
      </c>
      <c r="EP90" s="231">
        <v>2579.08</v>
      </c>
      <c r="EQ90" s="231">
        <v>11078.17</v>
      </c>
      <c r="ER90" s="229">
        <v>4.2953999999999999</v>
      </c>
      <c r="ES90" s="228">
        <v>885.66</v>
      </c>
      <c r="ET90" s="228">
        <v>446.08</v>
      </c>
      <c r="EU90" s="228">
        <v>597.80999999999995</v>
      </c>
      <c r="EV90" s="231">
        <v>35669230</v>
      </c>
      <c r="EW90" s="231">
        <v>1929.55</v>
      </c>
      <c r="EX90" s="231">
        <v>1434.26</v>
      </c>
      <c r="EY90" s="228">
        <v>495.29</v>
      </c>
      <c r="EZ90" s="229">
        <v>0.3453</v>
      </c>
      <c r="FA90" s="229">
        <v>0.93069999999999997</v>
      </c>
      <c r="FB90" s="227" t="s">
        <v>567</v>
      </c>
      <c r="FC90">
        <f t="shared" si="1"/>
        <v>0</v>
      </c>
    </row>
    <row r="91" spans="1:159" ht="17.25" thickBot="1" x14ac:dyDescent="0.3">
      <c r="A91" s="226">
        <v>46044</v>
      </c>
      <c r="B91" s="227" t="s">
        <v>206</v>
      </c>
      <c r="C91" s="227" t="s">
        <v>501</v>
      </c>
      <c r="D91" s="228">
        <v>1000</v>
      </c>
      <c r="E91" s="228">
        <v>5</v>
      </c>
      <c r="F91" s="228">
        <v>657.6</v>
      </c>
      <c r="G91" s="228">
        <v>655.29999999999995</v>
      </c>
      <c r="H91" s="228">
        <v>2.2999999999999998</v>
      </c>
      <c r="I91" s="229">
        <v>3.5000000000000001E-3</v>
      </c>
      <c r="J91" s="228">
        <v>656.55</v>
      </c>
      <c r="K91" s="228">
        <v>653.6</v>
      </c>
      <c r="L91" s="228">
        <v>2.95</v>
      </c>
      <c r="M91" s="229">
        <v>4.4999999999999997E-3</v>
      </c>
      <c r="N91" s="228">
        <v>657.6</v>
      </c>
      <c r="O91" s="228">
        <v>655.29999999999995</v>
      </c>
      <c r="P91" s="228">
        <v>2.2999999999999998</v>
      </c>
      <c r="Q91" s="229">
        <v>3.5000000000000001E-3</v>
      </c>
      <c r="R91" s="228">
        <v>661</v>
      </c>
      <c r="S91" s="228">
        <v>658.35</v>
      </c>
      <c r="T91" s="228">
        <v>2.65</v>
      </c>
      <c r="U91" s="229">
        <v>4.0000000000000001E-3</v>
      </c>
      <c r="V91" s="228">
        <v>666</v>
      </c>
      <c r="W91" s="228">
        <v>662.9</v>
      </c>
      <c r="X91" s="228">
        <v>3.1</v>
      </c>
      <c r="Y91" s="229">
        <v>4.7000000000000002E-3</v>
      </c>
      <c r="Z91" s="228">
        <v>1.05</v>
      </c>
      <c r="AA91" s="228">
        <v>1.7</v>
      </c>
      <c r="AB91" s="228">
        <v>-0.65</v>
      </c>
      <c r="AC91" s="229">
        <v>1.6000000000000001E-3</v>
      </c>
      <c r="AD91" s="228">
        <v>1.05</v>
      </c>
      <c r="AE91" s="228">
        <v>1.7</v>
      </c>
      <c r="AF91" s="228">
        <v>-0.65</v>
      </c>
      <c r="AG91" s="229">
        <v>1.6000000000000001E-3</v>
      </c>
      <c r="AH91" s="228">
        <v>4.45</v>
      </c>
      <c r="AI91" s="228">
        <v>4.75</v>
      </c>
      <c r="AJ91" s="228">
        <v>-0.3</v>
      </c>
      <c r="AK91" s="229">
        <v>6.7999999999999996E-3</v>
      </c>
      <c r="AL91" s="228">
        <v>9.4499999999999993</v>
      </c>
      <c r="AM91" s="228">
        <v>9.3000000000000007</v>
      </c>
      <c r="AN91" s="228">
        <v>0.15</v>
      </c>
      <c r="AO91" s="229">
        <v>1.44E-2</v>
      </c>
      <c r="AP91" s="228">
        <v>656.58</v>
      </c>
      <c r="AQ91" s="228">
        <v>659.84</v>
      </c>
      <c r="AR91" s="228">
        <v>0</v>
      </c>
      <c r="AS91" s="230">
        <v>1542</v>
      </c>
      <c r="AT91" s="230">
        <v>1037</v>
      </c>
      <c r="AU91" s="228">
        <v>505</v>
      </c>
      <c r="AV91" s="229">
        <v>0.4869</v>
      </c>
      <c r="AW91" s="228">
        <v>773</v>
      </c>
      <c r="AX91" s="228">
        <v>597</v>
      </c>
      <c r="AY91" s="228">
        <v>177</v>
      </c>
      <c r="AZ91" s="229">
        <v>0.29620000000000002</v>
      </c>
      <c r="BA91" s="228">
        <v>763</v>
      </c>
      <c r="BB91" s="228">
        <v>434</v>
      </c>
      <c r="BC91" s="228">
        <v>329</v>
      </c>
      <c r="BD91" s="229">
        <v>0.7581</v>
      </c>
      <c r="BE91" s="228">
        <v>5</v>
      </c>
      <c r="BF91" s="228">
        <v>6</v>
      </c>
      <c r="BG91" s="228">
        <v>-1</v>
      </c>
      <c r="BH91" s="229">
        <v>-0.1368</v>
      </c>
      <c r="BI91" s="230">
        <v>1072</v>
      </c>
      <c r="BJ91" s="230">
        <v>1438</v>
      </c>
      <c r="BK91" s="228">
        <v>-366</v>
      </c>
      <c r="BL91" s="229">
        <v>-0.25459999999999999</v>
      </c>
      <c r="BM91" s="228">
        <v>446</v>
      </c>
      <c r="BN91" s="228">
        <v>766</v>
      </c>
      <c r="BO91" s="228">
        <v>-320</v>
      </c>
      <c r="BP91" s="229">
        <v>-0.41810000000000003</v>
      </c>
      <c r="BQ91" s="230">
        <v>3060</v>
      </c>
      <c r="BR91" s="230">
        <v>3241</v>
      </c>
      <c r="BS91" s="228">
        <v>-182</v>
      </c>
      <c r="BT91" s="229">
        <v>-5.6099999999999997E-2</v>
      </c>
      <c r="BU91" s="230">
        <v>5858242</v>
      </c>
      <c r="BV91" s="230">
        <v>6049162</v>
      </c>
      <c r="BW91" s="230">
        <v>-190920</v>
      </c>
      <c r="BX91" s="229">
        <v>-3.1600000000000003E-2</v>
      </c>
      <c r="BY91" s="230">
        <v>1879</v>
      </c>
      <c r="BZ91" s="230">
        <v>1817</v>
      </c>
      <c r="CA91" s="228">
        <v>61</v>
      </c>
      <c r="CB91" s="229">
        <v>3.3700000000000001E-2</v>
      </c>
      <c r="CC91" s="228">
        <v>911</v>
      </c>
      <c r="CD91" s="230">
        <v>1387</v>
      </c>
      <c r="CE91" s="228">
        <v>-476</v>
      </c>
      <c r="CF91" s="229">
        <v>-0.34300000000000003</v>
      </c>
      <c r="CG91" s="228">
        <v>940</v>
      </c>
      <c r="CH91" s="228">
        <v>406</v>
      </c>
      <c r="CI91" s="228">
        <v>534</v>
      </c>
      <c r="CJ91" s="229">
        <v>1.3180000000000001</v>
      </c>
      <c r="CK91" s="228">
        <v>27</v>
      </c>
      <c r="CL91" s="228">
        <v>25</v>
      </c>
      <c r="CM91" s="228">
        <v>2</v>
      </c>
      <c r="CN91" s="229">
        <v>0.1013</v>
      </c>
      <c r="CO91" s="228">
        <v>910</v>
      </c>
      <c r="CP91" s="228">
        <v>982</v>
      </c>
      <c r="CQ91" s="228">
        <v>-71</v>
      </c>
      <c r="CR91" s="229">
        <v>-7.2599999999999998E-2</v>
      </c>
      <c r="CS91" s="228">
        <v>605</v>
      </c>
      <c r="CT91" s="228">
        <v>597</v>
      </c>
      <c r="CU91" s="228">
        <v>9</v>
      </c>
      <c r="CV91" s="229">
        <v>1.4999999999999999E-2</v>
      </c>
      <c r="CW91" s="230">
        <v>3394</v>
      </c>
      <c r="CX91" s="230">
        <v>3395</v>
      </c>
      <c r="CY91" s="228">
        <v>-1</v>
      </c>
      <c r="CZ91" s="229">
        <v>-2.9999999999999997E-4</v>
      </c>
      <c r="DA91" s="228">
        <v>27.56</v>
      </c>
      <c r="DB91" s="228">
        <v>27.12</v>
      </c>
      <c r="DC91" s="228">
        <v>0.44</v>
      </c>
      <c r="DD91" s="228">
        <v>0.44</v>
      </c>
      <c r="DE91" s="228">
        <v>33.44</v>
      </c>
      <c r="DF91" s="228">
        <v>33.520000000000003</v>
      </c>
      <c r="DG91" s="228">
        <v>-5.88</v>
      </c>
      <c r="DH91" s="228">
        <v>-0.08</v>
      </c>
      <c r="DI91" s="228">
        <v>27.73</v>
      </c>
      <c r="DJ91" s="228">
        <v>27.21</v>
      </c>
      <c r="DK91" s="228">
        <v>0.52</v>
      </c>
      <c r="DL91" s="228">
        <v>0.52</v>
      </c>
      <c r="DM91" s="228">
        <v>27.23</v>
      </c>
      <c r="DN91" s="228">
        <v>26.96</v>
      </c>
      <c r="DO91" s="228">
        <v>0.27</v>
      </c>
      <c r="DP91" s="228">
        <v>0.27</v>
      </c>
      <c r="DQ91" s="228">
        <v>0.67</v>
      </c>
      <c r="DR91" s="228">
        <v>0.61</v>
      </c>
      <c r="DS91" s="228">
        <v>0.06</v>
      </c>
      <c r="DT91" s="229">
        <v>9.8400000000000001E-2</v>
      </c>
      <c r="DU91" s="228">
        <v>680</v>
      </c>
      <c r="DV91" s="228">
        <v>660</v>
      </c>
      <c r="DW91" s="228">
        <v>0.42</v>
      </c>
      <c r="DX91" s="228">
        <v>0.53</v>
      </c>
      <c r="DY91" s="228">
        <v>-0.11</v>
      </c>
      <c r="DZ91" s="229">
        <v>-0.20749999999999999</v>
      </c>
      <c r="EA91" s="229">
        <v>0.51490000000000002</v>
      </c>
      <c r="EB91" s="230">
        <v>6542000</v>
      </c>
      <c r="EC91" s="229">
        <v>5.1999999999999998E-3</v>
      </c>
      <c r="ED91" s="229">
        <v>0.51490000000000002</v>
      </c>
      <c r="EE91" s="228">
        <v>3.26</v>
      </c>
      <c r="EF91" s="229">
        <v>5.0000000000000001E-3</v>
      </c>
      <c r="EG91" s="230">
        <v>3515160</v>
      </c>
      <c r="EH91" s="230">
        <v>3472081</v>
      </c>
      <c r="EI91" s="229">
        <v>1.24E-2</v>
      </c>
      <c r="EJ91" s="229">
        <v>0.6</v>
      </c>
      <c r="EK91" s="231">
        <v>1122.03</v>
      </c>
      <c r="EL91" s="228">
        <v>456.19</v>
      </c>
      <c r="EM91" s="231">
        <v>1543.28</v>
      </c>
      <c r="EN91" s="228">
        <v>83.1</v>
      </c>
      <c r="EO91" s="231">
        <v>3121.49</v>
      </c>
      <c r="EP91" s="231">
        <v>3286.43</v>
      </c>
      <c r="EQ91" s="228">
        <v>-164.94</v>
      </c>
      <c r="ER91" s="229">
        <v>-5.0200000000000002E-2</v>
      </c>
      <c r="ES91" s="228">
        <v>992.8</v>
      </c>
      <c r="ET91" s="228">
        <v>630.74</v>
      </c>
      <c r="EU91" s="231">
        <v>1883.71</v>
      </c>
      <c r="EV91" s="231">
        <v>132129624</v>
      </c>
      <c r="EW91" s="231">
        <v>3507.25</v>
      </c>
      <c r="EX91" s="231">
        <v>3507.23</v>
      </c>
      <c r="EY91" s="228">
        <v>0.02</v>
      </c>
      <c r="EZ91" s="229">
        <v>0</v>
      </c>
      <c r="FA91" s="229">
        <v>0.3906</v>
      </c>
      <c r="FB91" s="227" t="s">
        <v>555</v>
      </c>
      <c r="FC91">
        <f t="shared" si="1"/>
        <v>968</v>
      </c>
    </row>
    <row r="92" spans="1:159" ht="17.25" thickBot="1" x14ac:dyDescent="0.3">
      <c r="A92" s="226">
        <v>46044</v>
      </c>
      <c r="B92" s="227" t="s">
        <v>172</v>
      </c>
      <c r="C92" s="227" t="s">
        <v>578</v>
      </c>
      <c r="D92" s="228">
        <v>1000</v>
      </c>
      <c r="E92" s="228">
        <v>5</v>
      </c>
      <c r="F92" s="228">
        <v>897.1</v>
      </c>
      <c r="G92" s="228">
        <v>850.1</v>
      </c>
      <c r="H92" s="228">
        <v>47</v>
      </c>
      <c r="I92" s="229">
        <v>5.5300000000000002E-2</v>
      </c>
      <c r="J92" s="228">
        <v>896.75</v>
      </c>
      <c r="K92" s="228">
        <v>850.55</v>
      </c>
      <c r="L92" s="228">
        <v>46.2</v>
      </c>
      <c r="M92" s="229">
        <v>5.4300000000000001E-2</v>
      </c>
      <c r="N92" s="228">
        <v>897.1</v>
      </c>
      <c r="O92" s="228">
        <v>850.1</v>
      </c>
      <c r="P92" s="228">
        <v>47</v>
      </c>
      <c r="Q92" s="229">
        <v>5.5300000000000002E-2</v>
      </c>
      <c r="R92" s="228">
        <v>903.35</v>
      </c>
      <c r="S92" s="228">
        <v>854</v>
      </c>
      <c r="T92" s="228">
        <v>49.35</v>
      </c>
      <c r="U92" s="229">
        <v>5.7799999999999997E-2</v>
      </c>
      <c r="V92" s="228">
        <v>908.6</v>
      </c>
      <c r="W92" s="228">
        <v>856.3</v>
      </c>
      <c r="X92" s="228">
        <v>52.3</v>
      </c>
      <c r="Y92" s="229">
        <v>6.1100000000000002E-2</v>
      </c>
      <c r="Z92" s="228">
        <v>0.35</v>
      </c>
      <c r="AA92" s="228">
        <v>-0.45</v>
      </c>
      <c r="AB92" s="228">
        <v>0.8</v>
      </c>
      <c r="AC92" s="229">
        <v>4.0000000000000002E-4</v>
      </c>
      <c r="AD92" s="228">
        <v>0.35</v>
      </c>
      <c r="AE92" s="228">
        <v>-0.45</v>
      </c>
      <c r="AF92" s="228">
        <v>0.8</v>
      </c>
      <c r="AG92" s="229">
        <v>4.0000000000000002E-4</v>
      </c>
      <c r="AH92" s="228">
        <v>6.6</v>
      </c>
      <c r="AI92" s="228">
        <v>3.45</v>
      </c>
      <c r="AJ92" s="228">
        <v>3.15</v>
      </c>
      <c r="AK92" s="229">
        <v>7.4000000000000003E-3</v>
      </c>
      <c r="AL92" s="228">
        <v>11.85</v>
      </c>
      <c r="AM92" s="228">
        <v>5.75</v>
      </c>
      <c r="AN92" s="228">
        <v>6.1</v>
      </c>
      <c r="AO92" s="229">
        <v>1.32E-2</v>
      </c>
      <c r="AP92" s="228">
        <v>874.3</v>
      </c>
      <c r="AQ92" s="228">
        <v>878.45</v>
      </c>
      <c r="AR92" s="228">
        <v>0</v>
      </c>
      <c r="AS92" s="230">
        <v>1756</v>
      </c>
      <c r="AT92" s="228">
        <v>705</v>
      </c>
      <c r="AU92" s="230">
        <v>1051</v>
      </c>
      <c r="AV92" s="229">
        <v>1.4903</v>
      </c>
      <c r="AW92" s="228">
        <v>928</v>
      </c>
      <c r="AX92" s="228">
        <v>445</v>
      </c>
      <c r="AY92" s="228">
        <v>483</v>
      </c>
      <c r="AZ92" s="229">
        <v>1.0859000000000001</v>
      </c>
      <c r="BA92" s="228">
        <v>817</v>
      </c>
      <c r="BB92" s="228">
        <v>259</v>
      </c>
      <c r="BC92" s="228">
        <v>559</v>
      </c>
      <c r="BD92" s="229">
        <v>2.1581000000000001</v>
      </c>
      <c r="BE92" s="228">
        <v>11</v>
      </c>
      <c r="BF92" s="228">
        <v>1</v>
      </c>
      <c r="BG92" s="228">
        <v>9</v>
      </c>
      <c r="BH92" s="229">
        <v>6.375</v>
      </c>
      <c r="BI92" s="230">
        <v>4825</v>
      </c>
      <c r="BJ92" s="228">
        <v>711</v>
      </c>
      <c r="BK92" s="230">
        <v>4114</v>
      </c>
      <c r="BL92" s="229">
        <v>5.7874999999999996</v>
      </c>
      <c r="BM92" s="230">
        <v>1556</v>
      </c>
      <c r="BN92" s="228">
        <v>357</v>
      </c>
      <c r="BO92" s="230">
        <v>1199</v>
      </c>
      <c r="BP92" s="229">
        <v>3.3612000000000002</v>
      </c>
      <c r="BQ92" s="230">
        <v>8136</v>
      </c>
      <c r="BR92" s="230">
        <v>1772</v>
      </c>
      <c r="BS92" s="230">
        <v>6364</v>
      </c>
      <c r="BT92" s="229">
        <v>3.5901999999999998</v>
      </c>
      <c r="BU92" s="230">
        <v>5623682</v>
      </c>
      <c r="BV92" s="230">
        <v>1852896</v>
      </c>
      <c r="BW92" s="230">
        <v>3770786</v>
      </c>
      <c r="BX92" s="229">
        <v>2.0350999999999999</v>
      </c>
      <c r="BY92" s="228">
        <v>998</v>
      </c>
      <c r="BZ92" s="228">
        <v>979</v>
      </c>
      <c r="CA92" s="228">
        <v>19</v>
      </c>
      <c r="CB92" s="229">
        <v>1.9800000000000002E-2</v>
      </c>
      <c r="CC92" s="228">
        <v>400</v>
      </c>
      <c r="CD92" s="228">
        <v>757</v>
      </c>
      <c r="CE92" s="228">
        <v>-357</v>
      </c>
      <c r="CF92" s="229">
        <v>-0.47120000000000001</v>
      </c>
      <c r="CG92" s="228">
        <v>589</v>
      </c>
      <c r="CH92" s="228">
        <v>215</v>
      </c>
      <c r="CI92" s="228">
        <v>374</v>
      </c>
      <c r="CJ92" s="229">
        <v>1.7386999999999999</v>
      </c>
      <c r="CK92" s="228">
        <v>9</v>
      </c>
      <c r="CL92" s="228">
        <v>7</v>
      </c>
      <c r="CM92" s="228">
        <v>2</v>
      </c>
      <c r="CN92" s="229">
        <v>0.3291</v>
      </c>
      <c r="CO92" s="228">
        <v>743</v>
      </c>
      <c r="CP92" s="228">
        <v>582</v>
      </c>
      <c r="CQ92" s="228">
        <v>161</v>
      </c>
      <c r="CR92" s="229">
        <v>0.27760000000000001</v>
      </c>
      <c r="CS92" s="228">
        <v>576</v>
      </c>
      <c r="CT92" s="228">
        <v>481</v>
      </c>
      <c r="CU92" s="228">
        <v>95</v>
      </c>
      <c r="CV92" s="229">
        <v>0.1983</v>
      </c>
      <c r="CW92" s="230">
        <v>2318</v>
      </c>
      <c r="CX92" s="230">
        <v>2042</v>
      </c>
      <c r="CY92" s="228">
        <v>276</v>
      </c>
      <c r="CZ92" s="229">
        <v>0.1353</v>
      </c>
      <c r="DA92" s="228">
        <v>33.22</v>
      </c>
      <c r="DB92" s="228">
        <v>40.380000000000003</v>
      </c>
      <c r="DC92" s="228">
        <v>-7.16</v>
      </c>
      <c r="DD92" s="228">
        <v>-7.16</v>
      </c>
      <c r="DE92" s="228">
        <v>37.909999999999997</v>
      </c>
      <c r="DF92" s="228">
        <v>37.32</v>
      </c>
      <c r="DG92" s="228">
        <v>-4.6900000000000004</v>
      </c>
      <c r="DH92" s="228">
        <v>0.59</v>
      </c>
      <c r="DI92" s="228">
        <v>32.74</v>
      </c>
      <c r="DJ92" s="228">
        <v>39.799999999999997</v>
      </c>
      <c r="DK92" s="228">
        <v>-7.06</v>
      </c>
      <c r="DL92" s="228">
        <v>-7.06</v>
      </c>
      <c r="DM92" s="228">
        <v>34.75</v>
      </c>
      <c r="DN92" s="228">
        <v>41.54</v>
      </c>
      <c r="DO92" s="228">
        <v>-6.79</v>
      </c>
      <c r="DP92" s="228">
        <v>-6.79</v>
      </c>
      <c r="DQ92" s="228">
        <v>0.78</v>
      </c>
      <c r="DR92" s="228">
        <v>0.83</v>
      </c>
      <c r="DS92" s="228">
        <v>-0.05</v>
      </c>
      <c r="DT92" s="229">
        <v>-6.0199999999999997E-2</v>
      </c>
      <c r="DU92" s="228">
        <v>900</v>
      </c>
      <c r="DV92" s="228">
        <v>850</v>
      </c>
      <c r="DW92" s="228">
        <v>0.32</v>
      </c>
      <c r="DX92" s="228">
        <v>0.5</v>
      </c>
      <c r="DY92" s="228">
        <v>-0.18</v>
      </c>
      <c r="DZ92" s="229">
        <v>-0.36</v>
      </c>
      <c r="EA92" s="229">
        <v>0.59909999999999997</v>
      </c>
      <c r="EB92" s="230">
        <v>2475000</v>
      </c>
      <c r="EC92" s="229">
        <v>7.0000000000000001E-3</v>
      </c>
      <c r="ED92" s="229">
        <v>0.59909999999999997</v>
      </c>
      <c r="EE92" s="228">
        <v>4.1500000000000004</v>
      </c>
      <c r="EF92" s="229">
        <v>4.7000000000000002E-3</v>
      </c>
      <c r="EG92" s="230">
        <v>2621477</v>
      </c>
      <c r="EH92" s="230">
        <v>809613</v>
      </c>
      <c r="EI92" s="229">
        <v>2.2378999999999998</v>
      </c>
      <c r="EJ92" s="229">
        <v>0.46610000000000001</v>
      </c>
      <c r="EK92" s="231">
        <v>4890.12</v>
      </c>
      <c r="EL92" s="231">
        <v>1481.42</v>
      </c>
      <c r="EM92" s="231">
        <v>1714.78</v>
      </c>
      <c r="EN92" s="228">
        <v>46.45</v>
      </c>
      <c r="EO92" s="231">
        <v>8086.33</v>
      </c>
      <c r="EP92" s="231">
        <v>1696.66</v>
      </c>
      <c r="EQ92" s="231">
        <v>6389.68</v>
      </c>
      <c r="ER92" s="229">
        <v>3.766</v>
      </c>
      <c r="ES92" s="228">
        <v>747.78</v>
      </c>
      <c r="ET92" s="228">
        <v>529.71</v>
      </c>
      <c r="EU92" s="231">
        <v>1002.6</v>
      </c>
      <c r="EV92" s="231">
        <v>52862157</v>
      </c>
      <c r="EW92" s="231">
        <v>2280.09</v>
      </c>
      <c r="EX92" s="231">
        <v>1935.43</v>
      </c>
      <c r="EY92" s="228">
        <v>344.66</v>
      </c>
      <c r="EZ92" s="229">
        <v>0.17810000000000001</v>
      </c>
      <c r="FA92" s="229">
        <v>0.48880000000000001</v>
      </c>
      <c r="FB92" s="227" t="s">
        <v>555</v>
      </c>
      <c r="FC92">
        <f t="shared" si="1"/>
        <v>598</v>
      </c>
    </row>
    <row r="93" spans="1:159" ht="17.25" thickBot="1" x14ac:dyDescent="0.3">
      <c r="A93" s="226">
        <v>46044</v>
      </c>
      <c r="B93" s="227" t="s">
        <v>181</v>
      </c>
      <c r="C93" s="227" t="s">
        <v>688</v>
      </c>
      <c r="D93" s="228">
        <v>1</v>
      </c>
      <c r="E93" s="228">
        <v>5</v>
      </c>
      <c r="F93" s="228">
        <v>13.35</v>
      </c>
      <c r="G93" s="228">
        <v>13.78</v>
      </c>
      <c r="H93" s="228">
        <v>-0.43</v>
      </c>
      <c r="I93" s="229">
        <v>-3.1199999999999999E-2</v>
      </c>
      <c r="J93" s="228">
        <v>13.35</v>
      </c>
      <c r="K93" s="228">
        <v>13.78</v>
      </c>
      <c r="L93" s="228">
        <v>-0.43</v>
      </c>
      <c r="M93" s="229">
        <v>-3.1199999999999999E-2</v>
      </c>
      <c r="N93" s="228">
        <v>0</v>
      </c>
      <c r="O93" s="228">
        <v>0</v>
      </c>
      <c r="P93" s="228">
        <v>0</v>
      </c>
      <c r="Q93" s="229">
        <v>0</v>
      </c>
      <c r="R93" s="228">
        <v>0</v>
      </c>
      <c r="S93" s="228">
        <v>0</v>
      </c>
      <c r="T93" s="228">
        <v>0</v>
      </c>
      <c r="U93" s="229">
        <v>0</v>
      </c>
      <c r="V93" s="228">
        <v>0</v>
      </c>
      <c r="W93" s="228">
        <v>0</v>
      </c>
      <c r="X93" s="228">
        <v>0</v>
      </c>
      <c r="Y93" s="229">
        <v>0</v>
      </c>
      <c r="Z93" s="228">
        <v>0</v>
      </c>
      <c r="AA93" s="228">
        <v>0</v>
      </c>
      <c r="AB93" s="228">
        <v>0</v>
      </c>
      <c r="AC93" s="229">
        <v>0</v>
      </c>
      <c r="AD93" s="228">
        <v>0</v>
      </c>
      <c r="AE93" s="228">
        <v>0</v>
      </c>
      <c r="AF93" s="228">
        <v>0</v>
      </c>
      <c r="AG93" s="229">
        <v>0</v>
      </c>
      <c r="AH93" s="228">
        <v>0</v>
      </c>
      <c r="AI93" s="228">
        <v>0</v>
      </c>
      <c r="AJ93" s="228">
        <v>0</v>
      </c>
      <c r="AK93" s="229">
        <v>0</v>
      </c>
      <c r="AL93" s="228">
        <v>0</v>
      </c>
      <c r="AM93" s="228">
        <v>0</v>
      </c>
      <c r="AN93" s="228">
        <v>0</v>
      </c>
      <c r="AO93" s="229">
        <v>0</v>
      </c>
      <c r="AP93" s="228">
        <v>0</v>
      </c>
      <c r="AQ93" s="228">
        <v>0</v>
      </c>
      <c r="AR93" s="228">
        <v>0</v>
      </c>
      <c r="AS93" s="228">
        <v>0</v>
      </c>
      <c r="AT93" s="228">
        <v>0</v>
      </c>
      <c r="AU93" s="228">
        <v>0</v>
      </c>
      <c r="AV93" s="229">
        <v>0</v>
      </c>
      <c r="AW93" s="228">
        <v>0</v>
      </c>
      <c r="AX93" s="228">
        <v>0</v>
      </c>
      <c r="AY93" s="228">
        <v>0</v>
      </c>
      <c r="AZ93" s="229">
        <v>0</v>
      </c>
      <c r="BA93" s="228">
        <v>0</v>
      </c>
      <c r="BB93" s="228">
        <v>0</v>
      </c>
      <c r="BC93" s="228">
        <v>0</v>
      </c>
      <c r="BD93" s="229">
        <v>0</v>
      </c>
      <c r="BE93" s="228">
        <v>0</v>
      </c>
      <c r="BF93" s="228">
        <v>0</v>
      </c>
      <c r="BG93" s="228">
        <v>0</v>
      </c>
      <c r="BH93" s="229">
        <v>0</v>
      </c>
      <c r="BI93" s="228">
        <v>0</v>
      </c>
      <c r="BJ93" s="228">
        <v>0</v>
      </c>
      <c r="BK93" s="228">
        <v>0</v>
      </c>
      <c r="BL93" s="229">
        <v>0</v>
      </c>
      <c r="BM93" s="228">
        <v>0</v>
      </c>
      <c r="BN93" s="228">
        <v>0</v>
      </c>
      <c r="BO93" s="228">
        <v>0</v>
      </c>
      <c r="BP93" s="229">
        <v>0</v>
      </c>
      <c r="BQ93" s="228">
        <v>0</v>
      </c>
      <c r="BR93" s="228">
        <v>0</v>
      </c>
      <c r="BS93" s="228">
        <v>0</v>
      </c>
      <c r="BT93" s="229">
        <v>0</v>
      </c>
      <c r="BU93" s="228">
        <v>0</v>
      </c>
      <c r="BV93" s="228">
        <v>0</v>
      </c>
      <c r="BW93" s="228">
        <v>0</v>
      </c>
      <c r="BX93" s="229">
        <v>0</v>
      </c>
      <c r="BY93" s="228">
        <v>0</v>
      </c>
      <c r="BZ93" s="228">
        <v>0</v>
      </c>
      <c r="CA93" s="228">
        <v>0</v>
      </c>
      <c r="CB93" s="229">
        <v>0</v>
      </c>
      <c r="CC93" s="228">
        <v>0</v>
      </c>
      <c r="CD93" s="228">
        <v>0</v>
      </c>
      <c r="CE93" s="228">
        <v>0</v>
      </c>
      <c r="CF93" s="229">
        <v>0</v>
      </c>
      <c r="CG93" s="228">
        <v>0</v>
      </c>
      <c r="CH93" s="228">
        <v>0</v>
      </c>
      <c r="CI93" s="228">
        <v>0</v>
      </c>
      <c r="CJ93" s="229">
        <v>0</v>
      </c>
      <c r="CK93" s="228">
        <v>0</v>
      </c>
      <c r="CL93" s="228">
        <v>0</v>
      </c>
      <c r="CM93" s="228">
        <v>0</v>
      </c>
      <c r="CN93" s="229">
        <v>0</v>
      </c>
      <c r="CO93" s="228">
        <v>0</v>
      </c>
      <c r="CP93" s="228">
        <v>0</v>
      </c>
      <c r="CQ93" s="228">
        <v>0</v>
      </c>
      <c r="CR93" s="229">
        <v>0</v>
      </c>
      <c r="CS93" s="228">
        <v>0</v>
      </c>
      <c r="CT93" s="228">
        <v>0</v>
      </c>
      <c r="CU93" s="228">
        <v>0</v>
      </c>
      <c r="CV93" s="229">
        <v>0</v>
      </c>
      <c r="CW93" s="228">
        <v>0</v>
      </c>
      <c r="CX93" s="228">
        <v>0</v>
      </c>
      <c r="CY93" s="228">
        <v>0</v>
      </c>
      <c r="CZ93" s="229">
        <v>0</v>
      </c>
      <c r="DA93" s="228">
        <v>0</v>
      </c>
      <c r="DB93" s="228">
        <v>0</v>
      </c>
      <c r="DC93" s="228">
        <v>0</v>
      </c>
      <c r="DD93" s="228">
        <v>0</v>
      </c>
      <c r="DE93" s="228">
        <v>0</v>
      </c>
      <c r="DF93" s="228">
        <v>0</v>
      </c>
      <c r="DG93" s="228">
        <v>0</v>
      </c>
      <c r="DH93" s="228">
        <v>0</v>
      </c>
      <c r="DI93" s="228">
        <v>0</v>
      </c>
      <c r="DJ93" s="228">
        <v>0</v>
      </c>
      <c r="DK93" s="228">
        <v>0</v>
      </c>
      <c r="DL93" s="228">
        <v>0</v>
      </c>
      <c r="DM93" s="228">
        <v>0</v>
      </c>
      <c r="DN93" s="228">
        <v>0</v>
      </c>
      <c r="DO93" s="228">
        <v>0</v>
      </c>
      <c r="DP93" s="228">
        <v>0</v>
      </c>
      <c r="DQ93" s="228">
        <v>0</v>
      </c>
      <c r="DR93" s="228">
        <v>0</v>
      </c>
      <c r="DS93" s="228">
        <v>0</v>
      </c>
      <c r="DT93" s="229">
        <v>0</v>
      </c>
      <c r="DU93" s="228">
        <v>0</v>
      </c>
      <c r="DV93" s="228">
        <v>0</v>
      </c>
      <c r="DW93" s="228">
        <v>0</v>
      </c>
      <c r="DX93" s="228">
        <v>0</v>
      </c>
      <c r="DY93" s="228">
        <v>0</v>
      </c>
      <c r="DZ93" s="229">
        <v>0</v>
      </c>
      <c r="EA93" s="229">
        <v>0</v>
      </c>
      <c r="EB93" s="228">
        <v>0</v>
      </c>
      <c r="EC93" s="229">
        <v>0</v>
      </c>
      <c r="ED93" s="229">
        <v>0</v>
      </c>
      <c r="EE93" s="228">
        <v>0</v>
      </c>
      <c r="EF93" s="229">
        <v>0</v>
      </c>
      <c r="EG93" s="228">
        <v>0</v>
      </c>
      <c r="EH93" s="228">
        <v>0</v>
      </c>
      <c r="EI93" s="229">
        <v>0</v>
      </c>
      <c r="EJ93" s="229">
        <v>0</v>
      </c>
      <c r="EK93" s="228">
        <v>0</v>
      </c>
      <c r="EL93" s="228">
        <v>0</v>
      </c>
      <c r="EM93" s="228">
        <v>0</v>
      </c>
      <c r="EN93" s="228">
        <v>0</v>
      </c>
      <c r="EO93" s="228">
        <v>0</v>
      </c>
      <c r="EP93" s="228">
        <v>0</v>
      </c>
      <c r="EQ93" s="228">
        <v>0</v>
      </c>
      <c r="ER93" s="229">
        <v>0</v>
      </c>
      <c r="ES93" s="228">
        <v>0</v>
      </c>
      <c r="ET93" s="228">
        <v>0</v>
      </c>
      <c r="EU93" s="228">
        <v>0</v>
      </c>
      <c r="EV93" s="228">
        <v>0</v>
      </c>
      <c r="EW93" s="228">
        <v>0</v>
      </c>
      <c r="EX93" s="228">
        <v>0</v>
      </c>
      <c r="EY93" s="228">
        <v>0</v>
      </c>
      <c r="EZ93" s="229">
        <v>0</v>
      </c>
      <c r="FA93" s="229">
        <v>0</v>
      </c>
      <c r="FB93" s="227" t="s">
        <v>237</v>
      </c>
      <c r="FC93">
        <f t="shared" si="1"/>
        <v>0</v>
      </c>
    </row>
    <row r="94" spans="1:159" ht="17.25" thickBot="1" x14ac:dyDescent="0.3">
      <c r="A94" s="226">
        <v>46044</v>
      </c>
      <c r="B94" s="227" t="s">
        <v>215</v>
      </c>
      <c r="C94" s="227" t="s">
        <v>238</v>
      </c>
      <c r="D94" s="228">
        <v>150</v>
      </c>
      <c r="E94" s="228">
        <v>5</v>
      </c>
      <c r="F94" s="231">
        <v>4916.5</v>
      </c>
      <c r="G94" s="231">
        <v>4873.5</v>
      </c>
      <c r="H94" s="228">
        <v>43</v>
      </c>
      <c r="I94" s="229">
        <v>8.8000000000000005E-3</v>
      </c>
      <c r="J94" s="231">
        <v>4909</v>
      </c>
      <c r="K94" s="231">
        <v>4857.5</v>
      </c>
      <c r="L94" s="228">
        <v>51.5</v>
      </c>
      <c r="M94" s="229">
        <v>1.06E-2</v>
      </c>
      <c r="N94" s="231">
        <v>4916.5</v>
      </c>
      <c r="O94" s="231">
        <v>4873.5</v>
      </c>
      <c r="P94" s="228">
        <v>43</v>
      </c>
      <c r="Q94" s="229">
        <v>8.8000000000000005E-3</v>
      </c>
      <c r="R94" s="231">
        <v>4938.5</v>
      </c>
      <c r="S94" s="231">
        <v>4894.5</v>
      </c>
      <c r="T94" s="228">
        <v>44</v>
      </c>
      <c r="U94" s="229">
        <v>8.9999999999999993E-3</v>
      </c>
      <c r="V94" s="231">
        <v>4966.5</v>
      </c>
      <c r="W94" s="231">
        <v>4918.5</v>
      </c>
      <c r="X94" s="228">
        <v>48</v>
      </c>
      <c r="Y94" s="229">
        <v>9.7999999999999997E-3</v>
      </c>
      <c r="Z94" s="228">
        <v>7.5</v>
      </c>
      <c r="AA94" s="228">
        <v>16</v>
      </c>
      <c r="AB94" s="228">
        <v>-8.5</v>
      </c>
      <c r="AC94" s="229">
        <v>1.5E-3</v>
      </c>
      <c r="AD94" s="228">
        <v>7.5</v>
      </c>
      <c r="AE94" s="228">
        <v>16</v>
      </c>
      <c r="AF94" s="228">
        <v>-8.5</v>
      </c>
      <c r="AG94" s="229">
        <v>1.5E-3</v>
      </c>
      <c r="AH94" s="228">
        <v>29.5</v>
      </c>
      <c r="AI94" s="228">
        <v>37</v>
      </c>
      <c r="AJ94" s="228">
        <v>-7.5</v>
      </c>
      <c r="AK94" s="229">
        <v>6.0000000000000001E-3</v>
      </c>
      <c r="AL94" s="228">
        <v>57.5</v>
      </c>
      <c r="AM94" s="228">
        <v>61</v>
      </c>
      <c r="AN94" s="228">
        <v>-3.5</v>
      </c>
      <c r="AO94" s="229">
        <v>1.17E-2</v>
      </c>
      <c r="AP94" s="231">
        <v>4910.3599999999997</v>
      </c>
      <c r="AQ94" s="231">
        <v>4934.1499999999996</v>
      </c>
      <c r="AR94" s="228">
        <v>0</v>
      </c>
      <c r="AS94" s="230">
        <v>2765</v>
      </c>
      <c r="AT94" s="230">
        <v>3025</v>
      </c>
      <c r="AU94" s="228">
        <v>-260</v>
      </c>
      <c r="AV94" s="229">
        <v>-8.5999999999999993E-2</v>
      </c>
      <c r="AW94" s="230">
        <v>1430</v>
      </c>
      <c r="AX94" s="230">
        <v>1708</v>
      </c>
      <c r="AY94" s="228">
        <v>-278</v>
      </c>
      <c r="AZ94" s="229">
        <v>-0.16300000000000001</v>
      </c>
      <c r="BA94" s="230">
        <v>1327</v>
      </c>
      <c r="BB94" s="230">
        <v>1303</v>
      </c>
      <c r="BC94" s="228">
        <v>25</v>
      </c>
      <c r="BD94" s="229">
        <v>1.9E-2</v>
      </c>
      <c r="BE94" s="228">
        <v>8</v>
      </c>
      <c r="BF94" s="228">
        <v>15</v>
      </c>
      <c r="BG94" s="228">
        <v>-7</v>
      </c>
      <c r="BH94" s="229">
        <v>-0.43840000000000001</v>
      </c>
      <c r="BI94" s="230">
        <v>4246</v>
      </c>
      <c r="BJ94" s="230">
        <v>6872</v>
      </c>
      <c r="BK94" s="230">
        <v>-2626</v>
      </c>
      <c r="BL94" s="229">
        <v>-0.3821</v>
      </c>
      <c r="BM94" s="230">
        <v>3753</v>
      </c>
      <c r="BN94" s="230">
        <v>4552</v>
      </c>
      <c r="BO94" s="228">
        <v>-799</v>
      </c>
      <c r="BP94" s="229">
        <v>-0.17560000000000001</v>
      </c>
      <c r="BQ94" s="230">
        <v>10764</v>
      </c>
      <c r="BR94" s="230">
        <v>14450</v>
      </c>
      <c r="BS94" s="230">
        <v>-3685</v>
      </c>
      <c r="BT94" s="229">
        <v>-0.25509999999999999</v>
      </c>
      <c r="BU94" s="230">
        <v>1316949</v>
      </c>
      <c r="BV94" s="230">
        <v>1836401</v>
      </c>
      <c r="BW94" s="230">
        <v>-519452</v>
      </c>
      <c r="BX94" s="229">
        <v>-0.28289999999999998</v>
      </c>
      <c r="BY94" s="230">
        <v>4421</v>
      </c>
      <c r="BZ94" s="230">
        <v>4328</v>
      </c>
      <c r="CA94" s="228">
        <v>93</v>
      </c>
      <c r="CB94" s="229">
        <v>2.1499999999999998E-2</v>
      </c>
      <c r="CC94" s="230">
        <v>2152</v>
      </c>
      <c r="CD94" s="230">
        <v>3027</v>
      </c>
      <c r="CE94" s="228">
        <v>-875</v>
      </c>
      <c r="CF94" s="229">
        <v>-0.28920000000000001</v>
      </c>
      <c r="CG94" s="230">
        <v>2233</v>
      </c>
      <c r="CH94" s="230">
        <v>1267</v>
      </c>
      <c r="CI94" s="228">
        <v>966</v>
      </c>
      <c r="CJ94" s="229">
        <v>0.76249999999999996</v>
      </c>
      <c r="CK94" s="228">
        <v>36</v>
      </c>
      <c r="CL94" s="228">
        <v>34</v>
      </c>
      <c r="CM94" s="228">
        <v>2</v>
      </c>
      <c r="CN94" s="229">
        <v>6.0600000000000001E-2</v>
      </c>
      <c r="CO94" s="230">
        <v>2917</v>
      </c>
      <c r="CP94" s="230">
        <v>2830</v>
      </c>
      <c r="CQ94" s="228">
        <v>87</v>
      </c>
      <c r="CR94" s="229">
        <v>3.0599999999999999E-2</v>
      </c>
      <c r="CS94" s="230">
        <v>2002</v>
      </c>
      <c r="CT94" s="230">
        <v>1927</v>
      </c>
      <c r="CU94" s="228">
        <v>75</v>
      </c>
      <c r="CV94" s="229">
        <v>3.9E-2</v>
      </c>
      <c r="CW94" s="230">
        <v>9340</v>
      </c>
      <c r="CX94" s="230">
        <v>9085</v>
      </c>
      <c r="CY94" s="228">
        <v>255</v>
      </c>
      <c r="CZ94" s="229">
        <v>2.8000000000000001E-2</v>
      </c>
      <c r="DA94" s="228">
        <v>29.92</v>
      </c>
      <c r="DB94" s="228">
        <v>35.07</v>
      </c>
      <c r="DC94" s="228">
        <v>-5.15</v>
      </c>
      <c r="DD94" s="228">
        <v>-5.15</v>
      </c>
      <c r="DE94" s="228">
        <v>33.31</v>
      </c>
      <c r="DF94" s="228">
        <v>33.36</v>
      </c>
      <c r="DG94" s="228">
        <v>-3.39</v>
      </c>
      <c r="DH94" s="228">
        <v>-0.05</v>
      </c>
      <c r="DI94" s="228">
        <v>29.07</v>
      </c>
      <c r="DJ94" s="228">
        <v>33.630000000000003</v>
      </c>
      <c r="DK94" s="228">
        <v>-4.5599999999999996</v>
      </c>
      <c r="DL94" s="228">
        <v>-4.5599999999999996</v>
      </c>
      <c r="DM94" s="228">
        <v>30.96</v>
      </c>
      <c r="DN94" s="228">
        <v>37.24</v>
      </c>
      <c r="DO94" s="228">
        <v>-6.28</v>
      </c>
      <c r="DP94" s="228">
        <v>-6.28</v>
      </c>
      <c r="DQ94" s="228">
        <v>0.69</v>
      </c>
      <c r="DR94" s="228">
        <v>0.68</v>
      </c>
      <c r="DS94" s="228">
        <v>0.01</v>
      </c>
      <c r="DT94" s="229">
        <v>1.47E-2</v>
      </c>
      <c r="DU94" s="231">
        <v>5100</v>
      </c>
      <c r="DV94" s="231">
        <v>4700</v>
      </c>
      <c r="DW94" s="228">
        <v>0.88</v>
      </c>
      <c r="DX94" s="228">
        <v>0.66</v>
      </c>
      <c r="DY94" s="228">
        <v>0.22</v>
      </c>
      <c r="DZ94" s="229">
        <v>0.33329999999999999</v>
      </c>
      <c r="EA94" s="229">
        <v>0.51329999999999998</v>
      </c>
      <c r="EB94" s="230">
        <v>2646600</v>
      </c>
      <c r="EC94" s="229">
        <v>4.4999999999999997E-3</v>
      </c>
      <c r="ED94" s="229">
        <v>0.51329999999999998</v>
      </c>
      <c r="EE94" s="228">
        <v>23.79</v>
      </c>
      <c r="EF94" s="229">
        <v>4.7999999999999996E-3</v>
      </c>
      <c r="EG94" s="230">
        <v>834832</v>
      </c>
      <c r="EH94" s="230">
        <v>800156</v>
      </c>
      <c r="EI94" s="229">
        <v>4.3299999999999998E-2</v>
      </c>
      <c r="EJ94" s="229">
        <v>0.63390000000000002</v>
      </c>
      <c r="EK94" s="231">
        <v>4437.92</v>
      </c>
      <c r="EL94" s="231">
        <v>3676.08</v>
      </c>
      <c r="EM94" s="231">
        <v>2768.22</v>
      </c>
      <c r="EN94" s="228">
        <v>207.07</v>
      </c>
      <c r="EO94" s="231">
        <v>10882.22</v>
      </c>
      <c r="EP94" s="231">
        <v>14503.09</v>
      </c>
      <c r="EQ94" s="231">
        <v>-3620.86</v>
      </c>
      <c r="ER94" s="229">
        <v>-0.24970000000000001</v>
      </c>
      <c r="ES94" s="231">
        <v>3087.66</v>
      </c>
      <c r="ET94" s="231">
        <v>1960.49</v>
      </c>
      <c r="EU94" s="231">
        <v>4431.38</v>
      </c>
      <c r="EV94" s="231">
        <v>33874835</v>
      </c>
      <c r="EW94" s="231">
        <v>9479.5300000000007</v>
      </c>
      <c r="EX94" s="231">
        <v>9164.77</v>
      </c>
      <c r="EY94" s="228">
        <v>314.76</v>
      </c>
      <c r="EZ94" s="229">
        <v>3.4299999999999997E-2</v>
      </c>
      <c r="FA94" s="229">
        <v>0.56079999999999997</v>
      </c>
      <c r="FB94" s="227" t="s">
        <v>555</v>
      </c>
      <c r="FC94">
        <f t="shared" si="1"/>
        <v>2269</v>
      </c>
    </row>
    <row r="95" spans="1:159" ht="17.25" thickBot="1" x14ac:dyDescent="0.3">
      <c r="A95" s="226">
        <v>46044</v>
      </c>
      <c r="B95" s="227" t="s">
        <v>172</v>
      </c>
      <c r="C95" s="227" t="s">
        <v>239</v>
      </c>
      <c r="D95" s="228">
        <v>700</v>
      </c>
      <c r="E95" s="228">
        <v>5</v>
      </c>
      <c r="F95" s="228">
        <v>903.95</v>
      </c>
      <c r="G95" s="228">
        <v>906.7</v>
      </c>
      <c r="H95" s="228">
        <v>-2.75</v>
      </c>
      <c r="I95" s="229">
        <v>-3.0000000000000001E-3</v>
      </c>
      <c r="J95" s="228">
        <v>902.45</v>
      </c>
      <c r="K95" s="228">
        <v>907.15</v>
      </c>
      <c r="L95" s="228">
        <v>-4.7</v>
      </c>
      <c r="M95" s="229">
        <v>-5.1999999999999998E-3</v>
      </c>
      <c r="N95" s="228">
        <v>903.95</v>
      </c>
      <c r="O95" s="228">
        <v>906.7</v>
      </c>
      <c r="P95" s="228">
        <v>-2.75</v>
      </c>
      <c r="Q95" s="229">
        <v>-3.0000000000000001E-3</v>
      </c>
      <c r="R95" s="228">
        <v>908.5</v>
      </c>
      <c r="S95" s="228">
        <v>911.6</v>
      </c>
      <c r="T95" s="228">
        <v>-3.1</v>
      </c>
      <c r="U95" s="229">
        <v>-3.3999999999999998E-3</v>
      </c>
      <c r="V95" s="228">
        <v>914.3</v>
      </c>
      <c r="W95" s="228">
        <v>917.05</v>
      </c>
      <c r="X95" s="228">
        <v>-2.75</v>
      </c>
      <c r="Y95" s="229">
        <v>-3.0000000000000001E-3</v>
      </c>
      <c r="Z95" s="228">
        <v>1.5</v>
      </c>
      <c r="AA95" s="228">
        <v>-0.45</v>
      </c>
      <c r="AB95" s="228">
        <v>1.95</v>
      </c>
      <c r="AC95" s="229">
        <v>1.6999999999999999E-3</v>
      </c>
      <c r="AD95" s="228">
        <v>1.5</v>
      </c>
      <c r="AE95" s="228">
        <v>-0.45</v>
      </c>
      <c r="AF95" s="228">
        <v>1.95</v>
      </c>
      <c r="AG95" s="229">
        <v>1.6999999999999999E-3</v>
      </c>
      <c r="AH95" s="228">
        <v>6.05</v>
      </c>
      <c r="AI95" s="228">
        <v>4.45</v>
      </c>
      <c r="AJ95" s="228">
        <v>1.6</v>
      </c>
      <c r="AK95" s="229">
        <v>6.7000000000000002E-3</v>
      </c>
      <c r="AL95" s="228">
        <v>11.85</v>
      </c>
      <c r="AM95" s="228">
        <v>9.9</v>
      </c>
      <c r="AN95" s="228">
        <v>1.95</v>
      </c>
      <c r="AO95" s="229">
        <v>1.3100000000000001E-2</v>
      </c>
      <c r="AP95" s="228">
        <v>901.57</v>
      </c>
      <c r="AQ95" s="228">
        <v>906.14</v>
      </c>
      <c r="AR95" s="228">
        <v>0</v>
      </c>
      <c r="AS95" s="230">
        <v>1971</v>
      </c>
      <c r="AT95" s="230">
        <v>1976</v>
      </c>
      <c r="AU95" s="228">
        <v>-4</v>
      </c>
      <c r="AV95" s="229">
        <v>-2.0999999999999999E-3</v>
      </c>
      <c r="AW95" s="228">
        <v>988</v>
      </c>
      <c r="AX95" s="230">
        <v>1144</v>
      </c>
      <c r="AY95" s="228">
        <v>-157</v>
      </c>
      <c r="AZ95" s="229">
        <v>-0.1368</v>
      </c>
      <c r="BA95" s="228">
        <v>980</v>
      </c>
      <c r="BB95" s="228">
        <v>824</v>
      </c>
      <c r="BC95" s="228">
        <v>156</v>
      </c>
      <c r="BD95" s="229">
        <v>0.18959999999999999</v>
      </c>
      <c r="BE95" s="228">
        <v>4</v>
      </c>
      <c r="BF95" s="228">
        <v>8</v>
      </c>
      <c r="BG95" s="228">
        <v>-4</v>
      </c>
      <c r="BH95" s="229">
        <v>-0.50419999999999998</v>
      </c>
      <c r="BI95" s="230">
        <v>1525</v>
      </c>
      <c r="BJ95" s="230">
        <v>1510</v>
      </c>
      <c r="BK95" s="228">
        <v>15</v>
      </c>
      <c r="BL95" s="229">
        <v>9.7000000000000003E-3</v>
      </c>
      <c r="BM95" s="230">
        <v>1060</v>
      </c>
      <c r="BN95" s="230">
        <v>1112</v>
      </c>
      <c r="BO95" s="228">
        <v>-52</v>
      </c>
      <c r="BP95" s="229">
        <v>-4.6800000000000001E-2</v>
      </c>
      <c r="BQ95" s="230">
        <v>4557</v>
      </c>
      <c r="BR95" s="230">
        <v>4598</v>
      </c>
      <c r="BS95" s="228">
        <v>-42</v>
      </c>
      <c r="BT95" s="229">
        <v>-9.1000000000000004E-3</v>
      </c>
      <c r="BU95" s="230">
        <v>2423034</v>
      </c>
      <c r="BV95" s="230">
        <v>3658431</v>
      </c>
      <c r="BW95" s="230">
        <v>-1235397</v>
      </c>
      <c r="BX95" s="229">
        <v>-0.3377</v>
      </c>
      <c r="BY95" s="230">
        <v>3554</v>
      </c>
      <c r="BZ95" s="230">
        <v>3533</v>
      </c>
      <c r="CA95" s="228">
        <v>21</v>
      </c>
      <c r="CB95" s="229">
        <v>5.8999999999999999E-3</v>
      </c>
      <c r="CC95" s="230">
        <v>1792</v>
      </c>
      <c r="CD95" s="230">
        <v>2400</v>
      </c>
      <c r="CE95" s="228">
        <v>-608</v>
      </c>
      <c r="CF95" s="229">
        <v>-0.25340000000000001</v>
      </c>
      <c r="CG95" s="230">
        <v>1738</v>
      </c>
      <c r="CH95" s="230">
        <v>1111</v>
      </c>
      <c r="CI95" s="228">
        <v>627</v>
      </c>
      <c r="CJ95" s="229">
        <v>0.56420000000000003</v>
      </c>
      <c r="CK95" s="228">
        <v>24</v>
      </c>
      <c r="CL95" s="228">
        <v>22</v>
      </c>
      <c r="CM95" s="228">
        <v>2</v>
      </c>
      <c r="CN95" s="229">
        <v>9.4600000000000004E-2</v>
      </c>
      <c r="CO95" s="230">
        <v>1022</v>
      </c>
      <c r="CP95" s="228">
        <v>990</v>
      </c>
      <c r="CQ95" s="228">
        <v>32</v>
      </c>
      <c r="CR95" s="229">
        <v>3.2399999999999998E-2</v>
      </c>
      <c r="CS95" s="228">
        <v>975</v>
      </c>
      <c r="CT95" s="228">
        <v>966</v>
      </c>
      <c r="CU95" s="228">
        <v>9</v>
      </c>
      <c r="CV95" s="229">
        <v>9.7000000000000003E-3</v>
      </c>
      <c r="CW95" s="230">
        <v>5551</v>
      </c>
      <c r="CX95" s="230">
        <v>5489</v>
      </c>
      <c r="CY95" s="228">
        <v>62</v>
      </c>
      <c r="CZ95" s="229">
        <v>1.1299999999999999E-2</v>
      </c>
      <c r="DA95" s="228">
        <v>33.51</v>
      </c>
      <c r="DB95" s="228">
        <v>38.08</v>
      </c>
      <c r="DC95" s="228">
        <v>-4.57</v>
      </c>
      <c r="DD95" s="228">
        <v>-4.57</v>
      </c>
      <c r="DE95" s="228">
        <v>43.31</v>
      </c>
      <c r="DF95" s="228">
        <v>43.41</v>
      </c>
      <c r="DG95" s="228">
        <v>-9.8000000000000007</v>
      </c>
      <c r="DH95" s="228">
        <v>-0.1</v>
      </c>
      <c r="DI95" s="228">
        <v>33.53</v>
      </c>
      <c r="DJ95" s="228">
        <v>37.869999999999997</v>
      </c>
      <c r="DK95" s="228">
        <v>-4.34</v>
      </c>
      <c r="DL95" s="228">
        <v>-4.34</v>
      </c>
      <c r="DM95" s="228">
        <v>33.47</v>
      </c>
      <c r="DN95" s="228">
        <v>38.36</v>
      </c>
      <c r="DO95" s="228">
        <v>-4.8899999999999997</v>
      </c>
      <c r="DP95" s="228">
        <v>-4.8899999999999997</v>
      </c>
      <c r="DQ95" s="228">
        <v>0.95</v>
      </c>
      <c r="DR95" s="228">
        <v>0.98</v>
      </c>
      <c r="DS95" s="228">
        <v>-0.03</v>
      </c>
      <c r="DT95" s="229">
        <v>-3.0599999999999999E-2</v>
      </c>
      <c r="DU95" s="228">
        <v>950</v>
      </c>
      <c r="DV95" s="228">
        <v>870</v>
      </c>
      <c r="DW95" s="228">
        <v>0.7</v>
      </c>
      <c r="DX95" s="228">
        <v>0.74</v>
      </c>
      <c r="DY95" s="228">
        <v>-0.04</v>
      </c>
      <c r="DZ95" s="229">
        <v>-5.4100000000000002E-2</v>
      </c>
      <c r="EA95" s="229">
        <v>0.49580000000000002</v>
      </c>
      <c r="EB95" s="230">
        <v>12534900</v>
      </c>
      <c r="EC95" s="229">
        <v>5.0000000000000001E-3</v>
      </c>
      <c r="ED95" s="229">
        <v>0.49580000000000002</v>
      </c>
      <c r="EE95" s="228">
        <v>4.57</v>
      </c>
      <c r="EF95" s="229">
        <v>5.1000000000000004E-3</v>
      </c>
      <c r="EG95" s="230">
        <v>1081939</v>
      </c>
      <c r="EH95" s="230">
        <v>1325939</v>
      </c>
      <c r="EI95" s="229">
        <v>-0.184</v>
      </c>
      <c r="EJ95" s="229">
        <v>0.44650000000000001</v>
      </c>
      <c r="EK95" s="231">
        <v>1593.54</v>
      </c>
      <c r="EL95" s="231">
        <v>1058.4100000000001</v>
      </c>
      <c r="EM95" s="231">
        <v>1971.24</v>
      </c>
      <c r="EN95" s="228">
        <v>218.17</v>
      </c>
      <c r="EO95" s="231">
        <v>4623.2</v>
      </c>
      <c r="EP95" s="231">
        <v>4676.05</v>
      </c>
      <c r="EQ95" s="228">
        <v>-52.85</v>
      </c>
      <c r="ER95" s="229">
        <v>-1.1299999999999999E-2</v>
      </c>
      <c r="ES95" s="231">
        <v>1057.1600000000001</v>
      </c>
      <c r="ET95" s="228">
        <v>950.24</v>
      </c>
      <c r="EU95" s="231">
        <v>3562.89</v>
      </c>
      <c r="EV95" s="231">
        <v>93808799</v>
      </c>
      <c r="EW95" s="231">
        <v>5570.28</v>
      </c>
      <c r="EX95" s="231">
        <v>5516.98</v>
      </c>
      <c r="EY95" s="228">
        <v>53.3</v>
      </c>
      <c r="EZ95" s="229">
        <v>9.7000000000000003E-3</v>
      </c>
      <c r="FA95" s="229">
        <v>0.65459999999999996</v>
      </c>
      <c r="FB95" s="227" t="s">
        <v>567</v>
      </c>
      <c r="FC95">
        <f t="shared" si="1"/>
        <v>1762</v>
      </c>
    </row>
    <row r="96" spans="1:159" ht="17.25" thickBot="1" x14ac:dyDescent="0.3">
      <c r="A96" s="226">
        <v>46044</v>
      </c>
      <c r="B96" s="227" t="s">
        <v>188</v>
      </c>
      <c r="C96" s="227" t="s">
        <v>473</v>
      </c>
      <c r="D96" s="228">
        <v>1700</v>
      </c>
      <c r="E96" s="228">
        <v>5</v>
      </c>
      <c r="F96" s="228">
        <v>419.65</v>
      </c>
      <c r="G96" s="228">
        <v>414.4</v>
      </c>
      <c r="H96" s="228">
        <v>5.25</v>
      </c>
      <c r="I96" s="229">
        <v>1.2699999999999999E-2</v>
      </c>
      <c r="J96" s="228">
        <v>419.2</v>
      </c>
      <c r="K96" s="228">
        <v>414</v>
      </c>
      <c r="L96" s="228">
        <v>5.2</v>
      </c>
      <c r="M96" s="229">
        <v>1.26E-2</v>
      </c>
      <c r="N96" s="228">
        <v>419.65</v>
      </c>
      <c r="O96" s="228">
        <v>414.4</v>
      </c>
      <c r="P96" s="228">
        <v>5.25</v>
      </c>
      <c r="Q96" s="229">
        <v>1.2699999999999999E-2</v>
      </c>
      <c r="R96" s="228">
        <v>421.8</v>
      </c>
      <c r="S96" s="228">
        <v>416.65</v>
      </c>
      <c r="T96" s="228">
        <v>5.15</v>
      </c>
      <c r="U96" s="229">
        <v>1.24E-2</v>
      </c>
      <c r="V96" s="228">
        <v>425.3</v>
      </c>
      <c r="W96" s="228">
        <v>419.45</v>
      </c>
      <c r="X96" s="228">
        <v>5.85</v>
      </c>
      <c r="Y96" s="229">
        <v>1.3899999999999999E-2</v>
      </c>
      <c r="Z96" s="228">
        <v>0.45</v>
      </c>
      <c r="AA96" s="228">
        <v>0.4</v>
      </c>
      <c r="AB96" s="228">
        <v>0.05</v>
      </c>
      <c r="AC96" s="229">
        <v>1.1000000000000001E-3</v>
      </c>
      <c r="AD96" s="228">
        <v>0.45</v>
      </c>
      <c r="AE96" s="228">
        <v>0.4</v>
      </c>
      <c r="AF96" s="228">
        <v>0.05</v>
      </c>
      <c r="AG96" s="229">
        <v>1.1000000000000001E-3</v>
      </c>
      <c r="AH96" s="228">
        <v>2.6</v>
      </c>
      <c r="AI96" s="228">
        <v>2.65</v>
      </c>
      <c r="AJ96" s="228">
        <v>-0.05</v>
      </c>
      <c r="AK96" s="229">
        <v>6.1999999999999998E-3</v>
      </c>
      <c r="AL96" s="228">
        <v>6.1</v>
      </c>
      <c r="AM96" s="228">
        <v>5.45</v>
      </c>
      <c r="AN96" s="228">
        <v>0.65</v>
      </c>
      <c r="AO96" s="229">
        <v>1.46E-2</v>
      </c>
      <c r="AP96" s="228">
        <v>416.82</v>
      </c>
      <c r="AQ96" s="228">
        <v>418.95</v>
      </c>
      <c r="AR96" s="228">
        <v>0</v>
      </c>
      <c r="AS96" s="230">
        <v>1998</v>
      </c>
      <c r="AT96" s="230">
        <v>2574</v>
      </c>
      <c r="AU96" s="228">
        <v>-576</v>
      </c>
      <c r="AV96" s="229">
        <v>-0.22389999999999999</v>
      </c>
      <c r="AW96" s="230">
        <v>1007</v>
      </c>
      <c r="AX96" s="230">
        <v>1425</v>
      </c>
      <c r="AY96" s="228">
        <v>-418</v>
      </c>
      <c r="AZ96" s="229">
        <v>-0.29339999999999999</v>
      </c>
      <c r="BA96" s="228">
        <v>985</v>
      </c>
      <c r="BB96" s="230">
        <v>1142</v>
      </c>
      <c r="BC96" s="228">
        <v>-157</v>
      </c>
      <c r="BD96" s="229">
        <v>-0.13730000000000001</v>
      </c>
      <c r="BE96" s="228">
        <v>5</v>
      </c>
      <c r="BF96" s="228">
        <v>6</v>
      </c>
      <c r="BG96" s="228">
        <v>-1</v>
      </c>
      <c r="BH96" s="229">
        <v>-0.20219999999999999</v>
      </c>
      <c r="BI96" s="230">
        <v>1324</v>
      </c>
      <c r="BJ96" s="230">
        <v>2269</v>
      </c>
      <c r="BK96" s="228">
        <v>-945</v>
      </c>
      <c r="BL96" s="229">
        <v>-0.41639999999999999</v>
      </c>
      <c r="BM96" s="228">
        <v>718</v>
      </c>
      <c r="BN96" s="230">
        <v>1812</v>
      </c>
      <c r="BO96" s="230">
        <v>-1094</v>
      </c>
      <c r="BP96" s="229">
        <v>-0.60389999999999999</v>
      </c>
      <c r="BQ96" s="230">
        <v>4040</v>
      </c>
      <c r="BR96" s="230">
        <v>6655</v>
      </c>
      <c r="BS96" s="230">
        <v>-2615</v>
      </c>
      <c r="BT96" s="229">
        <v>-0.39300000000000002</v>
      </c>
      <c r="BU96" s="230">
        <v>7220405</v>
      </c>
      <c r="BV96" s="230">
        <v>8632746</v>
      </c>
      <c r="BW96" s="230">
        <v>-1412341</v>
      </c>
      <c r="BX96" s="229">
        <v>-0.1636</v>
      </c>
      <c r="BY96" s="230">
        <v>4228</v>
      </c>
      <c r="BZ96" s="230">
        <v>4161</v>
      </c>
      <c r="CA96" s="228">
        <v>67</v>
      </c>
      <c r="CB96" s="229">
        <v>1.61E-2</v>
      </c>
      <c r="CC96" s="230">
        <v>2107</v>
      </c>
      <c r="CD96" s="230">
        <v>2856</v>
      </c>
      <c r="CE96" s="228">
        <v>-749</v>
      </c>
      <c r="CF96" s="229">
        <v>-0.26219999999999999</v>
      </c>
      <c r="CG96" s="230">
        <v>2106</v>
      </c>
      <c r="CH96" s="230">
        <v>1291</v>
      </c>
      <c r="CI96" s="228">
        <v>815</v>
      </c>
      <c r="CJ96" s="229">
        <v>0.63109999999999999</v>
      </c>
      <c r="CK96" s="228">
        <v>15</v>
      </c>
      <c r="CL96" s="228">
        <v>14</v>
      </c>
      <c r="CM96" s="228">
        <v>1</v>
      </c>
      <c r="CN96" s="229">
        <v>7.1400000000000005E-2</v>
      </c>
      <c r="CO96" s="230">
        <v>1272</v>
      </c>
      <c r="CP96" s="230">
        <v>1345</v>
      </c>
      <c r="CQ96" s="228">
        <v>-72</v>
      </c>
      <c r="CR96" s="229">
        <v>-5.3900000000000003E-2</v>
      </c>
      <c r="CS96" s="228">
        <v>672</v>
      </c>
      <c r="CT96" s="228">
        <v>720</v>
      </c>
      <c r="CU96" s="228">
        <v>-48</v>
      </c>
      <c r="CV96" s="229">
        <v>-6.6500000000000004E-2</v>
      </c>
      <c r="CW96" s="230">
        <v>6173</v>
      </c>
      <c r="CX96" s="230">
        <v>6226</v>
      </c>
      <c r="CY96" s="228">
        <v>-53</v>
      </c>
      <c r="CZ96" s="229">
        <v>-8.5000000000000006E-3</v>
      </c>
      <c r="DA96" s="228">
        <v>32.49</v>
      </c>
      <c r="DB96" s="228">
        <v>28.91</v>
      </c>
      <c r="DC96" s="228">
        <v>3.58</v>
      </c>
      <c r="DD96" s="228">
        <v>3.58</v>
      </c>
      <c r="DE96" s="228">
        <v>37.630000000000003</v>
      </c>
      <c r="DF96" s="228">
        <v>37.69</v>
      </c>
      <c r="DG96" s="228">
        <v>-5.14</v>
      </c>
      <c r="DH96" s="228">
        <v>-0.06</v>
      </c>
      <c r="DI96" s="228">
        <v>32.229999999999997</v>
      </c>
      <c r="DJ96" s="228">
        <v>29.7</v>
      </c>
      <c r="DK96" s="228">
        <v>2.5299999999999998</v>
      </c>
      <c r="DL96" s="228">
        <v>2.5299999999999998</v>
      </c>
      <c r="DM96" s="228">
        <v>32.86</v>
      </c>
      <c r="DN96" s="228">
        <v>27.92</v>
      </c>
      <c r="DO96" s="228">
        <v>4.9400000000000004</v>
      </c>
      <c r="DP96" s="228">
        <v>4.9400000000000004</v>
      </c>
      <c r="DQ96" s="228">
        <v>0.53</v>
      </c>
      <c r="DR96" s="228">
        <v>0.54</v>
      </c>
      <c r="DS96" s="228">
        <v>-0.01</v>
      </c>
      <c r="DT96" s="229">
        <v>-1.8499999999999999E-2</v>
      </c>
      <c r="DU96" s="228">
        <v>450</v>
      </c>
      <c r="DV96" s="228">
        <v>420</v>
      </c>
      <c r="DW96" s="228">
        <v>0.54</v>
      </c>
      <c r="DX96" s="228">
        <v>0.8</v>
      </c>
      <c r="DY96" s="228">
        <v>-0.26</v>
      </c>
      <c r="DZ96" s="229">
        <v>-0.32500000000000001</v>
      </c>
      <c r="EA96" s="229">
        <v>0.50170000000000003</v>
      </c>
      <c r="EB96" s="230">
        <v>31101500</v>
      </c>
      <c r="EC96" s="229">
        <v>5.1000000000000004E-3</v>
      </c>
      <c r="ED96" s="229">
        <v>0.50170000000000003</v>
      </c>
      <c r="EE96" s="228">
        <v>2.13</v>
      </c>
      <c r="EF96" s="229">
        <v>5.1000000000000004E-3</v>
      </c>
      <c r="EG96" s="230">
        <v>4782086</v>
      </c>
      <c r="EH96" s="230">
        <v>4141438</v>
      </c>
      <c r="EI96" s="229">
        <v>0.1547</v>
      </c>
      <c r="EJ96" s="229">
        <v>0.6623</v>
      </c>
      <c r="EK96" s="231">
        <v>1374.38</v>
      </c>
      <c r="EL96" s="228">
        <v>713.24</v>
      </c>
      <c r="EM96" s="231">
        <v>1989.34</v>
      </c>
      <c r="EN96" s="228">
        <v>165.69</v>
      </c>
      <c r="EO96" s="231">
        <v>4076.95</v>
      </c>
      <c r="EP96" s="231">
        <v>6634.08</v>
      </c>
      <c r="EQ96" s="231">
        <v>-2557.13</v>
      </c>
      <c r="ER96" s="229">
        <v>-0.38550000000000001</v>
      </c>
      <c r="ES96" s="231">
        <v>1363.26</v>
      </c>
      <c r="ET96" s="228">
        <v>667.86</v>
      </c>
      <c r="EU96" s="231">
        <v>4239.0600000000004</v>
      </c>
      <c r="EV96" s="231">
        <v>193623116</v>
      </c>
      <c r="EW96" s="231">
        <v>6270.18</v>
      </c>
      <c r="EX96" s="231">
        <v>6270.7</v>
      </c>
      <c r="EY96" s="228">
        <v>-0.52</v>
      </c>
      <c r="EZ96" s="229">
        <v>-1E-4</v>
      </c>
      <c r="FA96" s="229">
        <v>0.75970000000000004</v>
      </c>
      <c r="FB96" s="227" t="s">
        <v>555</v>
      </c>
      <c r="FC96">
        <f t="shared" si="1"/>
        <v>2121</v>
      </c>
    </row>
    <row r="97" spans="1:159" ht="17.25" thickBot="1" x14ac:dyDescent="0.3">
      <c r="A97" s="226">
        <v>46044</v>
      </c>
      <c r="B97" s="227" t="s">
        <v>221</v>
      </c>
      <c r="C97" s="227" t="s">
        <v>240</v>
      </c>
      <c r="D97" s="228">
        <v>400</v>
      </c>
      <c r="E97" s="228">
        <v>5</v>
      </c>
      <c r="F97" s="231">
        <v>1667.4</v>
      </c>
      <c r="G97" s="231">
        <v>1656.5</v>
      </c>
      <c r="H97" s="228">
        <v>10.9</v>
      </c>
      <c r="I97" s="229">
        <v>6.6E-3</v>
      </c>
      <c r="J97" s="231">
        <v>1663.5</v>
      </c>
      <c r="K97" s="231">
        <v>1654.4</v>
      </c>
      <c r="L97" s="228">
        <v>9.1</v>
      </c>
      <c r="M97" s="229">
        <v>5.4999999999999997E-3</v>
      </c>
      <c r="N97" s="231">
        <v>1667.4</v>
      </c>
      <c r="O97" s="231">
        <v>1656.5</v>
      </c>
      <c r="P97" s="228">
        <v>10.9</v>
      </c>
      <c r="Q97" s="229">
        <v>6.6E-3</v>
      </c>
      <c r="R97" s="231">
        <v>1675.2</v>
      </c>
      <c r="S97" s="231">
        <v>1664.6</v>
      </c>
      <c r="T97" s="228">
        <v>10.6</v>
      </c>
      <c r="U97" s="229">
        <v>6.4000000000000003E-3</v>
      </c>
      <c r="V97" s="231">
        <v>1686.1</v>
      </c>
      <c r="W97" s="231">
        <v>1675.8</v>
      </c>
      <c r="X97" s="228">
        <v>10.3</v>
      </c>
      <c r="Y97" s="229">
        <v>6.1000000000000004E-3</v>
      </c>
      <c r="Z97" s="228">
        <v>3.9</v>
      </c>
      <c r="AA97" s="228">
        <v>2.1</v>
      </c>
      <c r="AB97" s="228">
        <v>1.8</v>
      </c>
      <c r="AC97" s="229">
        <v>2.3E-3</v>
      </c>
      <c r="AD97" s="228">
        <v>3.9</v>
      </c>
      <c r="AE97" s="228">
        <v>2.1</v>
      </c>
      <c r="AF97" s="228">
        <v>1.8</v>
      </c>
      <c r="AG97" s="229">
        <v>2.3E-3</v>
      </c>
      <c r="AH97" s="228">
        <v>11.7</v>
      </c>
      <c r="AI97" s="228">
        <v>10.199999999999999</v>
      </c>
      <c r="AJ97" s="228">
        <v>1.5</v>
      </c>
      <c r="AK97" s="229">
        <v>7.0000000000000001E-3</v>
      </c>
      <c r="AL97" s="228">
        <v>22.6</v>
      </c>
      <c r="AM97" s="228">
        <v>21.4</v>
      </c>
      <c r="AN97" s="228">
        <v>1.2</v>
      </c>
      <c r="AO97" s="229">
        <v>1.3599999999999999E-2</v>
      </c>
      <c r="AP97" s="231">
        <v>1663.09</v>
      </c>
      <c r="AQ97" s="231">
        <v>1670.74</v>
      </c>
      <c r="AR97" s="228">
        <v>0</v>
      </c>
      <c r="AS97" s="230">
        <v>7640</v>
      </c>
      <c r="AT97" s="230">
        <v>8781</v>
      </c>
      <c r="AU97" s="230">
        <v>-1141</v>
      </c>
      <c r="AV97" s="229">
        <v>-0.12989999999999999</v>
      </c>
      <c r="AW97" s="230">
        <v>3869</v>
      </c>
      <c r="AX97" s="230">
        <v>4689</v>
      </c>
      <c r="AY97" s="228">
        <v>-820</v>
      </c>
      <c r="AZ97" s="229">
        <v>-0.17480000000000001</v>
      </c>
      <c r="BA97" s="230">
        <v>3736</v>
      </c>
      <c r="BB97" s="230">
        <v>4079</v>
      </c>
      <c r="BC97" s="228">
        <v>-343</v>
      </c>
      <c r="BD97" s="229">
        <v>-8.4000000000000005E-2</v>
      </c>
      <c r="BE97" s="228">
        <v>35</v>
      </c>
      <c r="BF97" s="228">
        <v>13</v>
      </c>
      <c r="BG97" s="228">
        <v>22</v>
      </c>
      <c r="BH97" s="229">
        <v>1.7082999999999999</v>
      </c>
      <c r="BI97" s="230">
        <v>10596</v>
      </c>
      <c r="BJ97" s="230">
        <v>7733</v>
      </c>
      <c r="BK97" s="230">
        <v>2863</v>
      </c>
      <c r="BL97" s="229">
        <v>0.37019999999999997</v>
      </c>
      <c r="BM97" s="230">
        <v>6075</v>
      </c>
      <c r="BN97" s="230">
        <v>6858</v>
      </c>
      <c r="BO97" s="228">
        <v>-784</v>
      </c>
      <c r="BP97" s="229">
        <v>-0.1142</v>
      </c>
      <c r="BQ97" s="230">
        <v>24311</v>
      </c>
      <c r="BR97" s="230">
        <v>23372</v>
      </c>
      <c r="BS97" s="228">
        <v>939</v>
      </c>
      <c r="BT97" s="229">
        <v>4.02E-2</v>
      </c>
      <c r="BU97" s="230">
        <v>6492800</v>
      </c>
      <c r="BV97" s="230">
        <v>6453448</v>
      </c>
      <c r="BW97" s="230">
        <v>39352</v>
      </c>
      <c r="BX97" s="229">
        <v>6.1000000000000004E-3</v>
      </c>
      <c r="BY97" s="230">
        <v>11904</v>
      </c>
      <c r="BZ97" s="230">
        <v>11724</v>
      </c>
      <c r="CA97" s="228">
        <v>180</v>
      </c>
      <c r="CB97" s="229">
        <v>1.5299999999999999E-2</v>
      </c>
      <c r="CC97" s="230">
        <v>4244</v>
      </c>
      <c r="CD97" s="230">
        <v>7222</v>
      </c>
      <c r="CE97" s="230">
        <v>-2978</v>
      </c>
      <c r="CF97" s="229">
        <v>-0.41239999999999999</v>
      </c>
      <c r="CG97" s="230">
        <v>7547</v>
      </c>
      <c r="CH97" s="230">
        <v>4410</v>
      </c>
      <c r="CI97" s="230">
        <v>3137</v>
      </c>
      <c r="CJ97" s="229">
        <v>0.71130000000000004</v>
      </c>
      <c r="CK97" s="228">
        <v>113</v>
      </c>
      <c r="CL97" s="228">
        <v>92</v>
      </c>
      <c r="CM97" s="228">
        <v>21</v>
      </c>
      <c r="CN97" s="229">
        <v>0.22900000000000001</v>
      </c>
      <c r="CO97" s="230">
        <v>5068</v>
      </c>
      <c r="CP97" s="230">
        <v>5124</v>
      </c>
      <c r="CQ97" s="228">
        <v>-56</v>
      </c>
      <c r="CR97" s="229">
        <v>-1.09E-2</v>
      </c>
      <c r="CS97" s="230">
        <v>3039</v>
      </c>
      <c r="CT97" s="230">
        <v>3299</v>
      </c>
      <c r="CU97" s="228">
        <v>-260</v>
      </c>
      <c r="CV97" s="229">
        <v>-7.8700000000000006E-2</v>
      </c>
      <c r="CW97" s="230">
        <v>20012</v>
      </c>
      <c r="CX97" s="230">
        <v>20148</v>
      </c>
      <c r="CY97" s="228">
        <v>-136</v>
      </c>
      <c r="CZ97" s="229">
        <v>-6.7000000000000002E-3</v>
      </c>
      <c r="DA97" s="228">
        <v>20.93</v>
      </c>
      <c r="DB97" s="228">
        <v>17.059999999999999</v>
      </c>
      <c r="DC97" s="228">
        <v>3.87</v>
      </c>
      <c r="DD97" s="228">
        <v>3.87</v>
      </c>
      <c r="DE97" s="228">
        <v>28.67</v>
      </c>
      <c r="DF97" s="228">
        <v>28.73</v>
      </c>
      <c r="DG97" s="228">
        <v>-7.74</v>
      </c>
      <c r="DH97" s="228">
        <v>-0.06</v>
      </c>
      <c r="DI97" s="228">
        <v>20.59</v>
      </c>
      <c r="DJ97" s="228">
        <v>15.2</v>
      </c>
      <c r="DK97" s="228">
        <v>5.39</v>
      </c>
      <c r="DL97" s="228">
        <v>5.39</v>
      </c>
      <c r="DM97" s="228">
        <v>21.57</v>
      </c>
      <c r="DN97" s="228">
        <v>19.16</v>
      </c>
      <c r="DO97" s="228">
        <v>2.41</v>
      </c>
      <c r="DP97" s="228">
        <v>2.41</v>
      </c>
      <c r="DQ97" s="228">
        <v>0.6</v>
      </c>
      <c r="DR97" s="228">
        <v>0.64</v>
      </c>
      <c r="DS97" s="228">
        <v>-0.04</v>
      </c>
      <c r="DT97" s="229">
        <v>-6.25E-2</v>
      </c>
      <c r="DU97" s="231">
        <v>1660</v>
      </c>
      <c r="DV97" s="231">
        <v>1680</v>
      </c>
      <c r="DW97" s="228">
        <v>0.56999999999999995</v>
      </c>
      <c r="DX97" s="228">
        <v>0.89</v>
      </c>
      <c r="DY97" s="228">
        <v>-0.32</v>
      </c>
      <c r="DZ97" s="229">
        <v>-0.35959999999999998</v>
      </c>
      <c r="EA97" s="229">
        <v>0.64349999999999996</v>
      </c>
      <c r="EB97" s="230">
        <v>27000400</v>
      </c>
      <c r="EC97" s="229">
        <v>4.7000000000000002E-3</v>
      </c>
      <c r="ED97" s="229">
        <v>0.64349999999999996</v>
      </c>
      <c r="EE97" s="228">
        <v>7.65</v>
      </c>
      <c r="EF97" s="229">
        <v>4.5999999999999999E-3</v>
      </c>
      <c r="EG97" s="230">
        <v>3257960</v>
      </c>
      <c r="EH97" s="230">
        <v>3501888</v>
      </c>
      <c r="EI97" s="229">
        <v>-6.9699999999999998E-2</v>
      </c>
      <c r="EJ97" s="229">
        <v>0.50180000000000002</v>
      </c>
      <c r="EK97" s="231">
        <v>10815.89</v>
      </c>
      <c r="EL97" s="231">
        <v>5930.11</v>
      </c>
      <c r="EM97" s="231">
        <v>7637.83</v>
      </c>
      <c r="EN97" s="228">
        <v>647.5</v>
      </c>
      <c r="EO97" s="231">
        <v>24383.83</v>
      </c>
      <c r="EP97" s="231">
        <v>23246.18</v>
      </c>
      <c r="EQ97" s="231">
        <v>1137.6500000000001</v>
      </c>
      <c r="ER97" s="229">
        <v>4.8899999999999999E-2</v>
      </c>
      <c r="ES97" s="231">
        <v>5139.7700000000004</v>
      </c>
      <c r="ET97" s="231">
        <v>2922.75</v>
      </c>
      <c r="EU97" s="231">
        <v>11940.81</v>
      </c>
      <c r="EV97" s="231">
        <v>368703409</v>
      </c>
      <c r="EW97" s="231">
        <v>20003.330000000002</v>
      </c>
      <c r="EX97" s="231">
        <v>20034.71</v>
      </c>
      <c r="EY97" s="228">
        <v>-31.38</v>
      </c>
      <c r="EZ97" s="229">
        <v>-1.6000000000000001E-3</v>
      </c>
      <c r="FA97" s="229">
        <v>0.32550000000000001</v>
      </c>
      <c r="FB97" s="227" t="s">
        <v>555</v>
      </c>
      <c r="FC97">
        <f t="shared" si="1"/>
        <v>7660</v>
      </c>
    </row>
    <row r="98" spans="1:159" ht="17.25" thickBot="1" x14ac:dyDescent="0.3">
      <c r="A98" s="226">
        <v>46044</v>
      </c>
      <c r="B98" s="227" t="s">
        <v>161</v>
      </c>
      <c r="C98" s="227" t="s">
        <v>669</v>
      </c>
      <c r="D98" s="228">
        <v>3575</v>
      </c>
      <c r="E98" s="228">
        <v>5</v>
      </c>
      <c r="F98" s="228">
        <v>107.21</v>
      </c>
      <c r="G98" s="228">
        <v>105.12</v>
      </c>
      <c r="H98" s="228">
        <v>2.09</v>
      </c>
      <c r="I98" s="229">
        <v>1.9900000000000001E-2</v>
      </c>
      <c r="J98" s="228">
        <v>106.89</v>
      </c>
      <c r="K98" s="228">
        <v>104.69</v>
      </c>
      <c r="L98" s="228">
        <v>2.2000000000000002</v>
      </c>
      <c r="M98" s="229">
        <v>2.1000000000000001E-2</v>
      </c>
      <c r="N98" s="228">
        <v>107.21</v>
      </c>
      <c r="O98" s="228">
        <v>105.12</v>
      </c>
      <c r="P98" s="228">
        <v>2.09</v>
      </c>
      <c r="Q98" s="229">
        <v>1.9900000000000001E-2</v>
      </c>
      <c r="R98" s="228">
        <v>107.84</v>
      </c>
      <c r="S98" s="228">
        <v>105.59</v>
      </c>
      <c r="T98" s="228">
        <v>2.25</v>
      </c>
      <c r="U98" s="229">
        <v>2.1299999999999999E-2</v>
      </c>
      <c r="V98" s="228">
        <v>108.26</v>
      </c>
      <c r="W98" s="228">
        <v>106.29</v>
      </c>
      <c r="X98" s="228">
        <v>1.97</v>
      </c>
      <c r="Y98" s="229">
        <v>1.8499999999999999E-2</v>
      </c>
      <c r="Z98" s="228">
        <v>0.32</v>
      </c>
      <c r="AA98" s="228">
        <v>0.43</v>
      </c>
      <c r="AB98" s="228">
        <v>-0.11</v>
      </c>
      <c r="AC98" s="229">
        <v>3.0000000000000001E-3</v>
      </c>
      <c r="AD98" s="228">
        <v>0.32</v>
      </c>
      <c r="AE98" s="228">
        <v>0.43</v>
      </c>
      <c r="AF98" s="228">
        <v>-0.11</v>
      </c>
      <c r="AG98" s="229">
        <v>3.0000000000000001E-3</v>
      </c>
      <c r="AH98" s="228">
        <v>0.95</v>
      </c>
      <c r="AI98" s="228">
        <v>0.9</v>
      </c>
      <c r="AJ98" s="228">
        <v>0.05</v>
      </c>
      <c r="AK98" s="229">
        <v>8.8999999999999999E-3</v>
      </c>
      <c r="AL98" s="228">
        <v>1.37</v>
      </c>
      <c r="AM98" s="228">
        <v>1.6</v>
      </c>
      <c r="AN98" s="228">
        <v>-0.23</v>
      </c>
      <c r="AO98" s="229">
        <v>1.2800000000000001E-2</v>
      </c>
      <c r="AP98" s="228">
        <v>106.29</v>
      </c>
      <c r="AQ98" s="228">
        <v>106.88</v>
      </c>
      <c r="AR98" s="228">
        <v>0</v>
      </c>
      <c r="AS98" s="228">
        <v>595</v>
      </c>
      <c r="AT98" s="228">
        <v>483</v>
      </c>
      <c r="AU98" s="228">
        <v>113</v>
      </c>
      <c r="AV98" s="229">
        <v>0.2334</v>
      </c>
      <c r="AW98" s="228">
        <v>276</v>
      </c>
      <c r="AX98" s="228">
        <v>273</v>
      </c>
      <c r="AY98" s="228">
        <v>3</v>
      </c>
      <c r="AZ98" s="229">
        <v>9.4000000000000004E-3</v>
      </c>
      <c r="BA98" s="228">
        <v>317</v>
      </c>
      <c r="BB98" s="228">
        <v>206</v>
      </c>
      <c r="BC98" s="228">
        <v>111</v>
      </c>
      <c r="BD98" s="229">
        <v>0.53690000000000004</v>
      </c>
      <c r="BE98" s="228">
        <v>2</v>
      </c>
      <c r="BF98" s="228">
        <v>3</v>
      </c>
      <c r="BG98" s="228">
        <v>-1</v>
      </c>
      <c r="BH98" s="229">
        <v>-0.23380000000000001</v>
      </c>
      <c r="BI98" s="228">
        <v>335</v>
      </c>
      <c r="BJ98" s="228">
        <v>726</v>
      </c>
      <c r="BK98" s="228">
        <v>-391</v>
      </c>
      <c r="BL98" s="229">
        <v>-0.53800000000000003</v>
      </c>
      <c r="BM98" s="228">
        <v>173</v>
      </c>
      <c r="BN98" s="228">
        <v>417</v>
      </c>
      <c r="BO98" s="228">
        <v>-244</v>
      </c>
      <c r="BP98" s="229">
        <v>-0.58560000000000001</v>
      </c>
      <c r="BQ98" s="230">
        <v>1104</v>
      </c>
      <c r="BR98" s="230">
        <v>1626</v>
      </c>
      <c r="BS98" s="228">
        <v>-522</v>
      </c>
      <c r="BT98" s="229">
        <v>-0.32119999999999999</v>
      </c>
      <c r="BU98" s="230">
        <v>7941719</v>
      </c>
      <c r="BV98" s="230">
        <v>12757470</v>
      </c>
      <c r="BW98" s="230">
        <v>-4815751</v>
      </c>
      <c r="BX98" s="229">
        <v>-0.3775</v>
      </c>
      <c r="BY98" s="230">
        <v>1174</v>
      </c>
      <c r="BZ98" s="230">
        <v>1152</v>
      </c>
      <c r="CA98" s="228">
        <v>22</v>
      </c>
      <c r="CB98" s="229">
        <v>1.89E-2</v>
      </c>
      <c r="CC98" s="228">
        <v>655</v>
      </c>
      <c r="CD98" s="228">
        <v>863</v>
      </c>
      <c r="CE98" s="228">
        <v>-208</v>
      </c>
      <c r="CF98" s="229">
        <v>-0.2412</v>
      </c>
      <c r="CG98" s="228">
        <v>504</v>
      </c>
      <c r="CH98" s="228">
        <v>275</v>
      </c>
      <c r="CI98" s="228">
        <v>229</v>
      </c>
      <c r="CJ98" s="229">
        <v>0.83150000000000002</v>
      </c>
      <c r="CK98" s="228">
        <v>15</v>
      </c>
      <c r="CL98" s="228">
        <v>14</v>
      </c>
      <c r="CM98" s="228">
        <v>1</v>
      </c>
      <c r="CN98" s="229">
        <v>7.0000000000000007E-2</v>
      </c>
      <c r="CO98" s="228">
        <v>484</v>
      </c>
      <c r="CP98" s="228">
        <v>501</v>
      </c>
      <c r="CQ98" s="228">
        <v>-17</v>
      </c>
      <c r="CR98" s="229">
        <v>-3.4299999999999997E-2</v>
      </c>
      <c r="CS98" s="228">
        <v>295</v>
      </c>
      <c r="CT98" s="228">
        <v>298</v>
      </c>
      <c r="CU98" s="228">
        <v>-3</v>
      </c>
      <c r="CV98" s="229">
        <v>-9.4999999999999998E-3</v>
      </c>
      <c r="CW98" s="230">
        <v>1953</v>
      </c>
      <c r="CX98" s="230">
        <v>1951</v>
      </c>
      <c r="CY98" s="228">
        <v>2</v>
      </c>
      <c r="CZ98" s="229">
        <v>8.9999999999999998E-4</v>
      </c>
      <c r="DA98" s="228">
        <v>48.67</v>
      </c>
      <c r="DB98" s="228">
        <v>41.8</v>
      </c>
      <c r="DC98" s="228">
        <v>6.87</v>
      </c>
      <c r="DD98" s="228">
        <v>6.87</v>
      </c>
      <c r="DE98" s="228">
        <v>51.8</v>
      </c>
      <c r="DF98" s="228">
        <v>51.86</v>
      </c>
      <c r="DG98" s="228">
        <v>-3.13</v>
      </c>
      <c r="DH98" s="228">
        <v>-0.06</v>
      </c>
      <c r="DI98" s="228">
        <v>48.23</v>
      </c>
      <c r="DJ98" s="228">
        <v>45</v>
      </c>
      <c r="DK98" s="228">
        <v>3.23</v>
      </c>
      <c r="DL98" s="228">
        <v>3.23</v>
      </c>
      <c r="DM98" s="228">
        <v>49.53</v>
      </c>
      <c r="DN98" s="228">
        <v>36.24</v>
      </c>
      <c r="DO98" s="228">
        <v>13.29</v>
      </c>
      <c r="DP98" s="228">
        <v>13.29</v>
      </c>
      <c r="DQ98" s="228">
        <v>0.61</v>
      </c>
      <c r="DR98" s="228">
        <v>0.59</v>
      </c>
      <c r="DS98" s="228">
        <v>0.02</v>
      </c>
      <c r="DT98" s="229">
        <v>3.39E-2</v>
      </c>
      <c r="DU98" s="228">
        <v>125</v>
      </c>
      <c r="DV98" s="228">
        <v>102.5</v>
      </c>
      <c r="DW98" s="228">
        <v>0.52</v>
      </c>
      <c r="DX98" s="228">
        <v>0.56999999999999995</v>
      </c>
      <c r="DY98" s="228">
        <v>-0.05</v>
      </c>
      <c r="DZ98" s="229">
        <v>-8.77E-2</v>
      </c>
      <c r="EA98" s="229">
        <v>0.44209999999999999</v>
      </c>
      <c r="EB98" s="230">
        <v>26966225</v>
      </c>
      <c r="EC98" s="229">
        <v>5.8999999999999999E-3</v>
      </c>
      <c r="ED98" s="229">
        <v>0.44209999999999999</v>
      </c>
      <c r="EE98" s="228">
        <v>0.59</v>
      </c>
      <c r="EF98" s="229">
        <v>5.5999999999999999E-3</v>
      </c>
      <c r="EG98" s="230">
        <v>2531644</v>
      </c>
      <c r="EH98" s="230">
        <v>3788867</v>
      </c>
      <c r="EI98" s="229">
        <v>-0.33179999999999998</v>
      </c>
      <c r="EJ98" s="229">
        <v>0.31879999999999997</v>
      </c>
      <c r="EK98" s="228">
        <v>363.23</v>
      </c>
      <c r="EL98" s="228">
        <v>183.19</v>
      </c>
      <c r="EM98" s="228">
        <v>591.9</v>
      </c>
      <c r="EN98" s="228">
        <v>71.03</v>
      </c>
      <c r="EO98" s="231">
        <v>1138.31</v>
      </c>
      <c r="EP98" s="231">
        <v>1672</v>
      </c>
      <c r="EQ98" s="228">
        <v>-533.69000000000005</v>
      </c>
      <c r="ER98" s="229">
        <v>-0.31919999999999998</v>
      </c>
      <c r="ES98" s="228">
        <v>554.29</v>
      </c>
      <c r="ET98" s="228">
        <v>319.49</v>
      </c>
      <c r="EU98" s="231">
        <v>1177.08</v>
      </c>
      <c r="EV98" s="231">
        <v>144708707</v>
      </c>
      <c r="EW98" s="231">
        <v>2050.86</v>
      </c>
      <c r="EX98" s="231">
        <v>2030.43</v>
      </c>
      <c r="EY98" s="228">
        <v>20.43</v>
      </c>
      <c r="EZ98" s="229">
        <v>1.01E-2</v>
      </c>
      <c r="FA98" s="229">
        <v>1.2587999999999999</v>
      </c>
      <c r="FB98" s="227" t="s">
        <v>555</v>
      </c>
      <c r="FC98">
        <f t="shared" si="1"/>
        <v>519</v>
      </c>
    </row>
    <row r="99" spans="1:159" ht="17.25" thickBot="1" x14ac:dyDescent="0.3">
      <c r="A99" s="226">
        <v>46044</v>
      </c>
      <c r="B99" s="227" t="s">
        <v>193</v>
      </c>
      <c r="C99" s="227" t="s">
        <v>241</v>
      </c>
      <c r="D99" s="228">
        <v>4875</v>
      </c>
      <c r="E99" s="228">
        <v>5</v>
      </c>
      <c r="F99" s="228">
        <v>158.91999999999999</v>
      </c>
      <c r="G99" s="228">
        <v>158.88999999999999</v>
      </c>
      <c r="H99" s="228">
        <v>0.03</v>
      </c>
      <c r="I99" s="229">
        <v>2.0000000000000001E-4</v>
      </c>
      <c r="J99" s="228">
        <v>159.05000000000001</v>
      </c>
      <c r="K99" s="228">
        <v>158.82</v>
      </c>
      <c r="L99" s="228">
        <v>0.23</v>
      </c>
      <c r="M99" s="229">
        <v>1.4E-3</v>
      </c>
      <c r="N99" s="228">
        <v>158.91999999999999</v>
      </c>
      <c r="O99" s="228">
        <v>158.88999999999999</v>
      </c>
      <c r="P99" s="228">
        <v>0.03</v>
      </c>
      <c r="Q99" s="229">
        <v>2.0000000000000001E-4</v>
      </c>
      <c r="R99" s="228">
        <v>159.66999999999999</v>
      </c>
      <c r="S99" s="228">
        <v>159.66999999999999</v>
      </c>
      <c r="T99" s="228">
        <v>0</v>
      </c>
      <c r="U99" s="229">
        <v>0</v>
      </c>
      <c r="V99" s="228">
        <v>160.56</v>
      </c>
      <c r="W99" s="228">
        <v>160.51</v>
      </c>
      <c r="X99" s="228">
        <v>0.05</v>
      </c>
      <c r="Y99" s="229">
        <v>2.9999999999999997E-4</v>
      </c>
      <c r="Z99" s="228">
        <v>-0.13</v>
      </c>
      <c r="AA99" s="228">
        <v>7.0000000000000007E-2</v>
      </c>
      <c r="AB99" s="228">
        <v>-0.2</v>
      </c>
      <c r="AC99" s="229">
        <v>-8.0000000000000004E-4</v>
      </c>
      <c r="AD99" s="228">
        <v>-0.13</v>
      </c>
      <c r="AE99" s="228">
        <v>7.0000000000000007E-2</v>
      </c>
      <c r="AF99" s="228">
        <v>-0.2</v>
      </c>
      <c r="AG99" s="229">
        <v>-8.0000000000000004E-4</v>
      </c>
      <c r="AH99" s="228">
        <v>0.62</v>
      </c>
      <c r="AI99" s="228">
        <v>0.85</v>
      </c>
      <c r="AJ99" s="228">
        <v>-0.23</v>
      </c>
      <c r="AK99" s="229">
        <v>3.8999999999999998E-3</v>
      </c>
      <c r="AL99" s="228">
        <v>1.51</v>
      </c>
      <c r="AM99" s="228">
        <v>1.69</v>
      </c>
      <c r="AN99" s="228">
        <v>-0.18</v>
      </c>
      <c r="AO99" s="229">
        <v>9.4999999999999998E-3</v>
      </c>
      <c r="AP99" s="228">
        <v>159.72</v>
      </c>
      <c r="AQ99" s="228">
        <v>160.5</v>
      </c>
      <c r="AR99" s="228">
        <v>0</v>
      </c>
      <c r="AS99" s="230">
        <v>1001</v>
      </c>
      <c r="AT99" s="228">
        <v>902</v>
      </c>
      <c r="AU99" s="228">
        <v>99</v>
      </c>
      <c r="AV99" s="229">
        <v>0.1101</v>
      </c>
      <c r="AW99" s="228">
        <v>491</v>
      </c>
      <c r="AX99" s="228">
        <v>509</v>
      </c>
      <c r="AY99" s="228">
        <v>-19</v>
      </c>
      <c r="AZ99" s="229">
        <v>-3.6400000000000002E-2</v>
      </c>
      <c r="BA99" s="228">
        <v>506</v>
      </c>
      <c r="BB99" s="228">
        <v>388</v>
      </c>
      <c r="BC99" s="228">
        <v>119</v>
      </c>
      <c r="BD99" s="229">
        <v>0.30640000000000001</v>
      </c>
      <c r="BE99" s="228">
        <v>4</v>
      </c>
      <c r="BF99" s="228">
        <v>5</v>
      </c>
      <c r="BG99" s="228">
        <v>-1</v>
      </c>
      <c r="BH99" s="229">
        <v>-0.1875</v>
      </c>
      <c r="BI99" s="228">
        <v>941</v>
      </c>
      <c r="BJ99" s="228">
        <v>993</v>
      </c>
      <c r="BK99" s="228">
        <v>-52</v>
      </c>
      <c r="BL99" s="229">
        <v>-5.2400000000000002E-2</v>
      </c>
      <c r="BM99" s="228">
        <v>530</v>
      </c>
      <c r="BN99" s="228">
        <v>712</v>
      </c>
      <c r="BO99" s="228">
        <v>-182</v>
      </c>
      <c r="BP99" s="229">
        <v>-0.25569999999999998</v>
      </c>
      <c r="BQ99" s="230">
        <v>2472</v>
      </c>
      <c r="BR99" s="230">
        <v>2606</v>
      </c>
      <c r="BS99" s="228">
        <v>-135</v>
      </c>
      <c r="BT99" s="229">
        <v>-5.1700000000000003E-2</v>
      </c>
      <c r="BU99" s="230">
        <v>9695528</v>
      </c>
      <c r="BV99" s="230">
        <v>12565068</v>
      </c>
      <c r="BW99" s="230">
        <v>-2869540</v>
      </c>
      <c r="BX99" s="229">
        <v>-0.22839999999999999</v>
      </c>
      <c r="BY99" s="230">
        <v>1531</v>
      </c>
      <c r="BZ99" s="230">
        <v>1517</v>
      </c>
      <c r="CA99" s="228">
        <v>14</v>
      </c>
      <c r="CB99" s="229">
        <v>9.1000000000000004E-3</v>
      </c>
      <c r="CC99" s="228">
        <v>734</v>
      </c>
      <c r="CD99" s="230">
        <v>1106</v>
      </c>
      <c r="CE99" s="228">
        <v>-372</v>
      </c>
      <c r="CF99" s="229">
        <v>-0.33660000000000001</v>
      </c>
      <c r="CG99" s="228">
        <v>778</v>
      </c>
      <c r="CH99" s="228">
        <v>392</v>
      </c>
      <c r="CI99" s="228">
        <v>386</v>
      </c>
      <c r="CJ99" s="229">
        <v>0.98340000000000005</v>
      </c>
      <c r="CK99" s="228">
        <v>19</v>
      </c>
      <c r="CL99" s="228">
        <v>19</v>
      </c>
      <c r="CM99" s="228">
        <v>0</v>
      </c>
      <c r="CN99" s="229">
        <v>1.6400000000000001E-2</v>
      </c>
      <c r="CO99" s="228">
        <v>872</v>
      </c>
      <c r="CP99" s="228">
        <v>906</v>
      </c>
      <c r="CQ99" s="228">
        <v>-34</v>
      </c>
      <c r="CR99" s="229">
        <v>-3.7900000000000003E-2</v>
      </c>
      <c r="CS99" s="228">
        <v>549</v>
      </c>
      <c r="CT99" s="228">
        <v>583</v>
      </c>
      <c r="CU99" s="228">
        <v>-34</v>
      </c>
      <c r="CV99" s="229">
        <v>-5.8000000000000003E-2</v>
      </c>
      <c r="CW99" s="230">
        <v>2952</v>
      </c>
      <c r="CX99" s="230">
        <v>3006</v>
      </c>
      <c r="CY99" s="228">
        <v>-54</v>
      </c>
      <c r="CZ99" s="229">
        <v>-1.8100000000000002E-2</v>
      </c>
      <c r="DA99" s="228">
        <v>25.54</v>
      </c>
      <c r="DB99" s="228">
        <v>25.5</v>
      </c>
      <c r="DC99" s="228">
        <v>0.04</v>
      </c>
      <c r="DD99" s="228">
        <v>0.04</v>
      </c>
      <c r="DE99" s="228">
        <v>30.39</v>
      </c>
      <c r="DF99" s="228">
        <v>30.46</v>
      </c>
      <c r="DG99" s="228">
        <v>-4.8499999999999996</v>
      </c>
      <c r="DH99" s="228">
        <v>-7.0000000000000007E-2</v>
      </c>
      <c r="DI99" s="228">
        <v>25.76</v>
      </c>
      <c r="DJ99" s="228">
        <v>25.38</v>
      </c>
      <c r="DK99" s="228">
        <v>0.38</v>
      </c>
      <c r="DL99" s="228">
        <v>0.38</v>
      </c>
      <c r="DM99" s="228">
        <v>25.27</v>
      </c>
      <c r="DN99" s="228">
        <v>25.67</v>
      </c>
      <c r="DO99" s="228">
        <v>-0.4</v>
      </c>
      <c r="DP99" s="228">
        <v>-0.4</v>
      </c>
      <c r="DQ99" s="228">
        <v>0.63</v>
      </c>
      <c r="DR99" s="228">
        <v>0.64</v>
      </c>
      <c r="DS99" s="228">
        <v>-0.01</v>
      </c>
      <c r="DT99" s="229">
        <v>-1.5599999999999999E-2</v>
      </c>
      <c r="DU99" s="228">
        <v>170</v>
      </c>
      <c r="DV99" s="228">
        <v>160</v>
      </c>
      <c r="DW99" s="228">
        <v>0.56000000000000005</v>
      </c>
      <c r="DX99" s="228">
        <v>0.72</v>
      </c>
      <c r="DY99" s="228">
        <v>-0.16</v>
      </c>
      <c r="DZ99" s="229">
        <v>-0.22220000000000001</v>
      </c>
      <c r="EA99" s="229">
        <v>0.52090000000000003</v>
      </c>
      <c r="EB99" s="230">
        <v>25876500</v>
      </c>
      <c r="EC99" s="229">
        <v>4.7000000000000002E-3</v>
      </c>
      <c r="ED99" s="229">
        <v>0.52090000000000003</v>
      </c>
      <c r="EE99" s="228">
        <v>0.78</v>
      </c>
      <c r="EF99" s="229">
        <v>4.8999999999999998E-3</v>
      </c>
      <c r="EG99" s="230">
        <v>5283639</v>
      </c>
      <c r="EH99" s="230">
        <v>6435038</v>
      </c>
      <c r="EI99" s="229">
        <v>-0.1789</v>
      </c>
      <c r="EJ99" s="229">
        <v>0.54500000000000004</v>
      </c>
      <c r="EK99" s="228">
        <v>980.82</v>
      </c>
      <c r="EL99" s="228">
        <v>533.66999999999996</v>
      </c>
      <c r="EM99" s="231">
        <v>1008.61</v>
      </c>
      <c r="EN99" s="228">
        <v>52.84</v>
      </c>
      <c r="EO99" s="231">
        <v>2523.1</v>
      </c>
      <c r="EP99" s="231">
        <v>2647.01</v>
      </c>
      <c r="EQ99" s="228">
        <v>-123.91</v>
      </c>
      <c r="ER99" s="229">
        <v>-4.6800000000000001E-2</v>
      </c>
      <c r="ES99" s="228">
        <v>918.17</v>
      </c>
      <c r="ET99" s="228">
        <v>548.96</v>
      </c>
      <c r="EU99" s="231">
        <v>1534.75</v>
      </c>
      <c r="EV99" s="231">
        <v>684903861</v>
      </c>
      <c r="EW99" s="231">
        <v>3001.88</v>
      </c>
      <c r="EX99" s="231">
        <v>3053.63</v>
      </c>
      <c r="EY99" s="228">
        <v>-51.75</v>
      </c>
      <c r="EZ99" s="229">
        <v>-1.6899999999999998E-2</v>
      </c>
      <c r="FA99" s="229">
        <v>0.2712</v>
      </c>
      <c r="FB99" s="227" t="s">
        <v>555</v>
      </c>
      <c r="FC99">
        <f t="shared" si="1"/>
        <v>797</v>
      </c>
    </row>
    <row r="100" spans="1:159" ht="17.25" thickBot="1" x14ac:dyDescent="0.3">
      <c r="A100" s="226">
        <v>46044</v>
      </c>
      <c r="B100" s="227" t="s">
        <v>215</v>
      </c>
      <c r="C100" s="227" t="s">
        <v>490</v>
      </c>
      <c r="D100" s="228">
        <v>875</v>
      </c>
      <c r="E100" s="228">
        <v>5</v>
      </c>
      <c r="F100" s="228">
        <v>630.29999999999995</v>
      </c>
      <c r="G100" s="228">
        <v>614.1</v>
      </c>
      <c r="H100" s="228">
        <v>16.2</v>
      </c>
      <c r="I100" s="229">
        <v>2.64E-2</v>
      </c>
      <c r="J100" s="228">
        <v>628.85</v>
      </c>
      <c r="K100" s="228">
        <v>613.70000000000005</v>
      </c>
      <c r="L100" s="228">
        <v>15.15</v>
      </c>
      <c r="M100" s="229">
        <v>2.47E-2</v>
      </c>
      <c r="N100" s="228">
        <v>630.29999999999995</v>
      </c>
      <c r="O100" s="228">
        <v>614.1</v>
      </c>
      <c r="P100" s="228">
        <v>16.2</v>
      </c>
      <c r="Q100" s="229">
        <v>2.64E-2</v>
      </c>
      <c r="R100" s="228">
        <v>604</v>
      </c>
      <c r="S100" s="228">
        <v>605.6</v>
      </c>
      <c r="T100" s="228">
        <v>-1.6</v>
      </c>
      <c r="U100" s="229">
        <v>-2.5999999999999999E-3</v>
      </c>
      <c r="V100" s="228">
        <v>0</v>
      </c>
      <c r="W100" s="228">
        <v>0</v>
      </c>
      <c r="X100" s="228">
        <v>0</v>
      </c>
      <c r="Y100" s="229">
        <v>0</v>
      </c>
      <c r="Z100" s="228">
        <v>1.45</v>
      </c>
      <c r="AA100" s="228">
        <v>0.4</v>
      </c>
      <c r="AB100" s="228">
        <v>1.05</v>
      </c>
      <c r="AC100" s="229">
        <v>2.3E-3</v>
      </c>
      <c r="AD100" s="228">
        <v>1.45</v>
      </c>
      <c r="AE100" s="228">
        <v>0.4</v>
      </c>
      <c r="AF100" s="228">
        <v>1.05</v>
      </c>
      <c r="AG100" s="229">
        <v>2.3E-3</v>
      </c>
      <c r="AH100" s="228">
        <v>-24.85</v>
      </c>
      <c r="AI100" s="228">
        <v>-8.1</v>
      </c>
      <c r="AJ100" s="228">
        <v>-16.75</v>
      </c>
      <c r="AK100" s="229">
        <v>-3.95E-2</v>
      </c>
      <c r="AL100" s="228">
        <v>0</v>
      </c>
      <c r="AM100" s="228">
        <v>0</v>
      </c>
      <c r="AN100" s="228">
        <v>0</v>
      </c>
      <c r="AO100" s="229">
        <v>0</v>
      </c>
      <c r="AP100" s="228">
        <v>625.54</v>
      </c>
      <c r="AQ100" s="228">
        <v>606.86</v>
      </c>
      <c r="AR100" s="228">
        <v>0</v>
      </c>
      <c r="AS100" s="230">
        <v>1490</v>
      </c>
      <c r="AT100" s="230">
        <v>1352</v>
      </c>
      <c r="AU100" s="228">
        <v>138</v>
      </c>
      <c r="AV100" s="229">
        <v>0.1024</v>
      </c>
      <c r="AW100" s="228">
        <v>766</v>
      </c>
      <c r="AX100" s="228">
        <v>716</v>
      </c>
      <c r="AY100" s="228">
        <v>50</v>
      </c>
      <c r="AZ100" s="229">
        <v>7.0300000000000001E-2</v>
      </c>
      <c r="BA100" s="228">
        <v>724</v>
      </c>
      <c r="BB100" s="228">
        <v>636</v>
      </c>
      <c r="BC100" s="228">
        <v>88</v>
      </c>
      <c r="BD100" s="229">
        <v>0.1386</v>
      </c>
      <c r="BE100" s="228">
        <v>0</v>
      </c>
      <c r="BF100" s="228">
        <v>0</v>
      </c>
      <c r="BG100" s="228">
        <v>0</v>
      </c>
      <c r="BH100" s="229">
        <v>0</v>
      </c>
      <c r="BI100" s="230">
        <v>1518</v>
      </c>
      <c r="BJ100" s="230">
        <v>1776</v>
      </c>
      <c r="BK100" s="228">
        <v>-258</v>
      </c>
      <c r="BL100" s="229">
        <v>-0.14510000000000001</v>
      </c>
      <c r="BM100" s="228">
        <v>660</v>
      </c>
      <c r="BN100" s="228">
        <v>683</v>
      </c>
      <c r="BO100" s="228">
        <v>-24</v>
      </c>
      <c r="BP100" s="229">
        <v>-3.4700000000000002E-2</v>
      </c>
      <c r="BQ100" s="230">
        <v>3668</v>
      </c>
      <c r="BR100" s="230">
        <v>3811</v>
      </c>
      <c r="BS100" s="228">
        <v>-143</v>
      </c>
      <c r="BT100" s="229">
        <v>-3.7499999999999999E-2</v>
      </c>
      <c r="BU100" s="230">
        <v>1507986</v>
      </c>
      <c r="BV100" s="230">
        <v>1900173</v>
      </c>
      <c r="BW100" s="230">
        <v>-392187</v>
      </c>
      <c r="BX100" s="229">
        <v>-0.2064</v>
      </c>
      <c r="BY100" s="230">
        <v>1661</v>
      </c>
      <c r="BZ100" s="230">
        <v>1585</v>
      </c>
      <c r="CA100" s="228">
        <v>76</v>
      </c>
      <c r="CB100" s="229">
        <v>4.7899999999999998E-2</v>
      </c>
      <c r="CC100" s="228">
        <v>629</v>
      </c>
      <c r="CD100" s="228">
        <v>976</v>
      </c>
      <c r="CE100" s="228">
        <v>-347</v>
      </c>
      <c r="CF100" s="229">
        <v>-0.35539999999999999</v>
      </c>
      <c r="CG100" s="230">
        <v>1032</v>
      </c>
      <c r="CH100" s="228">
        <v>609</v>
      </c>
      <c r="CI100" s="228">
        <v>423</v>
      </c>
      <c r="CJ100" s="229">
        <v>0.69410000000000005</v>
      </c>
      <c r="CK100" s="228">
        <v>0</v>
      </c>
      <c r="CL100" s="228">
        <v>0</v>
      </c>
      <c r="CM100" s="228">
        <v>0</v>
      </c>
      <c r="CN100" s="229">
        <v>0</v>
      </c>
      <c r="CO100" s="230">
        <v>1594</v>
      </c>
      <c r="CP100" s="230">
        <v>1688</v>
      </c>
      <c r="CQ100" s="228">
        <v>-94</v>
      </c>
      <c r="CR100" s="229">
        <v>-5.5800000000000002E-2</v>
      </c>
      <c r="CS100" s="228">
        <v>772</v>
      </c>
      <c r="CT100" s="228">
        <v>759</v>
      </c>
      <c r="CU100" s="228">
        <v>12</v>
      </c>
      <c r="CV100" s="229">
        <v>1.5900000000000001E-2</v>
      </c>
      <c r="CW100" s="230">
        <v>4027</v>
      </c>
      <c r="CX100" s="230">
        <v>4033</v>
      </c>
      <c r="CY100" s="228">
        <v>-6</v>
      </c>
      <c r="CZ100" s="229">
        <v>-1.5E-3</v>
      </c>
      <c r="DA100" s="228">
        <v>32.200000000000003</v>
      </c>
      <c r="DB100" s="228">
        <v>27.46</v>
      </c>
      <c r="DC100" s="228">
        <v>4.74</v>
      </c>
      <c r="DD100" s="228">
        <v>4.74</v>
      </c>
      <c r="DE100" s="228">
        <v>29.65</v>
      </c>
      <c r="DF100" s="228">
        <v>29.51</v>
      </c>
      <c r="DG100" s="228">
        <v>2.5499999999999998</v>
      </c>
      <c r="DH100" s="228">
        <v>0.14000000000000001</v>
      </c>
      <c r="DI100" s="228">
        <v>32.799999999999997</v>
      </c>
      <c r="DJ100" s="228">
        <v>27.85</v>
      </c>
      <c r="DK100" s="228">
        <v>4.95</v>
      </c>
      <c r="DL100" s="228">
        <v>4.95</v>
      </c>
      <c r="DM100" s="228">
        <v>31.1</v>
      </c>
      <c r="DN100" s="228">
        <v>26.43</v>
      </c>
      <c r="DO100" s="228">
        <v>4.67</v>
      </c>
      <c r="DP100" s="228">
        <v>4.67</v>
      </c>
      <c r="DQ100" s="228">
        <v>0.48</v>
      </c>
      <c r="DR100" s="228">
        <v>0.45</v>
      </c>
      <c r="DS100" s="228">
        <v>0.03</v>
      </c>
      <c r="DT100" s="229">
        <v>6.6699999999999995E-2</v>
      </c>
      <c r="DU100" s="228">
        <v>700</v>
      </c>
      <c r="DV100" s="228">
        <v>700</v>
      </c>
      <c r="DW100" s="228">
        <v>0.43</v>
      </c>
      <c r="DX100" s="228">
        <v>0.38</v>
      </c>
      <c r="DY100" s="228">
        <v>0.05</v>
      </c>
      <c r="DZ100" s="229">
        <v>0.13159999999999999</v>
      </c>
      <c r="EA100" s="229">
        <v>0.62129999999999996</v>
      </c>
      <c r="EB100" s="230">
        <v>9666125</v>
      </c>
      <c r="EC100" s="229">
        <v>-4.1700000000000001E-2</v>
      </c>
      <c r="ED100" s="229">
        <v>0.62129999999999996</v>
      </c>
      <c r="EE100" s="228">
        <v>-18.68</v>
      </c>
      <c r="EF100" s="229">
        <v>-2.9899999999999999E-2</v>
      </c>
      <c r="EG100" s="230">
        <v>634258</v>
      </c>
      <c r="EH100" s="230">
        <v>698356</v>
      </c>
      <c r="EI100" s="229">
        <v>-9.1800000000000007E-2</v>
      </c>
      <c r="EJ100" s="229">
        <v>0.42059999999999997</v>
      </c>
      <c r="EK100" s="231">
        <v>1584.45</v>
      </c>
      <c r="EL100" s="228">
        <v>672.48</v>
      </c>
      <c r="EM100" s="231">
        <v>1457.52</v>
      </c>
      <c r="EN100" s="228">
        <v>108.55</v>
      </c>
      <c r="EO100" s="231">
        <v>3714.45</v>
      </c>
      <c r="EP100" s="231">
        <v>3789.35</v>
      </c>
      <c r="EQ100" s="228">
        <v>-74.900000000000006</v>
      </c>
      <c r="ER100" s="229">
        <v>-1.9800000000000002E-2</v>
      </c>
      <c r="ES100" s="231">
        <v>1744.07</v>
      </c>
      <c r="ET100" s="228">
        <v>799.39</v>
      </c>
      <c r="EU100" s="231">
        <v>1618.2</v>
      </c>
      <c r="EV100" s="231">
        <v>32504261</v>
      </c>
      <c r="EW100" s="231">
        <v>4161.66</v>
      </c>
      <c r="EX100" s="231">
        <v>4179.9399999999996</v>
      </c>
      <c r="EY100" s="228">
        <v>-18.28</v>
      </c>
      <c r="EZ100" s="229">
        <v>-4.4000000000000003E-3</v>
      </c>
      <c r="FA100" s="229">
        <v>1.9656</v>
      </c>
      <c r="FB100" s="227" t="s">
        <v>555</v>
      </c>
      <c r="FC100">
        <f t="shared" si="1"/>
        <v>1032</v>
      </c>
    </row>
    <row r="101" spans="1:159" ht="17.25" thickBot="1" x14ac:dyDescent="0.3">
      <c r="A101" s="226">
        <v>46044</v>
      </c>
      <c r="B101" s="227" t="s">
        <v>175</v>
      </c>
      <c r="C101" s="227" t="s">
        <v>664</v>
      </c>
      <c r="D101" s="228">
        <v>3450</v>
      </c>
      <c r="E101" s="228">
        <v>5</v>
      </c>
      <c r="F101" s="228">
        <v>130.29</v>
      </c>
      <c r="G101" s="228">
        <v>127.11</v>
      </c>
      <c r="H101" s="228">
        <v>3.18</v>
      </c>
      <c r="I101" s="229">
        <v>2.5000000000000001E-2</v>
      </c>
      <c r="J101" s="228">
        <v>129.93</v>
      </c>
      <c r="K101" s="228">
        <v>127.38</v>
      </c>
      <c r="L101" s="228">
        <v>2.5499999999999998</v>
      </c>
      <c r="M101" s="229">
        <v>0.02</v>
      </c>
      <c r="N101" s="228">
        <v>130.29</v>
      </c>
      <c r="O101" s="228">
        <v>127.11</v>
      </c>
      <c r="P101" s="228">
        <v>3.18</v>
      </c>
      <c r="Q101" s="229">
        <v>2.5000000000000001E-2</v>
      </c>
      <c r="R101" s="228">
        <v>125.73</v>
      </c>
      <c r="S101" s="228">
        <v>124.38</v>
      </c>
      <c r="T101" s="228">
        <v>1.35</v>
      </c>
      <c r="U101" s="229">
        <v>1.09E-2</v>
      </c>
      <c r="V101" s="228">
        <v>124.08</v>
      </c>
      <c r="W101" s="228">
        <v>123.89</v>
      </c>
      <c r="X101" s="228">
        <v>0.19</v>
      </c>
      <c r="Y101" s="229">
        <v>1.5E-3</v>
      </c>
      <c r="Z101" s="228">
        <v>0.36</v>
      </c>
      <c r="AA101" s="228">
        <v>-0.27</v>
      </c>
      <c r="AB101" s="228">
        <v>0.63</v>
      </c>
      <c r="AC101" s="229">
        <v>2.8E-3</v>
      </c>
      <c r="AD101" s="228">
        <v>0.36</v>
      </c>
      <c r="AE101" s="228">
        <v>-0.27</v>
      </c>
      <c r="AF101" s="228">
        <v>0.63</v>
      </c>
      <c r="AG101" s="229">
        <v>2.8E-3</v>
      </c>
      <c r="AH101" s="228">
        <v>-4.2</v>
      </c>
      <c r="AI101" s="228">
        <v>-3</v>
      </c>
      <c r="AJ101" s="228">
        <v>-1.2</v>
      </c>
      <c r="AK101" s="229">
        <v>-3.2300000000000002E-2</v>
      </c>
      <c r="AL101" s="228">
        <v>-5.85</v>
      </c>
      <c r="AM101" s="228">
        <v>-3.49</v>
      </c>
      <c r="AN101" s="228">
        <v>-2.36</v>
      </c>
      <c r="AO101" s="229">
        <v>-4.4999999999999998E-2</v>
      </c>
      <c r="AP101" s="228">
        <v>130.22</v>
      </c>
      <c r="AQ101" s="228">
        <v>126.44</v>
      </c>
      <c r="AR101" s="228">
        <v>0</v>
      </c>
      <c r="AS101" s="228">
        <v>885</v>
      </c>
      <c r="AT101" s="228">
        <v>605</v>
      </c>
      <c r="AU101" s="228">
        <v>281</v>
      </c>
      <c r="AV101" s="229">
        <v>0.4642</v>
      </c>
      <c r="AW101" s="228">
        <v>424</v>
      </c>
      <c r="AX101" s="228">
        <v>314</v>
      </c>
      <c r="AY101" s="228">
        <v>110</v>
      </c>
      <c r="AZ101" s="229">
        <v>0.3513</v>
      </c>
      <c r="BA101" s="228">
        <v>440</v>
      </c>
      <c r="BB101" s="228">
        <v>281</v>
      </c>
      <c r="BC101" s="228">
        <v>159</v>
      </c>
      <c r="BD101" s="229">
        <v>0.56779999999999997</v>
      </c>
      <c r="BE101" s="228">
        <v>21</v>
      </c>
      <c r="BF101" s="228">
        <v>10</v>
      </c>
      <c r="BG101" s="228">
        <v>11</v>
      </c>
      <c r="BH101" s="229">
        <v>1.0885</v>
      </c>
      <c r="BI101" s="228">
        <v>674</v>
      </c>
      <c r="BJ101" s="228">
        <v>828</v>
      </c>
      <c r="BK101" s="228">
        <v>-154</v>
      </c>
      <c r="BL101" s="229">
        <v>-0.18629999999999999</v>
      </c>
      <c r="BM101" s="228">
        <v>224</v>
      </c>
      <c r="BN101" s="228">
        <v>363</v>
      </c>
      <c r="BO101" s="228">
        <v>-139</v>
      </c>
      <c r="BP101" s="229">
        <v>-0.38250000000000001</v>
      </c>
      <c r="BQ101" s="230">
        <v>1783</v>
      </c>
      <c r="BR101" s="230">
        <v>1796</v>
      </c>
      <c r="BS101" s="228">
        <v>-12</v>
      </c>
      <c r="BT101" s="229">
        <v>-6.8999999999999999E-3</v>
      </c>
      <c r="BU101" s="230">
        <v>9422162</v>
      </c>
      <c r="BV101" s="230">
        <v>14450263</v>
      </c>
      <c r="BW101" s="230">
        <v>-5028101</v>
      </c>
      <c r="BX101" s="229">
        <v>-0.34799999999999998</v>
      </c>
      <c r="BY101" s="228">
        <v>941</v>
      </c>
      <c r="BZ101" s="230">
        <v>1056</v>
      </c>
      <c r="CA101" s="228">
        <v>-116</v>
      </c>
      <c r="CB101" s="229">
        <v>-0.1095</v>
      </c>
      <c r="CC101" s="228">
        <v>315</v>
      </c>
      <c r="CD101" s="228">
        <v>593</v>
      </c>
      <c r="CE101" s="228">
        <v>-278</v>
      </c>
      <c r="CF101" s="229">
        <v>-0.46960000000000002</v>
      </c>
      <c r="CG101" s="228">
        <v>572</v>
      </c>
      <c r="CH101" s="228">
        <v>416</v>
      </c>
      <c r="CI101" s="228">
        <v>156</v>
      </c>
      <c r="CJ101" s="229">
        <v>0.37590000000000001</v>
      </c>
      <c r="CK101" s="228">
        <v>54</v>
      </c>
      <c r="CL101" s="228">
        <v>47</v>
      </c>
      <c r="CM101" s="228">
        <v>6</v>
      </c>
      <c r="CN101" s="229">
        <v>0.13639999999999999</v>
      </c>
      <c r="CO101" s="228">
        <v>755</v>
      </c>
      <c r="CP101" s="228">
        <v>839</v>
      </c>
      <c r="CQ101" s="228">
        <v>-84</v>
      </c>
      <c r="CR101" s="229">
        <v>-9.98E-2</v>
      </c>
      <c r="CS101" s="228">
        <v>381</v>
      </c>
      <c r="CT101" s="228">
        <v>383</v>
      </c>
      <c r="CU101" s="228">
        <v>-2</v>
      </c>
      <c r="CV101" s="229">
        <v>-5.8999999999999999E-3</v>
      </c>
      <c r="CW101" s="230">
        <v>2077</v>
      </c>
      <c r="CX101" s="230">
        <v>2279</v>
      </c>
      <c r="CY101" s="228">
        <v>-202</v>
      </c>
      <c r="CZ101" s="229">
        <v>-8.8499999999999995E-2</v>
      </c>
      <c r="DA101" s="228">
        <v>41.93</v>
      </c>
      <c r="DB101" s="228">
        <v>42.27</v>
      </c>
      <c r="DC101" s="228">
        <v>-0.34</v>
      </c>
      <c r="DD101" s="228">
        <v>-0.34</v>
      </c>
      <c r="DE101" s="228">
        <v>48.43</v>
      </c>
      <c r="DF101" s="228">
        <v>48.44</v>
      </c>
      <c r="DG101" s="228">
        <v>-6.5</v>
      </c>
      <c r="DH101" s="228">
        <v>-0.01</v>
      </c>
      <c r="DI101" s="228">
        <v>42.5</v>
      </c>
      <c r="DJ101" s="228">
        <v>44.09</v>
      </c>
      <c r="DK101" s="228">
        <v>-1.59</v>
      </c>
      <c r="DL101" s="228">
        <v>-1.59</v>
      </c>
      <c r="DM101" s="228">
        <v>40.409999999999997</v>
      </c>
      <c r="DN101" s="228">
        <v>38.119999999999997</v>
      </c>
      <c r="DO101" s="228">
        <v>2.29</v>
      </c>
      <c r="DP101" s="228">
        <v>2.29</v>
      </c>
      <c r="DQ101" s="228">
        <v>0.5</v>
      </c>
      <c r="DR101" s="228">
        <v>0.46</v>
      </c>
      <c r="DS101" s="228">
        <v>0.04</v>
      </c>
      <c r="DT101" s="229">
        <v>8.6999999999999994E-2</v>
      </c>
      <c r="DU101" s="228">
        <v>150</v>
      </c>
      <c r="DV101" s="228">
        <v>140</v>
      </c>
      <c r="DW101" s="228">
        <v>0.33</v>
      </c>
      <c r="DX101" s="228">
        <v>0.44</v>
      </c>
      <c r="DY101" s="228">
        <v>-0.11</v>
      </c>
      <c r="DZ101" s="229">
        <v>-0.25</v>
      </c>
      <c r="EA101" s="229">
        <v>0.66559999999999997</v>
      </c>
      <c r="EB101" s="230">
        <v>35562600</v>
      </c>
      <c r="EC101" s="229">
        <v>-3.5000000000000003E-2</v>
      </c>
      <c r="ED101" s="229">
        <v>0.66559999999999997</v>
      </c>
      <c r="EE101" s="228">
        <v>-3.78</v>
      </c>
      <c r="EF101" s="229">
        <v>-2.9000000000000001E-2</v>
      </c>
      <c r="EG101" s="230">
        <v>3696582</v>
      </c>
      <c r="EH101" s="230">
        <v>3863955</v>
      </c>
      <c r="EI101" s="229">
        <v>-4.3299999999999998E-2</v>
      </c>
      <c r="EJ101" s="229">
        <v>0.39229999999999998</v>
      </c>
      <c r="EK101" s="228">
        <v>721.03</v>
      </c>
      <c r="EL101" s="228">
        <v>228.94</v>
      </c>
      <c r="EM101" s="228">
        <v>871.35</v>
      </c>
      <c r="EN101" s="228">
        <v>88.92</v>
      </c>
      <c r="EO101" s="231">
        <v>1821.32</v>
      </c>
      <c r="EP101" s="231">
        <v>1836.52</v>
      </c>
      <c r="EQ101" s="228">
        <v>-15.21</v>
      </c>
      <c r="ER101" s="229">
        <v>-8.3000000000000001E-3</v>
      </c>
      <c r="ES101" s="228">
        <v>838.76</v>
      </c>
      <c r="ET101" s="228">
        <v>393.59</v>
      </c>
      <c r="EU101" s="228">
        <v>918.07</v>
      </c>
      <c r="EV101" s="231">
        <v>119011160</v>
      </c>
      <c r="EW101" s="231">
        <v>2150.4299999999998</v>
      </c>
      <c r="EX101" s="231">
        <v>2349.17</v>
      </c>
      <c r="EY101" s="228">
        <v>-198.74</v>
      </c>
      <c r="EZ101" s="229">
        <v>-8.4599999999999995E-2</v>
      </c>
      <c r="FA101" s="229">
        <v>1.3393999999999999</v>
      </c>
      <c r="FB101" s="227" t="s">
        <v>556</v>
      </c>
      <c r="FC101">
        <f t="shared" si="1"/>
        <v>626</v>
      </c>
    </row>
    <row r="102" spans="1:159" ht="17.25" thickBot="1" x14ac:dyDescent="0.3">
      <c r="A102" s="226">
        <v>46044</v>
      </c>
      <c r="B102" s="227" t="s">
        <v>215</v>
      </c>
      <c r="C102" s="227" t="s">
        <v>592</v>
      </c>
      <c r="D102" s="228">
        <v>4250</v>
      </c>
      <c r="E102" s="228">
        <v>5</v>
      </c>
      <c r="F102" s="228">
        <v>117.37</v>
      </c>
      <c r="G102" s="228">
        <v>115.27</v>
      </c>
      <c r="H102" s="228">
        <v>2.1</v>
      </c>
      <c r="I102" s="229">
        <v>1.8200000000000001E-2</v>
      </c>
      <c r="J102" s="228">
        <v>117.02</v>
      </c>
      <c r="K102" s="228">
        <v>115.14</v>
      </c>
      <c r="L102" s="228">
        <v>1.88</v>
      </c>
      <c r="M102" s="229">
        <v>1.6299999999999999E-2</v>
      </c>
      <c r="N102" s="228">
        <v>117.37</v>
      </c>
      <c r="O102" s="228">
        <v>115.27</v>
      </c>
      <c r="P102" s="228">
        <v>2.1</v>
      </c>
      <c r="Q102" s="229">
        <v>1.8200000000000001E-2</v>
      </c>
      <c r="R102" s="228">
        <v>117.09</v>
      </c>
      <c r="S102" s="228">
        <v>115.15</v>
      </c>
      <c r="T102" s="228">
        <v>1.94</v>
      </c>
      <c r="U102" s="229">
        <v>1.6799999999999999E-2</v>
      </c>
      <c r="V102" s="228">
        <v>117.29</v>
      </c>
      <c r="W102" s="228">
        <v>115.36</v>
      </c>
      <c r="X102" s="228">
        <v>1.93</v>
      </c>
      <c r="Y102" s="229">
        <v>1.67E-2</v>
      </c>
      <c r="Z102" s="228">
        <v>0.35</v>
      </c>
      <c r="AA102" s="228">
        <v>0.13</v>
      </c>
      <c r="AB102" s="228">
        <v>0.22</v>
      </c>
      <c r="AC102" s="229">
        <v>3.0000000000000001E-3</v>
      </c>
      <c r="AD102" s="228">
        <v>0.35</v>
      </c>
      <c r="AE102" s="228">
        <v>0.13</v>
      </c>
      <c r="AF102" s="228">
        <v>0.22</v>
      </c>
      <c r="AG102" s="229">
        <v>3.0000000000000001E-3</v>
      </c>
      <c r="AH102" s="228">
        <v>7.0000000000000007E-2</v>
      </c>
      <c r="AI102" s="228">
        <v>0.01</v>
      </c>
      <c r="AJ102" s="228">
        <v>0.06</v>
      </c>
      <c r="AK102" s="229">
        <v>5.9999999999999995E-4</v>
      </c>
      <c r="AL102" s="228">
        <v>0.27</v>
      </c>
      <c r="AM102" s="228">
        <v>0.22</v>
      </c>
      <c r="AN102" s="228">
        <v>0.05</v>
      </c>
      <c r="AO102" s="229">
        <v>2.3E-3</v>
      </c>
      <c r="AP102" s="228">
        <v>117.14</v>
      </c>
      <c r="AQ102" s="228">
        <v>116.93</v>
      </c>
      <c r="AR102" s="228">
        <v>0</v>
      </c>
      <c r="AS102" s="228">
        <v>659</v>
      </c>
      <c r="AT102" s="228">
        <v>591</v>
      </c>
      <c r="AU102" s="228">
        <v>67</v>
      </c>
      <c r="AV102" s="229">
        <v>0.114</v>
      </c>
      <c r="AW102" s="228">
        <v>325</v>
      </c>
      <c r="AX102" s="228">
        <v>328</v>
      </c>
      <c r="AY102" s="228">
        <v>-3</v>
      </c>
      <c r="AZ102" s="229">
        <v>-9.7000000000000003E-3</v>
      </c>
      <c r="BA102" s="228">
        <v>324</v>
      </c>
      <c r="BB102" s="228">
        <v>255</v>
      </c>
      <c r="BC102" s="228">
        <v>69</v>
      </c>
      <c r="BD102" s="229">
        <v>0.27089999999999997</v>
      </c>
      <c r="BE102" s="228">
        <v>10</v>
      </c>
      <c r="BF102" s="228">
        <v>8</v>
      </c>
      <c r="BG102" s="228">
        <v>2</v>
      </c>
      <c r="BH102" s="229">
        <v>0.19139999999999999</v>
      </c>
      <c r="BI102" s="230">
        <v>2208</v>
      </c>
      <c r="BJ102" s="230">
        <v>2022</v>
      </c>
      <c r="BK102" s="228">
        <v>187</v>
      </c>
      <c r="BL102" s="229">
        <v>9.2299999999999993E-2</v>
      </c>
      <c r="BM102" s="228">
        <v>442</v>
      </c>
      <c r="BN102" s="228">
        <v>611</v>
      </c>
      <c r="BO102" s="228">
        <v>-169</v>
      </c>
      <c r="BP102" s="229">
        <v>-0.27610000000000001</v>
      </c>
      <c r="BQ102" s="230">
        <v>3310</v>
      </c>
      <c r="BR102" s="230">
        <v>3224</v>
      </c>
      <c r="BS102" s="228">
        <v>85</v>
      </c>
      <c r="BT102" s="229">
        <v>2.6499999999999999E-2</v>
      </c>
      <c r="BU102" s="230">
        <v>19429321</v>
      </c>
      <c r="BV102" s="230">
        <v>27062883</v>
      </c>
      <c r="BW102" s="230">
        <v>-7633562</v>
      </c>
      <c r="BX102" s="229">
        <v>-0.28210000000000002</v>
      </c>
      <c r="BY102" s="228">
        <v>787</v>
      </c>
      <c r="BZ102" s="228">
        <v>867</v>
      </c>
      <c r="CA102" s="228">
        <v>-80</v>
      </c>
      <c r="CB102" s="229">
        <v>-9.2399999999999996E-2</v>
      </c>
      <c r="CC102" s="228">
        <v>338</v>
      </c>
      <c r="CD102" s="228">
        <v>528</v>
      </c>
      <c r="CE102" s="228">
        <v>-191</v>
      </c>
      <c r="CF102" s="229">
        <v>-0.36109999999999998</v>
      </c>
      <c r="CG102" s="228">
        <v>429</v>
      </c>
      <c r="CH102" s="228">
        <v>320</v>
      </c>
      <c r="CI102" s="228">
        <v>108</v>
      </c>
      <c r="CJ102" s="229">
        <v>0.33789999999999998</v>
      </c>
      <c r="CK102" s="228">
        <v>20</v>
      </c>
      <c r="CL102" s="228">
        <v>18</v>
      </c>
      <c r="CM102" s="228">
        <v>2</v>
      </c>
      <c r="CN102" s="229">
        <v>0.13569999999999999</v>
      </c>
      <c r="CO102" s="230">
        <v>1371</v>
      </c>
      <c r="CP102" s="230">
        <v>1373</v>
      </c>
      <c r="CQ102" s="228">
        <v>-2</v>
      </c>
      <c r="CR102" s="229">
        <v>-1.1000000000000001E-3</v>
      </c>
      <c r="CS102" s="228">
        <v>502</v>
      </c>
      <c r="CT102" s="228">
        <v>498</v>
      </c>
      <c r="CU102" s="228">
        <v>4</v>
      </c>
      <c r="CV102" s="229">
        <v>8.2000000000000007E-3</v>
      </c>
      <c r="CW102" s="230">
        <v>2660</v>
      </c>
      <c r="CX102" s="230">
        <v>2738</v>
      </c>
      <c r="CY102" s="228">
        <v>-78</v>
      </c>
      <c r="CZ102" s="229">
        <v>-2.8299999999999999E-2</v>
      </c>
      <c r="DA102" s="228">
        <v>42.66</v>
      </c>
      <c r="DB102" s="228">
        <v>36.770000000000003</v>
      </c>
      <c r="DC102" s="228">
        <v>5.89</v>
      </c>
      <c r="DD102" s="228">
        <v>5.89</v>
      </c>
      <c r="DE102" s="228">
        <v>45.17</v>
      </c>
      <c r="DF102" s="228">
        <v>45.22</v>
      </c>
      <c r="DG102" s="228">
        <v>-2.5099999999999998</v>
      </c>
      <c r="DH102" s="228">
        <v>-0.05</v>
      </c>
      <c r="DI102" s="228">
        <v>42.94</v>
      </c>
      <c r="DJ102" s="228">
        <v>38.21</v>
      </c>
      <c r="DK102" s="228">
        <v>4.7300000000000004</v>
      </c>
      <c r="DL102" s="228">
        <v>4.7300000000000004</v>
      </c>
      <c r="DM102" s="228">
        <v>41.65</v>
      </c>
      <c r="DN102" s="228">
        <v>31.99</v>
      </c>
      <c r="DO102" s="228">
        <v>9.66</v>
      </c>
      <c r="DP102" s="228">
        <v>9.66</v>
      </c>
      <c r="DQ102" s="228">
        <v>0.37</v>
      </c>
      <c r="DR102" s="228">
        <v>0.36</v>
      </c>
      <c r="DS102" s="228">
        <v>0.01</v>
      </c>
      <c r="DT102" s="229">
        <v>2.7799999999999998E-2</v>
      </c>
      <c r="DU102" s="228">
        <v>130</v>
      </c>
      <c r="DV102" s="228">
        <v>115</v>
      </c>
      <c r="DW102" s="228">
        <v>0.2</v>
      </c>
      <c r="DX102" s="228">
        <v>0.3</v>
      </c>
      <c r="DY102" s="228">
        <v>-0.1</v>
      </c>
      <c r="DZ102" s="229">
        <v>-0.33329999999999999</v>
      </c>
      <c r="EA102" s="229">
        <v>0.57089999999999996</v>
      </c>
      <c r="EB102" s="230">
        <v>28840500</v>
      </c>
      <c r="EC102" s="229">
        <v>-2.3999999999999998E-3</v>
      </c>
      <c r="ED102" s="229">
        <v>0.57089999999999996</v>
      </c>
      <c r="EE102" s="228">
        <v>-0.21</v>
      </c>
      <c r="EF102" s="229">
        <v>-1.8E-3</v>
      </c>
      <c r="EG102" s="230">
        <v>4633127</v>
      </c>
      <c r="EH102" s="230">
        <v>6245897</v>
      </c>
      <c r="EI102" s="229">
        <v>-0.25819999999999999</v>
      </c>
      <c r="EJ102" s="229">
        <v>0.23849999999999999</v>
      </c>
      <c r="EK102" s="231">
        <v>2341.2399999999998</v>
      </c>
      <c r="EL102" s="228">
        <v>445.64</v>
      </c>
      <c r="EM102" s="228">
        <v>656.87</v>
      </c>
      <c r="EN102" s="228">
        <v>92.63</v>
      </c>
      <c r="EO102" s="231">
        <v>3443.74</v>
      </c>
      <c r="EP102" s="231">
        <v>3314.65</v>
      </c>
      <c r="EQ102" s="228">
        <v>129.09</v>
      </c>
      <c r="ER102" s="229">
        <v>3.8899999999999997E-2</v>
      </c>
      <c r="ES102" s="231">
        <v>1533.73</v>
      </c>
      <c r="ET102" s="228">
        <v>509.63</v>
      </c>
      <c r="EU102" s="228">
        <v>785.81</v>
      </c>
      <c r="EV102" s="231">
        <v>200960551</v>
      </c>
      <c r="EW102" s="231">
        <v>2829.17</v>
      </c>
      <c r="EX102" s="231">
        <v>2892.37</v>
      </c>
      <c r="EY102" s="228">
        <v>-63.2</v>
      </c>
      <c r="EZ102" s="229">
        <v>-2.1899999999999999E-2</v>
      </c>
      <c r="FA102" s="229">
        <v>1.1277999999999999</v>
      </c>
      <c r="FB102" s="227" t="s">
        <v>556</v>
      </c>
      <c r="FC102">
        <f t="shared" si="1"/>
        <v>449</v>
      </c>
    </row>
    <row r="103" spans="1:159" ht="17.25" thickBot="1" x14ac:dyDescent="0.3">
      <c r="A103" s="226">
        <v>46044</v>
      </c>
      <c r="B103" s="227" t="s">
        <v>168</v>
      </c>
      <c r="C103" s="227" t="s">
        <v>242</v>
      </c>
      <c r="D103" s="228">
        <v>1600</v>
      </c>
      <c r="E103" s="228">
        <v>5</v>
      </c>
      <c r="F103" s="228">
        <v>325.25</v>
      </c>
      <c r="G103" s="228">
        <v>324.85000000000002</v>
      </c>
      <c r="H103" s="228">
        <v>0.4</v>
      </c>
      <c r="I103" s="229">
        <v>1.1999999999999999E-3</v>
      </c>
      <c r="J103" s="228">
        <v>324.85000000000002</v>
      </c>
      <c r="K103" s="228">
        <v>324.75</v>
      </c>
      <c r="L103" s="228">
        <v>0.1</v>
      </c>
      <c r="M103" s="229">
        <v>2.9999999999999997E-4</v>
      </c>
      <c r="N103" s="228">
        <v>325.25</v>
      </c>
      <c r="O103" s="228">
        <v>324.85000000000002</v>
      </c>
      <c r="P103" s="228">
        <v>0.4</v>
      </c>
      <c r="Q103" s="229">
        <v>1.1999999999999999E-3</v>
      </c>
      <c r="R103" s="228">
        <v>326.05</v>
      </c>
      <c r="S103" s="228">
        <v>325.7</v>
      </c>
      <c r="T103" s="228">
        <v>0.35</v>
      </c>
      <c r="U103" s="229">
        <v>1.1000000000000001E-3</v>
      </c>
      <c r="V103" s="228">
        <v>328.35</v>
      </c>
      <c r="W103" s="228">
        <v>327.75</v>
      </c>
      <c r="X103" s="228">
        <v>0.6</v>
      </c>
      <c r="Y103" s="229">
        <v>1.8E-3</v>
      </c>
      <c r="Z103" s="228">
        <v>0.4</v>
      </c>
      <c r="AA103" s="228">
        <v>0.1</v>
      </c>
      <c r="AB103" s="228">
        <v>0.3</v>
      </c>
      <c r="AC103" s="229">
        <v>1.1999999999999999E-3</v>
      </c>
      <c r="AD103" s="228">
        <v>0.4</v>
      </c>
      <c r="AE103" s="228">
        <v>0.1</v>
      </c>
      <c r="AF103" s="228">
        <v>0.3</v>
      </c>
      <c r="AG103" s="229">
        <v>1.1999999999999999E-3</v>
      </c>
      <c r="AH103" s="228">
        <v>1.2</v>
      </c>
      <c r="AI103" s="228">
        <v>0.95</v>
      </c>
      <c r="AJ103" s="228">
        <v>0.25</v>
      </c>
      <c r="AK103" s="229">
        <v>3.7000000000000002E-3</v>
      </c>
      <c r="AL103" s="228">
        <v>3.5</v>
      </c>
      <c r="AM103" s="228">
        <v>3</v>
      </c>
      <c r="AN103" s="228">
        <v>0.5</v>
      </c>
      <c r="AO103" s="229">
        <v>1.0800000000000001E-2</v>
      </c>
      <c r="AP103" s="228">
        <v>325.37</v>
      </c>
      <c r="AQ103" s="228">
        <v>326.12</v>
      </c>
      <c r="AR103" s="228">
        <v>0</v>
      </c>
      <c r="AS103" s="230">
        <v>3117</v>
      </c>
      <c r="AT103" s="230">
        <v>2006</v>
      </c>
      <c r="AU103" s="230">
        <v>1110</v>
      </c>
      <c r="AV103" s="229">
        <v>0.55349999999999999</v>
      </c>
      <c r="AW103" s="230">
        <v>1629</v>
      </c>
      <c r="AX103" s="230">
        <v>1179</v>
      </c>
      <c r="AY103" s="228">
        <v>450</v>
      </c>
      <c r="AZ103" s="229">
        <v>0.38159999999999999</v>
      </c>
      <c r="BA103" s="230">
        <v>1444</v>
      </c>
      <c r="BB103" s="228">
        <v>793</v>
      </c>
      <c r="BC103" s="228">
        <v>651</v>
      </c>
      <c r="BD103" s="229">
        <v>0.82069999999999999</v>
      </c>
      <c r="BE103" s="228">
        <v>43</v>
      </c>
      <c r="BF103" s="228">
        <v>34</v>
      </c>
      <c r="BG103" s="228">
        <v>9</v>
      </c>
      <c r="BH103" s="229">
        <v>0.27760000000000001</v>
      </c>
      <c r="BI103" s="230">
        <v>8079</v>
      </c>
      <c r="BJ103" s="230">
        <v>8112</v>
      </c>
      <c r="BK103" s="228">
        <v>-33</v>
      </c>
      <c r="BL103" s="229">
        <v>-4.1000000000000003E-3</v>
      </c>
      <c r="BM103" s="230">
        <v>5566</v>
      </c>
      <c r="BN103" s="230">
        <v>4093</v>
      </c>
      <c r="BO103" s="230">
        <v>1473</v>
      </c>
      <c r="BP103" s="229">
        <v>0.35980000000000001</v>
      </c>
      <c r="BQ103" s="230">
        <v>16761</v>
      </c>
      <c r="BR103" s="230">
        <v>14212</v>
      </c>
      <c r="BS103" s="230">
        <v>2550</v>
      </c>
      <c r="BT103" s="229">
        <v>0.1794</v>
      </c>
      <c r="BU103" s="230">
        <v>19376312</v>
      </c>
      <c r="BV103" s="230">
        <v>15479938</v>
      </c>
      <c r="BW103" s="230">
        <v>3896374</v>
      </c>
      <c r="BX103" s="229">
        <v>0.25169999999999998</v>
      </c>
      <c r="BY103" s="230">
        <v>7751</v>
      </c>
      <c r="BZ103" s="230">
        <v>8123</v>
      </c>
      <c r="CA103" s="228">
        <v>-372</v>
      </c>
      <c r="CB103" s="229">
        <v>-4.58E-2</v>
      </c>
      <c r="CC103" s="230">
        <v>4841</v>
      </c>
      <c r="CD103" s="230">
        <v>5882</v>
      </c>
      <c r="CE103" s="230">
        <v>-1041</v>
      </c>
      <c r="CF103" s="229">
        <v>-0.17699999999999999</v>
      </c>
      <c r="CG103" s="230">
        <v>2603</v>
      </c>
      <c r="CH103" s="230">
        <v>1948</v>
      </c>
      <c r="CI103" s="228">
        <v>656</v>
      </c>
      <c r="CJ103" s="229">
        <v>0.33660000000000001</v>
      </c>
      <c r="CK103" s="228">
        <v>307</v>
      </c>
      <c r="CL103" s="228">
        <v>294</v>
      </c>
      <c r="CM103" s="228">
        <v>13</v>
      </c>
      <c r="CN103" s="229">
        <v>4.5600000000000002E-2</v>
      </c>
      <c r="CO103" s="230">
        <v>9528</v>
      </c>
      <c r="CP103" s="230">
        <v>10080</v>
      </c>
      <c r="CQ103" s="228">
        <v>-552</v>
      </c>
      <c r="CR103" s="229">
        <v>-5.4800000000000001E-2</v>
      </c>
      <c r="CS103" s="230">
        <v>3837</v>
      </c>
      <c r="CT103" s="230">
        <v>3839</v>
      </c>
      <c r="CU103" s="228">
        <v>-2</v>
      </c>
      <c r="CV103" s="229">
        <v>-5.0000000000000001E-4</v>
      </c>
      <c r="CW103" s="230">
        <v>21116</v>
      </c>
      <c r="CX103" s="230">
        <v>22042</v>
      </c>
      <c r="CY103" s="228">
        <v>-926</v>
      </c>
      <c r="CZ103" s="229">
        <v>-4.2000000000000003E-2</v>
      </c>
      <c r="DA103" s="228">
        <v>27.25</v>
      </c>
      <c r="DB103" s="228">
        <v>22.9</v>
      </c>
      <c r="DC103" s="228">
        <v>4.3499999999999996</v>
      </c>
      <c r="DD103" s="228">
        <v>4.3499999999999996</v>
      </c>
      <c r="DE103" s="228">
        <v>23.21</v>
      </c>
      <c r="DF103" s="228">
        <v>23.27</v>
      </c>
      <c r="DG103" s="228">
        <v>4.04</v>
      </c>
      <c r="DH103" s="228">
        <v>-0.06</v>
      </c>
      <c r="DI103" s="228">
        <v>27.45</v>
      </c>
      <c r="DJ103" s="228">
        <v>23.86</v>
      </c>
      <c r="DK103" s="228">
        <v>3.59</v>
      </c>
      <c r="DL103" s="228">
        <v>3.59</v>
      </c>
      <c r="DM103" s="228">
        <v>26.99</v>
      </c>
      <c r="DN103" s="228">
        <v>21</v>
      </c>
      <c r="DO103" s="228">
        <v>5.99</v>
      </c>
      <c r="DP103" s="228">
        <v>5.99</v>
      </c>
      <c r="DQ103" s="228">
        <v>0.4</v>
      </c>
      <c r="DR103" s="228">
        <v>0.38</v>
      </c>
      <c r="DS103" s="228">
        <v>0.02</v>
      </c>
      <c r="DT103" s="229">
        <v>5.2600000000000001E-2</v>
      </c>
      <c r="DU103" s="228">
        <v>350</v>
      </c>
      <c r="DV103" s="228">
        <v>350</v>
      </c>
      <c r="DW103" s="228">
        <v>0.69</v>
      </c>
      <c r="DX103" s="228">
        <v>0.5</v>
      </c>
      <c r="DY103" s="228">
        <v>0.19</v>
      </c>
      <c r="DZ103" s="229">
        <v>0.38</v>
      </c>
      <c r="EA103" s="229">
        <v>0.3755</v>
      </c>
      <c r="EB103" s="230">
        <v>68905600</v>
      </c>
      <c r="EC103" s="229">
        <v>2.5000000000000001E-3</v>
      </c>
      <c r="ED103" s="229">
        <v>0.3755</v>
      </c>
      <c r="EE103" s="228">
        <v>0.75</v>
      </c>
      <c r="EF103" s="229">
        <v>2.3E-3</v>
      </c>
      <c r="EG103" s="230">
        <v>10973099</v>
      </c>
      <c r="EH103" s="230">
        <v>8733648</v>
      </c>
      <c r="EI103" s="229">
        <v>0.25640000000000002</v>
      </c>
      <c r="EJ103" s="229">
        <v>0.56630000000000003</v>
      </c>
      <c r="EK103" s="231">
        <v>8548.5499999999993</v>
      </c>
      <c r="EL103" s="231">
        <v>5598.78</v>
      </c>
      <c r="EM103" s="231">
        <v>3121.59</v>
      </c>
      <c r="EN103" s="228">
        <v>260.42</v>
      </c>
      <c r="EO103" s="231">
        <v>17268.919999999998</v>
      </c>
      <c r="EP103" s="231">
        <v>14872.5</v>
      </c>
      <c r="EQ103" s="231">
        <v>2396.42</v>
      </c>
      <c r="ER103" s="229">
        <v>0.16109999999999999</v>
      </c>
      <c r="ES103" s="231">
        <v>10736.02</v>
      </c>
      <c r="ET103" s="231">
        <v>4097.47</v>
      </c>
      <c r="EU103" s="231">
        <v>7760.32</v>
      </c>
      <c r="EV103" s="231">
        <v>1252401670</v>
      </c>
      <c r="EW103" s="231">
        <v>22593.82</v>
      </c>
      <c r="EX103" s="231">
        <v>23617.79</v>
      </c>
      <c r="EY103" s="231">
        <v>-1023.97</v>
      </c>
      <c r="EZ103" s="229">
        <v>-4.3400000000000001E-2</v>
      </c>
      <c r="FA103" s="229">
        <v>0.51839999999999997</v>
      </c>
      <c r="FB103" s="227" t="s">
        <v>556</v>
      </c>
      <c r="FC103">
        <f t="shared" si="1"/>
        <v>2910</v>
      </c>
    </row>
    <row r="104" spans="1:159" ht="17.25" thickBot="1" x14ac:dyDescent="0.3">
      <c r="A104" s="226">
        <v>46044</v>
      </c>
      <c r="B104" s="227" t="s">
        <v>227</v>
      </c>
      <c r="C104" s="227" t="s">
        <v>243</v>
      </c>
      <c r="D104" s="228">
        <v>625</v>
      </c>
      <c r="E104" s="228">
        <v>5</v>
      </c>
      <c r="F104" s="231">
        <v>1075.5999999999999</v>
      </c>
      <c r="G104" s="231">
        <v>1041.4000000000001</v>
      </c>
      <c r="H104" s="228">
        <v>34.200000000000003</v>
      </c>
      <c r="I104" s="229">
        <v>3.2800000000000003E-2</v>
      </c>
      <c r="J104" s="231">
        <v>1076</v>
      </c>
      <c r="K104" s="231">
        <v>1041.4000000000001</v>
      </c>
      <c r="L104" s="228">
        <v>34.6</v>
      </c>
      <c r="M104" s="229">
        <v>3.32E-2</v>
      </c>
      <c r="N104" s="231">
        <v>1075.5999999999999</v>
      </c>
      <c r="O104" s="231">
        <v>1041.4000000000001</v>
      </c>
      <c r="P104" s="228">
        <v>34.200000000000003</v>
      </c>
      <c r="Q104" s="229">
        <v>3.2800000000000003E-2</v>
      </c>
      <c r="R104" s="231">
        <v>1080.7</v>
      </c>
      <c r="S104" s="231">
        <v>1046.9000000000001</v>
      </c>
      <c r="T104" s="228">
        <v>33.799999999999997</v>
      </c>
      <c r="U104" s="229">
        <v>3.2300000000000002E-2</v>
      </c>
      <c r="V104" s="231">
        <v>1088.0999999999999</v>
      </c>
      <c r="W104" s="231">
        <v>1055.8</v>
      </c>
      <c r="X104" s="228">
        <v>32.299999999999997</v>
      </c>
      <c r="Y104" s="229">
        <v>3.0599999999999999E-2</v>
      </c>
      <c r="Z104" s="228">
        <v>-0.4</v>
      </c>
      <c r="AA104" s="228">
        <v>0</v>
      </c>
      <c r="AB104" s="228">
        <v>-0.4</v>
      </c>
      <c r="AC104" s="229">
        <v>-4.0000000000000002E-4</v>
      </c>
      <c r="AD104" s="228">
        <v>-0.4</v>
      </c>
      <c r="AE104" s="228">
        <v>0</v>
      </c>
      <c r="AF104" s="228">
        <v>-0.4</v>
      </c>
      <c r="AG104" s="229">
        <v>-4.0000000000000002E-4</v>
      </c>
      <c r="AH104" s="228">
        <v>4.7</v>
      </c>
      <c r="AI104" s="228">
        <v>5.5</v>
      </c>
      <c r="AJ104" s="228">
        <v>-0.8</v>
      </c>
      <c r="AK104" s="229">
        <v>4.4000000000000003E-3</v>
      </c>
      <c r="AL104" s="228">
        <v>12.1</v>
      </c>
      <c r="AM104" s="228">
        <v>14.4</v>
      </c>
      <c r="AN104" s="228">
        <v>-2.2999999999999998</v>
      </c>
      <c r="AO104" s="229">
        <v>1.12E-2</v>
      </c>
      <c r="AP104" s="231">
        <v>1069.99</v>
      </c>
      <c r="AQ104" s="231">
        <v>1075.7</v>
      </c>
      <c r="AR104" s="228">
        <v>0</v>
      </c>
      <c r="AS104" s="228">
        <v>908</v>
      </c>
      <c r="AT104" s="228">
        <v>816</v>
      </c>
      <c r="AU104" s="228">
        <v>92</v>
      </c>
      <c r="AV104" s="229">
        <v>0.11310000000000001</v>
      </c>
      <c r="AW104" s="228">
        <v>492</v>
      </c>
      <c r="AX104" s="228">
        <v>476</v>
      </c>
      <c r="AY104" s="228">
        <v>16</v>
      </c>
      <c r="AZ104" s="229">
        <v>3.4000000000000002E-2</v>
      </c>
      <c r="BA104" s="228">
        <v>412</v>
      </c>
      <c r="BB104" s="228">
        <v>338</v>
      </c>
      <c r="BC104" s="228">
        <v>74</v>
      </c>
      <c r="BD104" s="229">
        <v>0.21920000000000001</v>
      </c>
      <c r="BE104" s="228">
        <v>3</v>
      </c>
      <c r="BF104" s="228">
        <v>1</v>
      </c>
      <c r="BG104" s="228">
        <v>2</v>
      </c>
      <c r="BH104" s="229">
        <v>1.3332999999999999</v>
      </c>
      <c r="BI104" s="230">
        <v>1331</v>
      </c>
      <c r="BJ104" s="228">
        <v>628</v>
      </c>
      <c r="BK104" s="228">
        <v>703</v>
      </c>
      <c r="BL104" s="229">
        <v>1.1188</v>
      </c>
      <c r="BM104" s="228">
        <v>626</v>
      </c>
      <c r="BN104" s="228">
        <v>433</v>
      </c>
      <c r="BO104" s="228">
        <v>193</v>
      </c>
      <c r="BP104" s="229">
        <v>0.44669999999999999</v>
      </c>
      <c r="BQ104" s="230">
        <v>2865</v>
      </c>
      <c r="BR104" s="230">
        <v>1877</v>
      </c>
      <c r="BS104" s="228">
        <v>988</v>
      </c>
      <c r="BT104" s="229">
        <v>0.52659999999999996</v>
      </c>
      <c r="BU104" s="230">
        <v>2095667</v>
      </c>
      <c r="BV104" s="230">
        <v>1694134</v>
      </c>
      <c r="BW104" s="230">
        <v>401533</v>
      </c>
      <c r="BX104" s="229">
        <v>0.23699999999999999</v>
      </c>
      <c r="BY104" s="230">
        <v>1241</v>
      </c>
      <c r="BZ104" s="230">
        <v>1257</v>
      </c>
      <c r="CA104" s="228">
        <v>-16</v>
      </c>
      <c r="CB104" s="229">
        <v>-1.2699999999999999E-2</v>
      </c>
      <c r="CC104" s="228">
        <v>464</v>
      </c>
      <c r="CD104" s="228">
        <v>774</v>
      </c>
      <c r="CE104" s="228">
        <v>-310</v>
      </c>
      <c r="CF104" s="229">
        <v>-0.40029999999999999</v>
      </c>
      <c r="CG104" s="228">
        <v>772</v>
      </c>
      <c r="CH104" s="228">
        <v>478</v>
      </c>
      <c r="CI104" s="228">
        <v>293</v>
      </c>
      <c r="CJ104" s="229">
        <v>0.61280000000000001</v>
      </c>
      <c r="CK104" s="228">
        <v>5</v>
      </c>
      <c r="CL104" s="228">
        <v>4</v>
      </c>
      <c r="CM104" s="228">
        <v>1</v>
      </c>
      <c r="CN104" s="229">
        <v>0.2034</v>
      </c>
      <c r="CO104" s="228">
        <v>468</v>
      </c>
      <c r="CP104" s="228">
        <v>515</v>
      </c>
      <c r="CQ104" s="228">
        <v>-47</v>
      </c>
      <c r="CR104" s="229">
        <v>-9.1700000000000004E-2</v>
      </c>
      <c r="CS104" s="228">
        <v>440</v>
      </c>
      <c r="CT104" s="228">
        <v>422</v>
      </c>
      <c r="CU104" s="228">
        <v>19</v>
      </c>
      <c r="CV104" s="229">
        <v>4.3999999999999997E-2</v>
      </c>
      <c r="CW104" s="230">
        <v>2149</v>
      </c>
      <c r="CX104" s="230">
        <v>2194</v>
      </c>
      <c r="CY104" s="228">
        <v>-45</v>
      </c>
      <c r="CZ104" s="229">
        <v>-2.0400000000000001E-2</v>
      </c>
      <c r="DA104" s="228">
        <v>31.54</v>
      </c>
      <c r="DB104" s="228">
        <v>27.64</v>
      </c>
      <c r="DC104" s="228">
        <v>3.9</v>
      </c>
      <c r="DD104" s="228">
        <v>3.9</v>
      </c>
      <c r="DE104" s="228">
        <v>34.770000000000003</v>
      </c>
      <c r="DF104" s="228">
        <v>34.57</v>
      </c>
      <c r="DG104" s="228">
        <v>-3.23</v>
      </c>
      <c r="DH104" s="228">
        <v>0.2</v>
      </c>
      <c r="DI104" s="228">
        <v>31.38</v>
      </c>
      <c r="DJ104" s="228">
        <v>27.69</v>
      </c>
      <c r="DK104" s="228">
        <v>3.69</v>
      </c>
      <c r="DL104" s="228">
        <v>3.69</v>
      </c>
      <c r="DM104" s="228">
        <v>31.77</v>
      </c>
      <c r="DN104" s="228">
        <v>27.57</v>
      </c>
      <c r="DO104" s="228">
        <v>4.2</v>
      </c>
      <c r="DP104" s="228">
        <v>4.2</v>
      </c>
      <c r="DQ104" s="228">
        <v>0.94</v>
      </c>
      <c r="DR104" s="228">
        <v>0.82</v>
      </c>
      <c r="DS104" s="228">
        <v>0.12</v>
      </c>
      <c r="DT104" s="229">
        <v>0.14630000000000001</v>
      </c>
      <c r="DU104" s="231">
        <v>1100</v>
      </c>
      <c r="DV104" s="231">
        <v>1000</v>
      </c>
      <c r="DW104" s="228">
        <v>0.47</v>
      </c>
      <c r="DX104" s="228">
        <v>0.69</v>
      </c>
      <c r="DY104" s="228">
        <v>-0.22</v>
      </c>
      <c r="DZ104" s="229">
        <v>-0.31879999999999997</v>
      </c>
      <c r="EA104" s="229">
        <v>0.62570000000000003</v>
      </c>
      <c r="EB104" s="230">
        <v>4485000</v>
      </c>
      <c r="EC104" s="229">
        <v>4.7000000000000002E-3</v>
      </c>
      <c r="ED104" s="229">
        <v>0.62570000000000003</v>
      </c>
      <c r="EE104" s="228">
        <v>5.71</v>
      </c>
      <c r="EF104" s="229">
        <v>5.3E-3</v>
      </c>
      <c r="EG104" s="230">
        <v>921081</v>
      </c>
      <c r="EH104" s="230">
        <v>515795</v>
      </c>
      <c r="EI104" s="229">
        <v>0.78580000000000005</v>
      </c>
      <c r="EJ104" s="229">
        <v>0.4395</v>
      </c>
      <c r="EK104" s="231">
        <v>1359.12</v>
      </c>
      <c r="EL104" s="228">
        <v>610.32000000000005</v>
      </c>
      <c r="EM104" s="228">
        <v>905.56</v>
      </c>
      <c r="EN104" s="228">
        <v>65.099999999999994</v>
      </c>
      <c r="EO104" s="231">
        <v>2875</v>
      </c>
      <c r="EP104" s="231">
        <v>1838.29</v>
      </c>
      <c r="EQ104" s="231">
        <v>1036.71</v>
      </c>
      <c r="ER104" s="229">
        <v>0.56399999999999995</v>
      </c>
      <c r="ES104" s="228">
        <v>480.07</v>
      </c>
      <c r="ET104" s="228">
        <v>413.7</v>
      </c>
      <c r="EU104" s="231">
        <v>1244.49</v>
      </c>
      <c r="EV104" s="231">
        <v>48257090</v>
      </c>
      <c r="EW104" s="231">
        <v>2138.2600000000002</v>
      </c>
      <c r="EX104" s="231">
        <v>2138.6799999999998</v>
      </c>
      <c r="EY104" s="228">
        <v>-0.42</v>
      </c>
      <c r="EZ104" s="229">
        <v>-2.0000000000000001E-4</v>
      </c>
      <c r="FA104" s="229">
        <v>0.41399999999999998</v>
      </c>
      <c r="FB104" s="227" t="s">
        <v>556</v>
      </c>
      <c r="FC104">
        <f t="shared" si="1"/>
        <v>777</v>
      </c>
    </row>
    <row r="105" spans="1:159" ht="17.25" thickBot="1" x14ac:dyDescent="0.3">
      <c r="A105" s="226">
        <v>46044</v>
      </c>
      <c r="B105" s="227" t="s">
        <v>175</v>
      </c>
      <c r="C105" s="227" t="s">
        <v>570</v>
      </c>
      <c r="D105" s="228">
        <v>2350</v>
      </c>
      <c r="E105" s="228">
        <v>5</v>
      </c>
      <c r="F105" s="228">
        <v>263.35000000000002</v>
      </c>
      <c r="G105" s="228">
        <v>263.7</v>
      </c>
      <c r="H105" s="228">
        <v>-0.35</v>
      </c>
      <c r="I105" s="229">
        <v>-1.2999999999999999E-3</v>
      </c>
      <c r="J105" s="228">
        <v>262.60000000000002</v>
      </c>
      <c r="K105" s="228">
        <v>263.25</v>
      </c>
      <c r="L105" s="228">
        <v>-0.65</v>
      </c>
      <c r="M105" s="229">
        <v>-2.5000000000000001E-3</v>
      </c>
      <c r="N105" s="228">
        <v>263.35000000000002</v>
      </c>
      <c r="O105" s="228">
        <v>263.7</v>
      </c>
      <c r="P105" s="228">
        <v>-0.35</v>
      </c>
      <c r="Q105" s="229">
        <v>-1.2999999999999999E-3</v>
      </c>
      <c r="R105" s="228">
        <v>264.7</v>
      </c>
      <c r="S105" s="228">
        <v>265.14999999999998</v>
      </c>
      <c r="T105" s="228">
        <v>-0.45</v>
      </c>
      <c r="U105" s="229">
        <v>-1.6999999999999999E-3</v>
      </c>
      <c r="V105" s="228">
        <v>266.45</v>
      </c>
      <c r="W105" s="228">
        <v>266.85000000000002</v>
      </c>
      <c r="X105" s="228">
        <v>-0.4</v>
      </c>
      <c r="Y105" s="229">
        <v>-1.5E-3</v>
      </c>
      <c r="Z105" s="228">
        <v>0.75</v>
      </c>
      <c r="AA105" s="228">
        <v>0.45</v>
      </c>
      <c r="AB105" s="228">
        <v>0.3</v>
      </c>
      <c r="AC105" s="229">
        <v>2.8999999999999998E-3</v>
      </c>
      <c r="AD105" s="228">
        <v>0.75</v>
      </c>
      <c r="AE105" s="228">
        <v>0.45</v>
      </c>
      <c r="AF105" s="228">
        <v>0.3</v>
      </c>
      <c r="AG105" s="229">
        <v>2.8999999999999998E-3</v>
      </c>
      <c r="AH105" s="228">
        <v>2.1</v>
      </c>
      <c r="AI105" s="228">
        <v>1.9</v>
      </c>
      <c r="AJ105" s="228">
        <v>0.2</v>
      </c>
      <c r="AK105" s="229">
        <v>8.0000000000000002E-3</v>
      </c>
      <c r="AL105" s="228">
        <v>3.85</v>
      </c>
      <c r="AM105" s="228">
        <v>3.6</v>
      </c>
      <c r="AN105" s="228">
        <v>0.25</v>
      </c>
      <c r="AO105" s="229">
        <v>1.47E-2</v>
      </c>
      <c r="AP105" s="228">
        <v>263.41000000000003</v>
      </c>
      <c r="AQ105" s="228">
        <v>264.89</v>
      </c>
      <c r="AR105" s="228">
        <v>0</v>
      </c>
      <c r="AS105" s="230">
        <v>2382</v>
      </c>
      <c r="AT105" s="230">
        <v>1612</v>
      </c>
      <c r="AU105" s="228">
        <v>770</v>
      </c>
      <c r="AV105" s="229">
        <v>0.47760000000000002</v>
      </c>
      <c r="AW105" s="230">
        <v>1274</v>
      </c>
      <c r="AX105" s="228">
        <v>915</v>
      </c>
      <c r="AY105" s="228">
        <v>359</v>
      </c>
      <c r="AZ105" s="229">
        <v>0.39179999999999998</v>
      </c>
      <c r="BA105" s="230">
        <v>1083</v>
      </c>
      <c r="BB105" s="228">
        <v>657</v>
      </c>
      <c r="BC105" s="228">
        <v>426</v>
      </c>
      <c r="BD105" s="229">
        <v>0.64829999999999999</v>
      </c>
      <c r="BE105" s="228">
        <v>25</v>
      </c>
      <c r="BF105" s="228">
        <v>40</v>
      </c>
      <c r="BG105" s="228">
        <v>-15</v>
      </c>
      <c r="BH105" s="229">
        <v>-0.37559999999999999</v>
      </c>
      <c r="BI105" s="230">
        <v>2654</v>
      </c>
      <c r="BJ105" s="230">
        <v>3661</v>
      </c>
      <c r="BK105" s="230">
        <v>-1006</v>
      </c>
      <c r="BL105" s="229">
        <v>-0.27489999999999998</v>
      </c>
      <c r="BM105" s="230">
        <v>1515</v>
      </c>
      <c r="BN105" s="230">
        <v>2258</v>
      </c>
      <c r="BO105" s="228">
        <v>-743</v>
      </c>
      <c r="BP105" s="229">
        <v>-0.32919999999999999</v>
      </c>
      <c r="BQ105" s="230">
        <v>6551</v>
      </c>
      <c r="BR105" s="230">
        <v>7531</v>
      </c>
      <c r="BS105" s="228">
        <v>-980</v>
      </c>
      <c r="BT105" s="229">
        <v>-0.13009999999999999</v>
      </c>
      <c r="BU105" s="230">
        <v>12789931</v>
      </c>
      <c r="BV105" s="230">
        <v>21228701</v>
      </c>
      <c r="BW105" s="230">
        <v>-8438770</v>
      </c>
      <c r="BX105" s="229">
        <v>-0.39750000000000002</v>
      </c>
      <c r="BY105" s="230">
        <v>4400</v>
      </c>
      <c r="BZ105" s="230">
        <v>4342</v>
      </c>
      <c r="CA105" s="228">
        <v>58</v>
      </c>
      <c r="CB105" s="229">
        <v>1.3299999999999999E-2</v>
      </c>
      <c r="CC105" s="230">
        <v>2004</v>
      </c>
      <c r="CD105" s="230">
        <v>2860</v>
      </c>
      <c r="CE105" s="228">
        <v>-857</v>
      </c>
      <c r="CF105" s="229">
        <v>-0.29959999999999998</v>
      </c>
      <c r="CG105" s="230">
        <v>2269</v>
      </c>
      <c r="CH105" s="230">
        <v>1366</v>
      </c>
      <c r="CI105" s="228">
        <v>903</v>
      </c>
      <c r="CJ105" s="229">
        <v>0.66149999999999998</v>
      </c>
      <c r="CK105" s="228">
        <v>127</v>
      </c>
      <c r="CL105" s="228">
        <v>116</v>
      </c>
      <c r="CM105" s="228">
        <v>11</v>
      </c>
      <c r="CN105" s="229">
        <v>9.6299999999999997E-2</v>
      </c>
      <c r="CO105" s="230">
        <v>2543</v>
      </c>
      <c r="CP105" s="230">
        <v>2545</v>
      </c>
      <c r="CQ105" s="228">
        <v>-2</v>
      </c>
      <c r="CR105" s="229">
        <v>-8.9999999999999998E-4</v>
      </c>
      <c r="CS105" s="230">
        <v>1550</v>
      </c>
      <c r="CT105" s="230">
        <v>1580</v>
      </c>
      <c r="CU105" s="228">
        <v>-30</v>
      </c>
      <c r="CV105" s="229">
        <v>-1.9099999999999999E-2</v>
      </c>
      <c r="CW105" s="230">
        <v>8492</v>
      </c>
      <c r="CX105" s="230">
        <v>8467</v>
      </c>
      <c r="CY105" s="228">
        <v>25</v>
      </c>
      <c r="CZ105" s="229">
        <v>3.0000000000000001E-3</v>
      </c>
      <c r="DA105" s="228">
        <v>31.15</v>
      </c>
      <c r="DB105" s="228">
        <v>32.65</v>
      </c>
      <c r="DC105" s="228">
        <v>-1.5</v>
      </c>
      <c r="DD105" s="228">
        <v>-1.5</v>
      </c>
      <c r="DE105" s="228">
        <v>33.729999999999997</v>
      </c>
      <c r="DF105" s="228">
        <v>33.81</v>
      </c>
      <c r="DG105" s="228">
        <v>-2.58</v>
      </c>
      <c r="DH105" s="228">
        <v>-0.08</v>
      </c>
      <c r="DI105" s="228">
        <v>31.07</v>
      </c>
      <c r="DJ105" s="228">
        <v>33.659999999999997</v>
      </c>
      <c r="DK105" s="228">
        <v>-2.59</v>
      </c>
      <c r="DL105" s="228">
        <v>-2.59</v>
      </c>
      <c r="DM105" s="228">
        <v>31.28</v>
      </c>
      <c r="DN105" s="228">
        <v>31</v>
      </c>
      <c r="DO105" s="228">
        <v>0.28000000000000003</v>
      </c>
      <c r="DP105" s="228">
        <v>0.28000000000000003</v>
      </c>
      <c r="DQ105" s="228">
        <v>0.61</v>
      </c>
      <c r="DR105" s="228">
        <v>0.62</v>
      </c>
      <c r="DS105" s="228">
        <v>-0.01</v>
      </c>
      <c r="DT105" s="229">
        <v>-1.61E-2</v>
      </c>
      <c r="DU105" s="228">
        <v>300</v>
      </c>
      <c r="DV105" s="228">
        <v>270</v>
      </c>
      <c r="DW105" s="228">
        <v>0.56999999999999995</v>
      </c>
      <c r="DX105" s="228">
        <v>0.62</v>
      </c>
      <c r="DY105" s="228">
        <v>-0.05</v>
      </c>
      <c r="DZ105" s="229">
        <v>-8.0600000000000005E-2</v>
      </c>
      <c r="EA105" s="229">
        <v>0.54459999999999997</v>
      </c>
      <c r="EB105" s="230">
        <v>56251950</v>
      </c>
      <c r="EC105" s="229">
        <v>5.1000000000000004E-3</v>
      </c>
      <c r="ED105" s="229">
        <v>0.54459999999999997</v>
      </c>
      <c r="EE105" s="228">
        <v>1.48</v>
      </c>
      <c r="EF105" s="229">
        <v>5.5999999999999999E-3</v>
      </c>
      <c r="EG105" s="230">
        <v>5862176</v>
      </c>
      <c r="EH105" s="230">
        <v>7225925</v>
      </c>
      <c r="EI105" s="229">
        <v>-0.18870000000000001</v>
      </c>
      <c r="EJ105" s="229">
        <v>0.45829999999999999</v>
      </c>
      <c r="EK105" s="231">
        <v>2864.28</v>
      </c>
      <c r="EL105" s="231">
        <v>1604.24</v>
      </c>
      <c r="EM105" s="231">
        <v>2389.3000000000002</v>
      </c>
      <c r="EN105" s="228">
        <v>200.19</v>
      </c>
      <c r="EO105" s="231">
        <v>6857.82</v>
      </c>
      <c r="EP105" s="231">
        <v>7913.69</v>
      </c>
      <c r="EQ105" s="231">
        <v>-1055.8699999999999</v>
      </c>
      <c r="ER105" s="229">
        <v>-0.13339999999999999</v>
      </c>
      <c r="ES105" s="231">
        <v>2897.87</v>
      </c>
      <c r="ET105" s="231">
        <v>1683.22</v>
      </c>
      <c r="EU105" s="231">
        <v>4412.63</v>
      </c>
      <c r="EV105" s="231">
        <v>355358091</v>
      </c>
      <c r="EW105" s="231">
        <v>8993.7099999999991</v>
      </c>
      <c r="EX105" s="231">
        <v>8983.7000000000007</v>
      </c>
      <c r="EY105" s="228">
        <v>10.01</v>
      </c>
      <c r="EZ105" s="229">
        <v>1.1000000000000001E-3</v>
      </c>
      <c r="FA105" s="229">
        <v>0.90739999999999998</v>
      </c>
      <c r="FB105" s="227" t="s">
        <v>567</v>
      </c>
      <c r="FC105">
        <f t="shared" si="1"/>
        <v>2396</v>
      </c>
    </row>
    <row r="106" spans="1:159" ht="17.25" thickBot="1" x14ac:dyDescent="0.3">
      <c r="A106" s="226">
        <v>46044</v>
      </c>
      <c r="B106" s="227" t="s">
        <v>161</v>
      </c>
      <c r="C106" s="227" t="s">
        <v>580</v>
      </c>
      <c r="D106" s="228">
        <v>1000</v>
      </c>
      <c r="E106" s="228">
        <v>5</v>
      </c>
      <c r="F106" s="228">
        <v>492.15</v>
      </c>
      <c r="G106" s="228">
        <v>477.9</v>
      </c>
      <c r="H106" s="228">
        <v>14.25</v>
      </c>
      <c r="I106" s="229">
        <v>2.98E-2</v>
      </c>
      <c r="J106" s="228">
        <v>492.35</v>
      </c>
      <c r="K106" s="228">
        <v>477.8</v>
      </c>
      <c r="L106" s="228">
        <v>14.55</v>
      </c>
      <c r="M106" s="229">
        <v>3.0499999999999999E-2</v>
      </c>
      <c r="N106" s="228">
        <v>492.15</v>
      </c>
      <c r="O106" s="228">
        <v>477.9</v>
      </c>
      <c r="P106" s="228">
        <v>14.25</v>
      </c>
      <c r="Q106" s="229">
        <v>2.98E-2</v>
      </c>
      <c r="R106" s="228">
        <v>494.55</v>
      </c>
      <c r="S106" s="228">
        <v>480.05</v>
      </c>
      <c r="T106" s="228">
        <v>14.5</v>
      </c>
      <c r="U106" s="229">
        <v>3.0200000000000001E-2</v>
      </c>
      <c r="V106" s="228">
        <v>497.8</v>
      </c>
      <c r="W106" s="228">
        <v>479.7</v>
      </c>
      <c r="X106" s="228">
        <v>18.100000000000001</v>
      </c>
      <c r="Y106" s="229">
        <v>3.7699999999999997E-2</v>
      </c>
      <c r="Z106" s="228">
        <v>-0.2</v>
      </c>
      <c r="AA106" s="228">
        <v>0.1</v>
      </c>
      <c r="AB106" s="228">
        <v>-0.3</v>
      </c>
      <c r="AC106" s="229">
        <v>-4.0000000000000002E-4</v>
      </c>
      <c r="AD106" s="228">
        <v>-0.2</v>
      </c>
      <c r="AE106" s="228">
        <v>0.1</v>
      </c>
      <c r="AF106" s="228">
        <v>-0.3</v>
      </c>
      <c r="AG106" s="229">
        <v>-4.0000000000000002E-4</v>
      </c>
      <c r="AH106" s="228">
        <v>2.2000000000000002</v>
      </c>
      <c r="AI106" s="228">
        <v>2.25</v>
      </c>
      <c r="AJ106" s="228">
        <v>-0.05</v>
      </c>
      <c r="AK106" s="229">
        <v>4.4999999999999997E-3</v>
      </c>
      <c r="AL106" s="228">
        <v>5.45</v>
      </c>
      <c r="AM106" s="228">
        <v>1.9</v>
      </c>
      <c r="AN106" s="228">
        <v>3.55</v>
      </c>
      <c r="AO106" s="229">
        <v>1.11E-2</v>
      </c>
      <c r="AP106" s="228">
        <v>490</v>
      </c>
      <c r="AQ106" s="228">
        <v>492.53</v>
      </c>
      <c r="AR106" s="228">
        <v>0</v>
      </c>
      <c r="AS106" s="228">
        <v>694</v>
      </c>
      <c r="AT106" s="228">
        <v>968</v>
      </c>
      <c r="AU106" s="228">
        <v>-274</v>
      </c>
      <c r="AV106" s="229">
        <v>-0.28289999999999998</v>
      </c>
      <c r="AW106" s="228">
        <v>372</v>
      </c>
      <c r="AX106" s="228">
        <v>530</v>
      </c>
      <c r="AY106" s="228">
        <v>-158</v>
      </c>
      <c r="AZ106" s="229">
        <v>-0.29799999999999999</v>
      </c>
      <c r="BA106" s="228">
        <v>322</v>
      </c>
      <c r="BB106" s="228">
        <v>437</v>
      </c>
      <c r="BC106" s="228">
        <v>-116</v>
      </c>
      <c r="BD106" s="229">
        <v>-0.26500000000000001</v>
      </c>
      <c r="BE106" s="228">
        <v>1</v>
      </c>
      <c r="BF106" s="228">
        <v>1</v>
      </c>
      <c r="BG106" s="228">
        <v>0</v>
      </c>
      <c r="BH106" s="229">
        <v>-0.1</v>
      </c>
      <c r="BI106" s="228">
        <v>510</v>
      </c>
      <c r="BJ106" s="228">
        <v>341</v>
      </c>
      <c r="BK106" s="228">
        <v>169</v>
      </c>
      <c r="BL106" s="229">
        <v>0.49509999999999998</v>
      </c>
      <c r="BM106" s="228">
        <v>230</v>
      </c>
      <c r="BN106" s="228">
        <v>273</v>
      </c>
      <c r="BO106" s="228">
        <v>-43</v>
      </c>
      <c r="BP106" s="229">
        <v>-0.1578</v>
      </c>
      <c r="BQ106" s="230">
        <v>1434</v>
      </c>
      <c r="BR106" s="230">
        <v>1582</v>
      </c>
      <c r="BS106" s="228">
        <v>-148</v>
      </c>
      <c r="BT106" s="229">
        <v>-9.3600000000000003E-2</v>
      </c>
      <c r="BU106" s="230">
        <v>1352008</v>
      </c>
      <c r="BV106" s="230">
        <v>1672664</v>
      </c>
      <c r="BW106" s="230">
        <v>-320656</v>
      </c>
      <c r="BX106" s="229">
        <v>-0.19170000000000001</v>
      </c>
      <c r="BY106" s="230">
        <v>1858</v>
      </c>
      <c r="BZ106" s="230">
        <v>1892</v>
      </c>
      <c r="CA106" s="228">
        <v>-35</v>
      </c>
      <c r="CB106" s="229">
        <v>-1.83E-2</v>
      </c>
      <c r="CC106" s="230">
        <v>1143</v>
      </c>
      <c r="CD106" s="230">
        <v>1427</v>
      </c>
      <c r="CE106" s="228">
        <v>-284</v>
      </c>
      <c r="CF106" s="229">
        <v>-0.1988</v>
      </c>
      <c r="CG106" s="228">
        <v>712</v>
      </c>
      <c r="CH106" s="228">
        <v>463</v>
      </c>
      <c r="CI106" s="228">
        <v>249</v>
      </c>
      <c r="CJ106" s="229">
        <v>0.53659999999999997</v>
      </c>
      <c r="CK106" s="228">
        <v>3</v>
      </c>
      <c r="CL106" s="228">
        <v>2</v>
      </c>
      <c r="CM106" s="228">
        <v>0</v>
      </c>
      <c r="CN106" s="229">
        <v>0.1429</v>
      </c>
      <c r="CO106" s="228">
        <v>434</v>
      </c>
      <c r="CP106" s="228">
        <v>441</v>
      </c>
      <c r="CQ106" s="228">
        <v>-7</v>
      </c>
      <c r="CR106" s="229">
        <v>-1.5800000000000002E-2</v>
      </c>
      <c r="CS106" s="228">
        <v>320</v>
      </c>
      <c r="CT106" s="228">
        <v>333</v>
      </c>
      <c r="CU106" s="228">
        <v>-13</v>
      </c>
      <c r="CV106" s="229">
        <v>-3.8600000000000002E-2</v>
      </c>
      <c r="CW106" s="230">
        <v>2611</v>
      </c>
      <c r="CX106" s="230">
        <v>2666</v>
      </c>
      <c r="CY106" s="228">
        <v>-54</v>
      </c>
      <c r="CZ106" s="229">
        <v>-2.0400000000000001E-2</v>
      </c>
      <c r="DA106" s="228">
        <v>31.59</v>
      </c>
      <c r="DB106" s="228">
        <v>39.65</v>
      </c>
      <c r="DC106" s="228">
        <v>-8.06</v>
      </c>
      <c r="DD106" s="228">
        <v>-8.06</v>
      </c>
      <c r="DE106" s="228">
        <v>41.91</v>
      </c>
      <c r="DF106" s="228">
        <v>41.83</v>
      </c>
      <c r="DG106" s="228">
        <v>-10.32</v>
      </c>
      <c r="DH106" s="228">
        <v>0.08</v>
      </c>
      <c r="DI106" s="228">
        <v>31.93</v>
      </c>
      <c r="DJ106" s="228">
        <v>40.04</v>
      </c>
      <c r="DK106" s="228">
        <v>-8.11</v>
      </c>
      <c r="DL106" s="228">
        <v>-8.11</v>
      </c>
      <c r="DM106" s="228">
        <v>31.13</v>
      </c>
      <c r="DN106" s="228">
        <v>39.159999999999997</v>
      </c>
      <c r="DO106" s="228">
        <v>-8.0299999999999994</v>
      </c>
      <c r="DP106" s="228">
        <v>-8.0299999999999994</v>
      </c>
      <c r="DQ106" s="228">
        <v>0.74</v>
      </c>
      <c r="DR106" s="228">
        <v>0.76</v>
      </c>
      <c r="DS106" s="228">
        <v>-0.02</v>
      </c>
      <c r="DT106" s="229">
        <v>-2.63E-2</v>
      </c>
      <c r="DU106" s="228">
        <v>520</v>
      </c>
      <c r="DV106" s="228">
        <v>470</v>
      </c>
      <c r="DW106" s="228">
        <v>0.45</v>
      </c>
      <c r="DX106" s="228">
        <v>0.8</v>
      </c>
      <c r="DY106" s="228">
        <v>-0.35</v>
      </c>
      <c r="DZ106" s="229">
        <v>-0.4375</v>
      </c>
      <c r="EA106" s="229">
        <v>0.38469999999999999</v>
      </c>
      <c r="EB106" s="230">
        <v>9463000</v>
      </c>
      <c r="EC106" s="229">
        <v>4.8999999999999998E-3</v>
      </c>
      <c r="ED106" s="229">
        <v>0.38469999999999999</v>
      </c>
      <c r="EE106" s="228">
        <v>2.5299999999999998</v>
      </c>
      <c r="EF106" s="229">
        <v>5.1999999999999998E-3</v>
      </c>
      <c r="EG106" s="230">
        <v>504415</v>
      </c>
      <c r="EH106" s="230">
        <v>604822</v>
      </c>
      <c r="EI106" s="229">
        <v>-0.16600000000000001</v>
      </c>
      <c r="EJ106" s="229">
        <v>0.37309999999999999</v>
      </c>
      <c r="EK106" s="228">
        <v>532.21</v>
      </c>
      <c r="EL106" s="228">
        <v>237.21</v>
      </c>
      <c r="EM106" s="228">
        <v>692.8</v>
      </c>
      <c r="EN106" s="228">
        <v>81.58</v>
      </c>
      <c r="EO106" s="231">
        <v>1462.22</v>
      </c>
      <c r="EP106" s="231">
        <v>1554.73</v>
      </c>
      <c r="EQ106" s="228">
        <v>-92.51</v>
      </c>
      <c r="ER106" s="229">
        <v>-5.9499999999999997E-2</v>
      </c>
      <c r="ES106" s="228">
        <v>454.08</v>
      </c>
      <c r="ET106" s="228">
        <v>318.67</v>
      </c>
      <c r="EU106" s="231">
        <v>1861.12</v>
      </c>
      <c r="EV106" s="231">
        <v>80385888</v>
      </c>
      <c r="EW106" s="231">
        <v>2633.87</v>
      </c>
      <c r="EX106" s="231">
        <v>2631.77</v>
      </c>
      <c r="EY106" s="228">
        <v>2.1</v>
      </c>
      <c r="EZ106" s="229">
        <v>8.0000000000000004E-4</v>
      </c>
      <c r="FA106" s="229">
        <v>0.66</v>
      </c>
      <c r="FB106" s="227" t="s">
        <v>556</v>
      </c>
      <c r="FC106">
        <f t="shared" si="1"/>
        <v>715</v>
      </c>
    </row>
    <row r="107" spans="1:159" ht="17.25" thickBot="1" x14ac:dyDescent="0.3">
      <c r="A107" s="226">
        <v>46044</v>
      </c>
      <c r="B107" s="227" t="s">
        <v>227</v>
      </c>
      <c r="C107" s="227" t="s">
        <v>244</v>
      </c>
      <c r="D107" s="228">
        <v>675</v>
      </c>
      <c r="E107" s="228">
        <v>5</v>
      </c>
      <c r="F107" s="231">
        <v>1187</v>
      </c>
      <c r="G107" s="231">
        <v>1173.8</v>
      </c>
      <c r="H107" s="228">
        <v>13.2</v>
      </c>
      <c r="I107" s="229">
        <v>1.12E-2</v>
      </c>
      <c r="J107" s="231">
        <v>1184.4000000000001</v>
      </c>
      <c r="K107" s="231">
        <v>1174.5999999999999</v>
      </c>
      <c r="L107" s="228">
        <v>9.8000000000000007</v>
      </c>
      <c r="M107" s="229">
        <v>8.3000000000000001E-3</v>
      </c>
      <c r="N107" s="231">
        <v>1187</v>
      </c>
      <c r="O107" s="231">
        <v>1173.8</v>
      </c>
      <c r="P107" s="228">
        <v>13.2</v>
      </c>
      <c r="Q107" s="229">
        <v>1.12E-2</v>
      </c>
      <c r="R107" s="231">
        <v>1193.2</v>
      </c>
      <c r="S107" s="231">
        <v>1180.0999999999999</v>
      </c>
      <c r="T107" s="228">
        <v>13.1</v>
      </c>
      <c r="U107" s="229">
        <v>1.11E-2</v>
      </c>
      <c r="V107" s="231">
        <v>1201.0999999999999</v>
      </c>
      <c r="W107" s="231">
        <v>1187.2</v>
      </c>
      <c r="X107" s="228">
        <v>13.9</v>
      </c>
      <c r="Y107" s="229">
        <v>1.17E-2</v>
      </c>
      <c r="Z107" s="228">
        <v>2.6</v>
      </c>
      <c r="AA107" s="228">
        <v>-0.8</v>
      </c>
      <c r="AB107" s="228">
        <v>3.4</v>
      </c>
      <c r="AC107" s="229">
        <v>2.2000000000000001E-3</v>
      </c>
      <c r="AD107" s="228">
        <v>2.6</v>
      </c>
      <c r="AE107" s="228">
        <v>-0.8</v>
      </c>
      <c r="AF107" s="228">
        <v>3.4</v>
      </c>
      <c r="AG107" s="229">
        <v>2.2000000000000001E-3</v>
      </c>
      <c r="AH107" s="228">
        <v>8.8000000000000007</v>
      </c>
      <c r="AI107" s="228">
        <v>5.5</v>
      </c>
      <c r="AJ107" s="228">
        <v>3.3</v>
      </c>
      <c r="AK107" s="229">
        <v>7.4000000000000003E-3</v>
      </c>
      <c r="AL107" s="228">
        <v>16.7</v>
      </c>
      <c r="AM107" s="228">
        <v>12.6</v>
      </c>
      <c r="AN107" s="228">
        <v>4.0999999999999996</v>
      </c>
      <c r="AO107" s="229">
        <v>1.41E-2</v>
      </c>
      <c r="AP107" s="231">
        <v>1183.79</v>
      </c>
      <c r="AQ107" s="231">
        <v>1190.1199999999999</v>
      </c>
      <c r="AR107" s="228">
        <v>0</v>
      </c>
      <c r="AS107" s="230">
        <v>3531</v>
      </c>
      <c r="AT107" s="230">
        <v>2851</v>
      </c>
      <c r="AU107" s="228">
        <v>680</v>
      </c>
      <c r="AV107" s="229">
        <v>0.23849999999999999</v>
      </c>
      <c r="AW107" s="230">
        <v>1800</v>
      </c>
      <c r="AX107" s="230">
        <v>1496</v>
      </c>
      <c r="AY107" s="228">
        <v>305</v>
      </c>
      <c r="AZ107" s="229">
        <v>0.20369999999999999</v>
      </c>
      <c r="BA107" s="230">
        <v>1724</v>
      </c>
      <c r="BB107" s="230">
        <v>1353</v>
      </c>
      <c r="BC107" s="228">
        <v>372</v>
      </c>
      <c r="BD107" s="229">
        <v>0.27479999999999999</v>
      </c>
      <c r="BE107" s="228">
        <v>6</v>
      </c>
      <c r="BF107" s="228">
        <v>2</v>
      </c>
      <c r="BG107" s="228">
        <v>3</v>
      </c>
      <c r="BH107" s="229">
        <v>1.3871</v>
      </c>
      <c r="BI107" s="230">
        <v>1548</v>
      </c>
      <c r="BJ107" s="230">
        <v>1344</v>
      </c>
      <c r="BK107" s="228">
        <v>204</v>
      </c>
      <c r="BL107" s="229">
        <v>0.15210000000000001</v>
      </c>
      <c r="BM107" s="228">
        <v>770</v>
      </c>
      <c r="BN107" s="228">
        <v>797</v>
      </c>
      <c r="BO107" s="228">
        <v>-27</v>
      </c>
      <c r="BP107" s="229">
        <v>-3.4099999999999998E-2</v>
      </c>
      <c r="BQ107" s="230">
        <v>5849</v>
      </c>
      <c r="BR107" s="230">
        <v>4991</v>
      </c>
      <c r="BS107" s="228">
        <v>857</v>
      </c>
      <c r="BT107" s="229">
        <v>0.17169999999999999</v>
      </c>
      <c r="BU107" s="230">
        <v>1456291</v>
      </c>
      <c r="BV107" s="230">
        <v>1429457</v>
      </c>
      <c r="BW107" s="230">
        <v>26834</v>
      </c>
      <c r="BX107" s="229">
        <v>1.8800000000000001E-2</v>
      </c>
      <c r="BY107" s="230">
        <v>5949</v>
      </c>
      <c r="BZ107" s="230">
        <v>5911</v>
      </c>
      <c r="CA107" s="228">
        <v>38</v>
      </c>
      <c r="CB107" s="229">
        <v>6.4000000000000003E-3</v>
      </c>
      <c r="CC107" s="230">
        <v>2461</v>
      </c>
      <c r="CD107" s="230">
        <v>4035</v>
      </c>
      <c r="CE107" s="230">
        <v>-1574</v>
      </c>
      <c r="CF107" s="229">
        <v>-0.3901</v>
      </c>
      <c r="CG107" s="230">
        <v>3466</v>
      </c>
      <c r="CH107" s="230">
        <v>1858</v>
      </c>
      <c r="CI107" s="230">
        <v>1608</v>
      </c>
      <c r="CJ107" s="229">
        <v>0.86550000000000005</v>
      </c>
      <c r="CK107" s="228">
        <v>22</v>
      </c>
      <c r="CL107" s="228">
        <v>19</v>
      </c>
      <c r="CM107" s="228">
        <v>3</v>
      </c>
      <c r="CN107" s="229">
        <v>0.1845</v>
      </c>
      <c r="CO107" s="228">
        <v>833</v>
      </c>
      <c r="CP107" s="228">
        <v>856</v>
      </c>
      <c r="CQ107" s="228">
        <v>-23</v>
      </c>
      <c r="CR107" s="229">
        <v>-2.7300000000000001E-2</v>
      </c>
      <c r="CS107" s="228">
        <v>770</v>
      </c>
      <c r="CT107" s="228">
        <v>762</v>
      </c>
      <c r="CU107" s="228">
        <v>8</v>
      </c>
      <c r="CV107" s="229">
        <v>1.0500000000000001E-2</v>
      </c>
      <c r="CW107" s="230">
        <v>7552</v>
      </c>
      <c r="CX107" s="230">
        <v>7530</v>
      </c>
      <c r="CY107" s="228">
        <v>22</v>
      </c>
      <c r="CZ107" s="229">
        <v>2.8999999999999998E-3</v>
      </c>
      <c r="DA107" s="228">
        <v>26.19</v>
      </c>
      <c r="DB107" s="228">
        <v>27.6</v>
      </c>
      <c r="DC107" s="228">
        <v>-1.41</v>
      </c>
      <c r="DD107" s="228">
        <v>-1.41</v>
      </c>
      <c r="DE107" s="228">
        <v>29.15</v>
      </c>
      <c r="DF107" s="228">
        <v>29.18</v>
      </c>
      <c r="DG107" s="228">
        <v>-2.96</v>
      </c>
      <c r="DH107" s="228">
        <v>-0.03</v>
      </c>
      <c r="DI107" s="228">
        <v>26.04</v>
      </c>
      <c r="DJ107" s="228">
        <v>27.58</v>
      </c>
      <c r="DK107" s="228">
        <v>-1.54</v>
      </c>
      <c r="DL107" s="228">
        <v>-1.54</v>
      </c>
      <c r="DM107" s="228">
        <v>26.47</v>
      </c>
      <c r="DN107" s="228">
        <v>27.64</v>
      </c>
      <c r="DO107" s="228">
        <v>-1.17</v>
      </c>
      <c r="DP107" s="228">
        <v>-1.17</v>
      </c>
      <c r="DQ107" s="228">
        <v>0.93</v>
      </c>
      <c r="DR107" s="228">
        <v>0.89</v>
      </c>
      <c r="DS107" s="228">
        <v>0.04</v>
      </c>
      <c r="DT107" s="229">
        <v>4.4900000000000002E-2</v>
      </c>
      <c r="DU107" s="231">
        <v>1200</v>
      </c>
      <c r="DV107" s="231">
        <v>1100</v>
      </c>
      <c r="DW107" s="228">
        <v>0.5</v>
      </c>
      <c r="DX107" s="228">
        <v>0.59</v>
      </c>
      <c r="DY107" s="228">
        <v>-0.09</v>
      </c>
      <c r="DZ107" s="229">
        <v>-0.1525</v>
      </c>
      <c r="EA107" s="229">
        <v>0.58630000000000004</v>
      </c>
      <c r="EB107" s="230">
        <v>15809850</v>
      </c>
      <c r="EC107" s="229">
        <v>5.1999999999999998E-3</v>
      </c>
      <c r="ED107" s="229">
        <v>0.58630000000000004</v>
      </c>
      <c r="EE107" s="228">
        <v>6.33</v>
      </c>
      <c r="EF107" s="229">
        <v>5.3E-3</v>
      </c>
      <c r="EG107" s="230">
        <v>692935</v>
      </c>
      <c r="EH107" s="230">
        <v>599874</v>
      </c>
      <c r="EI107" s="229">
        <v>0.15509999999999999</v>
      </c>
      <c r="EJ107" s="229">
        <v>0.4758</v>
      </c>
      <c r="EK107" s="231">
        <v>1587.27</v>
      </c>
      <c r="EL107" s="228">
        <v>754.76</v>
      </c>
      <c r="EM107" s="231">
        <v>3530.46</v>
      </c>
      <c r="EN107" s="228">
        <v>159.81</v>
      </c>
      <c r="EO107" s="231">
        <v>5872.49</v>
      </c>
      <c r="EP107" s="231">
        <v>4963.28</v>
      </c>
      <c r="EQ107" s="228">
        <v>909.21</v>
      </c>
      <c r="ER107" s="229">
        <v>0.1832</v>
      </c>
      <c r="ES107" s="228">
        <v>841.42</v>
      </c>
      <c r="ET107" s="228">
        <v>722.73</v>
      </c>
      <c r="EU107" s="231">
        <v>5967.38</v>
      </c>
      <c r="EV107" s="231">
        <v>133434355</v>
      </c>
      <c r="EW107" s="231">
        <v>7531.53</v>
      </c>
      <c r="EX107" s="231">
        <v>7434.84</v>
      </c>
      <c r="EY107" s="228">
        <v>96.69</v>
      </c>
      <c r="EZ107" s="229">
        <v>1.2999999999999999E-2</v>
      </c>
      <c r="FA107" s="229">
        <v>0.4768</v>
      </c>
      <c r="FB107" s="227" t="s">
        <v>555</v>
      </c>
      <c r="FC107">
        <f t="shared" si="1"/>
        <v>3488</v>
      </c>
    </row>
    <row r="108" spans="1:159" ht="17.25" thickBot="1" x14ac:dyDescent="0.3">
      <c r="A108" s="226">
        <v>46044</v>
      </c>
      <c r="B108" s="227" t="s">
        <v>168</v>
      </c>
      <c r="C108" s="227" t="s">
        <v>245</v>
      </c>
      <c r="D108" s="228">
        <v>1250</v>
      </c>
      <c r="E108" s="228">
        <v>5</v>
      </c>
      <c r="F108" s="228">
        <v>503.1</v>
      </c>
      <c r="G108" s="228">
        <v>508.7</v>
      </c>
      <c r="H108" s="228">
        <v>-5.6</v>
      </c>
      <c r="I108" s="229">
        <v>-1.0999999999999999E-2</v>
      </c>
      <c r="J108" s="228">
        <v>501</v>
      </c>
      <c r="K108" s="228">
        <v>507.5</v>
      </c>
      <c r="L108" s="228">
        <v>-6.5</v>
      </c>
      <c r="M108" s="229">
        <v>-1.2800000000000001E-2</v>
      </c>
      <c r="N108" s="228">
        <v>503.1</v>
      </c>
      <c r="O108" s="228">
        <v>508.7</v>
      </c>
      <c r="P108" s="228">
        <v>-5.6</v>
      </c>
      <c r="Q108" s="229">
        <v>-1.0999999999999999E-2</v>
      </c>
      <c r="R108" s="228">
        <v>492.75</v>
      </c>
      <c r="S108" s="228">
        <v>502.05</v>
      </c>
      <c r="T108" s="228">
        <v>-9.3000000000000007</v>
      </c>
      <c r="U108" s="229">
        <v>-1.8499999999999999E-2</v>
      </c>
      <c r="V108" s="228">
        <v>489.5</v>
      </c>
      <c r="W108" s="228">
        <v>500.25</v>
      </c>
      <c r="X108" s="228">
        <v>-10.75</v>
      </c>
      <c r="Y108" s="229">
        <v>-2.1499999999999998E-2</v>
      </c>
      <c r="Z108" s="228">
        <v>2.1</v>
      </c>
      <c r="AA108" s="228">
        <v>1.2</v>
      </c>
      <c r="AB108" s="228">
        <v>0.9</v>
      </c>
      <c r="AC108" s="229">
        <v>4.1999999999999997E-3</v>
      </c>
      <c r="AD108" s="228">
        <v>2.1</v>
      </c>
      <c r="AE108" s="228">
        <v>1.2</v>
      </c>
      <c r="AF108" s="228">
        <v>0.9</v>
      </c>
      <c r="AG108" s="229">
        <v>4.1999999999999997E-3</v>
      </c>
      <c r="AH108" s="228">
        <v>-8.25</v>
      </c>
      <c r="AI108" s="228">
        <v>-5.45</v>
      </c>
      <c r="AJ108" s="228">
        <v>-2.8</v>
      </c>
      <c r="AK108" s="229">
        <v>-1.6500000000000001E-2</v>
      </c>
      <c r="AL108" s="228">
        <v>-11.5</v>
      </c>
      <c r="AM108" s="228">
        <v>-7.25</v>
      </c>
      <c r="AN108" s="228">
        <v>-4.25</v>
      </c>
      <c r="AO108" s="229">
        <v>-2.3E-2</v>
      </c>
      <c r="AP108" s="228">
        <v>504.92</v>
      </c>
      <c r="AQ108" s="228">
        <v>497.3</v>
      </c>
      <c r="AR108" s="228">
        <v>0</v>
      </c>
      <c r="AS108" s="230">
        <v>1243</v>
      </c>
      <c r="AT108" s="228">
        <v>981</v>
      </c>
      <c r="AU108" s="228">
        <v>262</v>
      </c>
      <c r="AV108" s="229">
        <v>0.26690000000000003</v>
      </c>
      <c r="AW108" s="228">
        <v>576</v>
      </c>
      <c r="AX108" s="228">
        <v>517</v>
      </c>
      <c r="AY108" s="228">
        <v>59</v>
      </c>
      <c r="AZ108" s="229">
        <v>0.11459999999999999</v>
      </c>
      <c r="BA108" s="228">
        <v>646</v>
      </c>
      <c r="BB108" s="228">
        <v>453</v>
      </c>
      <c r="BC108" s="228">
        <v>192</v>
      </c>
      <c r="BD108" s="229">
        <v>0.42449999999999999</v>
      </c>
      <c r="BE108" s="228">
        <v>20</v>
      </c>
      <c r="BF108" s="228">
        <v>10</v>
      </c>
      <c r="BG108" s="228">
        <v>10</v>
      </c>
      <c r="BH108" s="229">
        <v>0.96970000000000001</v>
      </c>
      <c r="BI108" s="228">
        <v>601</v>
      </c>
      <c r="BJ108" s="228">
        <v>584</v>
      </c>
      <c r="BK108" s="228">
        <v>17</v>
      </c>
      <c r="BL108" s="229">
        <v>2.93E-2</v>
      </c>
      <c r="BM108" s="228">
        <v>299</v>
      </c>
      <c r="BN108" s="228">
        <v>305</v>
      </c>
      <c r="BO108" s="228">
        <v>-5</v>
      </c>
      <c r="BP108" s="229">
        <v>-1.7999999999999999E-2</v>
      </c>
      <c r="BQ108" s="230">
        <v>2143</v>
      </c>
      <c r="BR108" s="230">
        <v>1870</v>
      </c>
      <c r="BS108" s="228">
        <v>273</v>
      </c>
      <c r="BT108" s="229">
        <v>0.1462</v>
      </c>
      <c r="BU108" s="230">
        <v>4005483</v>
      </c>
      <c r="BV108" s="230">
        <v>2092374</v>
      </c>
      <c r="BW108" s="230">
        <v>1913109</v>
      </c>
      <c r="BX108" s="229">
        <v>0.9143</v>
      </c>
      <c r="BY108" s="230">
        <v>1346</v>
      </c>
      <c r="BZ108" s="230">
        <v>1203</v>
      </c>
      <c r="CA108" s="228">
        <v>142</v>
      </c>
      <c r="CB108" s="229">
        <v>0.1182</v>
      </c>
      <c r="CC108" s="228">
        <v>475</v>
      </c>
      <c r="CD108" s="228">
        <v>743</v>
      </c>
      <c r="CE108" s="228">
        <v>-268</v>
      </c>
      <c r="CF108" s="229">
        <v>-0.36020000000000002</v>
      </c>
      <c r="CG108" s="228">
        <v>839</v>
      </c>
      <c r="CH108" s="228">
        <v>437</v>
      </c>
      <c r="CI108" s="228">
        <v>403</v>
      </c>
      <c r="CJ108" s="229">
        <v>0.92149999999999999</v>
      </c>
      <c r="CK108" s="228">
        <v>31</v>
      </c>
      <c r="CL108" s="228">
        <v>23</v>
      </c>
      <c r="CM108" s="228">
        <v>7</v>
      </c>
      <c r="CN108" s="229">
        <v>0.31809999999999999</v>
      </c>
      <c r="CO108" s="228">
        <v>627</v>
      </c>
      <c r="CP108" s="228">
        <v>644</v>
      </c>
      <c r="CQ108" s="228">
        <v>-17</v>
      </c>
      <c r="CR108" s="229">
        <v>-2.5700000000000001E-2</v>
      </c>
      <c r="CS108" s="228">
        <v>383</v>
      </c>
      <c r="CT108" s="228">
        <v>388</v>
      </c>
      <c r="CU108" s="228">
        <v>-5</v>
      </c>
      <c r="CV108" s="229">
        <v>-1.38E-2</v>
      </c>
      <c r="CW108" s="230">
        <v>2356</v>
      </c>
      <c r="CX108" s="230">
        <v>2236</v>
      </c>
      <c r="CY108" s="228">
        <v>120</v>
      </c>
      <c r="CZ108" s="229">
        <v>5.3800000000000001E-2</v>
      </c>
      <c r="DA108" s="228">
        <v>31.91</v>
      </c>
      <c r="DB108" s="228">
        <v>28.68</v>
      </c>
      <c r="DC108" s="228">
        <v>3.23</v>
      </c>
      <c r="DD108" s="228">
        <v>3.23</v>
      </c>
      <c r="DE108" s="228">
        <v>32.729999999999997</v>
      </c>
      <c r="DF108" s="228">
        <v>32.770000000000003</v>
      </c>
      <c r="DG108" s="228">
        <v>-0.82</v>
      </c>
      <c r="DH108" s="228">
        <v>-0.04</v>
      </c>
      <c r="DI108" s="228">
        <v>32.299999999999997</v>
      </c>
      <c r="DJ108" s="228">
        <v>30.18</v>
      </c>
      <c r="DK108" s="228">
        <v>2.12</v>
      </c>
      <c r="DL108" s="228">
        <v>2.12</v>
      </c>
      <c r="DM108" s="228">
        <v>31.22</v>
      </c>
      <c r="DN108" s="228">
        <v>25.79</v>
      </c>
      <c r="DO108" s="228">
        <v>5.43</v>
      </c>
      <c r="DP108" s="228">
        <v>5.43</v>
      </c>
      <c r="DQ108" s="228">
        <v>0.61</v>
      </c>
      <c r="DR108" s="228">
        <v>0.6</v>
      </c>
      <c r="DS108" s="228">
        <v>0.01</v>
      </c>
      <c r="DT108" s="229">
        <v>1.67E-2</v>
      </c>
      <c r="DU108" s="228">
        <v>600</v>
      </c>
      <c r="DV108" s="228">
        <v>560</v>
      </c>
      <c r="DW108" s="228">
        <v>0.5</v>
      </c>
      <c r="DX108" s="228">
        <v>0.52</v>
      </c>
      <c r="DY108" s="228">
        <v>-0.02</v>
      </c>
      <c r="DZ108" s="229">
        <v>-3.85E-2</v>
      </c>
      <c r="EA108" s="229">
        <v>0.64659999999999995</v>
      </c>
      <c r="EB108" s="230">
        <v>9146250</v>
      </c>
      <c r="EC108" s="229">
        <v>-2.06E-2</v>
      </c>
      <c r="ED108" s="229">
        <v>0.64659999999999995</v>
      </c>
      <c r="EE108" s="228">
        <v>-7.62</v>
      </c>
      <c r="EF108" s="229">
        <v>-1.5100000000000001E-2</v>
      </c>
      <c r="EG108" s="230">
        <v>2336224</v>
      </c>
      <c r="EH108" s="230">
        <v>936777</v>
      </c>
      <c r="EI108" s="229">
        <v>1.4939</v>
      </c>
      <c r="EJ108" s="229">
        <v>0.58330000000000004</v>
      </c>
      <c r="EK108" s="228">
        <v>640.39</v>
      </c>
      <c r="EL108" s="228">
        <v>306.79000000000002</v>
      </c>
      <c r="EM108" s="231">
        <v>1236.77</v>
      </c>
      <c r="EN108" s="228">
        <v>77.319999999999993</v>
      </c>
      <c r="EO108" s="231">
        <v>2183.9499999999998</v>
      </c>
      <c r="EP108" s="231">
        <v>1916.67</v>
      </c>
      <c r="EQ108" s="228">
        <v>267.27999999999997</v>
      </c>
      <c r="ER108" s="229">
        <v>0.13950000000000001</v>
      </c>
      <c r="ES108" s="228">
        <v>704.05</v>
      </c>
      <c r="ET108" s="228">
        <v>403.11</v>
      </c>
      <c r="EU108" s="231">
        <v>1327.5</v>
      </c>
      <c r="EV108" s="231">
        <v>58761693</v>
      </c>
      <c r="EW108" s="231">
        <v>2434.66</v>
      </c>
      <c r="EX108" s="231">
        <v>2346.9299999999998</v>
      </c>
      <c r="EY108" s="228">
        <v>87.73</v>
      </c>
      <c r="EZ108" s="229">
        <v>3.7400000000000003E-2</v>
      </c>
      <c r="FA108" s="229">
        <v>0.79690000000000005</v>
      </c>
      <c r="FB108" s="227" t="s">
        <v>567</v>
      </c>
      <c r="FC108">
        <f t="shared" si="1"/>
        <v>871</v>
      </c>
    </row>
    <row r="109" spans="1:159" ht="17.25" thickBot="1" x14ac:dyDescent="0.3">
      <c r="A109" s="226">
        <v>46044</v>
      </c>
      <c r="B109" s="227" t="s">
        <v>168</v>
      </c>
      <c r="C109" s="227" t="s">
        <v>582</v>
      </c>
      <c r="D109" s="228">
        <v>1175</v>
      </c>
      <c r="E109" s="228">
        <v>5</v>
      </c>
      <c r="F109" s="228">
        <v>375.1</v>
      </c>
      <c r="G109" s="228">
        <v>396.85</v>
      </c>
      <c r="H109" s="228">
        <v>-21.75</v>
      </c>
      <c r="I109" s="229">
        <v>-5.4800000000000001E-2</v>
      </c>
      <c r="J109" s="228">
        <v>373.55</v>
      </c>
      <c r="K109" s="228">
        <v>396.55</v>
      </c>
      <c r="L109" s="228">
        <v>-23</v>
      </c>
      <c r="M109" s="229">
        <v>-5.8000000000000003E-2</v>
      </c>
      <c r="N109" s="228">
        <v>375.1</v>
      </c>
      <c r="O109" s="228">
        <v>396.85</v>
      </c>
      <c r="P109" s="228">
        <v>-21.75</v>
      </c>
      <c r="Q109" s="229">
        <v>-5.4800000000000001E-2</v>
      </c>
      <c r="R109" s="228">
        <v>376.65</v>
      </c>
      <c r="S109" s="228">
        <v>399.1</v>
      </c>
      <c r="T109" s="228">
        <v>-22.45</v>
      </c>
      <c r="U109" s="229">
        <v>-5.6300000000000003E-2</v>
      </c>
      <c r="V109" s="228">
        <v>379.55</v>
      </c>
      <c r="W109" s="228">
        <v>401.65</v>
      </c>
      <c r="X109" s="228">
        <v>-22.1</v>
      </c>
      <c r="Y109" s="229">
        <v>-5.5E-2</v>
      </c>
      <c r="Z109" s="228">
        <v>1.55</v>
      </c>
      <c r="AA109" s="228">
        <v>0.3</v>
      </c>
      <c r="AB109" s="228">
        <v>1.25</v>
      </c>
      <c r="AC109" s="229">
        <v>4.1000000000000003E-3</v>
      </c>
      <c r="AD109" s="228">
        <v>1.55</v>
      </c>
      <c r="AE109" s="228">
        <v>0.3</v>
      </c>
      <c r="AF109" s="228">
        <v>1.25</v>
      </c>
      <c r="AG109" s="229">
        <v>4.1000000000000003E-3</v>
      </c>
      <c r="AH109" s="228">
        <v>3.1</v>
      </c>
      <c r="AI109" s="228">
        <v>2.5499999999999998</v>
      </c>
      <c r="AJ109" s="228">
        <v>0.55000000000000004</v>
      </c>
      <c r="AK109" s="229">
        <v>8.3000000000000001E-3</v>
      </c>
      <c r="AL109" s="228">
        <v>6</v>
      </c>
      <c r="AM109" s="228">
        <v>5.0999999999999996</v>
      </c>
      <c r="AN109" s="228">
        <v>0.9</v>
      </c>
      <c r="AO109" s="229">
        <v>1.61E-2</v>
      </c>
      <c r="AP109" s="228">
        <v>384.93</v>
      </c>
      <c r="AQ109" s="228">
        <v>387.23</v>
      </c>
      <c r="AR109" s="228">
        <v>0</v>
      </c>
      <c r="AS109" s="230">
        <v>1608</v>
      </c>
      <c r="AT109" s="230">
        <v>1847</v>
      </c>
      <c r="AU109" s="228">
        <v>-239</v>
      </c>
      <c r="AV109" s="229">
        <v>-0.1295</v>
      </c>
      <c r="AW109" s="228">
        <v>710</v>
      </c>
      <c r="AX109" s="230">
        <v>1004</v>
      </c>
      <c r="AY109" s="228">
        <v>-294</v>
      </c>
      <c r="AZ109" s="229">
        <v>-0.29260000000000003</v>
      </c>
      <c r="BA109" s="228">
        <v>880</v>
      </c>
      <c r="BB109" s="228">
        <v>824</v>
      </c>
      <c r="BC109" s="228">
        <v>56</v>
      </c>
      <c r="BD109" s="229">
        <v>6.8099999999999994E-2</v>
      </c>
      <c r="BE109" s="228">
        <v>17</v>
      </c>
      <c r="BF109" s="228">
        <v>19</v>
      </c>
      <c r="BG109" s="228">
        <v>-1</v>
      </c>
      <c r="BH109" s="229">
        <v>-7.9100000000000004E-2</v>
      </c>
      <c r="BI109" s="230">
        <v>3741</v>
      </c>
      <c r="BJ109" s="230">
        <v>6827</v>
      </c>
      <c r="BK109" s="230">
        <v>-3086</v>
      </c>
      <c r="BL109" s="229">
        <v>-0.4521</v>
      </c>
      <c r="BM109" s="230">
        <v>4333</v>
      </c>
      <c r="BN109" s="230">
        <v>6420</v>
      </c>
      <c r="BO109" s="230">
        <v>-2086</v>
      </c>
      <c r="BP109" s="229">
        <v>-0.32500000000000001</v>
      </c>
      <c r="BQ109" s="230">
        <v>9681</v>
      </c>
      <c r="BR109" s="230">
        <v>15093</v>
      </c>
      <c r="BS109" s="230">
        <v>-5412</v>
      </c>
      <c r="BT109" s="229">
        <v>-0.35859999999999997</v>
      </c>
      <c r="BU109" s="230">
        <v>19400291</v>
      </c>
      <c r="BV109" s="230">
        <v>40291191</v>
      </c>
      <c r="BW109" s="230">
        <v>-20890900</v>
      </c>
      <c r="BX109" s="229">
        <v>-0.51849999999999996</v>
      </c>
      <c r="BY109" s="230">
        <v>1287</v>
      </c>
      <c r="BZ109" s="230">
        <v>1315</v>
      </c>
      <c r="CA109" s="228">
        <v>-28</v>
      </c>
      <c r="CB109" s="229">
        <v>-2.1299999999999999E-2</v>
      </c>
      <c r="CC109" s="228">
        <v>550</v>
      </c>
      <c r="CD109" s="228">
        <v>857</v>
      </c>
      <c r="CE109" s="228">
        <v>-306</v>
      </c>
      <c r="CF109" s="229">
        <v>-0.35759999999999997</v>
      </c>
      <c r="CG109" s="228">
        <v>713</v>
      </c>
      <c r="CH109" s="228">
        <v>439</v>
      </c>
      <c r="CI109" s="228">
        <v>274</v>
      </c>
      <c r="CJ109" s="229">
        <v>0.62529999999999997</v>
      </c>
      <c r="CK109" s="228">
        <v>24</v>
      </c>
      <c r="CL109" s="228">
        <v>20</v>
      </c>
      <c r="CM109" s="228">
        <v>4</v>
      </c>
      <c r="CN109" s="229">
        <v>0.19470000000000001</v>
      </c>
      <c r="CO109" s="230">
        <v>1148</v>
      </c>
      <c r="CP109" s="230">
        <v>1171</v>
      </c>
      <c r="CQ109" s="228">
        <v>-23</v>
      </c>
      <c r="CR109" s="229">
        <v>-1.9900000000000001E-2</v>
      </c>
      <c r="CS109" s="228">
        <v>640</v>
      </c>
      <c r="CT109" s="228">
        <v>555</v>
      </c>
      <c r="CU109" s="228">
        <v>85</v>
      </c>
      <c r="CV109" s="229">
        <v>0.15279999999999999</v>
      </c>
      <c r="CW109" s="230">
        <v>3075</v>
      </c>
      <c r="CX109" s="230">
        <v>3042</v>
      </c>
      <c r="CY109" s="228">
        <v>33</v>
      </c>
      <c r="CZ109" s="229">
        <v>1.0999999999999999E-2</v>
      </c>
      <c r="DA109" s="228">
        <v>57.05</v>
      </c>
      <c r="DB109" s="228">
        <v>57.75</v>
      </c>
      <c r="DC109" s="228">
        <v>-0.7</v>
      </c>
      <c r="DD109" s="228">
        <v>-0.7</v>
      </c>
      <c r="DE109" s="228">
        <v>50.42</v>
      </c>
      <c r="DF109" s="228">
        <v>49.89</v>
      </c>
      <c r="DG109" s="228">
        <v>6.63</v>
      </c>
      <c r="DH109" s="228">
        <v>0.53</v>
      </c>
      <c r="DI109" s="228">
        <v>56.8</v>
      </c>
      <c r="DJ109" s="228">
        <v>59.84</v>
      </c>
      <c r="DK109" s="228">
        <v>-3.04</v>
      </c>
      <c r="DL109" s="228">
        <v>-3.04</v>
      </c>
      <c r="DM109" s="228">
        <v>57.33</v>
      </c>
      <c r="DN109" s="228">
        <v>55.53</v>
      </c>
      <c r="DO109" s="228">
        <v>1.8</v>
      </c>
      <c r="DP109" s="228">
        <v>1.8</v>
      </c>
      <c r="DQ109" s="228">
        <v>0.56000000000000005</v>
      </c>
      <c r="DR109" s="228">
        <v>0.47</v>
      </c>
      <c r="DS109" s="228">
        <v>0.09</v>
      </c>
      <c r="DT109" s="229">
        <v>0.1915</v>
      </c>
      <c r="DU109" s="228">
        <v>400</v>
      </c>
      <c r="DV109" s="228">
        <v>380</v>
      </c>
      <c r="DW109" s="228">
        <v>1.1599999999999999</v>
      </c>
      <c r="DX109" s="228">
        <v>0.94</v>
      </c>
      <c r="DY109" s="228">
        <v>0.22</v>
      </c>
      <c r="DZ109" s="229">
        <v>0.23400000000000001</v>
      </c>
      <c r="EA109" s="229">
        <v>0.57250000000000001</v>
      </c>
      <c r="EB109" s="230">
        <v>12228225</v>
      </c>
      <c r="EC109" s="229">
        <v>4.1000000000000003E-3</v>
      </c>
      <c r="ED109" s="229">
        <v>0.57250000000000001</v>
      </c>
      <c r="EE109" s="228">
        <v>2.2999999999999998</v>
      </c>
      <c r="EF109" s="229">
        <v>6.0000000000000001E-3</v>
      </c>
      <c r="EG109" s="230">
        <v>4876030</v>
      </c>
      <c r="EH109" s="230">
        <v>8015758</v>
      </c>
      <c r="EI109" s="229">
        <v>-0.39169999999999999</v>
      </c>
      <c r="EJ109" s="229">
        <v>0.25130000000000002</v>
      </c>
      <c r="EK109" s="231">
        <v>4203.75</v>
      </c>
      <c r="EL109" s="231">
        <v>4471.25</v>
      </c>
      <c r="EM109" s="231">
        <v>1655.31</v>
      </c>
      <c r="EN109" s="228">
        <v>169.07</v>
      </c>
      <c r="EO109" s="231">
        <v>10330.31</v>
      </c>
      <c r="EP109" s="231">
        <v>17171.79</v>
      </c>
      <c r="EQ109" s="231">
        <v>-6841.48</v>
      </c>
      <c r="ER109" s="229">
        <v>-0.39839999999999998</v>
      </c>
      <c r="ES109" s="231">
        <v>1391.28</v>
      </c>
      <c r="ET109" s="228">
        <v>693.06</v>
      </c>
      <c r="EU109" s="231">
        <v>1290.42</v>
      </c>
      <c r="EV109" s="231">
        <v>57654984</v>
      </c>
      <c r="EW109" s="231">
        <v>3374.76</v>
      </c>
      <c r="EX109" s="231">
        <v>3483.29</v>
      </c>
      <c r="EY109" s="228">
        <v>-108.53</v>
      </c>
      <c r="EZ109" s="229">
        <v>-3.1199999999999999E-2</v>
      </c>
      <c r="FA109" s="229">
        <v>1.4218999999999999</v>
      </c>
      <c r="FB109" s="227" t="s">
        <v>568</v>
      </c>
      <c r="FC109">
        <f t="shared" si="1"/>
        <v>737</v>
      </c>
    </row>
    <row r="110" spans="1:159" ht="17.25" thickBot="1" x14ac:dyDescent="0.3">
      <c r="A110" s="226">
        <v>46044</v>
      </c>
      <c r="B110" s="227" t="s">
        <v>184</v>
      </c>
      <c r="C110" s="227" t="s">
        <v>676</v>
      </c>
      <c r="D110" s="228">
        <v>100</v>
      </c>
      <c r="E110" s="228">
        <v>5</v>
      </c>
      <c r="F110" s="231">
        <v>3536.8</v>
      </c>
      <c r="G110" s="231">
        <v>3496</v>
      </c>
      <c r="H110" s="228">
        <v>40.799999999999997</v>
      </c>
      <c r="I110" s="229">
        <v>1.17E-2</v>
      </c>
      <c r="J110" s="231">
        <v>3527.2</v>
      </c>
      <c r="K110" s="231">
        <v>3490.8</v>
      </c>
      <c r="L110" s="228">
        <v>36.4</v>
      </c>
      <c r="M110" s="229">
        <v>1.04E-2</v>
      </c>
      <c r="N110" s="231">
        <v>3536.8</v>
      </c>
      <c r="O110" s="231">
        <v>3496</v>
      </c>
      <c r="P110" s="228">
        <v>40.799999999999997</v>
      </c>
      <c r="Q110" s="229">
        <v>1.17E-2</v>
      </c>
      <c r="R110" s="231">
        <v>3509</v>
      </c>
      <c r="S110" s="231">
        <v>3488</v>
      </c>
      <c r="T110" s="228">
        <v>21</v>
      </c>
      <c r="U110" s="229">
        <v>6.0000000000000001E-3</v>
      </c>
      <c r="V110" s="231">
        <v>3524.9</v>
      </c>
      <c r="W110" s="231">
        <v>3496.1</v>
      </c>
      <c r="X110" s="228">
        <v>28.8</v>
      </c>
      <c r="Y110" s="229">
        <v>8.2000000000000007E-3</v>
      </c>
      <c r="Z110" s="228">
        <v>9.6</v>
      </c>
      <c r="AA110" s="228">
        <v>5.2</v>
      </c>
      <c r="AB110" s="228">
        <v>4.4000000000000004</v>
      </c>
      <c r="AC110" s="229">
        <v>2.7000000000000001E-3</v>
      </c>
      <c r="AD110" s="228">
        <v>9.6</v>
      </c>
      <c r="AE110" s="228">
        <v>5.2</v>
      </c>
      <c r="AF110" s="228">
        <v>4.4000000000000004</v>
      </c>
      <c r="AG110" s="229">
        <v>2.7000000000000001E-3</v>
      </c>
      <c r="AH110" s="228">
        <v>-18.2</v>
      </c>
      <c r="AI110" s="228">
        <v>-2.8</v>
      </c>
      <c r="AJ110" s="228">
        <v>-15.4</v>
      </c>
      <c r="AK110" s="229">
        <v>-5.1999999999999998E-3</v>
      </c>
      <c r="AL110" s="228">
        <v>-2.2999999999999998</v>
      </c>
      <c r="AM110" s="228">
        <v>5.3</v>
      </c>
      <c r="AN110" s="228">
        <v>-7.6</v>
      </c>
      <c r="AO110" s="229">
        <v>-6.9999999999999999E-4</v>
      </c>
      <c r="AP110" s="231">
        <v>3531.25</v>
      </c>
      <c r="AQ110" s="231">
        <v>3512.62</v>
      </c>
      <c r="AR110" s="228">
        <v>0</v>
      </c>
      <c r="AS110" s="230">
        <v>1115</v>
      </c>
      <c r="AT110" s="228">
        <v>819</v>
      </c>
      <c r="AU110" s="228">
        <v>296</v>
      </c>
      <c r="AV110" s="229">
        <v>0.36130000000000001</v>
      </c>
      <c r="AW110" s="228">
        <v>541</v>
      </c>
      <c r="AX110" s="228">
        <v>484</v>
      </c>
      <c r="AY110" s="228">
        <v>58</v>
      </c>
      <c r="AZ110" s="229">
        <v>0.1188</v>
      </c>
      <c r="BA110" s="228">
        <v>553</v>
      </c>
      <c r="BB110" s="228">
        <v>323</v>
      </c>
      <c r="BC110" s="228">
        <v>230</v>
      </c>
      <c r="BD110" s="229">
        <v>0.71330000000000005</v>
      </c>
      <c r="BE110" s="228">
        <v>21</v>
      </c>
      <c r="BF110" s="228">
        <v>13</v>
      </c>
      <c r="BG110" s="228">
        <v>8</v>
      </c>
      <c r="BH110" s="229">
        <v>0.65069999999999995</v>
      </c>
      <c r="BI110" s="230">
        <v>1189</v>
      </c>
      <c r="BJ110" s="230">
        <v>1624</v>
      </c>
      <c r="BK110" s="228">
        <v>-436</v>
      </c>
      <c r="BL110" s="229">
        <v>-0.26819999999999999</v>
      </c>
      <c r="BM110" s="228">
        <v>515</v>
      </c>
      <c r="BN110" s="228">
        <v>860</v>
      </c>
      <c r="BO110" s="228">
        <v>-345</v>
      </c>
      <c r="BP110" s="229">
        <v>-0.40089999999999998</v>
      </c>
      <c r="BQ110" s="230">
        <v>2820</v>
      </c>
      <c r="BR110" s="230">
        <v>3304</v>
      </c>
      <c r="BS110" s="228">
        <v>-484</v>
      </c>
      <c r="BT110" s="229">
        <v>-0.14660000000000001</v>
      </c>
      <c r="BU110" s="230">
        <v>750736</v>
      </c>
      <c r="BV110" s="230">
        <v>1711308</v>
      </c>
      <c r="BW110" s="230">
        <v>-960572</v>
      </c>
      <c r="BX110" s="229">
        <v>-0.56130000000000002</v>
      </c>
      <c r="BY110" s="230">
        <v>1271</v>
      </c>
      <c r="BZ110" s="230">
        <v>1196</v>
      </c>
      <c r="CA110" s="228">
        <v>75</v>
      </c>
      <c r="CB110" s="229">
        <v>6.2799999999999995E-2</v>
      </c>
      <c r="CC110" s="228">
        <v>582</v>
      </c>
      <c r="CD110" s="228">
        <v>896</v>
      </c>
      <c r="CE110" s="228">
        <v>-314</v>
      </c>
      <c r="CF110" s="229">
        <v>-0.35010000000000002</v>
      </c>
      <c r="CG110" s="228">
        <v>659</v>
      </c>
      <c r="CH110" s="228">
        <v>278</v>
      </c>
      <c r="CI110" s="228">
        <v>381</v>
      </c>
      <c r="CJ110" s="229">
        <v>1.3734999999999999</v>
      </c>
      <c r="CK110" s="228">
        <v>30</v>
      </c>
      <c r="CL110" s="228">
        <v>22</v>
      </c>
      <c r="CM110" s="228">
        <v>7</v>
      </c>
      <c r="CN110" s="229">
        <v>0.33810000000000001</v>
      </c>
      <c r="CO110" s="230">
        <v>1201</v>
      </c>
      <c r="CP110" s="230">
        <v>1306</v>
      </c>
      <c r="CQ110" s="228">
        <v>-105</v>
      </c>
      <c r="CR110" s="229">
        <v>-8.0399999999999999E-2</v>
      </c>
      <c r="CS110" s="228">
        <v>582</v>
      </c>
      <c r="CT110" s="228">
        <v>635</v>
      </c>
      <c r="CU110" s="228">
        <v>-54</v>
      </c>
      <c r="CV110" s="229">
        <v>-8.43E-2</v>
      </c>
      <c r="CW110" s="230">
        <v>3053</v>
      </c>
      <c r="CX110" s="230">
        <v>3137</v>
      </c>
      <c r="CY110" s="228">
        <v>-83</v>
      </c>
      <c r="CZ110" s="229">
        <v>-2.6599999999999999E-2</v>
      </c>
      <c r="DA110" s="228">
        <v>51.17</v>
      </c>
      <c r="DB110" s="228">
        <v>46.19</v>
      </c>
      <c r="DC110" s="228">
        <v>4.9800000000000004</v>
      </c>
      <c r="DD110" s="228">
        <v>4.9800000000000004</v>
      </c>
      <c r="DE110" s="228">
        <v>60.75</v>
      </c>
      <c r="DF110" s="228">
        <v>60.88</v>
      </c>
      <c r="DG110" s="228">
        <v>-9.58</v>
      </c>
      <c r="DH110" s="228">
        <v>-0.13</v>
      </c>
      <c r="DI110" s="228">
        <v>51.06</v>
      </c>
      <c r="DJ110" s="228">
        <v>47.6</v>
      </c>
      <c r="DK110" s="228">
        <v>3.46</v>
      </c>
      <c r="DL110" s="228">
        <v>3.46</v>
      </c>
      <c r="DM110" s="228">
        <v>51.37</v>
      </c>
      <c r="DN110" s="228">
        <v>43.53</v>
      </c>
      <c r="DO110" s="228">
        <v>7.84</v>
      </c>
      <c r="DP110" s="228">
        <v>7.84</v>
      </c>
      <c r="DQ110" s="228">
        <v>0.48</v>
      </c>
      <c r="DR110" s="228">
        <v>0.49</v>
      </c>
      <c r="DS110" s="228">
        <v>-0.01</v>
      </c>
      <c r="DT110" s="229">
        <v>-2.0400000000000001E-2</v>
      </c>
      <c r="DU110" s="231">
        <v>4000</v>
      </c>
      <c r="DV110" s="231">
        <v>3500</v>
      </c>
      <c r="DW110" s="228">
        <v>0.43</v>
      </c>
      <c r="DX110" s="228">
        <v>0.53</v>
      </c>
      <c r="DY110" s="228">
        <v>-0.1</v>
      </c>
      <c r="DZ110" s="229">
        <v>-0.18870000000000001</v>
      </c>
      <c r="EA110" s="229">
        <v>0.54179999999999995</v>
      </c>
      <c r="EB110" s="230">
        <v>847500</v>
      </c>
      <c r="EC110" s="229">
        <v>-7.9000000000000008E-3</v>
      </c>
      <c r="ED110" s="229">
        <v>0.54179999999999995</v>
      </c>
      <c r="EE110" s="228">
        <v>-18.63</v>
      </c>
      <c r="EF110" s="229">
        <v>-5.3E-3</v>
      </c>
      <c r="EG110" s="230">
        <v>158652</v>
      </c>
      <c r="EH110" s="230">
        <v>262978</v>
      </c>
      <c r="EI110" s="229">
        <v>-0.3967</v>
      </c>
      <c r="EJ110" s="229">
        <v>0.21129999999999999</v>
      </c>
      <c r="EK110" s="231">
        <v>1294.93</v>
      </c>
      <c r="EL110" s="228">
        <v>523.55999999999995</v>
      </c>
      <c r="EM110" s="231">
        <v>1110.71</v>
      </c>
      <c r="EN110" s="228">
        <v>129.69</v>
      </c>
      <c r="EO110" s="231">
        <v>2929.2</v>
      </c>
      <c r="EP110" s="231">
        <v>3419.1</v>
      </c>
      <c r="EQ110" s="228">
        <v>-489.91</v>
      </c>
      <c r="ER110" s="229">
        <v>-0.14330000000000001</v>
      </c>
      <c r="ES110" s="231">
        <v>1390.29</v>
      </c>
      <c r="ET110" s="228">
        <v>609.24</v>
      </c>
      <c r="EU110" s="231">
        <v>1265.5999999999999</v>
      </c>
      <c r="EV110" s="231">
        <v>4679418</v>
      </c>
      <c r="EW110" s="231">
        <v>3265.13</v>
      </c>
      <c r="EX110" s="231">
        <v>3361.36</v>
      </c>
      <c r="EY110" s="228">
        <v>-96.23</v>
      </c>
      <c r="EZ110" s="229">
        <v>-2.86E-2</v>
      </c>
      <c r="FA110" s="229">
        <v>1.8449</v>
      </c>
      <c r="FB110" s="227" t="s">
        <v>555</v>
      </c>
      <c r="FC110">
        <f t="shared" si="1"/>
        <v>689</v>
      </c>
    </row>
    <row r="111" spans="1:159" ht="17.25" thickBot="1" x14ac:dyDescent="0.3">
      <c r="A111" s="226">
        <v>46044</v>
      </c>
      <c r="B111" s="227" t="s">
        <v>161</v>
      </c>
      <c r="C111" s="227" t="s">
        <v>610</v>
      </c>
      <c r="D111" s="228">
        <v>175</v>
      </c>
      <c r="E111" s="228">
        <v>5</v>
      </c>
      <c r="F111" s="231">
        <v>3855.7</v>
      </c>
      <c r="G111" s="231">
        <v>3936.6</v>
      </c>
      <c r="H111" s="228">
        <v>-80.900000000000006</v>
      </c>
      <c r="I111" s="229">
        <v>-2.06E-2</v>
      </c>
      <c r="J111" s="231">
        <v>3848.4</v>
      </c>
      <c r="K111" s="231">
        <v>3939.3</v>
      </c>
      <c r="L111" s="228">
        <v>-90.9</v>
      </c>
      <c r="M111" s="229">
        <v>-2.3099999999999999E-2</v>
      </c>
      <c r="N111" s="231">
        <v>3855.7</v>
      </c>
      <c r="O111" s="231">
        <v>3936.6</v>
      </c>
      <c r="P111" s="228">
        <v>-80.900000000000006</v>
      </c>
      <c r="Q111" s="229">
        <v>-2.06E-2</v>
      </c>
      <c r="R111" s="231">
        <v>3853.3</v>
      </c>
      <c r="S111" s="231">
        <v>3939.3</v>
      </c>
      <c r="T111" s="228">
        <v>-86</v>
      </c>
      <c r="U111" s="229">
        <v>-2.18E-2</v>
      </c>
      <c r="V111" s="231">
        <v>3853.4</v>
      </c>
      <c r="W111" s="231">
        <v>3898.6</v>
      </c>
      <c r="X111" s="228">
        <v>-45.2</v>
      </c>
      <c r="Y111" s="229">
        <v>-1.1599999999999999E-2</v>
      </c>
      <c r="Z111" s="228">
        <v>7.3</v>
      </c>
      <c r="AA111" s="228">
        <v>-2.7</v>
      </c>
      <c r="AB111" s="228">
        <v>10</v>
      </c>
      <c r="AC111" s="229">
        <v>1.9E-3</v>
      </c>
      <c r="AD111" s="228">
        <v>7.3</v>
      </c>
      <c r="AE111" s="228">
        <v>-2.7</v>
      </c>
      <c r="AF111" s="228">
        <v>10</v>
      </c>
      <c r="AG111" s="229">
        <v>1.9E-3</v>
      </c>
      <c r="AH111" s="228">
        <v>4.9000000000000004</v>
      </c>
      <c r="AI111" s="228">
        <v>0</v>
      </c>
      <c r="AJ111" s="228">
        <v>4.9000000000000004</v>
      </c>
      <c r="AK111" s="229">
        <v>1.2999999999999999E-3</v>
      </c>
      <c r="AL111" s="228">
        <v>5</v>
      </c>
      <c r="AM111" s="228">
        <v>-40.700000000000003</v>
      </c>
      <c r="AN111" s="228">
        <v>45.7</v>
      </c>
      <c r="AO111" s="229">
        <v>1.2999999999999999E-3</v>
      </c>
      <c r="AP111" s="231">
        <v>3842.99</v>
      </c>
      <c r="AQ111" s="231">
        <v>3828.06</v>
      </c>
      <c r="AR111" s="228">
        <v>0</v>
      </c>
      <c r="AS111" s="230">
        <v>1257</v>
      </c>
      <c r="AT111" s="228">
        <v>542</v>
      </c>
      <c r="AU111" s="228">
        <v>714</v>
      </c>
      <c r="AV111" s="229">
        <v>1.3162</v>
      </c>
      <c r="AW111" s="228">
        <v>659</v>
      </c>
      <c r="AX111" s="228">
        <v>376</v>
      </c>
      <c r="AY111" s="228">
        <v>284</v>
      </c>
      <c r="AZ111" s="229">
        <v>0.75519999999999998</v>
      </c>
      <c r="BA111" s="228">
        <v>593</v>
      </c>
      <c r="BB111" s="228">
        <v>166</v>
      </c>
      <c r="BC111" s="228">
        <v>427</v>
      </c>
      <c r="BD111" s="229">
        <v>2.569</v>
      </c>
      <c r="BE111" s="228">
        <v>4</v>
      </c>
      <c r="BF111" s="228">
        <v>1</v>
      </c>
      <c r="BG111" s="228">
        <v>4</v>
      </c>
      <c r="BH111" s="229">
        <v>5.2</v>
      </c>
      <c r="BI111" s="230">
        <v>3045</v>
      </c>
      <c r="BJ111" s="230">
        <v>1131</v>
      </c>
      <c r="BK111" s="230">
        <v>1915</v>
      </c>
      <c r="BL111" s="229">
        <v>1.6934</v>
      </c>
      <c r="BM111" s="230">
        <v>2436</v>
      </c>
      <c r="BN111" s="230">
        <v>1012</v>
      </c>
      <c r="BO111" s="230">
        <v>1424</v>
      </c>
      <c r="BP111" s="229">
        <v>1.4077</v>
      </c>
      <c r="BQ111" s="230">
        <v>6737</v>
      </c>
      <c r="BR111" s="230">
        <v>2685</v>
      </c>
      <c r="BS111" s="230">
        <v>4053</v>
      </c>
      <c r="BT111" s="229">
        <v>1.5095000000000001</v>
      </c>
      <c r="BU111" s="230">
        <v>1328577</v>
      </c>
      <c r="BV111" s="230">
        <v>439681</v>
      </c>
      <c r="BW111" s="230">
        <v>888896</v>
      </c>
      <c r="BX111" s="229">
        <v>2.0217000000000001</v>
      </c>
      <c r="BY111" s="228">
        <v>443</v>
      </c>
      <c r="BZ111" s="228">
        <v>355</v>
      </c>
      <c r="CA111" s="228">
        <v>87</v>
      </c>
      <c r="CB111" s="229">
        <v>0.246</v>
      </c>
      <c r="CC111" s="228">
        <v>150</v>
      </c>
      <c r="CD111" s="228">
        <v>289</v>
      </c>
      <c r="CE111" s="228">
        <v>-139</v>
      </c>
      <c r="CF111" s="229">
        <v>-0.48170000000000002</v>
      </c>
      <c r="CG111" s="228">
        <v>291</v>
      </c>
      <c r="CH111" s="228">
        <v>65</v>
      </c>
      <c r="CI111" s="228">
        <v>226</v>
      </c>
      <c r="CJ111" s="229">
        <v>3.4874999999999998</v>
      </c>
      <c r="CK111" s="228">
        <v>2</v>
      </c>
      <c r="CL111" s="228">
        <v>1</v>
      </c>
      <c r="CM111" s="228">
        <v>1</v>
      </c>
      <c r="CN111" s="229">
        <v>0.73680000000000001</v>
      </c>
      <c r="CO111" s="228">
        <v>461</v>
      </c>
      <c r="CP111" s="228">
        <v>367</v>
      </c>
      <c r="CQ111" s="228">
        <v>93</v>
      </c>
      <c r="CR111" s="229">
        <v>0.25390000000000001</v>
      </c>
      <c r="CS111" s="228">
        <v>275</v>
      </c>
      <c r="CT111" s="228">
        <v>290</v>
      </c>
      <c r="CU111" s="228">
        <v>-15</v>
      </c>
      <c r="CV111" s="229">
        <v>-5.11E-2</v>
      </c>
      <c r="CW111" s="230">
        <v>1179</v>
      </c>
      <c r="CX111" s="230">
        <v>1013</v>
      </c>
      <c r="CY111" s="228">
        <v>166</v>
      </c>
      <c r="CZ111" s="229">
        <v>0.16370000000000001</v>
      </c>
      <c r="DA111" s="228">
        <v>32.840000000000003</v>
      </c>
      <c r="DB111" s="228">
        <v>46.06</v>
      </c>
      <c r="DC111" s="228">
        <v>-13.22</v>
      </c>
      <c r="DD111" s="228">
        <v>-13.22</v>
      </c>
      <c r="DE111" s="228">
        <v>45.27</v>
      </c>
      <c r="DF111" s="228">
        <v>45.29</v>
      </c>
      <c r="DG111" s="228">
        <v>-12.43</v>
      </c>
      <c r="DH111" s="228">
        <v>-0.02</v>
      </c>
      <c r="DI111" s="228">
        <v>32.619999999999997</v>
      </c>
      <c r="DJ111" s="228">
        <v>47.03</v>
      </c>
      <c r="DK111" s="228">
        <v>-14.41</v>
      </c>
      <c r="DL111" s="228">
        <v>-14.41</v>
      </c>
      <c r="DM111" s="228">
        <v>33.340000000000003</v>
      </c>
      <c r="DN111" s="228">
        <v>44.97</v>
      </c>
      <c r="DO111" s="228">
        <v>-11.63</v>
      </c>
      <c r="DP111" s="228">
        <v>-11.63</v>
      </c>
      <c r="DQ111" s="228">
        <v>0.6</v>
      </c>
      <c r="DR111" s="228">
        <v>0.79</v>
      </c>
      <c r="DS111" s="228">
        <v>-0.19</v>
      </c>
      <c r="DT111" s="229">
        <v>-0.24049999999999999</v>
      </c>
      <c r="DU111" s="231">
        <v>4100</v>
      </c>
      <c r="DV111" s="231">
        <v>3700</v>
      </c>
      <c r="DW111" s="228">
        <v>0.8</v>
      </c>
      <c r="DX111" s="228">
        <v>0.89</v>
      </c>
      <c r="DY111" s="228">
        <v>-0.09</v>
      </c>
      <c r="DZ111" s="229">
        <v>-0.1011</v>
      </c>
      <c r="EA111" s="229">
        <v>0.6613</v>
      </c>
      <c r="EB111" s="230">
        <v>171325</v>
      </c>
      <c r="EC111" s="229">
        <v>-5.9999999999999995E-4</v>
      </c>
      <c r="ED111" s="229">
        <v>0.6613</v>
      </c>
      <c r="EE111" s="228">
        <v>-14.93</v>
      </c>
      <c r="EF111" s="229">
        <v>-3.8999999999999998E-3</v>
      </c>
      <c r="EG111" s="230">
        <v>392277</v>
      </c>
      <c r="EH111" s="230">
        <v>150725</v>
      </c>
      <c r="EI111" s="229">
        <v>1.6026</v>
      </c>
      <c r="EJ111" s="229">
        <v>0.29530000000000001</v>
      </c>
      <c r="EK111" s="231">
        <v>3210.09</v>
      </c>
      <c r="EL111" s="231">
        <v>2402.92</v>
      </c>
      <c r="EM111" s="231">
        <v>1250.05</v>
      </c>
      <c r="EN111" s="228">
        <v>49.19</v>
      </c>
      <c r="EO111" s="231">
        <v>6863.06</v>
      </c>
      <c r="EP111" s="231">
        <v>2837.35</v>
      </c>
      <c r="EQ111" s="231">
        <v>4025.72</v>
      </c>
      <c r="ER111" s="229">
        <v>1.4188000000000001</v>
      </c>
      <c r="ES111" s="228">
        <v>510.26</v>
      </c>
      <c r="ET111" s="228">
        <v>283.7</v>
      </c>
      <c r="EU111" s="228">
        <v>442.72</v>
      </c>
      <c r="EV111" s="231">
        <v>8553821</v>
      </c>
      <c r="EW111" s="231">
        <v>1236.68</v>
      </c>
      <c r="EX111" s="231">
        <v>1078.54</v>
      </c>
      <c r="EY111" s="228">
        <v>158.13999999999999</v>
      </c>
      <c r="EZ111" s="229">
        <v>0.14660000000000001</v>
      </c>
      <c r="FA111" s="229">
        <v>0.35749999999999998</v>
      </c>
      <c r="FB111" s="227" t="s">
        <v>567</v>
      </c>
      <c r="FC111">
        <f t="shared" si="1"/>
        <v>293</v>
      </c>
    </row>
    <row r="112" spans="1:159" ht="17.25" thickBot="1" x14ac:dyDescent="0.3">
      <c r="A112" s="226">
        <v>46044</v>
      </c>
      <c r="B112" s="227" t="s">
        <v>175</v>
      </c>
      <c r="C112" s="227" t="s">
        <v>683</v>
      </c>
      <c r="D112" s="228">
        <v>500</v>
      </c>
      <c r="E112" s="228">
        <v>5</v>
      </c>
      <c r="F112" s="231">
        <v>1035.3</v>
      </c>
      <c r="G112" s="228">
        <v>996.8</v>
      </c>
      <c r="H112" s="228">
        <v>38.5</v>
      </c>
      <c r="I112" s="229">
        <v>3.8600000000000002E-2</v>
      </c>
      <c r="J112" s="231">
        <v>1033.5</v>
      </c>
      <c r="K112" s="231">
        <v>1000.4</v>
      </c>
      <c r="L112" s="228">
        <v>33.1</v>
      </c>
      <c r="M112" s="229">
        <v>3.3099999999999997E-2</v>
      </c>
      <c r="N112" s="231">
        <v>1035.3</v>
      </c>
      <c r="O112" s="228">
        <v>996.8</v>
      </c>
      <c r="P112" s="228">
        <v>38.5</v>
      </c>
      <c r="Q112" s="229">
        <v>3.8600000000000002E-2</v>
      </c>
      <c r="R112" s="228">
        <v>983.2</v>
      </c>
      <c r="S112" s="228">
        <v>956.8</v>
      </c>
      <c r="T112" s="228">
        <v>26.4</v>
      </c>
      <c r="U112" s="229">
        <v>2.76E-2</v>
      </c>
      <c r="V112" s="228">
        <v>957.5</v>
      </c>
      <c r="W112" s="228">
        <v>951</v>
      </c>
      <c r="X112" s="228">
        <v>6.5</v>
      </c>
      <c r="Y112" s="229">
        <v>6.7999999999999996E-3</v>
      </c>
      <c r="Z112" s="228">
        <v>1.8</v>
      </c>
      <c r="AA112" s="228">
        <v>-3.6</v>
      </c>
      <c r="AB112" s="228">
        <v>5.4</v>
      </c>
      <c r="AC112" s="229">
        <v>1.6999999999999999E-3</v>
      </c>
      <c r="AD112" s="228">
        <v>1.8</v>
      </c>
      <c r="AE112" s="228">
        <v>-3.6</v>
      </c>
      <c r="AF112" s="228">
        <v>5.4</v>
      </c>
      <c r="AG112" s="229">
        <v>1.6999999999999999E-3</v>
      </c>
      <c r="AH112" s="228">
        <v>-50.3</v>
      </c>
      <c r="AI112" s="228">
        <v>-43.6</v>
      </c>
      <c r="AJ112" s="228">
        <v>-6.7</v>
      </c>
      <c r="AK112" s="229">
        <v>-4.87E-2</v>
      </c>
      <c r="AL112" s="228">
        <v>-76</v>
      </c>
      <c r="AM112" s="228">
        <v>-49.4</v>
      </c>
      <c r="AN112" s="228">
        <v>-26.6</v>
      </c>
      <c r="AO112" s="229">
        <v>-7.3499999999999996E-2</v>
      </c>
      <c r="AP112" s="231">
        <v>1033.94</v>
      </c>
      <c r="AQ112" s="228">
        <v>986.92</v>
      </c>
      <c r="AR112" s="228">
        <v>0</v>
      </c>
      <c r="AS112" s="228">
        <v>746</v>
      </c>
      <c r="AT112" s="228">
        <v>609</v>
      </c>
      <c r="AU112" s="228">
        <v>137</v>
      </c>
      <c r="AV112" s="229">
        <v>0.22450000000000001</v>
      </c>
      <c r="AW112" s="228">
        <v>384</v>
      </c>
      <c r="AX112" s="228">
        <v>318</v>
      </c>
      <c r="AY112" s="228">
        <v>67</v>
      </c>
      <c r="AZ112" s="229">
        <v>0.2097</v>
      </c>
      <c r="BA112" s="228">
        <v>352</v>
      </c>
      <c r="BB112" s="228">
        <v>287</v>
      </c>
      <c r="BC112" s="228">
        <v>65</v>
      </c>
      <c r="BD112" s="229">
        <v>0.22600000000000001</v>
      </c>
      <c r="BE112" s="228">
        <v>9</v>
      </c>
      <c r="BF112" s="228">
        <v>4</v>
      </c>
      <c r="BG112" s="228">
        <v>5</v>
      </c>
      <c r="BH112" s="229">
        <v>1.3378000000000001</v>
      </c>
      <c r="BI112" s="228">
        <v>596</v>
      </c>
      <c r="BJ112" s="228">
        <v>300</v>
      </c>
      <c r="BK112" s="228">
        <v>296</v>
      </c>
      <c r="BL112" s="229">
        <v>0.98599999999999999</v>
      </c>
      <c r="BM112" s="228">
        <v>286</v>
      </c>
      <c r="BN112" s="228">
        <v>497</v>
      </c>
      <c r="BO112" s="228">
        <v>-211</v>
      </c>
      <c r="BP112" s="229">
        <v>-0.42359999999999998</v>
      </c>
      <c r="BQ112" s="230">
        <v>1628</v>
      </c>
      <c r="BR112" s="230">
        <v>1406</v>
      </c>
      <c r="BS112" s="228">
        <v>222</v>
      </c>
      <c r="BT112" s="229">
        <v>0.158</v>
      </c>
      <c r="BU112" s="230">
        <v>841929</v>
      </c>
      <c r="BV112" s="230">
        <v>1033303</v>
      </c>
      <c r="BW112" s="230">
        <v>-191374</v>
      </c>
      <c r="BX112" s="229">
        <v>-0.1852</v>
      </c>
      <c r="BY112" s="228">
        <v>705</v>
      </c>
      <c r="BZ112" s="228">
        <v>773</v>
      </c>
      <c r="CA112" s="228">
        <v>-68</v>
      </c>
      <c r="CB112" s="229">
        <v>-8.7499999999999994E-2</v>
      </c>
      <c r="CC112" s="228">
        <v>271</v>
      </c>
      <c r="CD112" s="228">
        <v>438</v>
      </c>
      <c r="CE112" s="228">
        <v>-167</v>
      </c>
      <c r="CF112" s="229">
        <v>-0.38090000000000002</v>
      </c>
      <c r="CG112" s="228">
        <v>414</v>
      </c>
      <c r="CH112" s="228">
        <v>318</v>
      </c>
      <c r="CI112" s="228">
        <v>95</v>
      </c>
      <c r="CJ112" s="229">
        <v>0.2994</v>
      </c>
      <c r="CK112" s="228">
        <v>20</v>
      </c>
      <c r="CL112" s="228">
        <v>16</v>
      </c>
      <c r="CM112" s="228">
        <v>4</v>
      </c>
      <c r="CN112" s="229">
        <v>0.24129999999999999</v>
      </c>
      <c r="CO112" s="228">
        <v>193</v>
      </c>
      <c r="CP112" s="228">
        <v>226</v>
      </c>
      <c r="CQ112" s="228">
        <v>-33</v>
      </c>
      <c r="CR112" s="229">
        <v>-0.14680000000000001</v>
      </c>
      <c r="CS112" s="228">
        <v>174</v>
      </c>
      <c r="CT112" s="228">
        <v>183</v>
      </c>
      <c r="CU112" s="228">
        <v>-9</v>
      </c>
      <c r="CV112" s="229">
        <v>-5.1200000000000002E-2</v>
      </c>
      <c r="CW112" s="230">
        <v>1072</v>
      </c>
      <c r="CX112" s="230">
        <v>1182</v>
      </c>
      <c r="CY112" s="228">
        <v>-110</v>
      </c>
      <c r="CZ112" s="229">
        <v>-9.3299999999999994E-2</v>
      </c>
      <c r="DA112" s="228">
        <v>36.35</v>
      </c>
      <c r="DB112" s="228">
        <v>31.51</v>
      </c>
      <c r="DC112" s="228">
        <v>4.84</v>
      </c>
      <c r="DD112" s="228">
        <v>4.84</v>
      </c>
      <c r="DE112" s="228">
        <v>50.78</v>
      </c>
      <c r="DF112" s="228">
        <v>50.65</v>
      </c>
      <c r="DG112" s="228">
        <v>-14.43</v>
      </c>
      <c r="DH112" s="228">
        <v>0.13</v>
      </c>
      <c r="DI112" s="228">
        <v>35.200000000000003</v>
      </c>
      <c r="DJ112" s="228">
        <v>34.28</v>
      </c>
      <c r="DK112" s="228">
        <v>0.92</v>
      </c>
      <c r="DL112" s="228">
        <v>0.92</v>
      </c>
      <c r="DM112" s="228">
        <v>38.15</v>
      </c>
      <c r="DN112" s="228">
        <v>29.84</v>
      </c>
      <c r="DO112" s="228">
        <v>8.31</v>
      </c>
      <c r="DP112" s="228">
        <v>8.31</v>
      </c>
      <c r="DQ112" s="228">
        <v>0.9</v>
      </c>
      <c r="DR112" s="228">
        <v>0.81</v>
      </c>
      <c r="DS112" s="228">
        <v>0.09</v>
      </c>
      <c r="DT112" s="229">
        <v>0.1111</v>
      </c>
      <c r="DU112" s="231">
        <v>1100</v>
      </c>
      <c r="DV112" s="228">
        <v>960</v>
      </c>
      <c r="DW112" s="228">
        <v>0.48</v>
      </c>
      <c r="DX112" s="228">
        <v>1.66</v>
      </c>
      <c r="DY112" s="228">
        <v>-1.18</v>
      </c>
      <c r="DZ112" s="229">
        <v>-0.71079999999999999</v>
      </c>
      <c r="EA112" s="229">
        <v>0.61539999999999995</v>
      </c>
      <c r="EB112" s="230">
        <v>3233500</v>
      </c>
      <c r="EC112" s="229">
        <v>-5.0299999999999997E-2</v>
      </c>
      <c r="ED112" s="229">
        <v>0.61539999999999995</v>
      </c>
      <c r="EE112" s="228">
        <v>-47.02</v>
      </c>
      <c r="EF112" s="229">
        <v>-4.5499999999999999E-2</v>
      </c>
      <c r="EG112" s="230">
        <v>201525</v>
      </c>
      <c r="EH112" s="230">
        <v>411243</v>
      </c>
      <c r="EI112" s="229">
        <v>-0.51</v>
      </c>
      <c r="EJ112" s="229">
        <v>0.2394</v>
      </c>
      <c r="EK112" s="228">
        <v>617.13</v>
      </c>
      <c r="EL112" s="228">
        <v>282.5</v>
      </c>
      <c r="EM112" s="228">
        <v>728.07</v>
      </c>
      <c r="EN112" s="228">
        <v>62.43</v>
      </c>
      <c r="EO112" s="231">
        <v>1627.7</v>
      </c>
      <c r="EP112" s="231">
        <v>1364.2</v>
      </c>
      <c r="EQ112" s="228">
        <v>263.5</v>
      </c>
      <c r="ER112" s="229">
        <v>0.19320000000000001</v>
      </c>
      <c r="ES112" s="228">
        <v>202.82</v>
      </c>
      <c r="ET112" s="228">
        <v>168.09</v>
      </c>
      <c r="EU112" s="228">
        <v>683</v>
      </c>
      <c r="EV112" s="231">
        <v>19924232</v>
      </c>
      <c r="EW112" s="231">
        <v>1053.9100000000001</v>
      </c>
      <c r="EX112" s="231">
        <v>1145.93</v>
      </c>
      <c r="EY112" s="228">
        <v>-92.02</v>
      </c>
      <c r="EZ112" s="229">
        <v>-8.0299999999999996E-2</v>
      </c>
      <c r="FA112" s="229">
        <v>0.51970000000000005</v>
      </c>
      <c r="FB112" s="227" t="s">
        <v>556</v>
      </c>
      <c r="FC112">
        <f t="shared" si="1"/>
        <v>434</v>
      </c>
    </row>
    <row r="113" spans="1:159" ht="17.25" thickBot="1" x14ac:dyDescent="0.3">
      <c r="A113" s="226">
        <v>46044</v>
      </c>
      <c r="B113" s="227" t="s">
        <v>172</v>
      </c>
      <c r="C113" s="227" t="s">
        <v>246</v>
      </c>
      <c r="D113" s="228">
        <v>2000</v>
      </c>
      <c r="E113" s="228">
        <v>5</v>
      </c>
      <c r="F113" s="228">
        <v>426.2</v>
      </c>
      <c r="G113" s="228">
        <v>422.1</v>
      </c>
      <c r="H113" s="228">
        <v>4.0999999999999996</v>
      </c>
      <c r="I113" s="229">
        <v>9.7000000000000003E-3</v>
      </c>
      <c r="J113" s="228">
        <v>426</v>
      </c>
      <c r="K113" s="228">
        <v>421.6</v>
      </c>
      <c r="L113" s="228">
        <v>4.4000000000000004</v>
      </c>
      <c r="M113" s="229">
        <v>1.04E-2</v>
      </c>
      <c r="N113" s="228">
        <v>426.2</v>
      </c>
      <c r="O113" s="228">
        <v>422.1</v>
      </c>
      <c r="P113" s="228">
        <v>4.0999999999999996</v>
      </c>
      <c r="Q113" s="229">
        <v>9.7000000000000003E-3</v>
      </c>
      <c r="R113" s="228">
        <v>428.5</v>
      </c>
      <c r="S113" s="228">
        <v>424.5</v>
      </c>
      <c r="T113" s="228">
        <v>4</v>
      </c>
      <c r="U113" s="229">
        <v>9.4000000000000004E-3</v>
      </c>
      <c r="V113" s="228">
        <v>431.5</v>
      </c>
      <c r="W113" s="228">
        <v>427</v>
      </c>
      <c r="X113" s="228">
        <v>4.5</v>
      </c>
      <c r="Y113" s="229">
        <v>1.0500000000000001E-2</v>
      </c>
      <c r="Z113" s="228">
        <v>0.2</v>
      </c>
      <c r="AA113" s="228">
        <v>0.5</v>
      </c>
      <c r="AB113" s="228">
        <v>-0.3</v>
      </c>
      <c r="AC113" s="229">
        <v>5.0000000000000001E-4</v>
      </c>
      <c r="AD113" s="228">
        <v>0.2</v>
      </c>
      <c r="AE113" s="228">
        <v>0.5</v>
      </c>
      <c r="AF113" s="228">
        <v>-0.3</v>
      </c>
      <c r="AG113" s="229">
        <v>5.0000000000000001E-4</v>
      </c>
      <c r="AH113" s="228">
        <v>2.5</v>
      </c>
      <c r="AI113" s="228">
        <v>2.9</v>
      </c>
      <c r="AJ113" s="228">
        <v>-0.4</v>
      </c>
      <c r="AK113" s="229">
        <v>5.8999999999999999E-3</v>
      </c>
      <c r="AL113" s="228">
        <v>5.5</v>
      </c>
      <c r="AM113" s="228">
        <v>5.4</v>
      </c>
      <c r="AN113" s="228">
        <v>0.1</v>
      </c>
      <c r="AO113" s="229">
        <v>1.29E-2</v>
      </c>
      <c r="AP113" s="228">
        <v>424.83</v>
      </c>
      <c r="AQ113" s="228">
        <v>427.08</v>
      </c>
      <c r="AR113" s="228">
        <v>0</v>
      </c>
      <c r="AS113" s="230">
        <v>4406</v>
      </c>
      <c r="AT113" s="230">
        <v>4727</v>
      </c>
      <c r="AU113" s="228">
        <v>-321</v>
      </c>
      <c r="AV113" s="229">
        <v>-6.7799999999999999E-2</v>
      </c>
      <c r="AW113" s="230">
        <v>2295</v>
      </c>
      <c r="AX113" s="230">
        <v>2403</v>
      </c>
      <c r="AY113" s="228">
        <v>-108</v>
      </c>
      <c r="AZ113" s="229">
        <v>-4.48E-2</v>
      </c>
      <c r="BA113" s="230">
        <v>2106</v>
      </c>
      <c r="BB113" s="230">
        <v>2308</v>
      </c>
      <c r="BC113" s="228">
        <v>-202</v>
      </c>
      <c r="BD113" s="229">
        <v>-8.7599999999999997E-2</v>
      </c>
      <c r="BE113" s="228">
        <v>5</v>
      </c>
      <c r="BF113" s="228">
        <v>16</v>
      </c>
      <c r="BG113" s="228">
        <v>-11</v>
      </c>
      <c r="BH113" s="229">
        <v>-0.68110000000000004</v>
      </c>
      <c r="BI113" s="230">
        <v>1445</v>
      </c>
      <c r="BJ113" s="230">
        <v>1811</v>
      </c>
      <c r="BK113" s="228">
        <v>-367</v>
      </c>
      <c r="BL113" s="229">
        <v>-0.2024</v>
      </c>
      <c r="BM113" s="228">
        <v>923</v>
      </c>
      <c r="BN113" s="228">
        <v>993</v>
      </c>
      <c r="BO113" s="228">
        <v>-70</v>
      </c>
      <c r="BP113" s="229">
        <v>-7.0800000000000002E-2</v>
      </c>
      <c r="BQ113" s="230">
        <v>6774</v>
      </c>
      <c r="BR113" s="230">
        <v>7532</v>
      </c>
      <c r="BS113" s="228">
        <v>-757</v>
      </c>
      <c r="BT113" s="229">
        <v>-0.10059999999999999</v>
      </c>
      <c r="BU113" s="230">
        <v>10216457</v>
      </c>
      <c r="BV113" s="230">
        <v>16518854</v>
      </c>
      <c r="BW113" s="230">
        <v>-6302397</v>
      </c>
      <c r="BX113" s="229">
        <v>-0.38150000000000001</v>
      </c>
      <c r="BY113" s="230">
        <v>8365</v>
      </c>
      <c r="BZ113" s="230">
        <v>8355</v>
      </c>
      <c r="CA113" s="228">
        <v>9</v>
      </c>
      <c r="CB113" s="229">
        <v>1.1000000000000001E-3</v>
      </c>
      <c r="CC113" s="230">
        <v>2856</v>
      </c>
      <c r="CD113" s="230">
        <v>4690</v>
      </c>
      <c r="CE113" s="230">
        <v>-1834</v>
      </c>
      <c r="CF113" s="229">
        <v>-0.3911</v>
      </c>
      <c r="CG113" s="230">
        <v>5060</v>
      </c>
      <c r="CH113" s="230">
        <v>3218</v>
      </c>
      <c r="CI113" s="230">
        <v>1842</v>
      </c>
      <c r="CJ113" s="229">
        <v>0.57230000000000003</v>
      </c>
      <c r="CK113" s="228">
        <v>449</v>
      </c>
      <c r="CL113" s="228">
        <v>448</v>
      </c>
      <c r="CM113" s="228">
        <v>2</v>
      </c>
      <c r="CN113" s="229">
        <v>4.4000000000000003E-3</v>
      </c>
      <c r="CO113" s="230">
        <v>1852</v>
      </c>
      <c r="CP113" s="230">
        <v>1893</v>
      </c>
      <c r="CQ113" s="228">
        <v>-42</v>
      </c>
      <c r="CR113" s="229">
        <v>-2.1899999999999999E-2</v>
      </c>
      <c r="CS113" s="230">
        <v>1168</v>
      </c>
      <c r="CT113" s="230">
        <v>1216</v>
      </c>
      <c r="CU113" s="228">
        <v>-48</v>
      </c>
      <c r="CV113" s="229">
        <v>-3.9199999999999999E-2</v>
      </c>
      <c r="CW113" s="230">
        <v>11385</v>
      </c>
      <c r="CX113" s="230">
        <v>11465</v>
      </c>
      <c r="CY113" s="228">
        <v>-80</v>
      </c>
      <c r="CZ113" s="229">
        <v>-7.0000000000000001E-3</v>
      </c>
      <c r="DA113" s="228">
        <v>24.22</v>
      </c>
      <c r="DB113" s="228">
        <v>30.28</v>
      </c>
      <c r="DC113" s="228">
        <v>-6.06</v>
      </c>
      <c r="DD113" s="228">
        <v>-6.06</v>
      </c>
      <c r="DE113" s="228">
        <v>25.03</v>
      </c>
      <c r="DF113" s="228">
        <v>25.05</v>
      </c>
      <c r="DG113" s="228">
        <v>-0.81</v>
      </c>
      <c r="DH113" s="228">
        <v>-0.02</v>
      </c>
      <c r="DI113" s="228">
        <v>23.47</v>
      </c>
      <c r="DJ113" s="228">
        <v>30.24</v>
      </c>
      <c r="DK113" s="228">
        <v>-6.77</v>
      </c>
      <c r="DL113" s="228">
        <v>-6.77</v>
      </c>
      <c r="DM113" s="228">
        <v>25.26</v>
      </c>
      <c r="DN113" s="228">
        <v>30.37</v>
      </c>
      <c r="DO113" s="228">
        <v>-5.1100000000000003</v>
      </c>
      <c r="DP113" s="228">
        <v>-5.1100000000000003</v>
      </c>
      <c r="DQ113" s="228">
        <v>0.63</v>
      </c>
      <c r="DR113" s="228">
        <v>0.64</v>
      </c>
      <c r="DS113" s="228">
        <v>-0.01</v>
      </c>
      <c r="DT113" s="229">
        <v>-1.5599999999999999E-2</v>
      </c>
      <c r="DU113" s="228">
        <v>440</v>
      </c>
      <c r="DV113" s="228">
        <v>420</v>
      </c>
      <c r="DW113" s="228">
        <v>0.64</v>
      </c>
      <c r="DX113" s="228">
        <v>0.55000000000000004</v>
      </c>
      <c r="DY113" s="228">
        <v>0.09</v>
      </c>
      <c r="DZ113" s="229">
        <v>0.1636</v>
      </c>
      <c r="EA113" s="229">
        <v>0.65859999999999996</v>
      </c>
      <c r="EB113" s="230">
        <v>86008000</v>
      </c>
      <c r="EC113" s="229">
        <v>5.4000000000000003E-3</v>
      </c>
      <c r="ED113" s="229">
        <v>0.65859999999999996</v>
      </c>
      <c r="EE113" s="228">
        <v>2.25</v>
      </c>
      <c r="EF113" s="229">
        <v>5.3E-3</v>
      </c>
      <c r="EG113" s="230">
        <v>6541432</v>
      </c>
      <c r="EH113" s="230">
        <v>11598699</v>
      </c>
      <c r="EI113" s="229">
        <v>-0.436</v>
      </c>
      <c r="EJ113" s="229">
        <v>0.64029999999999998</v>
      </c>
      <c r="EK113" s="231">
        <v>1490.87</v>
      </c>
      <c r="EL113" s="228">
        <v>915.69</v>
      </c>
      <c r="EM113" s="231">
        <v>4403.3100000000004</v>
      </c>
      <c r="EN113" s="228">
        <v>286</v>
      </c>
      <c r="EO113" s="231">
        <v>6809.87</v>
      </c>
      <c r="EP113" s="231">
        <v>7551.72</v>
      </c>
      <c r="EQ113" s="228">
        <v>-741.85</v>
      </c>
      <c r="ER113" s="229">
        <v>-9.8199999999999996E-2</v>
      </c>
      <c r="ES113" s="231">
        <v>1929.43</v>
      </c>
      <c r="ET113" s="231">
        <v>1150.1099999999999</v>
      </c>
      <c r="EU113" s="231">
        <v>8397.67</v>
      </c>
      <c r="EV113" s="231">
        <v>781025350</v>
      </c>
      <c r="EW113" s="231">
        <v>11477.21</v>
      </c>
      <c r="EX113" s="231">
        <v>11466.19</v>
      </c>
      <c r="EY113" s="228">
        <v>11.02</v>
      </c>
      <c r="EZ113" s="229">
        <v>1E-3</v>
      </c>
      <c r="FA113" s="229">
        <v>0.34200000000000003</v>
      </c>
      <c r="FB113" s="227" t="s">
        <v>555</v>
      </c>
      <c r="FC113">
        <f t="shared" si="1"/>
        <v>5509</v>
      </c>
    </row>
    <row r="114" spans="1:159" ht="17.25" thickBot="1" x14ac:dyDescent="0.3">
      <c r="A114" s="226">
        <v>46044</v>
      </c>
      <c r="B114" s="227" t="s">
        <v>221</v>
      </c>
      <c r="C114" s="227" t="s">
        <v>577</v>
      </c>
      <c r="D114" s="228">
        <v>425</v>
      </c>
      <c r="E114" s="228">
        <v>5</v>
      </c>
      <c r="F114" s="231">
        <v>1113.3</v>
      </c>
      <c r="G114" s="231">
        <v>1119</v>
      </c>
      <c r="H114" s="228">
        <v>-5.7</v>
      </c>
      <c r="I114" s="229">
        <v>-5.1000000000000004E-3</v>
      </c>
      <c r="J114" s="231">
        <v>1109.2</v>
      </c>
      <c r="K114" s="231">
        <v>1114.9000000000001</v>
      </c>
      <c r="L114" s="228">
        <v>-5.7</v>
      </c>
      <c r="M114" s="229">
        <v>-5.1000000000000004E-3</v>
      </c>
      <c r="N114" s="231">
        <v>1113.3</v>
      </c>
      <c r="O114" s="231">
        <v>1119</v>
      </c>
      <c r="P114" s="228">
        <v>-5.7</v>
      </c>
      <c r="Q114" s="229">
        <v>-5.1000000000000004E-3</v>
      </c>
      <c r="R114" s="231">
        <v>1113.4000000000001</v>
      </c>
      <c r="S114" s="231">
        <v>1115.8</v>
      </c>
      <c r="T114" s="228">
        <v>-2.4</v>
      </c>
      <c r="U114" s="229">
        <v>-2.2000000000000001E-3</v>
      </c>
      <c r="V114" s="231">
        <v>1115.5</v>
      </c>
      <c r="W114" s="231">
        <v>1116.3</v>
      </c>
      <c r="X114" s="228">
        <v>-0.8</v>
      </c>
      <c r="Y114" s="229">
        <v>-6.9999999999999999E-4</v>
      </c>
      <c r="Z114" s="228">
        <v>4.0999999999999996</v>
      </c>
      <c r="AA114" s="228">
        <v>4.0999999999999996</v>
      </c>
      <c r="AB114" s="228">
        <v>0</v>
      </c>
      <c r="AC114" s="229">
        <v>3.7000000000000002E-3</v>
      </c>
      <c r="AD114" s="228">
        <v>4.0999999999999996</v>
      </c>
      <c r="AE114" s="228">
        <v>4.0999999999999996</v>
      </c>
      <c r="AF114" s="228">
        <v>0</v>
      </c>
      <c r="AG114" s="229">
        <v>3.7000000000000002E-3</v>
      </c>
      <c r="AH114" s="228">
        <v>4.2</v>
      </c>
      <c r="AI114" s="228">
        <v>0.9</v>
      </c>
      <c r="AJ114" s="228">
        <v>3.3</v>
      </c>
      <c r="AK114" s="229">
        <v>3.8E-3</v>
      </c>
      <c r="AL114" s="228">
        <v>6.3</v>
      </c>
      <c r="AM114" s="228">
        <v>1.4</v>
      </c>
      <c r="AN114" s="228">
        <v>4.9000000000000004</v>
      </c>
      <c r="AO114" s="229">
        <v>5.7000000000000002E-3</v>
      </c>
      <c r="AP114" s="231">
        <v>1125.21</v>
      </c>
      <c r="AQ114" s="231">
        <v>1124.3699999999999</v>
      </c>
      <c r="AR114" s="228">
        <v>0</v>
      </c>
      <c r="AS114" s="228">
        <v>419</v>
      </c>
      <c r="AT114" s="228">
        <v>422</v>
      </c>
      <c r="AU114" s="228">
        <v>-3</v>
      </c>
      <c r="AV114" s="229">
        <v>-7.7999999999999996E-3</v>
      </c>
      <c r="AW114" s="228">
        <v>210</v>
      </c>
      <c r="AX114" s="228">
        <v>221</v>
      </c>
      <c r="AY114" s="228">
        <v>-11</v>
      </c>
      <c r="AZ114" s="229">
        <v>-5.0599999999999999E-2</v>
      </c>
      <c r="BA114" s="228">
        <v>206</v>
      </c>
      <c r="BB114" s="228">
        <v>199</v>
      </c>
      <c r="BC114" s="228">
        <v>7</v>
      </c>
      <c r="BD114" s="229">
        <v>3.6400000000000002E-2</v>
      </c>
      <c r="BE114" s="228">
        <v>3</v>
      </c>
      <c r="BF114" s="228">
        <v>2</v>
      </c>
      <c r="BG114" s="228">
        <v>1</v>
      </c>
      <c r="BH114" s="229">
        <v>0.28570000000000001</v>
      </c>
      <c r="BI114" s="228">
        <v>408</v>
      </c>
      <c r="BJ114" s="228">
        <v>477</v>
      </c>
      <c r="BK114" s="228">
        <v>-68</v>
      </c>
      <c r="BL114" s="229">
        <v>-0.14330000000000001</v>
      </c>
      <c r="BM114" s="228">
        <v>171</v>
      </c>
      <c r="BN114" s="228">
        <v>424</v>
      </c>
      <c r="BO114" s="228">
        <v>-253</v>
      </c>
      <c r="BP114" s="229">
        <v>-0.59719999999999995</v>
      </c>
      <c r="BQ114" s="228">
        <v>998</v>
      </c>
      <c r="BR114" s="230">
        <v>1323</v>
      </c>
      <c r="BS114" s="228">
        <v>-325</v>
      </c>
      <c r="BT114" s="229">
        <v>-0.24540000000000001</v>
      </c>
      <c r="BU114" s="230">
        <v>532924</v>
      </c>
      <c r="BV114" s="230">
        <v>1101227</v>
      </c>
      <c r="BW114" s="230">
        <v>-568303</v>
      </c>
      <c r="BX114" s="229">
        <v>-0.5161</v>
      </c>
      <c r="BY114" s="228">
        <v>489</v>
      </c>
      <c r="BZ114" s="228">
        <v>495</v>
      </c>
      <c r="CA114" s="228">
        <v>-5</v>
      </c>
      <c r="CB114" s="229">
        <v>-1.03E-2</v>
      </c>
      <c r="CC114" s="228">
        <v>194</v>
      </c>
      <c r="CD114" s="228">
        <v>303</v>
      </c>
      <c r="CE114" s="228">
        <v>-109</v>
      </c>
      <c r="CF114" s="229">
        <v>-0.36080000000000001</v>
      </c>
      <c r="CG114" s="228">
        <v>288</v>
      </c>
      <c r="CH114" s="228">
        <v>184</v>
      </c>
      <c r="CI114" s="228">
        <v>103</v>
      </c>
      <c r="CJ114" s="229">
        <v>0.56079999999999997</v>
      </c>
      <c r="CK114" s="228">
        <v>8</v>
      </c>
      <c r="CL114" s="228">
        <v>7</v>
      </c>
      <c r="CM114" s="228">
        <v>1</v>
      </c>
      <c r="CN114" s="229">
        <v>0.1019</v>
      </c>
      <c r="CO114" s="228">
        <v>307</v>
      </c>
      <c r="CP114" s="228">
        <v>306</v>
      </c>
      <c r="CQ114" s="228">
        <v>1</v>
      </c>
      <c r="CR114" s="229">
        <v>1.9E-3</v>
      </c>
      <c r="CS114" s="228">
        <v>208</v>
      </c>
      <c r="CT114" s="228">
        <v>208</v>
      </c>
      <c r="CU114" s="228">
        <v>0</v>
      </c>
      <c r="CV114" s="229">
        <v>-1.4E-3</v>
      </c>
      <c r="CW114" s="230">
        <v>1005</v>
      </c>
      <c r="CX114" s="230">
        <v>1009</v>
      </c>
      <c r="CY114" s="228">
        <v>-5</v>
      </c>
      <c r="CZ114" s="229">
        <v>-4.7999999999999996E-3</v>
      </c>
      <c r="DA114" s="228">
        <v>36.33</v>
      </c>
      <c r="DB114" s="228">
        <v>31.01</v>
      </c>
      <c r="DC114" s="228">
        <v>5.32</v>
      </c>
      <c r="DD114" s="228">
        <v>5.32</v>
      </c>
      <c r="DE114" s="228">
        <v>42.37</v>
      </c>
      <c r="DF114" s="228">
        <v>42.48</v>
      </c>
      <c r="DG114" s="228">
        <v>-6.04</v>
      </c>
      <c r="DH114" s="228">
        <v>-0.11</v>
      </c>
      <c r="DI114" s="228">
        <v>37.130000000000003</v>
      </c>
      <c r="DJ114" s="228">
        <v>33.58</v>
      </c>
      <c r="DK114" s="228">
        <v>3.55</v>
      </c>
      <c r="DL114" s="228">
        <v>3.55</v>
      </c>
      <c r="DM114" s="228">
        <v>35.35</v>
      </c>
      <c r="DN114" s="228">
        <v>28.11</v>
      </c>
      <c r="DO114" s="228">
        <v>7.24</v>
      </c>
      <c r="DP114" s="228">
        <v>7.24</v>
      </c>
      <c r="DQ114" s="228">
        <v>0.68</v>
      </c>
      <c r="DR114" s="228">
        <v>0.68</v>
      </c>
      <c r="DS114" s="228">
        <v>0</v>
      </c>
      <c r="DT114" s="229">
        <v>0</v>
      </c>
      <c r="DU114" s="231">
        <v>1300</v>
      </c>
      <c r="DV114" s="231">
        <v>1090</v>
      </c>
      <c r="DW114" s="228">
        <v>0.42</v>
      </c>
      <c r="DX114" s="228">
        <v>0.89</v>
      </c>
      <c r="DY114" s="228">
        <v>-0.47</v>
      </c>
      <c r="DZ114" s="229">
        <v>-0.52810000000000001</v>
      </c>
      <c r="EA114" s="229">
        <v>0.60450000000000004</v>
      </c>
      <c r="EB114" s="230">
        <v>1722525</v>
      </c>
      <c r="EC114" s="229">
        <v>1E-4</v>
      </c>
      <c r="ED114" s="229">
        <v>0.60450000000000004</v>
      </c>
      <c r="EE114" s="228">
        <v>-0.84</v>
      </c>
      <c r="EF114" s="229">
        <v>-6.9999999999999999E-4</v>
      </c>
      <c r="EG114" s="230">
        <v>236539</v>
      </c>
      <c r="EH114" s="230">
        <v>485510</v>
      </c>
      <c r="EI114" s="229">
        <v>-0.51280000000000003</v>
      </c>
      <c r="EJ114" s="229">
        <v>0.44390000000000002</v>
      </c>
      <c r="EK114" s="228">
        <v>430.6</v>
      </c>
      <c r="EL114" s="228">
        <v>169.39</v>
      </c>
      <c r="EM114" s="228">
        <v>423.46</v>
      </c>
      <c r="EN114" s="228">
        <v>55.12</v>
      </c>
      <c r="EO114" s="231">
        <v>1023.45</v>
      </c>
      <c r="EP114" s="231">
        <v>1344.77</v>
      </c>
      <c r="EQ114" s="228">
        <v>-321.32</v>
      </c>
      <c r="ER114" s="229">
        <v>-0.2389</v>
      </c>
      <c r="ES114" s="228">
        <v>335.18</v>
      </c>
      <c r="ET114" s="228">
        <v>211.03</v>
      </c>
      <c r="EU114" s="228">
        <v>489.52</v>
      </c>
      <c r="EV114" s="231">
        <v>24589408</v>
      </c>
      <c r="EW114" s="231">
        <v>1035.73</v>
      </c>
      <c r="EX114" s="231">
        <v>1042.0999999999999</v>
      </c>
      <c r="EY114" s="228">
        <v>-6.37</v>
      </c>
      <c r="EZ114" s="229">
        <v>-6.1000000000000004E-3</v>
      </c>
      <c r="FA114" s="229">
        <v>0.3669</v>
      </c>
      <c r="FB114" s="227" t="s">
        <v>568</v>
      </c>
      <c r="FC114">
        <f t="shared" si="1"/>
        <v>295</v>
      </c>
    </row>
    <row r="115" spans="1:159" ht="17.25" thickBot="1" x14ac:dyDescent="0.3">
      <c r="A115" s="226">
        <v>46044</v>
      </c>
      <c r="B115" s="227" t="s">
        <v>170</v>
      </c>
      <c r="C115" s="227" t="s">
        <v>535</v>
      </c>
      <c r="D115" s="228">
        <v>850</v>
      </c>
      <c r="E115" s="228">
        <v>5</v>
      </c>
      <c r="F115" s="231">
        <v>1009.8</v>
      </c>
      <c r="G115" s="228">
        <v>990.4</v>
      </c>
      <c r="H115" s="228">
        <v>19.399999999999999</v>
      </c>
      <c r="I115" s="229">
        <v>1.9599999999999999E-2</v>
      </c>
      <c r="J115" s="231">
        <v>1005.8</v>
      </c>
      <c r="K115" s="228">
        <v>987.9</v>
      </c>
      <c r="L115" s="228">
        <v>17.899999999999999</v>
      </c>
      <c r="M115" s="229">
        <v>1.8100000000000002E-2</v>
      </c>
      <c r="N115" s="231">
        <v>1009.8</v>
      </c>
      <c r="O115" s="228">
        <v>990.4</v>
      </c>
      <c r="P115" s="228">
        <v>19.399999999999999</v>
      </c>
      <c r="Q115" s="229">
        <v>1.9599999999999999E-2</v>
      </c>
      <c r="R115" s="231">
        <v>1014.5</v>
      </c>
      <c r="S115" s="228">
        <v>995.5</v>
      </c>
      <c r="T115" s="228">
        <v>19</v>
      </c>
      <c r="U115" s="229">
        <v>1.9099999999999999E-2</v>
      </c>
      <c r="V115" s="231">
        <v>1022.9</v>
      </c>
      <c r="W115" s="231">
        <v>1002.5</v>
      </c>
      <c r="X115" s="228">
        <v>20.399999999999999</v>
      </c>
      <c r="Y115" s="229">
        <v>2.0299999999999999E-2</v>
      </c>
      <c r="Z115" s="228">
        <v>4</v>
      </c>
      <c r="AA115" s="228">
        <v>2.5</v>
      </c>
      <c r="AB115" s="228">
        <v>1.5</v>
      </c>
      <c r="AC115" s="229">
        <v>4.0000000000000001E-3</v>
      </c>
      <c r="AD115" s="228">
        <v>4</v>
      </c>
      <c r="AE115" s="228">
        <v>2.5</v>
      </c>
      <c r="AF115" s="228">
        <v>1.5</v>
      </c>
      <c r="AG115" s="229">
        <v>4.0000000000000001E-3</v>
      </c>
      <c r="AH115" s="228">
        <v>8.6999999999999993</v>
      </c>
      <c r="AI115" s="228">
        <v>7.6</v>
      </c>
      <c r="AJ115" s="228">
        <v>1.1000000000000001</v>
      </c>
      <c r="AK115" s="229">
        <v>8.6E-3</v>
      </c>
      <c r="AL115" s="228">
        <v>17.100000000000001</v>
      </c>
      <c r="AM115" s="228">
        <v>14.6</v>
      </c>
      <c r="AN115" s="228">
        <v>2.5</v>
      </c>
      <c r="AO115" s="229">
        <v>1.7000000000000001E-2</v>
      </c>
      <c r="AP115" s="231">
        <v>1002.95</v>
      </c>
      <c r="AQ115" s="231">
        <v>1007.04</v>
      </c>
      <c r="AR115" s="228">
        <v>0</v>
      </c>
      <c r="AS115" s="230">
        <v>1307</v>
      </c>
      <c r="AT115" s="230">
        <v>1243</v>
      </c>
      <c r="AU115" s="228">
        <v>63</v>
      </c>
      <c r="AV115" s="229">
        <v>5.0900000000000001E-2</v>
      </c>
      <c r="AW115" s="228">
        <v>614</v>
      </c>
      <c r="AX115" s="228">
        <v>721</v>
      </c>
      <c r="AY115" s="228">
        <v>-107</v>
      </c>
      <c r="AZ115" s="229">
        <v>-0.1489</v>
      </c>
      <c r="BA115" s="228">
        <v>684</v>
      </c>
      <c r="BB115" s="228">
        <v>511</v>
      </c>
      <c r="BC115" s="228">
        <v>173</v>
      </c>
      <c r="BD115" s="229">
        <v>0.33810000000000001</v>
      </c>
      <c r="BE115" s="228">
        <v>9</v>
      </c>
      <c r="BF115" s="228">
        <v>11</v>
      </c>
      <c r="BG115" s="228">
        <v>-2</v>
      </c>
      <c r="BH115" s="229">
        <v>-0.19839999999999999</v>
      </c>
      <c r="BI115" s="230">
        <v>2058</v>
      </c>
      <c r="BJ115" s="230">
        <v>2607</v>
      </c>
      <c r="BK115" s="228">
        <v>-550</v>
      </c>
      <c r="BL115" s="229">
        <v>-0.21079999999999999</v>
      </c>
      <c r="BM115" s="228">
        <v>878</v>
      </c>
      <c r="BN115" s="230">
        <v>1718</v>
      </c>
      <c r="BO115" s="228">
        <v>-840</v>
      </c>
      <c r="BP115" s="229">
        <v>-0.48899999999999999</v>
      </c>
      <c r="BQ115" s="230">
        <v>4242</v>
      </c>
      <c r="BR115" s="230">
        <v>5569</v>
      </c>
      <c r="BS115" s="230">
        <v>-1326</v>
      </c>
      <c r="BT115" s="229">
        <v>-0.2382</v>
      </c>
      <c r="BU115" s="230">
        <v>4341710</v>
      </c>
      <c r="BV115" s="230">
        <v>2630030</v>
      </c>
      <c r="BW115" s="230">
        <v>1711680</v>
      </c>
      <c r="BX115" s="229">
        <v>0.65080000000000005</v>
      </c>
      <c r="BY115" s="230">
        <v>1942</v>
      </c>
      <c r="BZ115" s="230">
        <v>1845</v>
      </c>
      <c r="CA115" s="228">
        <v>97</v>
      </c>
      <c r="CB115" s="229">
        <v>5.2400000000000002E-2</v>
      </c>
      <c r="CC115" s="228">
        <v>836</v>
      </c>
      <c r="CD115" s="230">
        <v>1090</v>
      </c>
      <c r="CE115" s="228">
        <v>-254</v>
      </c>
      <c r="CF115" s="229">
        <v>-0.2334</v>
      </c>
      <c r="CG115" s="230">
        <v>1087</v>
      </c>
      <c r="CH115" s="228">
        <v>738</v>
      </c>
      <c r="CI115" s="228">
        <v>349</v>
      </c>
      <c r="CJ115" s="229">
        <v>0.47260000000000002</v>
      </c>
      <c r="CK115" s="228">
        <v>19</v>
      </c>
      <c r="CL115" s="228">
        <v>17</v>
      </c>
      <c r="CM115" s="228">
        <v>2</v>
      </c>
      <c r="CN115" s="229">
        <v>0.14949999999999999</v>
      </c>
      <c r="CO115" s="230">
        <v>1540</v>
      </c>
      <c r="CP115" s="230">
        <v>1502</v>
      </c>
      <c r="CQ115" s="228">
        <v>38</v>
      </c>
      <c r="CR115" s="229">
        <v>2.5600000000000001E-2</v>
      </c>
      <c r="CS115" s="228">
        <v>808</v>
      </c>
      <c r="CT115" s="228">
        <v>811</v>
      </c>
      <c r="CU115" s="228">
        <v>-3</v>
      </c>
      <c r="CV115" s="229">
        <v>-3.8999999999999998E-3</v>
      </c>
      <c r="CW115" s="230">
        <v>4290</v>
      </c>
      <c r="CX115" s="230">
        <v>4158</v>
      </c>
      <c r="CY115" s="228">
        <v>132</v>
      </c>
      <c r="CZ115" s="229">
        <v>3.1800000000000002E-2</v>
      </c>
      <c r="DA115" s="228">
        <v>37.25</v>
      </c>
      <c r="DB115" s="228">
        <v>46.11</v>
      </c>
      <c r="DC115" s="228">
        <v>-8.86</v>
      </c>
      <c r="DD115" s="228">
        <v>-8.86</v>
      </c>
      <c r="DE115" s="228">
        <v>38.22</v>
      </c>
      <c r="DF115" s="228">
        <v>38.24</v>
      </c>
      <c r="DG115" s="228">
        <v>-0.97</v>
      </c>
      <c r="DH115" s="228">
        <v>-0.02</v>
      </c>
      <c r="DI115" s="228">
        <v>37.57</v>
      </c>
      <c r="DJ115" s="228">
        <v>49.19</v>
      </c>
      <c r="DK115" s="228">
        <v>-11.62</v>
      </c>
      <c r="DL115" s="228">
        <v>-11.62</v>
      </c>
      <c r="DM115" s="228">
        <v>36.6</v>
      </c>
      <c r="DN115" s="228">
        <v>41.44</v>
      </c>
      <c r="DO115" s="228">
        <v>-4.84</v>
      </c>
      <c r="DP115" s="228">
        <v>-4.84</v>
      </c>
      <c r="DQ115" s="228">
        <v>0.52</v>
      </c>
      <c r="DR115" s="228">
        <v>0.54</v>
      </c>
      <c r="DS115" s="228">
        <v>-0.02</v>
      </c>
      <c r="DT115" s="229">
        <v>-3.6999999999999998E-2</v>
      </c>
      <c r="DU115" s="231">
        <v>1100</v>
      </c>
      <c r="DV115" s="231">
        <v>1050</v>
      </c>
      <c r="DW115" s="228">
        <v>0.43</v>
      </c>
      <c r="DX115" s="228">
        <v>0.66</v>
      </c>
      <c r="DY115" s="228">
        <v>-0.23</v>
      </c>
      <c r="DZ115" s="229">
        <v>-0.34849999999999998</v>
      </c>
      <c r="EA115" s="229">
        <v>0.56950000000000001</v>
      </c>
      <c r="EB115" s="230">
        <v>7472350</v>
      </c>
      <c r="EC115" s="229">
        <v>4.7000000000000002E-3</v>
      </c>
      <c r="ED115" s="229">
        <v>0.56950000000000001</v>
      </c>
      <c r="EE115" s="228">
        <v>4.09</v>
      </c>
      <c r="EF115" s="229">
        <v>4.1000000000000003E-3</v>
      </c>
      <c r="EG115" s="230">
        <v>2883610</v>
      </c>
      <c r="EH115" s="230">
        <v>1162199</v>
      </c>
      <c r="EI115" s="229">
        <v>1.4812000000000001</v>
      </c>
      <c r="EJ115" s="229">
        <v>0.66420000000000001</v>
      </c>
      <c r="EK115" s="231">
        <v>2189.69</v>
      </c>
      <c r="EL115" s="228">
        <v>865.02</v>
      </c>
      <c r="EM115" s="231">
        <v>1300.75</v>
      </c>
      <c r="EN115" s="228">
        <v>95.49</v>
      </c>
      <c r="EO115" s="231">
        <v>4355.47</v>
      </c>
      <c r="EP115" s="231">
        <v>5736.33</v>
      </c>
      <c r="EQ115" s="231">
        <v>-1380.86</v>
      </c>
      <c r="ER115" s="229">
        <v>-0.2407</v>
      </c>
      <c r="ES115" s="231">
        <v>1667.25</v>
      </c>
      <c r="ET115" s="228">
        <v>815.14</v>
      </c>
      <c r="EU115" s="231">
        <v>1947.02</v>
      </c>
      <c r="EV115" s="231">
        <v>58629477</v>
      </c>
      <c r="EW115" s="231">
        <v>4429.41</v>
      </c>
      <c r="EX115" s="231">
        <v>4261.26</v>
      </c>
      <c r="EY115" s="228">
        <v>168.15</v>
      </c>
      <c r="EZ115" s="229">
        <v>3.95E-2</v>
      </c>
      <c r="FA115" s="229">
        <v>0.72460000000000002</v>
      </c>
      <c r="FB115" s="227" t="s">
        <v>555</v>
      </c>
      <c r="FC115">
        <f t="shared" si="1"/>
        <v>1106</v>
      </c>
    </row>
    <row r="116" spans="1:159" ht="17.25" thickBot="1" x14ac:dyDescent="0.3">
      <c r="A116" s="226">
        <v>46044</v>
      </c>
      <c r="B116" s="227" t="s">
        <v>175</v>
      </c>
      <c r="C116" s="227" t="s">
        <v>248</v>
      </c>
      <c r="D116" s="228">
        <v>1000</v>
      </c>
      <c r="E116" s="228">
        <v>5</v>
      </c>
      <c r="F116" s="228">
        <v>517.54999999999995</v>
      </c>
      <c r="G116" s="228">
        <v>507.3</v>
      </c>
      <c r="H116" s="228">
        <v>10.25</v>
      </c>
      <c r="I116" s="229">
        <v>2.0199999999999999E-2</v>
      </c>
      <c r="J116" s="228">
        <v>517.1</v>
      </c>
      <c r="K116" s="228">
        <v>506.85</v>
      </c>
      <c r="L116" s="228">
        <v>10.25</v>
      </c>
      <c r="M116" s="229">
        <v>2.0199999999999999E-2</v>
      </c>
      <c r="N116" s="228">
        <v>517.54999999999995</v>
      </c>
      <c r="O116" s="228">
        <v>507.3</v>
      </c>
      <c r="P116" s="228">
        <v>10.25</v>
      </c>
      <c r="Q116" s="229">
        <v>2.0199999999999999E-2</v>
      </c>
      <c r="R116" s="228">
        <v>519.45000000000005</v>
      </c>
      <c r="S116" s="228">
        <v>510.2</v>
      </c>
      <c r="T116" s="228">
        <v>9.25</v>
      </c>
      <c r="U116" s="229">
        <v>1.8100000000000002E-2</v>
      </c>
      <c r="V116" s="228">
        <v>522.9</v>
      </c>
      <c r="W116" s="228">
        <v>513.45000000000005</v>
      </c>
      <c r="X116" s="228">
        <v>9.4499999999999993</v>
      </c>
      <c r="Y116" s="229">
        <v>1.84E-2</v>
      </c>
      <c r="Z116" s="228">
        <v>0.45</v>
      </c>
      <c r="AA116" s="228">
        <v>0.45</v>
      </c>
      <c r="AB116" s="228">
        <v>0</v>
      </c>
      <c r="AC116" s="229">
        <v>8.9999999999999998E-4</v>
      </c>
      <c r="AD116" s="228">
        <v>0.45</v>
      </c>
      <c r="AE116" s="228">
        <v>0.45</v>
      </c>
      <c r="AF116" s="228">
        <v>0</v>
      </c>
      <c r="AG116" s="229">
        <v>8.9999999999999998E-4</v>
      </c>
      <c r="AH116" s="228">
        <v>2.35</v>
      </c>
      <c r="AI116" s="228">
        <v>3.35</v>
      </c>
      <c r="AJ116" s="228">
        <v>-1</v>
      </c>
      <c r="AK116" s="229">
        <v>4.4999999999999997E-3</v>
      </c>
      <c r="AL116" s="228">
        <v>5.8</v>
      </c>
      <c r="AM116" s="228">
        <v>6.6</v>
      </c>
      <c r="AN116" s="228">
        <v>-0.8</v>
      </c>
      <c r="AO116" s="229">
        <v>1.12E-2</v>
      </c>
      <c r="AP116" s="228">
        <v>516.36</v>
      </c>
      <c r="AQ116" s="228">
        <v>518.86</v>
      </c>
      <c r="AR116" s="228">
        <v>0</v>
      </c>
      <c r="AS116" s="228">
        <v>826</v>
      </c>
      <c r="AT116" s="228">
        <v>996</v>
      </c>
      <c r="AU116" s="228">
        <v>-170</v>
      </c>
      <c r="AV116" s="229">
        <v>-0.17100000000000001</v>
      </c>
      <c r="AW116" s="228">
        <v>415</v>
      </c>
      <c r="AX116" s="228">
        <v>569</v>
      </c>
      <c r="AY116" s="228">
        <v>-154</v>
      </c>
      <c r="AZ116" s="229">
        <v>-0.27110000000000001</v>
      </c>
      <c r="BA116" s="228">
        <v>407</v>
      </c>
      <c r="BB116" s="228">
        <v>424</v>
      </c>
      <c r="BC116" s="228">
        <v>-16</v>
      </c>
      <c r="BD116" s="229">
        <v>-3.8699999999999998E-2</v>
      </c>
      <c r="BE116" s="228">
        <v>4</v>
      </c>
      <c r="BF116" s="228">
        <v>4</v>
      </c>
      <c r="BG116" s="228">
        <v>0</v>
      </c>
      <c r="BH116" s="229">
        <v>0.10290000000000001</v>
      </c>
      <c r="BI116" s="228">
        <v>528</v>
      </c>
      <c r="BJ116" s="228">
        <v>626</v>
      </c>
      <c r="BK116" s="228">
        <v>-97</v>
      </c>
      <c r="BL116" s="229">
        <v>-0.15570000000000001</v>
      </c>
      <c r="BM116" s="228">
        <v>458</v>
      </c>
      <c r="BN116" s="228">
        <v>445</v>
      </c>
      <c r="BO116" s="228">
        <v>13</v>
      </c>
      <c r="BP116" s="229">
        <v>2.86E-2</v>
      </c>
      <c r="BQ116" s="230">
        <v>1812</v>
      </c>
      <c r="BR116" s="230">
        <v>2067</v>
      </c>
      <c r="BS116" s="228">
        <v>-255</v>
      </c>
      <c r="BT116" s="229">
        <v>-0.1234</v>
      </c>
      <c r="BU116" s="230">
        <v>2491675</v>
      </c>
      <c r="BV116" s="230">
        <v>3767488</v>
      </c>
      <c r="BW116" s="230">
        <v>-1275813</v>
      </c>
      <c r="BX116" s="229">
        <v>-0.33860000000000001</v>
      </c>
      <c r="BY116" s="230">
        <v>1644</v>
      </c>
      <c r="BZ116" s="230">
        <v>1669</v>
      </c>
      <c r="CA116" s="228">
        <v>-25</v>
      </c>
      <c r="CB116" s="229">
        <v>-1.49E-2</v>
      </c>
      <c r="CC116" s="228">
        <v>791</v>
      </c>
      <c r="CD116" s="230">
        <v>1045</v>
      </c>
      <c r="CE116" s="228">
        <v>-254</v>
      </c>
      <c r="CF116" s="229">
        <v>-0.2429</v>
      </c>
      <c r="CG116" s="228">
        <v>841</v>
      </c>
      <c r="CH116" s="228">
        <v>613</v>
      </c>
      <c r="CI116" s="228">
        <v>229</v>
      </c>
      <c r="CJ116" s="229">
        <v>0.37330000000000002</v>
      </c>
      <c r="CK116" s="228">
        <v>12</v>
      </c>
      <c r="CL116" s="228">
        <v>11</v>
      </c>
      <c r="CM116" s="228">
        <v>0</v>
      </c>
      <c r="CN116" s="229">
        <v>2.7400000000000001E-2</v>
      </c>
      <c r="CO116" s="228">
        <v>429</v>
      </c>
      <c r="CP116" s="228">
        <v>483</v>
      </c>
      <c r="CQ116" s="228">
        <v>-54</v>
      </c>
      <c r="CR116" s="229">
        <v>-0.1108</v>
      </c>
      <c r="CS116" s="228">
        <v>470</v>
      </c>
      <c r="CT116" s="228">
        <v>466</v>
      </c>
      <c r="CU116" s="228">
        <v>4</v>
      </c>
      <c r="CV116" s="229">
        <v>8.3000000000000001E-3</v>
      </c>
      <c r="CW116" s="230">
        <v>2543</v>
      </c>
      <c r="CX116" s="230">
        <v>2617</v>
      </c>
      <c r="CY116" s="228">
        <v>-74</v>
      </c>
      <c r="CZ116" s="229">
        <v>-2.8500000000000001E-2</v>
      </c>
      <c r="DA116" s="228">
        <v>27.61</v>
      </c>
      <c r="DB116" s="228">
        <v>28.66</v>
      </c>
      <c r="DC116" s="228">
        <v>-1.05</v>
      </c>
      <c r="DD116" s="228">
        <v>-1.05</v>
      </c>
      <c r="DE116" s="228">
        <v>31.98</v>
      </c>
      <c r="DF116" s="228">
        <v>31.95</v>
      </c>
      <c r="DG116" s="228">
        <v>-4.37</v>
      </c>
      <c r="DH116" s="228">
        <v>0.03</v>
      </c>
      <c r="DI116" s="228">
        <v>27.82</v>
      </c>
      <c r="DJ116" s="228">
        <v>29.71</v>
      </c>
      <c r="DK116" s="228">
        <v>-1.89</v>
      </c>
      <c r="DL116" s="228">
        <v>-1.89</v>
      </c>
      <c r="DM116" s="228">
        <v>27.37</v>
      </c>
      <c r="DN116" s="228">
        <v>27.19</v>
      </c>
      <c r="DO116" s="228">
        <v>0.18</v>
      </c>
      <c r="DP116" s="228">
        <v>0.18</v>
      </c>
      <c r="DQ116" s="228">
        <v>1.0900000000000001</v>
      </c>
      <c r="DR116" s="228">
        <v>0.97</v>
      </c>
      <c r="DS116" s="228">
        <v>0.12</v>
      </c>
      <c r="DT116" s="229">
        <v>0.1237</v>
      </c>
      <c r="DU116" s="228">
        <v>540</v>
      </c>
      <c r="DV116" s="228">
        <v>530</v>
      </c>
      <c r="DW116" s="228">
        <v>0.87</v>
      </c>
      <c r="DX116" s="228">
        <v>0.71</v>
      </c>
      <c r="DY116" s="228">
        <v>0.16</v>
      </c>
      <c r="DZ116" s="229">
        <v>0.22539999999999999</v>
      </c>
      <c r="EA116" s="229">
        <v>0.51880000000000004</v>
      </c>
      <c r="EB116" s="230">
        <v>12054000</v>
      </c>
      <c r="EC116" s="229">
        <v>3.7000000000000002E-3</v>
      </c>
      <c r="ED116" s="229">
        <v>0.51880000000000004</v>
      </c>
      <c r="EE116" s="228">
        <v>2.5</v>
      </c>
      <c r="EF116" s="229">
        <v>4.7999999999999996E-3</v>
      </c>
      <c r="EG116" s="230">
        <v>1293939</v>
      </c>
      <c r="EH116" s="230">
        <v>2607678</v>
      </c>
      <c r="EI116" s="229">
        <v>-0.50380000000000003</v>
      </c>
      <c r="EJ116" s="229">
        <v>0.51929999999999998</v>
      </c>
      <c r="EK116" s="228">
        <v>549.99</v>
      </c>
      <c r="EL116" s="228">
        <v>465.48</v>
      </c>
      <c r="EM116" s="228">
        <v>826.07</v>
      </c>
      <c r="EN116" s="228">
        <v>91.32</v>
      </c>
      <c r="EO116" s="231">
        <v>1841.54</v>
      </c>
      <c r="EP116" s="231">
        <v>2091.65</v>
      </c>
      <c r="EQ116" s="228">
        <v>-250.1</v>
      </c>
      <c r="ER116" s="229">
        <v>-0.1196</v>
      </c>
      <c r="ES116" s="228">
        <v>454.73</v>
      </c>
      <c r="ET116" s="228">
        <v>483.66</v>
      </c>
      <c r="EU116" s="231">
        <v>1647</v>
      </c>
      <c r="EV116" s="231">
        <v>45183075</v>
      </c>
      <c r="EW116" s="231">
        <v>2585.39</v>
      </c>
      <c r="EX116" s="231">
        <v>2630.79</v>
      </c>
      <c r="EY116" s="228">
        <v>-45.4</v>
      </c>
      <c r="EZ116" s="229">
        <v>-1.7299999999999999E-2</v>
      </c>
      <c r="FA116" s="229">
        <v>1.0874999999999999</v>
      </c>
      <c r="FB116" s="227" t="s">
        <v>556</v>
      </c>
      <c r="FC116">
        <f t="shared" si="1"/>
        <v>853</v>
      </c>
    </row>
    <row r="117" spans="1:159" ht="17.25" thickBot="1" x14ac:dyDescent="0.3">
      <c r="A117" s="226">
        <v>46044</v>
      </c>
      <c r="B117" s="227" t="s">
        <v>175</v>
      </c>
      <c r="C117" s="227" t="s">
        <v>607</v>
      </c>
      <c r="D117" s="228">
        <v>700</v>
      </c>
      <c r="E117" s="228">
        <v>5</v>
      </c>
      <c r="F117" s="228">
        <v>821.15</v>
      </c>
      <c r="G117" s="228">
        <v>809.5</v>
      </c>
      <c r="H117" s="228">
        <v>11.65</v>
      </c>
      <c r="I117" s="229">
        <v>1.44E-2</v>
      </c>
      <c r="J117" s="228">
        <v>819.3</v>
      </c>
      <c r="K117" s="228">
        <v>809.55</v>
      </c>
      <c r="L117" s="228">
        <v>9.75</v>
      </c>
      <c r="M117" s="229">
        <v>1.2E-2</v>
      </c>
      <c r="N117" s="228">
        <v>821.15</v>
      </c>
      <c r="O117" s="228">
        <v>809.5</v>
      </c>
      <c r="P117" s="228">
        <v>11.65</v>
      </c>
      <c r="Q117" s="229">
        <v>1.44E-2</v>
      </c>
      <c r="R117" s="228">
        <v>824.2</v>
      </c>
      <c r="S117" s="228">
        <v>811.95</v>
      </c>
      <c r="T117" s="228">
        <v>12.25</v>
      </c>
      <c r="U117" s="229">
        <v>1.5100000000000001E-2</v>
      </c>
      <c r="V117" s="228">
        <v>828.9</v>
      </c>
      <c r="W117" s="228">
        <v>817.2</v>
      </c>
      <c r="X117" s="228">
        <v>11.7</v>
      </c>
      <c r="Y117" s="229">
        <v>1.43E-2</v>
      </c>
      <c r="Z117" s="228">
        <v>1.85</v>
      </c>
      <c r="AA117" s="228">
        <v>-0.05</v>
      </c>
      <c r="AB117" s="228">
        <v>1.9</v>
      </c>
      <c r="AC117" s="229">
        <v>2.3E-3</v>
      </c>
      <c r="AD117" s="228">
        <v>1.85</v>
      </c>
      <c r="AE117" s="228">
        <v>-0.05</v>
      </c>
      <c r="AF117" s="228">
        <v>1.9</v>
      </c>
      <c r="AG117" s="229">
        <v>2.3E-3</v>
      </c>
      <c r="AH117" s="228">
        <v>4.9000000000000004</v>
      </c>
      <c r="AI117" s="228">
        <v>2.4</v>
      </c>
      <c r="AJ117" s="228">
        <v>2.5</v>
      </c>
      <c r="AK117" s="229">
        <v>6.0000000000000001E-3</v>
      </c>
      <c r="AL117" s="228">
        <v>9.6</v>
      </c>
      <c r="AM117" s="228">
        <v>7.65</v>
      </c>
      <c r="AN117" s="228">
        <v>1.95</v>
      </c>
      <c r="AO117" s="229">
        <v>1.17E-2</v>
      </c>
      <c r="AP117" s="228">
        <v>816.67</v>
      </c>
      <c r="AQ117" s="228">
        <v>820.37</v>
      </c>
      <c r="AR117" s="228">
        <v>0</v>
      </c>
      <c r="AS117" s="230">
        <v>1362</v>
      </c>
      <c r="AT117" s="228">
        <v>530</v>
      </c>
      <c r="AU117" s="228">
        <v>832</v>
      </c>
      <c r="AV117" s="229">
        <v>1.5688</v>
      </c>
      <c r="AW117" s="228">
        <v>871</v>
      </c>
      <c r="AX117" s="228">
        <v>288</v>
      </c>
      <c r="AY117" s="228">
        <v>583</v>
      </c>
      <c r="AZ117" s="229">
        <v>2.0219</v>
      </c>
      <c r="BA117" s="228">
        <v>487</v>
      </c>
      <c r="BB117" s="228">
        <v>238</v>
      </c>
      <c r="BC117" s="228">
        <v>250</v>
      </c>
      <c r="BD117" s="229">
        <v>1.0508</v>
      </c>
      <c r="BE117" s="228">
        <v>4</v>
      </c>
      <c r="BF117" s="228">
        <v>5</v>
      </c>
      <c r="BG117" s="228">
        <v>0</v>
      </c>
      <c r="BH117" s="229">
        <v>-3.6999999999999998E-2</v>
      </c>
      <c r="BI117" s="230">
        <v>1757</v>
      </c>
      <c r="BJ117" s="228">
        <v>507</v>
      </c>
      <c r="BK117" s="230">
        <v>1249</v>
      </c>
      <c r="BL117" s="229">
        <v>2.4617</v>
      </c>
      <c r="BM117" s="230">
        <v>1180</v>
      </c>
      <c r="BN117" s="228">
        <v>347</v>
      </c>
      <c r="BO117" s="228">
        <v>833</v>
      </c>
      <c r="BP117" s="229">
        <v>2.3978000000000002</v>
      </c>
      <c r="BQ117" s="230">
        <v>4299</v>
      </c>
      <c r="BR117" s="230">
        <v>1385</v>
      </c>
      <c r="BS117" s="230">
        <v>2914</v>
      </c>
      <c r="BT117" s="229">
        <v>2.1038000000000001</v>
      </c>
      <c r="BU117" s="230">
        <v>2129623</v>
      </c>
      <c r="BV117" s="230">
        <v>1220476</v>
      </c>
      <c r="BW117" s="230">
        <v>909147</v>
      </c>
      <c r="BX117" s="229">
        <v>0.74490000000000001</v>
      </c>
      <c r="BY117" s="228">
        <v>986</v>
      </c>
      <c r="BZ117" s="230">
        <v>1007</v>
      </c>
      <c r="CA117" s="228">
        <v>-21</v>
      </c>
      <c r="CB117" s="229">
        <v>-2.0500000000000001E-2</v>
      </c>
      <c r="CC117" s="228">
        <v>502</v>
      </c>
      <c r="CD117" s="228">
        <v>715</v>
      </c>
      <c r="CE117" s="228">
        <v>-212</v>
      </c>
      <c r="CF117" s="229">
        <v>-0.29709999999999998</v>
      </c>
      <c r="CG117" s="228">
        <v>473</v>
      </c>
      <c r="CH117" s="228">
        <v>283</v>
      </c>
      <c r="CI117" s="228">
        <v>190</v>
      </c>
      <c r="CJ117" s="229">
        <v>0.67390000000000005</v>
      </c>
      <c r="CK117" s="228">
        <v>11</v>
      </c>
      <c r="CL117" s="228">
        <v>10</v>
      </c>
      <c r="CM117" s="228">
        <v>1</v>
      </c>
      <c r="CN117" s="229">
        <v>0.1404</v>
      </c>
      <c r="CO117" s="228">
        <v>569</v>
      </c>
      <c r="CP117" s="228">
        <v>584</v>
      </c>
      <c r="CQ117" s="228">
        <v>-14</v>
      </c>
      <c r="CR117" s="229">
        <v>-2.4400000000000002E-2</v>
      </c>
      <c r="CS117" s="228">
        <v>330</v>
      </c>
      <c r="CT117" s="228">
        <v>352</v>
      </c>
      <c r="CU117" s="228">
        <v>-21</v>
      </c>
      <c r="CV117" s="229">
        <v>-6.0699999999999997E-2</v>
      </c>
      <c r="CW117" s="230">
        <v>1886</v>
      </c>
      <c r="CX117" s="230">
        <v>1942</v>
      </c>
      <c r="CY117" s="228">
        <v>-56</v>
      </c>
      <c r="CZ117" s="229">
        <v>-2.8899999999999999E-2</v>
      </c>
      <c r="DA117" s="228">
        <v>25.4</v>
      </c>
      <c r="DB117" s="228">
        <v>20.73</v>
      </c>
      <c r="DC117" s="228">
        <v>4.67</v>
      </c>
      <c r="DD117" s="228">
        <v>4.67</v>
      </c>
      <c r="DE117" s="228">
        <v>29.24</v>
      </c>
      <c r="DF117" s="228">
        <v>29.25</v>
      </c>
      <c r="DG117" s="228">
        <v>-3.84</v>
      </c>
      <c r="DH117" s="228">
        <v>-0.01</v>
      </c>
      <c r="DI117" s="228">
        <v>25.74</v>
      </c>
      <c r="DJ117" s="228">
        <v>21.37</v>
      </c>
      <c r="DK117" s="228">
        <v>4.37</v>
      </c>
      <c r="DL117" s="228">
        <v>4.37</v>
      </c>
      <c r="DM117" s="228">
        <v>24.88</v>
      </c>
      <c r="DN117" s="228">
        <v>19.8</v>
      </c>
      <c r="DO117" s="228">
        <v>5.08</v>
      </c>
      <c r="DP117" s="228">
        <v>5.08</v>
      </c>
      <c r="DQ117" s="228">
        <v>0.57999999999999996</v>
      </c>
      <c r="DR117" s="228">
        <v>0.6</v>
      </c>
      <c r="DS117" s="228">
        <v>-0.02</v>
      </c>
      <c r="DT117" s="229">
        <v>-3.3300000000000003E-2</v>
      </c>
      <c r="DU117" s="228">
        <v>900</v>
      </c>
      <c r="DV117" s="228">
        <v>850</v>
      </c>
      <c r="DW117" s="228">
        <v>0.67</v>
      </c>
      <c r="DX117" s="228">
        <v>0.68</v>
      </c>
      <c r="DY117" s="228">
        <v>-0.01</v>
      </c>
      <c r="DZ117" s="229">
        <v>-1.47E-2</v>
      </c>
      <c r="EA117" s="229">
        <v>0.49070000000000003</v>
      </c>
      <c r="EB117" s="230">
        <v>3560200</v>
      </c>
      <c r="EC117" s="229">
        <v>3.7000000000000002E-3</v>
      </c>
      <c r="ED117" s="229">
        <v>0.49070000000000003</v>
      </c>
      <c r="EE117" s="228">
        <v>3.7</v>
      </c>
      <c r="EF117" s="229">
        <v>4.4999999999999997E-3</v>
      </c>
      <c r="EG117" s="230">
        <v>338687</v>
      </c>
      <c r="EH117" s="230">
        <v>569429</v>
      </c>
      <c r="EI117" s="229">
        <v>-0.4052</v>
      </c>
      <c r="EJ117" s="229">
        <v>0.159</v>
      </c>
      <c r="EK117" s="231">
        <v>1778.53</v>
      </c>
      <c r="EL117" s="231">
        <v>1190.18</v>
      </c>
      <c r="EM117" s="231">
        <v>1357.09</v>
      </c>
      <c r="EN117" s="228">
        <v>49.24</v>
      </c>
      <c r="EO117" s="231">
        <v>4325.79</v>
      </c>
      <c r="EP117" s="231">
        <v>1384.59</v>
      </c>
      <c r="EQ117" s="231">
        <v>2941.2</v>
      </c>
      <c r="ER117" s="229">
        <v>2.1242000000000001</v>
      </c>
      <c r="ES117" s="228">
        <v>603.19000000000005</v>
      </c>
      <c r="ET117" s="228">
        <v>331.02</v>
      </c>
      <c r="EU117" s="228">
        <v>988.34</v>
      </c>
      <c r="EV117" s="231">
        <v>33206238</v>
      </c>
      <c r="EW117" s="231">
        <v>1922.55</v>
      </c>
      <c r="EX117" s="231">
        <v>1964.18</v>
      </c>
      <c r="EY117" s="228">
        <v>-41.63</v>
      </c>
      <c r="EZ117" s="229">
        <v>-2.12E-2</v>
      </c>
      <c r="FA117" s="229">
        <v>0.69169999999999998</v>
      </c>
      <c r="FB117" s="227" t="s">
        <v>556</v>
      </c>
      <c r="FC117">
        <f t="shared" si="1"/>
        <v>484</v>
      </c>
    </row>
    <row r="118" spans="1:159" ht="17.25" thickBot="1" x14ac:dyDescent="0.3">
      <c r="A118" s="226">
        <v>46044</v>
      </c>
      <c r="B118" s="227" t="s">
        <v>206</v>
      </c>
      <c r="C118" s="227" t="s">
        <v>588</v>
      </c>
      <c r="D118" s="228">
        <v>450</v>
      </c>
      <c r="E118" s="228">
        <v>5</v>
      </c>
      <c r="F118" s="228">
        <v>950</v>
      </c>
      <c r="G118" s="228">
        <v>980.6</v>
      </c>
      <c r="H118" s="228">
        <v>-30.6</v>
      </c>
      <c r="I118" s="229">
        <v>-3.1199999999999999E-2</v>
      </c>
      <c r="J118" s="228">
        <v>945.5</v>
      </c>
      <c r="K118" s="228">
        <v>980.2</v>
      </c>
      <c r="L118" s="228">
        <v>-34.700000000000003</v>
      </c>
      <c r="M118" s="229">
        <v>-3.5400000000000001E-2</v>
      </c>
      <c r="N118" s="228">
        <v>950</v>
      </c>
      <c r="O118" s="228">
        <v>980.6</v>
      </c>
      <c r="P118" s="228">
        <v>-30.6</v>
      </c>
      <c r="Q118" s="229">
        <v>-3.1199999999999999E-2</v>
      </c>
      <c r="R118" s="228">
        <v>954.2</v>
      </c>
      <c r="S118" s="228">
        <v>986</v>
      </c>
      <c r="T118" s="228">
        <v>-31.8</v>
      </c>
      <c r="U118" s="229">
        <v>-3.2300000000000002E-2</v>
      </c>
      <c r="V118" s="228">
        <v>959.7</v>
      </c>
      <c r="W118" s="228">
        <v>992.9</v>
      </c>
      <c r="X118" s="228">
        <v>-33.200000000000003</v>
      </c>
      <c r="Y118" s="229">
        <v>-3.3399999999999999E-2</v>
      </c>
      <c r="Z118" s="228">
        <v>4.5</v>
      </c>
      <c r="AA118" s="228">
        <v>0.4</v>
      </c>
      <c r="AB118" s="228">
        <v>4.0999999999999996</v>
      </c>
      <c r="AC118" s="229">
        <v>4.7999999999999996E-3</v>
      </c>
      <c r="AD118" s="228">
        <v>4.5</v>
      </c>
      <c r="AE118" s="228">
        <v>0.4</v>
      </c>
      <c r="AF118" s="228">
        <v>4.0999999999999996</v>
      </c>
      <c r="AG118" s="229">
        <v>4.7999999999999996E-3</v>
      </c>
      <c r="AH118" s="228">
        <v>8.6999999999999993</v>
      </c>
      <c r="AI118" s="228">
        <v>5.8</v>
      </c>
      <c r="AJ118" s="228">
        <v>2.9</v>
      </c>
      <c r="AK118" s="229">
        <v>9.1999999999999998E-3</v>
      </c>
      <c r="AL118" s="228">
        <v>14.2</v>
      </c>
      <c r="AM118" s="228">
        <v>12.7</v>
      </c>
      <c r="AN118" s="228">
        <v>1.5</v>
      </c>
      <c r="AO118" s="229">
        <v>1.4999999999999999E-2</v>
      </c>
      <c r="AP118" s="228">
        <v>961.69</v>
      </c>
      <c r="AQ118" s="228">
        <v>965.22</v>
      </c>
      <c r="AR118" s="228">
        <v>0</v>
      </c>
      <c r="AS118" s="228">
        <v>671</v>
      </c>
      <c r="AT118" s="228">
        <v>774</v>
      </c>
      <c r="AU118" s="228">
        <v>-104</v>
      </c>
      <c r="AV118" s="229">
        <v>-0.13370000000000001</v>
      </c>
      <c r="AW118" s="228">
        <v>291</v>
      </c>
      <c r="AX118" s="228">
        <v>387</v>
      </c>
      <c r="AY118" s="228">
        <v>-95</v>
      </c>
      <c r="AZ118" s="229">
        <v>-0.24640000000000001</v>
      </c>
      <c r="BA118" s="228">
        <v>376</v>
      </c>
      <c r="BB118" s="228">
        <v>385</v>
      </c>
      <c r="BC118" s="228">
        <v>-9</v>
      </c>
      <c r="BD118" s="229">
        <v>-2.2800000000000001E-2</v>
      </c>
      <c r="BE118" s="228">
        <v>4</v>
      </c>
      <c r="BF118" s="228">
        <v>3</v>
      </c>
      <c r="BG118" s="228">
        <v>1</v>
      </c>
      <c r="BH118" s="229">
        <v>0.16439999999999999</v>
      </c>
      <c r="BI118" s="228">
        <v>708</v>
      </c>
      <c r="BJ118" s="228">
        <v>567</v>
      </c>
      <c r="BK118" s="228">
        <v>141</v>
      </c>
      <c r="BL118" s="229">
        <v>0.24879999999999999</v>
      </c>
      <c r="BM118" s="228">
        <v>603</v>
      </c>
      <c r="BN118" s="228">
        <v>353</v>
      </c>
      <c r="BO118" s="228">
        <v>250</v>
      </c>
      <c r="BP118" s="229">
        <v>0.70660000000000001</v>
      </c>
      <c r="BQ118" s="230">
        <v>1982</v>
      </c>
      <c r="BR118" s="230">
        <v>1695</v>
      </c>
      <c r="BS118" s="228">
        <v>287</v>
      </c>
      <c r="BT118" s="229">
        <v>0.16950000000000001</v>
      </c>
      <c r="BU118" s="230">
        <v>2943845</v>
      </c>
      <c r="BV118" s="230">
        <v>1236320</v>
      </c>
      <c r="BW118" s="230">
        <v>1707525</v>
      </c>
      <c r="BX118" s="229">
        <v>1.3811</v>
      </c>
      <c r="BY118" s="230">
        <v>1096</v>
      </c>
      <c r="BZ118" s="230">
        <v>1017</v>
      </c>
      <c r="CA118" s="228">
        <v>79</v>
      </c>
      <c r="CB118" s="229">
        <v>7.7299999999999994E-2</v>
      </c>
      <c r="CC118" s="228">
        <v>464</v>
      </c>
      <c r="CD118" s="228">
        <v>648</v>
      </c>
      <c r="CE118" s="228">
        <v>-185</v>
      </c>
      <c r="CF118" s="229">
        <v>-0.2848</v>
      </c>
      <c r="CG118" s="228">
        <v>625</v>
      </c>
      <c r="CH118" s="228">
        <v>363</v>
      </c>
      <c r="CI118" s="228">
        <v>262</v>
      </c>
      <c r="CJ118" s="229">
        <v>0.72060000000000002</v>
      </c>
      <c r="CK118" s="228">
        <v>7</v>
      </c>
      <c r="CL118" s="228">
        <v>6</v>
      </c>
      <c r="CM118" s="228">
        <v>1</v>
      </c>
      <c r="CN118" s="229">
        <v>0.2576</v>
      </c>
      <c r="CO118" s="228">
        <v>464</v>
      </c>
      <c r="CP118" s="228">
        <v>468</v>
      </c>
      <c r="CQ118" s="228">
        <v>-4</v>
      </c>
      <c r="CR118" s="229">
        <v>-8.8999999999999999E-3</v>
      </c>
      <c r="CS118" s="228">
        <v>241</v>
      </c>
      <c r="CT118" s="228">
        <v>238</v>
      </c>
      <c r="CU118" s="228">
        <v>3</v>
      </c>
      <c r="CV118" s="229">
        <v>1.4E-2</v>
      </c>
      <c r="CW118" s="230">
        <v>1802</v>
      </c>
      <c r="CX118" s="230">
        <v>1724</v>
      </c>
      <c r="CY118" s="228">
        <v>78</v>
      </c>
      <c r="CZ118" s="229">
        <v>4.5100000000000001E-2</v>
      </c>
      <c r="DA118" s="228">
        <v>39.83</v>
      </c>
      <c r="DB118" s="228">
        <v>40.630000000000003</v>
      </c>
      <c r="DC118" s="228">
        <v>-0.8</v>
      </c>
      <c r="DD118" s="228">
        <v>-0.8</v>
      </c>
      <c r="DE118" s="228">
        <v>43.47</v>
      </c>
      <c r="DF118" s="228">
        <v>43.31</v>
      </c>
      <c r="DG118" s="228">
        <v>-3.64</v>
      </c>
      <c r="DH118" s="228">
        <v>0.16</v>
      </c>
      <c r="DI118" s="228">
        <v>39.840000000000003</v>
      </c>
      <c r="DJ118" s="228">
        <v>41.98</v>
      </c>
      <c r="DK118" s="228">
        <v>-2.14</v>
      </c>
      <c r="DL118" s="228">
        <v>-2.14</v>
      </c>
      <c r="DM118" s="228">
        <v>39.83</v>
      </c>
      <c r="DN118" s="228">
        <v>38.47</v>
      </c>
      <c r="DO118" s="228">
        <v>1.36</v>
      </c>
      <c r="DP118" s="228">
        <v>1.36</v>
      </c>
      <c r="DQ118" s="228">
        <v>0.52</v>
      </c>
      <c r="DR118" s="228">
        <v>0.51</v>
      </c>
      <c r="DS118" s="228">
        <v>0.01</v>
      </c>
      <c r="DT118" s="229">
        <v>1.9599999999999999E-2</v>
      </c>
      <c r="DU118" s="231">
        <v>1100</v>
      </c>
      <c r="DV118" s="228">
        <v>900</v>
      </c>
      <c r="DW118" s="228">
        <v>0.85</v>
      </c>
      <c r="DX118" s="228">
        <v>0.62</v>
      </c>
      <c r="DY118" s="228">
        <v>0.23</v>
      </c>
      <c r="DZ118" s="229">
        <v>0.371</v>
      </c>
      <c r="EA118" s="229">
        <v>0.57689999999999997</v>
      </c>
      <c r="EB118" s="230">
        <v>3884400</v>
      </c>
      <c r="EC118" s="229">
        <v>4.4000000000000003E-3</v>
      </c>
      <c r="ED118" s="229">
        <v>0.57689999999999997</v>
      </c>
      <c r="EE118" s="228">
        <v>3.53</v>
      </c>
      <c r="EF118" s="229">
        <v>3.7000000000000002E-3</v>
      </c>
      <c r="EG118" s="230">
        <v>1712736</v>
      </c>
      <c r="EH118" s="230">
        <v>293358</v>
      </c>
      <c r="EI118" s="229">
        <v>4.8384</v>
      </c>
      <c r="EJ118" s="229">
        <v>0.58179999999999998</v>
      </c>
      <c r="EK118" s="228">
        <v>769.87</v>
      </c>
      <c r="EL118" s="228">
        <v>617.36</v>
      </c>
      <c r="EM118" s="228">
        <v>680.56</v>
      </c>
      <c r="EN118" s="228">
        <v>91.82</v>
      </c>
      <c r="EO118" s="231">
        <v>2067.8000000000002</v>
      </c>
      <c r="EP118" s="231">
        <v>1788.29</v>
      </c>
      <c r="EQ118" s="228">
        <v>279.51</v>
      </c>
      <c r="ER118" s="229">
        <v>0.15629999999999999</v>
      </c>
      <c r="ES118" s="228">
        <v>527.09</v>
      </c>
      <c r="ET118" s="228">
        <v>255.87</v>
      </c>
      <c r="EU118" s="231">
        <v>1098.9000000000001</v>
      </c>
      <c r="EV118" s="231">
        <v>42126960</v>
      </c>
      <c r="EW118" s="231">
        <v>1881.86</v>
      </c>
      <c r="EX118" s="231">
        <v>1848.54</v>
      </c>
      <c r="EY118" s="228">
        <v>33.32</v>
      </c>
      <c r="EZ118" s="229">
        <v>1.7999999999999999E-2</v>
      </c>
      <c r="FA118" s="229">
        <v>0.45019999999999999</v>
      </c>
      <c r="FB118" s="227" t="s">
        <v>567</v>
      </c>
      <c r="FC118">
        <f t="shared" si="1"/>
        <v>632</v>
      </c>
    </row>
    <row r="119" spans="1:159" ht="17.25" thickBot="1" x14ac:dyDescent="0.3">
      <c r="A119" s="226">
        <v>46044</v>
      </c>
      <c r="B119" s="227" t="s">
        <v>184</v>
      </c>
      <c r="C119" s="227" t="s">
        <v>249</v>
      </c>
      <c r="D119" s="228">
        <v>175</v>
      </c>
      <c r="E119" s="228">
        <v>5</v>
      </c>
      <c r="F119" s="231">
        <v>3800.6</v>
      </c>
      <c r="G119" s="231">
        <v>3765.6</v>
      </c>
      <c r="H119" s="228">
        <v>35</v>
      </c>
      <c r="I119" s="229">
        <v>9.2999999999999992E-3</v>
      </c>
      <c r="J119" s="231">
        <v>3793.8</v>
      </c>
      <c r="K119" s="231">
        <v>3766.5</v>
      </c>
      <c r="L119" s="228">
        <v>27.3</v>
      </c>
      <c r="M119" s="229">
        <v>7.1999999999999998E-3</v>
      </c>
      <c r="N119" s="231">
        <v>3800.6</v>
      </c>
      <c r="O119" s="231">
        <v>3765.6</v>
      </c>
      <c r="P119" s="228">
        <v>35</v>
      </c>
      <c r="Q119" s="229">
        <v>9.2999999999999992E-3</v>
      </c>
      <c r="R119" s="231">
        <v>3820.7</v>
      </c>
      <c r="S119" s="231">
        <v>3786.2</v>
      </c>
      <c r="T119" s="228">
        <v>34.5</v>
      </c>
      <c r="U119" s="229">
        <v>9.1000000000000004E-3</v>
      </c>
      <c r="V119" s="231">
        <v>3847.4</v>
      </c>
      <c r="W119" s="231">
        <v>3812.6</v>
      </c>
      <c r="X119" s="228">
        <v>34.799999999999997</v>
      </c>
      <c r="Y119" s="229">
        <v>9.1000000000000004E-3</v>
      </c>
      <c r="Z119" s="228">
        <v>6.8</v>
      </c>
      <c r="AA119" s="228">
        <v>-0.9</v>
      </c>
      <c r="AB119" s="228">
        <v>7.7</v>
      </c>
      <c r="AC119" s="229">
        <v>1.8E-3</v>
      </c>
      <c r="AD119" s="228">
        <v>6.8</v>
      </c>
      <c r="AE119" s="228">
        <v>-0.9</v>
      </c>
      <c r="AF119" s="228">
        <v>7.7</v>
      </c>
      <c r="AG119" s="229">
        <v>1.8E-3</v>
      </c>
      <c r="AH119" s="228">
        <v>26.9</v>
      </c>
      <c r="AI119" s="228">
        <v>19.7</v>
      </c>
      <c r="AJ119" s="228">
        <v>7.2</v>
      </c>
      <c r="AK119" s="229">
        <v>7.1000000000000004E-3</v>
      </c>
      <c r="AL119" s="228">
        <v>53.6</v>
      </c>
      <c r="AM119" s="228">
        <v>46.1</v>
      </c>
      <c r="AN119" s="228">
        <v>7.5</v>
      </c>
      <c r="AO119" s="229">
        <v>1.41E-2</v>
      </c>
      <c r="AP119" s="231">
        <v>3782.42</v>
      </c>
      <c r="AQ119" s="231">
        <v>3802.77</v>
      </c>
      <c r="AR119" s="228">
        <v>0</v>
      </c>
      <c r="AS119" s="230">
        <v>3565</v>
      </c>
      <c r="AT119" s="230">
        <v>2552</v>
      </c>
      <c r="AU119" s="230">
        <v>1013</v>
      </c>
      <c r="AV119" s="229">
        <v>0.39689999999999998</v>
      </c>
      <c r="AW119" s="230">
        <v>1816</v>
      </c>
      <c r="AX119" s="230">
        <v>1383</v>
      </c>
      <c r="AY119" s="228">
        <v>433</v>
      </c>
      <c r="AZ119" s="229">
        <v>0.31319999999999998</v>
      </c>
      <c r="BA119" s="230">
        <v>1724</v>
      </c>
      <c r="BB119" s="230">
        <v>1158</v>
      </c>
      <c r="BC119" s="228">
        <v>566</v>
      </c>
      <c r="BD119" s="229">
        <v>0.4889</v>
      </c>
      <c r="BE119" s="228">
        <v>25</v>
      </c>
      <c r="BF119" s="228">
        <v>12</v>
      </c>
      <c r="BG119" s="228">
        <v>14</v>
      </c>
      <c r="BH119" s="229">
        <v>1.1964999999999999</v>
      </c>
      <c r="BI119" s="230">
        <v>3773</v>
      </c>
      <c r="BJ119" s="230">
        <v>4448</v>
      </c>
      <c r="BK119" s="228">
        <v>-675</v>
      </c>
      <c r="BL119" s="229">
        <v>-0.15190000000000001</v>
      </c>
      <c r="BM119" s="230">
        <v>1376</v>
      </c>
      <c r="BN119" s="230">
        <v>2200</v>
      </c>
      <c r="BO119" s="228">
        <v>-825</v>
      </c>
      <c r="BP119" s="229">
        <v>-0.37480000000000002</v>
      </c>
      <c r="BQ119" s="230">
        <v>8713</v>
      </c>
      <c r="BR119" s="230">
        <v>9201</v>
      </c>
      <c r="BS119" s="228">
        <v>-487</v>
      </c>
      <c r="BT119" s="229">
        <v>-5.2999999999999999E-2</v>
      </c>
      <c r="BU119" s="230">
        <v>2016568</v>
      </c>
      <c r="BV119" s="230">
        <v>2643451</v>
      </c>
      <c r="BW119" s="230">
        <v>-626883</v>
      </c>
      <c r="BX119" s="229">
        <v>-0.23710000000000001</v>
      </c>
      <c r="BY119" s="230">
        <v>5729</v>
      </c>
      <c r="BZ119" s="230">
        <v>5668</v>
      </c>
      <c r="CA119" s="228">
        <v>61</v>
      </c>
      <c r="CB119" s="229">
        <v>1.0800000000000001E-2</v>
      </c>
      <c r="CC119" s="230">
        <v>2564</v>
      </c>
      <c r="CD119" s="230">
        <v>3981</v>
      </c>
      <c r="CE119" s="230">
        <v>-1416</v>
      </c>
      <c r="CF119" s="229">
        <v>-0.35580000000000001</v>
      </c>
      <c r="CG119" s="230">
        <v>2835</v>
      </c>
      <c r="CH119" s="230">
        <v>1370</v>
      </c>
      <c r="CI119" s="230">
        <v>1465</v>
      </c>
      <c r="CJ119" s="229">
        <v>1.069</v>
      </c>
      <c r="CK119" s="228">
        <v>331</v>
      </c>
      <c r="CL119" s="228">
        <v>318</v>
      </c>
      <c r="CM119" s="228">
        <v>13</v>
      </c>
      <c r="CN119" s="229">
        <v>4.0599999999999997E-2</v>
      </c>
      <c r="CO119" s="230">
        <v>2736</v>
      </c>
      <c r="CP119" s="230">
        <v>2812</v>
      </c>
      <c r="CQ119" s="228">
        <v>-76</v>
      </c>
      <c r="CR119" s="229">
        <v>-2.69E-2</v>
      </c>
      <c r="CS119" s="230">
        <v>1325</v>
      </c>
      <c r="CT119" s="230">
        <v>1286</v>
      </c>
      <c r="CU119" s="228">
        <v>38</v>
      </c>
      <c r="CV119" s="229">
        <v>2.98E-2</v>
      </c>
      <c r="CW119" s="230">
        <v>9790</v>
      </c>
      <c r="CX119" s="230">
        <v>9766</v>
      </c>
      <c r="CY119" s="228">
        <v>24</v>
      </c>
      <c r="CZ119" s="229">
        <v>2.3999999999999998E-3</v>
      </c>
      <c r="DA119" s="228">
        <v>24.77</v>
      </c>
      <c r="DB119" s="228">
        <v>21.13</v>
      </c>
      <c r="DC119" s="228">
        <v>3.64</v>
      </c>
      <c r="DD119" s="228">
        <v>3.64</v>
      </c>
      <c r="DE119" s="228">
        <v>25.64</v>
      </c>
      <c r="DF119" s="228">
        <v>25.69</v>
      </c>
      <c r="DG119" s="228">
        <v>-0.87</v>
      </c>
      <c r="DH119" s="228">
        <v>-0.05</v>
      </c>
      <c r="DI119" s="228">
        <v>24.41</v>
      </c>
      <c r="DJ119" s="228">
        <v>21.95</v>
      </c>
      <c r="DK119" s="228">
        <v>2.46</v>
      </c>
      <c r="DL119" s="228">
        <v>2.46</v>
      </c>
      <c r="DM119" s="228">
        <v>25.49</v>
      </c>
      <c r="DN119" s="228">
        <v>19.47</v>
      </c>
      <c r="DO119" s="228">
        <v>6.02</v>
      </c>
      <c r="DP119" s="228">
        <v>6.02</v>
      </c>
      <c r="DQ119" s="228">
        <v>0.48</v>
      </c>
      <c r="DR119" s="228">
        <v>0.46</v>
      </c>
      <c r="DS119" s="228">
        <v>0.02</v>
      </c>
      <c r="DT119" s="229">
        <v>4.3499999999999997E-2</v>
      </c>
      <c r="DU119" s="231">
        <v>4000</v>
      </c>
      <c r="DV119" s="231">
        <v>4000</v>
      </c>
      <c r="DW119" s="228">
        <v>0.36</v>
      </c>
      <c r="DX119" s="228">
        <v>0.49</v>
      </c>
      <c r="DY119" s="228">
        <v>-0.13</v>
      </c>
      <c r="DZ119" s="229">
        <v>-0.26529999999999998</v>
      </c>
      <c r="EA119" s="229">
        <v>0.5524</v>
      </c>
      <c r="EB119" s="230">
        <v>4440450</v>
      </c>
      <c r="EC119" s="229">
        <v>5.3E-3</v>
      </c>
      <c r="ED119" s="229">
        <v>0.5524</v>
      </c>
      <c r="EE119" s="228">
        <v>20.350000000000001</v>
      </c>
      <c r="EF119" s="229">
        <v>5.4000000000000003E-3</v>
      </c>
      <c r="EG119" s="230">
        <v>943911</v>
      </c>
      <c r="EH119" s="230">
        <v>1539856</v>
      </c>
      <c r="EI119" s="229">
        <v>-0.38700000000000001</v>
      </c>
      <c r="EJ119" s="229">
        <v>0.46810000000000002</v>
      </c>
      <c r="EK119" s="231">
        <v>3890.72</v>
      </c>
      <c r="EL119" s="231">
        <v>1384.62</v>
      </c>
      <c r="EM119" s="231">
        <v>3557.52</v>
      </c>
      <c r="EN119" s="228">
        <v>194.31</v>
      </c>
      <c r="EO119" s="231">
        <v>8832.86</v>
      </c>
      <c r="EP119" s="231">
        <v>9319</v>
      </c>
      <c r="EQ119" s="228">
        <v>-486.15</v>
      </c>
      <c r="ER119" s="229">
        <v>-5.2200000000000003E-2</v>
      </c>
      <c r="ES119" s="231">
        <v>2904</v>
      </c>
      <c r="ET119" s="231">
        <v>1358.38</v>
      </c>
      <c r="EU119" s="231">
        <v>5748.48</v>
      </c>
      <c r="EV119" s="231">
        <v>136109374</v>
      </c>
      <c r="EW119" s="231">
        <v>10010.86</v>
      </c>
      <c r="EX119" s="231">
        <v>9941.61</v>
      </c>
      <c r="EY119" s="228">
        <v>69.25</v>
      </c>
      <c r="EZ119" s="229">
        <v>7.0000000000000001E-3</v>
      </c>
      <c r="FA119" s="229">
        <v>0.1893</v>
      </c>
      <c r="FB119" s="227" t="s">
        <v>555</v>
      </c>
      <c r="FC119">
        <f t="shared" si="1"/>
        <v>3165</v>
      </c>
    </row>
    <row r="120" spans="1:159" ht="17.25" thickBot="1" x14ac:dyDescent="0.3">
      <c r="A120" s="226">
        <v>46044</v>
      </c>
      <c r="B120" s="227" t="s">
        <v>175</v>
      </c>
      <c r="C120" s="227" t="s">
        <v>565</v>
      </c>
      <c r="D120" s="228">
        <v>2250</v>
      </c>
      <c r="E120" s="228">
        <v>5</v>
      </c>
      <c r="F120" s="228">
        <v>287.35000000000002</v>
      </c>
      <c r="G120" s="228">
        <v>282.55</v>
      </c>
      <c r="H120" s="228">
        <v>4.8</v>
      </c>
      <c r="I120" s="229">
        <v>1.7000000000000001E-2</v>
      </c>
      <c r="J120" s="228">
        <v>287.3</v>
      </c>
      <c r="K120" s="228">
        <v>281.35000000000002</v>
      </c>
      <c r="L120" s="228">
        <v>5.95</v>
      </c>
      <c r="M120" s="229">
        <v>2.1100000000000001E-2</v>
      </c>
      <c r="N120" s="228">
        <v>287.35000000000002</v>
      </c>
      <c r="O120" s="228">
        <v>282.55</v>
      </c>
      <c r="P120" s="228">
        <v>4.8</v>
      </c>
      <c r="Q120" s="229">
        <v>1.7000000000000001E-2</v>
      </c>
      <c r="R120" s="228">
        <v>286.7</v>
      </c>
      <c r="S120" s="228">
        <v>282.89999999999998</v>
      </c>
      <c r="T120" s="228">
        <v>3.8</v>
      </c>
      <c r="U120" s="229">
        <v>1.34E-2</v>
      </c>
      <c r="V120" s="228">
        <v>286.10000000000002</v>
      </c>
      <c r="W120" s="228">
        <v>283.95</v>
      </c>
      <c r="X120" s="228">
        <v>2.15</v>
      </c>
      <c r="Y120" s="229">
        <v>7.6E-3</v>
      </c>
      <c r="Z120" s="228">
        <v>0.05</v>
      </c>
      <c r="AA120" s="228">
        <v>1.2</v>
      </c>
      <c r="AB120" s="228">
        <v>-1.1499999999999999</v>
      </c>
      <c r="AC120" s="229">
        <v>2.0000000000000001E-4</v>
      </c>
      <c r="AD120" s="228">
        <v>0.05</v>
      </c>
      <c r="AE120" s="228">
        <v>1.2</v>
      </c>
      <c r="AF120" s="228">
        <v>-1.1499999999999999</v>
      </c>
      <c r="AG120" s="229">
        <v>2.0000000000000001E-4</v>
      </c>
      <c r="AH120" s="228">
        <v>-0.6</v>
      </c>
      <c r="AI120" s="228">
        <v>1.55</v>
      </c>
      <c r="AJ120" s="228">
        <v>-2.15</v>
      </c>
      <c r="AK120" s="229">
        <v>-2.0999999999999999E-3</v>
      </c>
      <c r="AL120" s="228">
        <v>-1.2</v>
      </c>
      <c r="AM120" s="228">
        <v>2.6</v>
      </c>
      <c r="AN120" s="228">
        <v>-3.8</v>
      </c>
      <c r="AO120" s="229">
        <v>-4.1999999999999997E-3</v>
      </c>
      <c r="AP120" s="228">
        <v>286.3</v>
      </c>
      <c r="AQ120" s="228">
        <v>285.82</v>
      </c>
      <c r="AR120" s="228">
        <v>0</v>
      </c>
      <c r="AS120" s="230">
        <v>1544</v>
      </c>
      <c r="AT120" s="230">
        <v>1816</v>
      </c>
      <c r="AU120" s="228">
        <v>-272</v>
      </c>
      <c r="AV120" s="229">
        <v>-0.1497</v>
      </c>
      <c r="AW120" s="228">
        <v>723</v>
      </c>
      <c r="AX120" s="230">
        <v>1054</v>
      </c>
      <c r="AY120" s="228">
        <v>-330</v>
      </c>
      <c r="AZ120" s="229">
        <v>-0.31359999999999999</v>
      </c>
      <c r="BA120" s="228">
        <v>804</v>
      </c>
      <c r="BB120" s="228">
        <v>745</v>
      </c>
      <c r="BC120" s="228">
        <v>60</v>
      </c>
      <c r="BD120" s="229">
        <v>8.0100000000000005E-2</v>
      </c>
      <c r="BE120" s="228">
        <v>17</v>
      </c>
      <c r="BF120" s="228">
        <v>18</v>
      </c>
      <c r="BG120" s="228">
        <v>-1</v>
      </c>
      <c r="BH120" s="229">
        <v>-6.4500000000000002E-2</v>
      </c>
      <c r="BI120" s="230">
        <v>1870</v>
      </c>
      <c r="BJ120" s="230">
        <v>5889</v>
      </c>
      <c r="BK120" s="230">
        <v>-4019</v>
      </c>
      <c r="BL120" s="229">
        <v>-0.6825</v>
      </c>
      <c r="BM120" s="228">
        <v>645</v>
      </c>
      <c r="BN120" s="230">
        <v>3031</v>
      </c>
      <c r="BO120" s="230">
        <v>-2386</v>
      </c>
      <c r="BP120" s="229">
        <v>-0.78710000000000002</v>
      </c>
      <c r="BQ120" s="230">
        <v>4060</v>
      </c>
      <c r="BR120" s="230">
        <v>10737</v>
      </c>
      <c r="BS120" s="230">
        <v>-6677</v>
      </c>
      <c r="BT120" s="229">
        <v>-0.62190000000000001</v>
      </c>
      <c r="BU120" s="230">
        <v>8448954</v>
      </c>
      <c r="BV120" s="230">
        <v>14317272</v>
      </c>
      <c r="BW120" s="230">
        <v>-5868318</v>
      </c>
      <c r="BX120" s="229">
        <v>-0.40989999999999999</v>
      </c>
      <c r="BY120" s="230">
        <v>1480</v>
      </c>
      <c r="BZ120" s="230">
        <v>1458</v>
      </c>
      <c r="CA120" s="228">
        <v>22</v>
      </c>
      <c r="CB120" s="229">
        <v>1.54E-2</v>
      </c>
      <c r="CC120" s="228">
        <v>565</v>
      </c>
      <c r="CD120" s="228">
        <v>934</v>
      </c>
      <c r="CE120" s="228">
        <v>-369</v>
      </c>
      <c r="CF120" s="229">
        <v>-0.3952</v>
      </c>
      <c r="CG120" s="228">
        <v>890</v>
      </c>
      <c r="CH120" s="228">
        <v>506</v>
      </c>
      <c r="CI120" s="228">
        <v>385</v>
      </c>
      <c r="CJ120" s="229">
        <v>0.76060000000000005</v>
      </c>
      <c r="CK120" s="228">
        <v>25</v>
      </c>
      <c r="CL120" s="228">
        <v>18</v>
      </c>
      <c r="CM120" s="228">
        <v>7</v>
      </c>
      <c r="CN120" s="229">
        <v>0.37190000000000001</v>
      </c>
      <c r="CO120" s="230">
        <v>1527</v>
      </c>
      <c r="CP120" s="230">
        <v>1678</v>
      </c>
      <c r="CQ120" s="228">
        <v>-151</v>
      </c>
      <c r="CR120" s="229">
        <v>-9.01E-2</v>
      </c>
      <c r="CS120" s="228">
        <v>704</v>
      </c>
      <c r="CT120" s="228">
        <v>734</v>
      </c>
      <c r="CU120" s="228">
        <v>-30</v>
      </c>
      <c r="CV120" s="229">
        <v>-4.0599999999999997E-2</v>
      </c>
      <c r="CW120" s="230">
        <v>3711</v>
      </c>
      <c r="CX120" s="230">
        <v>3869</v>
      </c>
      <c r="CY120" s="228">
        <v>-158</v>
      </c>
      <c r="CZ120" s="229">
        <v>-4.1000000000000002E-2</v>
      </c>
      <c r="DA120" s="228">
        <v>33.96</v>
      </c>
      <c r="DB120" s="228">
        <v>37.43</v>
      </c>
      <c r="DC120" s="228">
        <v>-3.47</v>
      </c>
      <c r="DD120" s="228">
        <v>-3.47</v>
      </c>
      <c r="DE120" s="228">
        <v>38.47</v>
      </c>
      <c r="DF120" s="228">
        <v>38.5</v>
      </c>
      <c r="DG120" s="228">
        <v>-4.51</v>
      </c>
      <c r="DH120" s="228">
        <v>-0.03</v>
      </c>
      <c r="DI120" s="228">
        <v>34.020000000000003</v>
      </c>
      <c r="DJ120" s="228">
        <v>38.590000000000003</v>
      </c>
      <c r="DK120" s="228">
        <v>-4.57</v>
      </c>
      <c r="DL120" s="228">
        <v>-4.57</v>
      </c>
      <c r="DM120" s="228">
        <v>33.82</v>
      </c>
      <c r="DN120" s="228">
        <v>35.200000000000003</v>
      </c>
      <c r="DO120" s="228">
        <v>-1.38</v>
      </c>
      <c r="DP120" s="228">
        <v>-1.38</v>
      </c>
      <c r="DQ120" s="228">
        <v>0.46</v>
      </c>
      <c r="DR120" s="228">
        <v>0.44</v>
      </c>
      <c r="DS120" s="228">
        <v>0.02</v>
      </c>
      <c r="DT120" s="229">
        <v>4.5499999999999999E-2</v>
      </c>
      <c r="DU120" s="228">
        <v>300</v>
      </c>
      <c r="DV120" s="228">
        <v>275</v>
      </c>
      <c r="DW120" s="228">
        <v>0.35</v>
      </c>
      <c r="DX120" s="228">
        <v>0.51</v>
      </c>
      <c r="DY120" s="228">
        <v>-0.16</v>
      </c>
      <c r="DZ120" s="229">
        <v>-0.31369999999999998</v>
      </c>
      <c r="EA120" s="229">
        <v>0.61860000000000004</v>
      </c>
      <c r="EB120" s="230">
        <v>18238500</v>
      </c>
      <c r="EC120" s="229">
        <v>-2.3E-3</v>
      </c>
      <c r="ED120" s="229">
        <v>0.61860000000000004</v>
      </c>
      <c r="EE120" s="228">
        <v>-0.48</v>
      </c>
      <c r="EF120" s="229">
        <v>-1.6999999999999999E-3</v>
      </c>
      <c r="EG120" s="230">
        <v>3829077</v>
      </c>
      <c r="EH120" s="230">
        <v>3415437</v>
      </c>
      <c r="EI120" s="229">
        <v>0.1211</v>
      </c>
      <c r="EJ120" s="229">
        <v>0.45319999999999999</v>
      </c>
      <c r="EK120" s="231">
        <v>1975.93</v>
      </c>
      <c r="EL120" s="228">
        <v>645.54</v>
      </c>
      <c r="EM120" s="231">
        <v>1537.22</v>
      </c>
      <c r="EN120" s="228">
        <v>203.54</v>
      </c>
      <c r="EO120" s="231">
        <v>4158.6899999999996</v>
      </c>
      <c r="EP120" s="231">
        <v>10991.62</v>
      </c>
      <c r="EQ120" s="231">
        <v>-6832.92</v>
      </c>
      <c r="ER120" s="229">
        <v>-0.62160000000000004</v>
      </c>
      <c r="ES120" s="231">
        <v>1658.38</v>
      </c>
      <c r="ET120" s="228">
        <v>709.99</v>
      </c>
      <c r="EU120" s="231">
        <v>1477.99</v>
      </c>
      <c r="EV120" s="231">
        <v>127100972</v>
      </c>
      <c r="EW120" s="231">
        <v>3846.37</v>
      </c>
      <c r="EX120" s="231">
        <v>3992.08</v>
      </c>
      <c r="EY120" s="228">
        <v>-145.71</v>
      </c>
      <c r="EZ120" s="229">
        <v>-3.6499999999999998E-2</v>
      </c>
      <c r="FA120" s="229">
        <v>1.016</v>
      </c>
      <c r="FB120" s="227" t="s">
        <v>555</v>
      </c>
      <c r="FC120">
        <f t="shared" si="1"/>
        <v>915</v>
      </c>
    </row>
    <row r="121" spans="1:159" ht="17.25" thickBot="1" x14ac:dyDescent="0.3">
      <c r="A121" s="226">
        <v>46044</v>
      </c>
      <c r="B121" s="227" t="s">
        <v>221</v>
      </c>
      <c r="C121" s="227" t="s">
        <v>561</v>
      </c>
      <c r="D121" s="228">
        <v>150</v>
      </c>
      <c r="E121" s="228">
        <v>5</v>
      </c>
      <c r="F121" s="231">
        <v>5949</v>
      </c>
      <c r="G121" s="231">
        <v>5860</v>
      </c>
      <c r="H121" s="228">
        <v>89</v>
      </c>
      <c r="I121" s="229">
        <v>1.52E-2</v>
      </c>
      <c r="J121" s="231">
        <v>5947</v>
      </c>
      <c r="K121" s="231">
        <v>5844</v>
      </c>
      <c r="L121" s="228">
        <v>103</v>
      </c>
      <c r="M121" s="229">
        <v>1.7600000000000001E-2</v>
      </c>
      <c r="N121" s="231">
        <v>5949</v>
      </c>
      <c r="O121" s="231">
        <v>5860</v>
      </c>
      <c r="P121" s="228">
        <v>89</v>
      </c>
      <c r="Q121" s="229">
        <v>1.52E-2</v>
      </c>
      <c r="R121" s="231">
        <v>5974.5</v>
      </c>
      <c r="S121" s="231">
        <v>5878</v>
      </c>
      <c r="T121" s="228">
        <v>96.5</v>
      </c>
      <c r="U121" s="229">
        <v>1.6400000000000001E-2</v>
      </c>
      <c r="V121" s="231">
        <v>5999.5</v>
      </c>
      <c r="W121" s="231">
        <v>5908</v>
      </c>
      <c r="X121" s="228">
        <v>91.5</v>
      </c>
      <c r="Y121" s="229">
        <v>1.55E-2</v>
      </c>
      <c r="Z121" s="228">
        <v>2</v>
      </c>
      <c r="AA121" s="228">
        <v>16</v>
      </c>
      <c r="AB121" s="228">
        <v>-14</v>
      </c>
      <c r="AC121" s="229">
        <v>2.9999999999999997E-4</v>
      </c>
      <c r="AD121" s="228">
        <v>2</v>
      </c>
      <c r="AE121" s="228">
        <v>16</v>
      </c>
      <c r="AF121" s="228">
        <v>-14</v>
      </c>
      <c r="AG121" s="229">
        <v>2.9999999999999997E-4</v>
      </c>
      <c r="AH121" s="228">
        <v>27.5</v>
      </c>
      <c r="AI121" s="228">
        <v>34</v>
      </c>
      <c r="AJ121" s="228">
        <v>-6.5</v>
      </c>
      <c r="AK121" s="229">
        <v>4.5999999999999999E-3</v>
      </c>
      <c r="AL121" s="228">
        <v>52.5</v>
      </c>
      <c r="AM121" s="228">
        <v>64</v>
      </c>
      <c r="AN121" s="228">
        <v>-11.5</v>
      </c>
      <c r="AO121" s="229">
        <v>8.8000000000000005E-3</v>
      </c>
      <c r="AP121" s="231">
        <v>5956.66</v>
      </c>
      <c r="AQ121" s="231">
        <v>5974.02</v>
      </c>
      <c r="AR121" s="228">
        <v>0</v>
      </c>
      <c r="AS121" s="230">
        <v>1442</v>
      </c>
      <c r="AT121" s="230">
        <v>1455</v>
      </c>
      <c r="AU121" s="228">
        <v>-13</v>
      </c>
      <c r="AV121" s="229">
        <v>-8.8000000000000005E-3</v>
      </c>
      <c r="AW121" s="228">
        <v>794</v>
      </c>
      <c r="AX121" s="228">
        <v>885</v>
      </c>
      <c r="AY121" s="228">
        <v>-91</v>
      </c>
      <c r="AZ121" s="229">
        <v>-0.1028</v>
      </c>
      <c r="BA121" s="228">
        <v>644</v>
      </c>
      <c r="BB121" s="228">
        <v>567</v>
      </c>
      <c r="BC121" s="228">
        <v>78</v>
      </c>
      <c r="BD121" s="229">
        <v>0.13689999999999999</v>
      </c>
      <c r="BE121" s="228">
        <v>3</v>
      </c>
      <c r="BF121" s="228">
        <v>3</v>
      </c>
      <c r="BG121" s="228">
        <v>1</v>
      </c>
      <c r="BH121" s="229">
        <v>0.27589999999999998</v>
      </c>
      <c r="BI121" s="230">
        <v>4296</v>
      </c>
      <c r="BJ121" s="230">
        <v>5929</v>
      </c>
      <c r="BK121" s="230">
        <v>-1633</v>
      </c>
      <c r="BL121" s="229">
        <v>-0.27539999999999998</v>
      </c>
      <c r="BM121" s="230">
        <v>1963</v>
      </c>
      <c r="BN121" s="230">
        <v>4768</v>
      </c>
      <c r="BO121" s="230">
        <v>-2805</v>
      </c>
      <c r="BP121" s="229">
        <v>-0.58830000000000005</v>
      </c>
      <c r="BQ121" s="230">
        <v>7701</v>
      </c>
      <c r="BR121" s="230">
        <v>12152</v>
      </c>
      <c r="BS121" s="230">
        <v>-4451</v>
      </c>
      <c r="BT121" s="229">
        <v>-0.36630000000000001</v>
      </c>
      <c r="BU121" s="230">
        <v>386887</v>
      </c>
      <c r="BV121" s="230">
        <v>751038</v>
      </c>
      <c r="BW121" s="230">
        <v>-364151</v>
      </c>
      <c r="BX121" s="229">
        <v>-0.4849</v>
      </c>
      <c r="BY121" s="230">
        <v>1690</v>
      </c>
      <c r="BZ121" s="230">
        <v>1722</v>
      </c>
      <c r="CA121" s="228">
        <v>-32</v>
      </c>
      <c r="CB121" s="229">
        <v>-1.84E-2</v>
      </c>
      <c r="CC121" s="228">
        <v>790</v>
      </c>
      <c r="CD121" s="230">
        <v>1227</v>
      </c>
      <c r="CE121" s="228">
        <v>-437</v>
      </c>
      <c r="CF121" s="229">
        <v>-0.35630000000000001</v>
      </c>
      <c r="CG121" s="228">
        <v>895</v>
      </c>
      <c r="CH121" s="228">
        <v>490</v>
      </c>
      <c r="CI121" s="228">
        <v>405</v>
      </c>
      <c r="CJ121" s="229">
        <v>0.82620000000000005</v>
      </c>
      <c r="CK121" s="228">
        <v>5</v>
      </c>
      <c r="CL121" s="228">
        <v>5</v>
      </c>
      <c r="CM121" s="228">
        <v>0</v>
      </c>
      <c r="CN121" s="229">
        <v>3.4500000000000003E-2</v>
      </c>
      <c r="CO121" s="230">
        <v>1079</v>
      </c>
      <c r="CP121" s="230">
        <v>1326</v>
      </c>
      <c r="CQ121" s="228">
        <v>-247</v>
      </c>
      <c r="CR121" s="229">
        <v>-0.1862</v>
      </c>
      <c r="CS121" s="228">
        <v>634</v>
      </c>
      <c r="CT121" s="228">
        <v>669</v>
      </c>
      <c r="CU121" s="228">
        <v>-35</v>
      </c>
      <c r="CV121" s="229">
        <v>-5.2699999999999997E-2</v>
      </c>
      <c r="CW121" s="230">
        <v>3403</v>
      </c>
      <c r="CX121" s="230">
        <v>3717</v>
      </c>
      <c r="CY121" s="228">
        <v>-314</v>
      </c>
      <c r="CZ121" s="229">
        <v>-8.4400000000000003E-2</v>
      </c>
      <c r="DA121" s="228">
        <v>25.51</v>
      </c>
      <c r="DB121" s="228">
        <v>27.28</v>
      </c>
      <c r="DC121" s="228">
        <v>-1.77</v>
      </c>
      <c r="DD121" s="228">
        <v>-1.77</v>
      </c>
      <c r="DE121" s="228">
        <v>33.130000000000003</v>
      </c>
      <c r="DF121" s="228">
        <v>33.15</v>
      </c>
      <c r="DG121" s="228">
        <v>-7.62</v>
      </c>
      <c r="DH121" s="228">
        <v>-0.02</v>
      </c>
      <c r="DI121" s="228">
        <v>24.83</v>
      </c>
      <c r="DJ121" s="228">
        <v>27.99</v>
      </c>
      <c r="DK121" s="228">
        <v>-3.16</v>
      </c>
      <c r="DL121" s="228">
        <v>-3.16</v>
      </c>
      <c r="DM121" s="228">
        <v>26.59</v>
      </c>
      <c r="DN121" s="228">
        <v>26.39</v>
      </c>
      <c r="DO121" s="228">
        <v>0.2</v>
      </c>
      <c r="DP121" s="228">
        <v>0.2</v>
      </c>
      <c r="DQ121" s="228">
        <v>0.59</v>
      </c>
      <c r="DR121" s="228">
        <v>0.5</v>
      </c>
      <c r="DS121" s="228">
        <v>0.09</v>
      </c>
      <c r="DT121" s="229">
        <v>0.18</v>
      </c>
      <c r="DU121" s="231">
        <v>6200</v>
      </c>
      <c r="DV121" s="231">
        <v>5700</v>
      </c>
      <c r="DW121" s="228">
        <v>0.46</v>
      </c>
      <c r="DX121" s="228">
        <v>0.8</v>
      </c>
      <c r="DY121" s="228">
        <v>-0.34</v>
      </c>
      <c r="DZ121" s="229">
        <v>-0.42499999999999999</v>
      </c>
      <c r="EA121" s="229">
        <v>0.53290000000000004</v>
      </c>
      <c r="EB121" s="230">
        <v>832950</v>
      </c>
      <c r="EC121" s="229">
        <v>4.3E-3</v>
      </c>
      <c r="ED121" s="229">
        <v>0.53290000000000004</v>
      </c>
      <c r="EE121" s="228">
        <v>17.36</v>
      </c>
      <c r="EF121" s="229">
        <v>2.8999999999999998E-3</v>
      </c>
      <c r="EG121" s="230">
        <v>144008</v>
      </c>
      <c r="EH121" s="230">
        <v>247257</v>
      </c>
      <c r="EI121" s="229">
        <v>-0.41760000000000003</v>
      </c>
      <c r="EJ121" s="229">
        <v>0.37219999999999998</v>
      </c>
      <c r="EK121" s="231">
        <v>4449.97</v>
      </c>
      <c r="EL121" s="231">
        <v>1938.85</v>
      </c>
      <c r="EM121" s="231">
        <v>1445.53</v>
      </c>
      <c r="EN121" s="228">
        <v>125.07</v>
      </c>
      <c r="EO121" s="231">
        <v>7834.35</v>
      </c>
      <c r="EP121" s="231">
        <v>12188.13</v>
      </c>
      <c r="EQ121" s="231">
        <v>-4353.78</v>
      </c>
      <c r="ER121" s="229">
        <v>-0.35720000000000002</v>
      </c>
      <c r="ES121" s="231">
        <v>1143.5999999999999</v>
      </c>
      <c r="ET121" s="228">
        <v>618.25</v>
      </c>
      <c r="EU121" s="231">
        <v>1694.26</v>
      </c>
      <c r="EV121" s="231">
        <v>9672091</v>
      </c>
      <c r="EW121" s="231">
        <v>3456.11</v>
      </c>
      <c r="EX121" s="231">
        <v>3749.2</v>
      </c>
      <c r="EY121" s="228">
        <v>-293.08999999999997</v>
      </c>
      <c r="EZ121" s="229">
        <v>-7.8200000000000006E-2</v>
      </c>
      <c r="FA121" s="229">
        <v>0.59150000000000003</v>
      </c>
      <c r="FB121" s="227" t="s">
        <v>556</v>
      </c>
      <c r="FC121">
        <f t="shared" si="1"/>
        <v>900</v>
      </c>
    </row>
    <row r="122" spans="1:159" ht="17.25" thickBot="1" x14ac:dyDescent="0.3">
      <c r="A122" s="226">
        <v>46044</v>
      </c>
      <c r="B122" s="227" t="s">
        <v>170</v>
      </c>
      <c r="C122" s="227" t="s">
        <v>250</v>
      </c>
      <c r="D122" s="228">
        <v>425</v>
      </c>
      <c r="E122" s="228">
        <v>5</v>
      </c>
      <c r="F122" s="231">
        <v>2161.6</v>
      </c>
      <c r="G122" s="231">
        <v>2145.5</v>
      </c>
      <c r="H122" s="228">
        <v>16.100000000000001</v>
      </c>
      <c r="I122" s="229">
        <v>7.4999999999999997E-3</v>
      </c>
      <c r="J122" s="231">
        <v>2163.1999999999998</v>
      </c>
      <c r="K122" s="231">
        <v>2140.6999999999998</v>
      </c>
      <c r="L122" s="228">
        <v>22.5</v>
      </c>
      <c r="M122" s="229">
        <v>1.0500000000000001E-2</v>
      </c>
      <c r="N122" s="231">
        <v>2161.6</v>
      </c>
      <c r="O122" s="231">
        <v>2145.5</v>
      </c>
      <c r="P122" s="228">
        <v>16.100000000000001</v>
      </c>
      <c r="Q122" s="229">
        <v>7.4999999999999997E-3</v>
      </c>
      <c r="R122" s="231">
        <v>2172.1999999999998</v>
      </c>
      <c r="S122" s="231">
        <v>2155.9</v>
      </c>
      <c r="T122" s="228">
        <v>16.3</v>
      </c>
      <c r="U122" s="229">
        <v>7.6E-3</v>
      </c>
      <c r="V122" s="231">
        <v>2185.6999999999998</v>
      </c>
      <c r="W122" s="231">
        <v>2168.1999999999998</v>
      </c>
      <c r="X122" s="228">
        <v>17.5</v>
      </c>
      <c r="Y122" s="229">
        <v>8.0999999999999996E-3</v>
      </c>
      <c r="Z122" s="228">
        <v>-1.6</v>
      </c>
      <c r="AA122" s="228">
        <v>4.8</v>
      </c>
      <c r="AB122" s="228">
        <v>-6.4</v>
      </c>
      <c r="AC122" s="229">
        <v>-6.9999999999999999E-4</v>
      </c>
      <c r="AD122" s="228">
        <v>-1.6</v>
      </c>
      <c r="AE122" s="228">
        <v>4.8</v>
      </c>
      <c r="AF122" s="228">
        <v>-6.4</v>
      </c>
      <c r="AG122" s="229">
        <v>-6.9999999999999999E-4</v>
      </c>
      <c r="AH122" s="228">
        <v>9</v>
      </c>
      <c r="AI122" s="228">
        <v>15.2</v>
      </c>
      <c r="AJ122" s="228">
        <v>-6.2</v>
      </c>
      <c r="AK122" s="229">
        <v>4.1999999999999997E-3</v>
      </c>
      <c r="AL122" s="228">
        <v>22.5</v>
      </c>
      <c r="AM122" s="228">
        <v>27.5</v>
      </c>
      <c r="AN122" s="228">
        <v>-5</v>
      </c>
      <c r="AO122" s="229">
        <v>1.04E-2</v>
      </c>
      <c r="AP122" s="231">
        <v>2171.41</v>
      </c>
      <c r="AQ122" s="231">
        <v>2182.52</v>
      </c>
      <c r="AR122" s="228">
        <v>0</v>
      </c>
      <c r="AS122" s="230">
        <v>1082</v>
      </c>
      <c r="AT122" s="228">
        <v>872</v>
      </c>
      <c r="AU122" s="228">
        <v>210</v>
      </c>
      <c r="AV122" s="229">
        <v>0.2407</v>
      </c>
      <c r="AW122" s="228">
        <v>548</v>
      </c>
      <c r="AX122" s="228">
        <v>499</v>
      </c>
      <c r="AY122" s="228">
        <v>49</v>
      </c>
      <c r="AZ122" s="229">
        <v>9.8100000000000007E-2</v>
      </c>
      <c r="BA122" s="228">
        <v>531</v>
      </c>
      <c r="BB122" s="228">
        <v>370</v>
      </c>
      <c r="BC122" s="228">
        <v>160</v>
      </c>
      <c r="BD122" s="229">
        <v>0.4335</v>
      </c>
      <c r="BE122" s="228">
        <v>3</v>
      </c>
      <c r="BF122" s="228">
        <v>3</v>
      </c>
      <c r="BG122" s="228">
        <v>0</v>
      </c>
      <c r="BH122" s="229">
        <v>0.1515</v>
      </c>
      <c r="BI122" s="228">
        <v>746</v>
      </c>
      <c r="BJ122" s="230">
        <v>1447</v>
      </c>
      <c r="BK122" s="228">
        <v>-701</v>
      </c>
      <c r="BL122" s="229">
        <v>-0.4844</v>
      </c>
      <c r="BM122" s="228">
        <v>407</v>
      </c>
      <c r="BN122" s="228">
        <v>580</v>
      </c>
      <c r="BO122" s="228">
        <v>-173</v>
      </c>
      <c r="BP122" s="229">
        <v>-0.29870000000000002</v>
      </c>
      <c r="BQ122" s="230">
        <v>2235</v>
      </c>
      <c r="BR122" s="230">
        <v>2900</v>
      </c>
      <c r="BS122" s="228">
        <v>-664</v>
      </c>
      <c r="BT122" s="229">
        <v>-0.22919999999999999</v>
      </c>
      <c r="BU122" s="230">
        <v>640930</v>
      </c>
      <c r="BV122" s="230">
        <v>1020389</v>
      </c>
      <c r="BW122" s="230">
        <v>-379459</v>
      </c>
      <c r="BX122" s="229">
        <v>-0.37190000000000001</v>
      </c>
      <c r="BY122" s="230">
        <v>1600</v>
      </c>
      <c r="BZ122" s="230">
        <v>1535</v>
      </c>
      <c r="CA122" s="228">
        <v>64</v>
      </c>
      <c r="CB122" s="229">
        <v>4.19E-2</v>
      </c>
      <c r="CC122" s="228">
        <v>808</v>
      </c>
      <c r="CD122" s="230">
        <v>1185</v>
      </c>
      <c r="CE122" s="228">
        <v>-377</v>
      </c>
      <c r="CF122" s="229">
        <v>-0.31790000000000002</v>
      </c>
      <c r="CG122" s="228">
        <v>782</v>
      </c>
      <c r="CH122" s="228">
        <v>342</v>
      </c>
      <c r="CI122" s="228">
        <v>440</v>
      </c>
      <c r="CJ122" s="229">
        <v>1.2859</v>
      </c>
      <c r="CK122" s="228">
        <v>9</v>
      </c>
      <c r="CL122" s="228">
        <v>8</v>
      </c>
      <c r="CM122" s="228">
        <v>1</v>
      </c>
      <c r="CN122" s="229">
        <v>0.1222</v>
      </c>
      <c r="CO122" s="228">
        <v>508</v>
      </c>
      <c r="CP122" s="228">
        <v>581</v>
      </c>
      <c r="CQ122" s="228">
        <v>-73</v>
      </c>
      <c r="CR122" s="229">
        <v>-0.12529999999999999</v>
      </c>
      <c r="CS122" s="228">
        <v>301</v>
      </c>
      <c r="CT122" s="228">
        <v>346</v>
      </c>
      <c r="CU122" s="228">
        <v>-45</v>
      </c>
      <c r="CV122" s="229">
        <v>-0.1303</v>
      </c>
      <c r="CW122" s="230">
        <v>2408</v>
      </c>
      <c r="CX122" s="230">
        <v>2462</v>
      </c>
      <c r="CY122" s="228">
        <v>-53</v>
      </c>
      <c r="CZ122" s="229">
        <v>-2.1700000000000001E-2</v>
      </c>
      <c r="DA122" s="228">
        <v>28.16</v>
      </c>
      <c r="DB122" s="228">
        <v>23.31</v>
      </c>
      <c r="DC122" s="228">
        <v>4.8499999999999996</v>
      </c>
      <c r="DD122" s="228">
        <v>4.8499999999999996</v>
      </c>
      <c r="DE122" s="228">
        <v>29.48</v>
      </c>
      <c r="DF122" s="228">
        <v>29.52</v>
      </c>
      <c r="DG122" s="228">
        <v>-1.32</v>
      </c>
      <c r="DH122" s="228">
        <v>-0.04</v>
      </c>
      <c r="DI122" s="228">
        <v>28.42</v>
      </c>
      <c r="DJ122" s="228">
        <v>24.11</v>
      </c>
      <c r="DK122" s="228">
        <v>4.3099999999999996</v>
      </c>
      <c r="DL122" s="228">
        <v>4.3099999999999996</v>
      </c>
      <c r="DM122" s="228">
        <v>27.7</v>
      </c>
      <c r="DN122" s="228">
        <v>21.32</v>
      </c>
      <c r="DO122" s="228">
        <v>6.38</v>
      </c>
      <c r="DP122" s="228">
        <v>6.38</v>
      </c>
      <c r="DQ122" s="228">
        <v>0.59</v>
      </c>
      <c r="DR122" s="228">
        <v>0.6</v>
      </c>
      <c r="DS122" s="228">
        <v>-0.01</v>
      </c>
      <c r="DT122" s="229">
        <v>-1.67E-2</v>
      </c>
      <c r="DU122" s="231">
        <v>2200</v>
      </c>
      <c r="DV122" s="231">
        <v>2100</v>
      </c>
      <c r="DW122" s="228">
        <v>0.55000000000000004</v>
      </c>
      <c r="DX122" s="228">
        <v>0.4</v>
      </c>
      <c r="DY122" s="228">
        <v>0.15</v>
      </c>
      <c r="DZ122" s="229">
        <v>0.375</v>
      </c>
      <c r="EA122" s="229">
        <v>0.49480000000000002</v>
      </c>
      <c r="EB122" s="230">
        <v>1621375</v>
      </c>
      <c r="EC122" s="229">
        <v>4.8999999999999998E-3</v>
      </c>
      <c r="ED122" s="229">
        <v>0.49480000000000002</v>
      </c>
      <c r="EE122" s="228">
        <v>11.11</v>
      </c>
      <c r="EF122" s="229">
        <v>5.1000000000000004E-3</v>
      </c>
      <c r="EG122" s="230">
        <v>394750</v>
      </c>
      <c r="EH122" s="230">
        <v>524801</v>
      </c>
      <c r="EI122" s="229">
        <v>-0.24779999999999999</v>
      </c>
      <c r="EJ122" s="229">
        <v>0.6159</v>
      </c>
      <c r="EK122" s="228">
        <v>768.97</v>
      </c>
      <c r="EL122" s="228">
        <v>403.66</v>
      </c>
      <c r="EM122" s="231">
        <v>1089.8800000000001</v>
      </c>
      <c r="EN122" s="228">
        <v>42.88</v>
      </c>
      <c r="EO122" s="231">
        <v>2262.5100000000002</v>
      </c>
      <c r="EP122" s="231">
        <v>2956.94</v>
      </c>
      <c r="EQ122" s="228">
        <v>-694.43</v>
      </c>
      <c r="ER122" s="229">
        <v>-0.23480000000000001</v>
      </c>
      <c r="ES122" s="228">
        <v>530.88</v>
      </c>
      <c r="ET122" s="228">
        <v>291.85000000000002</v>
      </c>
      <c r="EU122" s="231">
        <v>1603.55</v>
      </c>
      <c r="EV122" s="231">
        <v>36381777</v>
      </c>
      <c r="EW122" s="231">
        <v>2426.27</v>
      </c>
      <c r="EX122" s="231">
        <v>2466.5300000000002</v>
      </c>
      <c r="EY122" s="228">
        <v>-40.26</v>
      </c>
      <c r="EZ122" s="229">
        <v>-1.6299999999999999E-2</v>
      </c>
      <c r="FA122" s="229">
        <v>0.30620000000000003</v>
      </c>
      <c r="FB122" s="227" t="s">
        <v>555</v>
      </c>
      <c r="FC122">
        <f t="shared" si="1"/>
        <v>792</v>
      </c>
    </row>
    <row r="123" spans="1:159" ht="17.25" thickBot="1" x14ac:dyDescent="0.3">
      <c r="A123" s="226">
        <v>46044</v>
      </c>
      <c r="B123" s="227" t="s">
        <v>162</v>
      </c>
      <c r="C123" s="227" t="s">
        <v>251</v>
      </c>
      <c r="D123" s="228">
        <v>200</v>
      </c>
      <c r="E123" s="228">
        <v>5</v>
      </c>
      <c r="F123" s="231">
        <v>3579.7</v>
      </c>
      <c r="G123" s="231">
        <v>3551.7</v>
      </c>
      <c r="H123" s="228">
        <v>28</v>
      </c>
      <c r="I123" s="229">
        <v>7.9000000000000008E-3</v>
      </c>
      <c r="J123" s="231">
        <v>3573.7</v>
      </c>
      <c r="K123" s="231">
        <v>3553.3</v>
      </c>
      <c r="L123" s="228">
        <v>20.399999999999999</v>
      </c>
      <c r="M123" s="229">
        <v>5.7000000000000002E-3</v>
      </c>
      <c r="N123" s="231">
        <v>3579.7</v>
      </c>
      <c r="O123" s="231">
        <v>3551.7</v>
      </c>
      <c r="P123" s="228">
        <v>28</v>
      </c>
      <c r="Q123" s="229">
        <v>7.9000000000000008E-3</v>
      </c>
      <c r="R123" s="231">
        <v>3598.9</v>
      </c>
      <c r="S123" s="231">
        <v>3571</v>
      </c>
      <c r="T123" s="228">
        <v>27.9</v>
      </c>
      <c r="U123" s="229">
        <v>7.7999999999999996E-3</v>
      </c>
      <c r="V123" s="231">
        <v>3624.6</v>
      </c>
      <c r="W123" s="231">
        <v>3601.9</v>
      </c>
      <c r="X123" s="228">
        <v>22.7</v>
      </c>
      <c r="Y123" s="229">
        <v>6.3E-3</v>
      </c>
      <c r="Z123" s="228">
        <v>6</v>
      </c>
      <c r="AA123" s="228">
        <v>-1.6</v>
      </c>
      <c r="AB123" s="228">
        <v>7.6</v>
      </c>
      <c r="AC123" s="229">
        <v>1.6999999999999999E-3</v>
      </c>
      <c r="AD123" s="228">
        <v>6</v>
      </c>
      <c r="AE123" s="228">
        <v>-1.6</v>
      </c>
      <c r="AF123" s="228">
        <v>7.6</v>
      </c>
      <c r="AG123" s="229">
        <v>1.6999999999999999E-3</v>
      </c>
      <c r="AH123" s="228">
        <v>25.2</v>
      </c>
      <c r="AI123" s="228">
        <v>17.7</v>
      </c>
      <c r="AJ123" s="228">
        <v>7.5</v>
      </c>
      <c r="AK123" s="229">
        <v>7.1000000000000004E-3</v>
      </c>
      <c r="AL123" s="228">
        <v>50.9</v>
      </c>
      <c r="AM123" s="228">
        <v>48.6</v>
      </c>
      <c r="AN123" s="228">
        <v>2.2999999999999998</v>
      </c>
      <c r="AO123" s="229">
        <v>1.4200000000000001E-2</v>
      </c>
      <c r="AP123" s="231">
        <v>3568.34</v>
      </c>
      <c r="AQ123" s="231">
        <v>3588.18</v>
      </c>
      <c r="AR123" s="228">
        <v>0</v>
      </c>
      <c r="AS123" s="230">
        <v>5893</v>
      </c>
      <c r="AT123" s="230">
        <v>2946</v>
      </c>
      <c r="AU123" s="230">
        <v>2947</v>
      </c>
      <c r="AV123" s="229">
        <v>1.0003</v>
      </c>
      <c r="AW123" s="230">
        <v>2927</v>
      </c>
      <c r="AX123" s="230">
        <v>1554</v>
      </c>
      <c r="AY123" s="230">
        <v>1373</v>
      </c>
      <c r="AZ123" s="229">
        <v>0.88319999999999999</v>
      </c>
      <c r="BA123" s="230">
        <v>2732</v>
      </c>
      <c r="BB123" s="230">
        <v>1380</v>
      </c>
      <c r="BC123" s="230">
        <v>1353</v>
      </c>
      <c r="BD123" s="229">
        <v>0.98040000000000005</v>
      </c>
      <c r="BE123" s="228">
        <v>234</v>
      </c>
      <c r="BF123" s="228">
        <v>12</v>
      </c>
      <c r="BG123" s="228">
        <v>222</v>
      </c>
      <c r="BH123" s="229">
        <v>18.005800000000001</v>
      </c>
      <c r="BI123" s="230">
        <v>3075</v>
      </c>
      <c r="BJ123" s="230">
        <v>2887</v>
      </c>
      <c r="BK123" s="228">
        <v>189</v>
      </c>
      <c r="BL123" s="229">
        <v>6.5299999999999997E-2</v>
      </c>
      <c r="BM123" s="230">
        <v>1507</v>
      </c>
      <c r="BN123" s="230">
        <v>2000</v>
      </c>
      <c r="BO123" s="228">
        <v>-494</v>
      </c>
      <c r="BP123" s="229">
        <v>-0.24679999999999999</v>
      </c>
      <c r="BQ123" s="230">
        <v>10476</v>
      </c>
      <c r="BR123" s="230">
        <v>7834</v>
      </c>
      <c r="BS123" s="230">
        <v>2642</v>
      </c>
      <c r="BT123" s="229">
        <v>0.33729999999999999</v>
      </c>
      <c r="BU123" s="230">
        <v>2209391</v>
      </c>
      <c r="BV123" s="230">
        <v>1641658</v>
      </c>
      <c r="BW123" s="230">
        <v>567733</v>
      </c>
      <c r="BX123" s="229">
        <v>0.3458</v>
      </c>
      <c r="BY123" s="230">
        <v>6534</v>
      </c>
      <c r="BZ123" s="230">
        <v>6392</v>
      </c>
      <c r="CA123" s="228">
        <v>142</v>
      </c>
      <c r="CB123" s="229">
        <v>2.23E-2</v>
      </c>
      <c r="CC123" s="230">
        <v>2111</v>
      </c>
      <c r="CD123" s="230">
        <v>4608</v>
      </c>
      <c r="CE123" s="230">
        <v>-2497</v>
      </c>
      <c r="CF123" s="229">
        <v>-0.54179999999999995</v>
      </c>
      <c r="CG123" s="230">
        <v>3874</v>
      </c>
      <c r="CH123" s="230">
        <v>1461</v>
      </c>
      <c r="CI123" s="230">
        <v>2413</v>
      </c>
      <c r="CJ123" s="229">
        <v>1.6513</v>
      </c>
      <c r="CK123" s="228">
        <v>549</v>
      </c>
      <c r="CL123" s="228">
        <v>323</v>
      </c>
      <c r="CM123" s="228">
        <v>226</v>
      </c>
      <c r="CN123" s="229">
        <v>0.7006</v>
      </c>
      <c r="CO123" s="230">
        <v>1379</v>
      </c>
      <c r="CP123" s="230">
        <v>1575</v>
      </c>
      <c r="CQ123" s="228">
        <v>-196</v>
      </c>
      <c r="CR123" s="229">
        <v>-0.1245</v>
      </c>
      <c r="CS123" s="228">
        <v>827</v>
      </c>
      <c r="CT123" s="228">
        <v>848</v>
      </c>
      <c r="CU123" s="228">
        <v>-21</v>
      </c>
      <c r="CV123" s="229">
        <v>-2.52E-2</v>
      </c>
      <c r="CW123" s="230">
        <v>8740</v>
      </c>
      <c r="CX123" s="230">
        <v>8815</v>
      </c>
      <c r="CY123" s="228">
        <v>-75</v>
      </c>
      <c r="CZ123" s="229">
        <v>-8.5000000000000006E-3</v>
      </c>
      <c r="DA123" s="228">
        <v>26.68</v>
      </c>
      <c r="DB123" s="228">
        <v>24.63</v>
      </c>
      <c r="DC123" s="228">
        <v>2.0499999999999998</v>
      </c>
      <c r="DD123" s="228">
        <v>2.0499999999999998</v>
      </c>
      <c r="DE123" s="228">
        <v>30.92</v>
      </c>
      <c r="DF123" s="228">
        <v>30.99</v>
      </c>
      <c r="DG123" s="228">
        <v>-4.24</v>
      </c>
      <c r="DH123" s="228">
        <v>-7.0000000000000007E-2</v>
      </c>
      <c r="DI123" s="228">
        <v>26.55</v>
      </c>
      <c r="DJ123" s="228">
        <v>25.81</v>
      </c>
      <c r="DK123" s="228">
        <v>0.74</v>
      </c>
      <c r="DL123" s="228">
        <v>0.74</v>
      </c>
      <c r="DM123" s="228">
        <v>26.91</v>
      </c>
      <c r="DN123" s="228">
        <v>22.93</v>
      </c>
      <c r="DO123" s="228">
        <v>3.98</v>
      </c>
      <c r="DP123" s="228">
        <v>3.98</v>
      </c>
      <c r="DQ123" s="228">
        <v>0.6</v>
      </c>
      <c r="DR123" s="228">
        <v>0.54</v>
      </c>
      <c r="DS123" s="228">
        <v>0.06</v>
      </c>
      <c r="DT123" s="229">
        <v>0.1111</v>
      </c>
      <c r="DU123" s="231">
        <v>3800</v>
      </c>
      <c r="DV123" s="231">
        <v>3700</v>
      </c>
      <c r="DW123" s="228">
        <v>0.49</v>
      </c>
      <c r="DX123" s="228">
        <v>0.69</v>
      </c>
      <c r="DY123" s="228">
        <v>-0.2</v>
      </c>
      <c r="DZ123" s="229">
        <v>-0.28989999999999999</v>
      </c>
      <c r="EA123" s="229">
        <v>0.67689999999999995</v>
      </c>
      <c r="EB123" s="230">
        <v>4983400</v>
      </c>
      <c r="EC123" s="229">
        <v>5.4000000000000003E-3</v>
      </c>
      <c r="ED123" s="229">
        <v>0.67689999999999995</v>
      </c>
      <c r="EE123" s="228">
        <v>19.84</v>
      </c>
      <c r="EF123" s="229">
        <v>5.5999999999999999E-3</v>
      </c>
      <c r="EG123" s="230">
        <v>1268316</v>
      </c>
      <c r="EH123" s="230">
        <v>995827</v>
      </c>
      <c r="EI123" s="229">
        <v>0.27360000000000001</v>
      </c>
      <c r="EJ123" s="229">
        <v>0.57410000000000005</v>
      </c>
      <c r="EK123" s="231">
        <v>3190.55</v>
      </c>
      <c r="EL123" s="231">
        <v>1494.83</v>
      </c>
      <c r="EM123" s="231">
        <v>5891.75</v>
      </c>
      <c r="EN123" s="228">
        <v>196.72</v>
      </c>
      <c r="EO123" s="231">
        <v>10577.13</v>
      </c>
      <c r="EP123" s="231">
        <v>7920.69</v>
      </c>
      <c r="EQ123" s="231">
        <v>2656.44</v>
      </c>
      <c r="ER123" s="229">
        <v>0.33539999999999998</v>
      </c>
      <c r="ES123" s="231">
        <v>1462.4</v>
      </c>
      <c r="ET123" s="228">
        <v>823.1</v>
      </c>
      <c r="EU123" s="231">
        <v>6562.05</v>
      </c>
      <c r="EV123" s="231">
        <v>95452027</v>
      </c>
      <c r="EW123" s="231">
        <v>8847.5499999999993</v>
      </c>
      <c r="EX123" s="231">
        <v>8868.1299999999992</v>
      </c>
      <c r="EY123" s="228">
        <v>-20.58</v>
      </c>
      <c r="EZ123" s="229">
        <v>-2.3E-3</v>
      </c>
      <c r="FA123" s="229">
        <v>0.25580000000000003</v>
      </c>
      <c r="FB123" s="227" t="s">
        <v>555</v>
      </c>
      <c r="FC123">
        <f t="shared" si="1"/>
        <v>4423</v>
      </c>
    </row>
    <row r="124" spans="1:159" ht="17.25" thickBot="1" x14ac:dyDescent="0.3">
      <c r="A124" s="226">
        <v>46044</v>
      </c>
      <c r="B124" s="227" t="s">
        <v>175</v>
      </c>
      <c r="C124" s="227" t="s">
        <v>253</v>
      </c>
      <c r="D124" s="228">
        <v>3000</v>
      </c>
      <c r="E124" s="228">
        <v>5</v>
      </c>
      <c r="F124" s="228">
        <v>300.75</v>
      </c>
      <c r="G124" s="228">
        <v>298.5</v>
      </c>
      <c r="H124" s="228">
        <v>2.25</v>
      </c>
      <c r="I124" s="229">
        <v>7.4999999999999997E-3</v>
      </c>
      <c r="J124" s="228">
        <v>300.2</v>
      </c>
      <c r="K124" s="228">
        <v>298.55</v>
      </c>
      <c r="L124" s="228">
        <v>1.65</v>
      </c>
      <c r="M124" s="229">
        <v>5.4999999999999997E-3</v>
      </c>
      <c r="N124" s="228">
        <v>300.75</v>
      </c>
      <c r="O124" s="228">
        <v>298.5</v>
      </c>
      <c r="P124" s="228">
        <v>2.25</v>
      </c>
      <c r="Q124" s="229">
        <v>7.4999999999999997E-3</v>
      </c>
      <c r="R124" s="228">
        <v>301.60000000000002</v>
      </c>
      <c r="S124" s="228">
        <v>298.64999999999998</v>
      </c>
      <c r="T124" s="228">
        <v>2.95</v>
      </c>
      <c r="U124" s="229">
        <v>9.9000000000000008E-3</v>
      </c>
      <c r="V124" s="228">
        <v>303.3</v>
      </c>
      <c r="W124" s="228">
        <v>299.85000000000002</v>
      </c>
      <c r="X124" s="228">
        <v>3.45</v>
      </c>
      <c r="Y124" s="229">
        <v>1.15E-2</v>
      </c>
      <c r="Z124" s="228">
        <v>0.55000000000000004</v>
      </c>
      <c r="AA124" s="228">
        <v>-0.05</v>
      </c>
      <c r="AB124" s="228">
        <v>0.6</v>
      </c>
      <c r="AC124" s="229">
        <v>1.8E-3</v>
      </c>
      <c r="AD124" s="228">
        <v>0.55000000000000004</v>
      </c>
      <c r="AE124" s="228">
        <v>-0.05</v>
      </c>
      <c r="AF124" s="228">
        <v>0.6</v>
      </c>
      <c r="AG124" s="229">
        <v>1.8E-3</v>
      </c>
      <c r="AH124" s="228">
        <v>1.4</v>
      </c>
      <c r="AI124" s="228">
        <v>0.1</v>
      </c>
      <c r="AJ124" s="228">
        <v>1.3</v>
      </c>
      <c r="AK124" s="229">
        <v>4.7000000000000002E-3</v>
      </c>
      <c r="AL124" s="228">
        <v>3.1</v>
      </c>
      <c r="AM124" s="228">
        <v>1.3</v>
      </c>
      <c r="AN124" s="228">
        <v>1.8</v>
      </c>
      <c r="AO124" s="229">
        <v>1.03E-2</v>
      </c>
      <c r="AP124" s="228">
        <v>298.33999999999997</v>
      </c>
      <c r="AQ124" s="228">
        <v>299.16000000000003</v>
      </c>
      <c r="AR124" s="228">
        <v>0</v>
      </c>
      <c r="AS124" s="228">
        <v>996</v>
      </c>
      <c r="AT124" s="230">
        <v>1103</v>
      </c>
      <c r="AU124" s="228">
        <v>-107</v>
      </c>
      <c r="AV124" s="229">
        <v>-9.6600000000000005E-2</v>
      </c>
      <c r="AW124" s="228">
        <v>537</v>
      </c>
      <c r="AX124" s="228">
        <v>641</v>
      </c>
      <c r="AY124" s="228">
        <v>-104</v>
      </c>
      <c r="AZ124" s="229">
        <v>-0.16200000000000001</v>
      </c>
      <c r="BA124" s="228">
        <v>458</v>
      </c>
      <c r="BB124" s="228">
        <v>459</v>
      </c>
      <c r="BC124" s="228">
        <v>-1</v>
      </c>
      <c r="BD124" s="229">
        <v>-2.5999999999999999E-3</v>
      </c>
      <c r="BE124" s="228">
        <v>2</v>
      </c>
      <c r="BF124" s="228">
        <v>3</v>
      </c>
      <c r="BG124" s="228">
        <v>-2</v>
      </c>
      <c r="BH124" s="229">
        <v>-0.5</v>
      </c>
      <c r="BI124" s="230">
        <v>1482</v>
      </c>
      <c r="BJ124" s="230">
        <v>1933</v>
      </c>
      <c r="BK124" s="228">
        <v>-451</v>
      </c>
      <c r="BL124" s="229">
        <v>-0.23350000000000001</v>
      </c>
      <c r="BM124" s="228">
        <v>615</v>
      </c>
      <c r="BN124" s="228">
        <v>837</v>
      </c>
      <c r="BO124" s="228">
        <v>-222</v>
      </c>
      <c r="BP124" s="229">
        <v>-0.26490000000000002</v>
      </c>
      <c r="BQ124" s="230">
        <v>3093</v>
      </c>
      <c r="BR124" s="230">
        <v>3873</v>
      </c>
      <c r="BS124" s="228">
        <v>-780</v>
      </c>
      <c r="BT124" s="229">
        <v>-0.20130000000000001</v>
      </c>
      <c r="BU124" s="230">
        <v>3528937</v>
      </c>
      <c r="BV124" s="230">
        <v>6581734</v>
      </c>
      <c r="BW124" s="230">
        <v>-3052797</v>
      </c>
      <c r="BX124" s="229">
        <v>-0.46379999999999999</v>
      </c>
      <c r="BY124" s="230">
        <v>1306</v>
      </c>
      <c r="BZ124" s="230">
        <v>1364</v>
      </c>
      <c r="CA124" s="228">
        <v>-58</v>
      </c>
      <c r="CB124" s="229">
        <v>-4.2900000000000001E-2</v>
      </c>
      <c r="CC124" s="228">
        <v>742</v>
      </c>
      <c r="CD124" s="228">
        <v>999</v>
      </c>
      <c r="CE124" s="228">
        <v>-257</v>
      </c>
      <c r="CF124" s="229">
        <v>-0.25719999999999998</v>
      </c>
      <c r="CG124" s="228">
        <v>558</v>
      </c>
      <c r="CH124" s="228">
        <v>360</v>
      </c>
      <c r="CI124" s="228">
        <v>198</v>
      </c>
      <c r="CJ124" s="229">
        <v>0.55110000000000003</v>
      </c>
      <c r="CK124" s="228">
        <v>6</v>
      </c>
      <c r="CL124" s="228">
        <v>6</v>
      </c>
      <c r="CM124" s="228">
        <v>0</v>
      </c>
      <c r="CN124" s="229">
        <v>4.48E-2</v>
      </c>
      <c r="CO124" s="228">
        <v>888</v>
      </c>
      <c r="CP124" s="230">
        <v>1076</v>
      </c>
      <c r="CQ124" s="228">
        <v>-188</v>
      </c>
      <c r="CR124" s="229">
        <v>-0.17430000000000001</v>
      </c>
      <c r="CS124" s="228">
        <v>662</v>
      </c>
      <c r="CT124" s="228">
        <v>663</v>
      </c>
      <c r="CU124" s="228">
        <v>0</v>
      </c>
      <c r="CV124" s="229">
        <v>-2.9999999999999997E-4</v>
      </c>
      <c r="CW124" s="230">
        <v>2857</v>
      </c>
      <c r="CX124" s="230">
        <v>3103</v>
      </c>
      <c r="CY124" s="228">
        <v>-246</v>
      </c>
      <c r="CZ124" s="229">
        <v>-7.9399999999999998E-2</v>
      </c>
      <c r="DA124" s="228">
        <v>37.17</v>
      </c>
      <c r="DB124" s="228">
        <v>40.86</v>
      </c>
      <c r="DC124" s="228">
        <v>-3.69</v>
      </c>
      <c r="DD124" s="228">
        <v>-3.69</v>
      </c>
      <c r="DE124" s="228">
        <v>42.38</v>
      </c>
      <c r="DF124" s="228">
        <v>42.48</v>
      </c>
      <c r="DG124" s="228">
        <v>-5.21</v>
      </c>
      <c r="DH124" s="228">
        <v>-0.1</v>
      </c>
      <c r="DI124" s="228">
        <v>36.590000000000003</v>
      </c>
      <c r="DJ124" s="228">
        <v>41.02</v>
      </c>
      <c r="DK124" s="228">
        <v>-4.43</v>
      </c>
      <c r="DL124" s="228">
        <v>-4.43</v>
      </c>
      <c r="DM124" s="228">
        <v>38.159999999999997</v>
      </c>
      <c r="DN124" s="228">
        <v>40.5</v>
      </c>
      <c r="DO124" s="228">
        <v>-2.34</v>
      </c>
      <c r="DP124" s="228">
        <v>-2.34</v>
      </c>
      <c r="DQ124" s="228">
        <v>0.75</v>
      </c>
      <c r="DR124" s="228">
        <v>0.62</v>
      </c>
      <c r="DS124" s="228">
        <v>0.13</v>
      </c>
      <c r="DT124" s="229">
        <v>0.2097</v>
      </c>
      <c r="DU124" s="228">
        <v>325</v>
      </c>
      <c r="DV124" s="228">
        <v>280</v>
      </c>
      <c r="DW124" s="228">
        <v>0.42</v>
      </c>
      <c r="DX124" s="228">
        <v>0.43</v>
      </c>
      <c r="DY124" s="228">
        <v>-0.01</v>
      </c>
      <c r="DZ124" s="229">
        <v>-2.3300000000000001E-2</v>
      </c>
      <c r="EA124" s="229">
        <v>0.43190000000000001</v>
      </c>
      <c r="EB124" s="230">
        <v>12156000</v>
      </c>
      <c r="EC124" s="229">
        <v>2.8E-3</v>
      </c>
      <c r="ED124" s="229">
        <v>0.43190000000000001</v>
      </c>
      <c r="EE124" s="228">
        <v>0.82</v>
      </c>
      <c r="EF124" s="229">
        <v>2.7000000000000001E-3</v>
      </c>
      <c r="EG124" s="230">
        <v>1087478</v>
      </c>
      <c r="EH124" s="230">
        <v>2333452</v>
      </c>
      <c r="EI124" s="229">
        <v>-0.53400000000000003</v>
      </c>
      <c r="EJ124" s="229">
        <v>0.30819999999999997</v>
      </c>
      <c r="EK124" s="231">
        <v>1542.72</v>
      </c>
      <c r="EL124" s="228">
        <v>609.85</v>
      </c>
      <c r="EM124" s="228">
        <v>989.63</v>
      </c>
      <c r="EN124" s="228">
        <v>63.93</v>
      </c>
      <c r="EO124" s="231">
        <v>3142.2</v>
      </c>
      <c r="EP124" s="231">
        <v>3957.29</v>
      </c>
      <c r="EQ124" s="228">
        <v>-815.09</v>
      </c>
      <c r="ER124" s="229">
        <v>-0.20599999999999999</v>
      </c>
      <c r="ES124" s="228">
        <v>942.14</v>
      </c>
      <c r="ET124" s="228">
        <v>633.83000000000004</v>
      </c>
      <c r="EU124" s="231">
        <v>1307.46</v>
      </c>
      <c r="EV124" s="231">
        <v>82205057</v>
      </c>
      <c r="EW124" s="231">
        <v>2883.42</v>
      </c>
      <c r="EX124" s="231">
        <v>3129.17</v>
      </c>
      <c r="EY124" s="228">
        <v>-245.75</v>
      </c>
      <c r="EZ124" s="229">
        <v>-7.85E-2</v>
      </c>
      <c r="FA124" s="229">
        <v>1.1554</v>
      </c>
      <c r="FB124" s="227" t="s">
        <v>556</v>
      </c>
      <c r="FC124">
        <f t="shared" si="1"/>
        <v>564</v>
      </c>
    </row>
    <row r="125" spans="1:159" ht="17.25" thickBot="1" x14ac:dyDescent="0.3">
      <c r="A125" s="226">
        <v>46044</v>
      </c>
      <c r="B125" s="227" t="s">
        <v>170</v>
      </c>
      <c r="C125" s="227" t="s">
        <v>672</v>
      </c>
      <c r="D125" s="228">
        <v>225</v>
      </c>
      <c r="E125" s="228">
        <v>5</v>
      </c>
      <c r="F125" s="231">
        <v>2152.1999999999998</v>
      </c>
      <c r="G125" s="231">
        <v>2099.9</v>
      </c>
      <c r="H125" s="228">
        <v>52.3</v>
      </c>
      <c r="I125" s="229">
        <v>2.4899999999999999E-2</v>
      </c>
      <c r="J125" s="231">
        <v>2147</v>
      </c>
      <c r="K125" s="231">
        <v>2099.1</v>
      </c>
      <c r="L125" s="228">
        <v>47.9</v>
      </c>
      <c r="M125" s="229">
        <v>2.2800000000000001E-2</v>
      </c>
      <c r="N125" s="231">
        <v>2152.1999999999998</v>
      </c>
      <c r="O125" s="231">
        <v>2099.9</v>
      </c>
      <c r="P125" s="228">
        <v>52.3</v>
      </c>
      <c r="Q125" s="229">
        <v>2.4899999999999999E-2</v>
      </c>
      <c r="R125" s="231">
        <v>2158.1</v>
      </c>
      <c r="S125" s="231">
        <v>2105.5</v>
      </c>
      <c r="T125" s="228">
        <v>52.6</v>
      </c>
      <c r="U125" s="229">
        <v>2.5000000000000001E-2</v>
      </c>
      <c r="V125" s="231">
        <v>2171.8000000000002</v>
      </c>
      <c r="W125" s="231">
        <v>2116.6</v>
      </c>
      <c r="X125" s="228">
        <v>55.2</v>
      </c>
      <c r="Y125" s="229">
        <v>2.6100000000000002E-2</v>
      </c>
      <c r="Z125" s="228">
        <v>5.2</v>
      </c>
      <c r="AA125" s="228">
        <v>0.8</v>
      </c>
      <c r="AB125" s="228">
        <v>4.4000000000000004</v>
      </c>
      <c r="AC125" s="229">
        <v>2.3999999999999998E-3</v>
      </c>
      <c r="AD125" s="228">
        <v>5.2</v>
      </c>
      <c r="AE125" s="228">
        <v>0.8</v>
      </c>
      <c r="AF125" s="228">
        <v>4.4000000000000004</v>
      </c>
      <c r="AG125" s="229">
        <v>2.3999999999999998E-3</v>
      </c>
      <c r="AH125" s="228">
        <v>11.1</v>
      </c>
      <c r="AI125" s="228">
        <v>6.4</v>
      </c>
      <c r="AJ125" s="228">
        <v>4.7</v>
      </c>
      <c r="AK125" s="229">
        <v>5.1999999999999998E-3</v>
      </c>
      <c r="AL125" s="228">
        <v>24.8</v>
      </c>
      <c r="AM125" s="228">
        <v>17.5</v>
      </c>
      <c r="AN125" s="228">
        <v>7.3</v>
      </c>
      <c r="AO125" s="229">
        <v>1.1599999999999999E-2</v>
      </c>
      <c r="AP125" s="231">
        <v>2135.4899999999998</v>
      </c>
      <c r="AQ125" s="231">
        <v>2141.39</v>
      </c>
      <c r="AR125" s="228">
        <v>0</v>
      </c>
      <c r="AS125" s="228">
        <v>488</v>
      </c>
      <c r="AT125" s="228">
        <v>367</v>
      </c>
      <c r="AU125" s="228">
        <v>122</v>
      </c>
      <c r="AV125" s="229">
        <v>0.33169999999999999</v>
      </c>
      <c r="AW125" s="228">
        <v>249</v>
      </c>
      <c r="AX125" s="228">
        <v>213</v>
      </c>
      <c r="AY125" s="228">
        <v>36</v>
      </c>
      <c r="AZ125" s="229">
        <v>0.16789999999999999</v>
      </c>
      <c r="BA125" s="228">
        <v>239</v>
      </c>
      <c r="BB125" s="228">
        <v>152</v>
      </c>
      <c r="BC125" s="228">
        <v>86</v>
      </c>
      <c r="BD125" s="229">
        <v>0.56689999999999996</v>
      </c>
      <c r="BE125" s="228">
        <v>1</v>
      </c>
      <c r="BF125" s="228">
        <v>1</v>
      </c>
      <c r="BG125" s="228">
        <v>-1</v>
      </c>
      <c r="BH125" s="229">
        <v>-0.4783</v>
      </c>
      <c r="BI125" s="228">
        <v>214</v>
      </c>
      <c r="BJ125" s="228">
        <v>204</v>
      </c>
      <c r="BK125" s="228">
        <v>9</v>
      </c>
      <c r="BL125" s="229">
        <v>4.5499999999999999E-2</v>
      </c>
      <c r="BM125" s="228">
        <v>80</v>
      </c>
      <c r="BN125" s="228">
        <v>155</v>
      </c>
      <c r="BO125" s="228">
        <v>-76</v>
      </c>
      <c r="BP125" s="229">
        <v>-0.48720000000000002</v>
      </c>
      <c r="BQ125" s="228">
        <v>782</v>
      </c>
      <c r="BR125" s="228">
        <v>726</v>
      </c>
      <c r="BS125" s="228">
        <v>55</v>
      </c>
      <c r="BT125" s="229">
        <v>7.6100000000000001E-2</v>
      </c>
      <c r="BU125" s="230">
        <v>437896</v>
      </c>
      <c r="BV125" s="230">
        <v>528493</v>
      </c>
      <c r="BW125" s="230">
        <v>-90597</v>
      </c>
      <c r="BX125" s="229">
        <v>-0.1714</v>
      </c>
      <c r="BY125" s="228">
        <v>461</v>
      </c>
      <c r="BZ125" s="228">
        <v>467</v>
      </c>
      <c r="CA125" s="228">
        <v>-6</v>
      </c>
      <c r="CB125" s="229">
        <v>-1.24E-2</v>
      </c>
      <c r="CC125" s="228">
        <v>169</v>
      </c>
      <c r="CD125" s="228">
        <v>340</v>
      </c>
      <c r="CE125" s="228">
        <v>-170</v>
      </c>
      <c r="CF125" s="229">
        <v>-0.50129999999999997</v>
      </c>
      <c r="CG125" s="228">
        <v>288</v>
      </c>
      <c r="CH125" s="228">
        <v>123</v>
      </c>
      <c r="CI125" s="228">
        <v>164</v>
      </c>
      <c r="CJ125" s="229">
        <v>1.3342000000000001</v>
      </c>
      <c r="CK125" s="228">
        <v>4</v>
      </c>
      <c r="CL125" s="228">
        <v>4</v>
      </c>
      <c r="CM125" s="228">
        <v>0</v>
      </c>
      <c r="CN125" s="229">
        <v>1.18E-2</v>
      </c>
      <c r="CO125" s="228">
        <v>229</v>
      </c>
      <c r="CP125" s="228">
        <v>252</v>
      </c>
      <c r="CQ125" s="228">
        <v>-23</v>
      </c>
      <c r="CR125" s="229">
        <v>-8.9700000000000002E-2</v>
      </c>
      <c r="CS125" s="228">
        <v>132</v>
      </c>
      <c r="CT125" s="228">
        <v>151</v>
      </c>
      <c r="CU125" s="228">
        <v>-19</v>
      </c>
      <c r="CV125" s="229">
        <v>-0.12609999999999999</v>
      </c>
      <c r="CW125" s="228">
        <v>823</v>
      </c>
      <c r="CX125" s="228">
        <v>871</v>
      </c>
      <c r="CY125" s="228">
        <v>-48</v>
      </c>
      <c r="CZ125" s="229">
        <v>-5.4600000000000003E-2</v>
      </c>
      <c r="DA125" s="228">
        <v>30.21</v>
      </c>
      <c r="DB125" s="228">
        <v>31.89</v>
      </c>
      <c r="DC125" s="228">
        <v>-1.68</v>
      </c>
      <c r="DD125" s="228">
        <v>-1.68</v>
      </c>
      <c r="DE125" s="228">
        <v>32.479999999999997</v>
      </c>
      <c r="DF125" s="228">
        <v>32.39</v>
      </c>
      <c r="DG125" s="228">
        <v>-2.27</v>
      </c>
      <c r="DH125" s="228">
        <v>0.09</v>
      </c>
      <c r="DI125" s="228">
        <v>29.24</v>
      </c>
      <c r="DJ125" s="228">
        <v>33.07</v>
      </c>
      <c r="DK125" s="228">
        <v>-3.83</v>
      </c>
      <c r="DL125" s="228">
        <v>-3.83</v>
      </c>
      <c r="DM125" s="228">
        <v>31.88</v>
      </c>
      <c r="DN125" s="228">
        <v>30.35</v>
      </c>
      <c r="DO125" s="228">
        <v>1.53</v>
      </c>
      <c r="DP125" s="228">
        <v>1.53</v>
      </c>
      <c r="DQ125" s="228">
        <v>0.57999999999999996</v>
      </c>
      <c r="DR125" s="228">
        <v>0.6</v>
      </c>
      <c r="DS125" s="228">
        <v>-0.02</v>
      </c>
      <c r="DT125" s="229">
        <v>-3.3300000000000003E-2</v>
      </c>
      <c r="DU125" s="231">
        <v>2300</v>
      </c>
      <c r="DV125" s="231">
        <v>2200</v>
      </c>
      <c r="DW125" s="228">
        <v>0.37</v>
      </c>
      <c r="DX125" s="228">
        <v>0.76</v>
      </c>
      <c r="DY125" s="228">
        <v>-0.39</v>
      </c>
      <c r="DZ125" s="229">
        <v>-0.51319999999999999</v>
      </c>
      <c r="EA125" s="229">
        <v>0.63270000000000004</v>
      </c>
      <c r="EB125" s="230">
        <v>591975</v>
      </c>
      <c r="EC125" s="229">
        <v>2.7000000000000001E-3</v>
      </c>
      <c r="ED125" s="229">
        <v>0.63270000000000004</v>
      </c>
      <c r="EE125" s="228">
        <v>5.9</v>
      </c>
      <c r="EF125" s="229">
        <v>2.8E-3</v>
      </c>
      <c r="EG125" s="230">
        <v>254042</v>
      </c>
      <c r="EH125" s="230">
        <v>321733</v>
      </c>
      <c r="EI125" s="229">
        <v>-0.2104</v>
      </c>
      <c r="EJ125" s="229">
        <v>0.58009999999999995</v>
      </c>
      <c r="EK125" s="228">
        <v>223.23</v>
      </c>
      <c r="EL125" s="228">
        <v>75.95</v>
      </c>
      <c r="EM125" s="228">
        <v>485.18</v>
      </c>
      <c r="EN125" s="228">
        <v>40.18</v>
      </c>
      <c r="EO125" s="228">
        <v>784.36</v>
      </c>
      <c r="EP125" s="228">
        <v>723.27</v>
      </c>
      <c r="EQ125" s="228">
        <v>61.09</v>
      </c>
      <c r="ER125" s="229">
        <v>8.4500000000000006E-2</v>
      </c>
      <c r="ES125" s="228">
        <v>244.89</v>
      </c>
      <c r="ET125" s="228">
        <v>131.35</v>
      </c>
      <c r="EU125" s="228">
        <v>462.26</v>
      </c>
      <c r="EV125" s="231">
        <v>16919681</v>
      </c>
      <c r="EW125" s="228">
        <v>838.5</v>
      </c>
      <c r="EX125" s="228">
        <v>873.18</v>
      </c>
      <c r="EY125" s="228">
        <v>-34.68</v>
      </c>
      <c r="EZ125" s="229">
        <v>-3.9699999999999999E-2</v>
      </c>
      <c r="FA125" s="229">
        <v>0.22600000000000001</v>
      </c>
      <c r="FB125" s="227" t="s">
        <v>556</v>
      </c>
      <c r="FC125">
        <f t="shared" si="1"/>
        <v>292</v>
      </c>
    </row>
    <row r="126" spans="1:159" ht="17.25" thickBot="1" x14ac:dyDescent="0.3">
      <c r="A126" s="226">
        <v>46044</v>
      </c>
      <c r="B126" s="227" t="s">
        <v>168</v>
      </c>
      <c r="C126" s="227" t="s">
        <v>254</v>
      </c>
      <c r="D126" s="228">
        <v>1200</v>
      </c>
      <c r="E126" s="228">
        <v>5</v>
      </c>
      <c r="F126" s="228">
        <v>752.25</v>
      </c>
      <c r="G126" s="228">
        <v>747.95</v>
      </c>
      <c r="H126" s="228">
        <v>4.3</v>
      </c>
      <c r="I126" s="229">
        <v>5.7000000000000002E-3</v>
      </c>
      <c r="J126" s="228">
        <v>751.75</v>
      </c>
      <c r="K126" s="228">
        <v>747.95</v>
      </c>
      <c r="L126" s="228">
        <v>3.8</v>
      </c>
      <c r="M126" s="229">
        <v>5.1000000000000004E-3</v>
      </c>
      <c r="N126" s="228">
        <v>752.25</v>
      </c>
      <c r="O126" s="228">
        <v>747.95</v>
      </c>
      <c r="P126" s="228">
        <v>4.3</v>
      </c>
      <c r="Q126" s="229">
        <v>5.7000000000000002E-3</v>
      </c>
      <c r="R126" s="228">
        <v>756.2</v>
      </c>
      <c r="S126" s="228">
        <v>751.85</v>
      </c>
      <c r="T126" s="228">
        <v>4.3499999999999996</v>
      </c>
      <c r="U126" s="229">
        <v>5.7999999999999996E-3</v>
      </c>
      <c r="V126" s="228">
        <v>757.6</v>
      </c>
      <c r="W126" s="228">
        <v>753.2</v>
      </c>
      <c r="X126" s="228">
        <v>4.4000000000000004</v>
      </c>
      <c r="Y126" s="229">
        <v>5.7999999999999996E-3</v>
      </c>
      <c r="Z126" s="228">
        <v>0.5</v>
      </c>
      <c r="AA126" s="228">
        <v>0</v>
      </c>
      <c r="AB126" s="228">
        <v>0.5</v>
      </c>
      <c r="AC126" s="229">
        <v>6.9999999999999999E-4</v>
      </c>
      <c r="AD126" s="228">
        <v>0.5</v>
      </c>
      <c r="AE126" s="228">
        <v>0</v>
      </c>
      <c r="AF126" s="228">
        <v>0.5</v>
      </c>
      <c r="AG126" s="229">
        <v>6.9999999999999999E-4</v>
      </c>
      <c r="AH126" s="228">
        <v>4.45</v>
      </c>
      <c r="AI126" s="228">
        <v>3.9</v>
      </c>
      <c r="AJ126" s="228">
        <v>0.55000000000000004</v>
      </c>
      <c r="AK126" s="229">
        <v>5.8999999999999999E-3</v>
      </c>
      <c r="AL126" s="228">
        <v>5.85</v>
      </c>
      <c r="AM126" s="228">
        <v>5.25</v>
      </c>
      <c r="AN126" s="228">
        <v>0.6</v>
      </c>
      <c r="AO126" s="229">
        <v>7.7999999999999996E-3</v>
      </c>
      <c r="AP126" s="228">
        <v>752.71</v>
      </c>
      <c r="AQ126" s="228">
        <v>756.67</v>
      </c>
      <c r="AR126" s="228">
        <v>0</v>
      </c>
      <c r="AS126" s="230">
        <v>1991</v>
      </c>
      <c r="AT126" s="230">
        <v>1336</v>
      </c>
      <c r="AU126" s="228">
        <v>655</v>
      </c>
      <c r="AV126" s="229">
        <v>0.49009999999999998</v>
      </c>
      <c r="AW126" s="230">
        <v>1013</v>
      </c>
      <c r="AX126" s="228">
        <v>695</v>
      </c>
      <c r="AY126" s="228">
        <v>318</v>
      </c>
      <c r="AZ126" s="229">
        <v>0.45739999999999997</v>
      </c>
      <c r="BA126" s="228">
        <v>978</v>
      </c>
      <c r="BB126" s="228">
        <v>640</v>
      </c>
      <c r="BC126" s="228">
        <v>338</v>
      </c>
      <c r="BD126" s="229">
        <v>0.52790000000000004</v>
      </c>
      <c r="BE126" s="228">
        <v>0</v>
      </c>
      <c r="BF126" s="228">
        <v>1</v>
      </c>
      <c r="BG126" s="228">
        <v>-1</v>
      </c>
      <c r="BH126" s="229">
        <v>-0.83330000000000004</v>
      </c>
      <c r="BI126" s="228">
        <v>513</v>
      </c>
      <c r="BJ126" s="228">
        <v>449</v>
      </c>
      <c r="BK126" s="228">
        <v>64</v>
      </c>
      <c r="BL126" s="229">
        <v>0.14269999999999999</v>
      </c>
      <c r="BM126" s="228">
        <v>161</v>
      </c>
      <c r="BN126" s="228">
        <v>179</v>
      </c>
      <c r="BO126" s="228">
        <v>-18</v>
      </c>
      <c r="BP126" s="229">
        <v>-0.10009999999999999</v>
      </c>
      <c r="BQ126" s="230">
        <v>2665</v>
      </c>
      <c r="BR126" s="230">
        <v>1964</v>
      </c>
      <c r="BS126" s="228">
        <v>701</v>
      </c>
      <c r="BT126" s="229">
        <v>0.35699999999999998</v>
      </c>
      <c r="BU126" s="230">
        <v>2539717</v>
      </c>
      <c r="BV126" s="230">
        <v>1391156</v>
      </c>
      <c r="BW126" s="230">
        <v>1148561</v>
      </c>
      <c r="BX126" s="229">
        <v>0.8256</v>
      </c>
      <c r="BY126" s="230">
        <v>2480</v>
      </c>
      <c r="BZ126" s="230">
        <v>2435</v>
      </c>
      <c r="CA126" s="228">
        <v>45</v>
      </c>
      <c r="CB126" s="229">
        <v>1.8599999999999998E-2</v>
      </c>
      <c r="CC126" s="228">
        <v>949</v>
      </c>
      <c r="CD126" s="230">
        <v>1823</v>
      </c>
      <c r="CE126" s="228">
        <v>-874</v>
      </c>
      <c r="CF126" s="229">
        <v>-0.47939999999999999</v>
      </c>
      <c r="CG126" s="230">
        <v>1528</v>
      </c>
      <c r="CH126" s="228">
        <v>609</v>
      </c>
      <c r="CI126" s="228">
        <v>919</v>
      </c>
      <c r="CJ126" s="229">
        <v>1.5089999999999999</v>
      </c>
      <c r="CK126" s="228">
        <v>3</v>
      </c>
      <c r="CL126" s="228">
        <v>3</v>
      </c>
      <c r="CM126" s="228">
        <v>0</v>
      </c>
      <c r="CN126" s="229">
        <v>3.5700000000000003E-2</v>
      </c>
      <c r="CO126" s="228">
        <v>546</v>
      </c>
      <c r="CP126" s="228">
        <v>565</v>
      </c>
      <c r="CQ126" s="228">
        <v>-20</v>
      </c>
      <c r="CR126" s="229">
        <v>-3.4799999999999998E-2</v>
      </c>
      <c r="CS126" s="228">
        <v>282</v>
      </c>
      <c r="CT126" s="228">
        <v>309</v>
      </c>
      <c r="CU126" s="228">
        <v>-27</v>
      </c>
      <c r="CV126" s="229">
        <v>-8.6800000000000002E-2</v>
      </c>
      <c r="CW126" s="230">
        <v>3308</v>
      </c>
      <c r="CX126" s="230">
        <v>3309</v>
      </c>
      <c r="CY126" s="228">
        <v>-1</v>
      </c>
      <c r="CZ126" s="229">
        <v>-4.0000000000000002E-4</v>
      </c>
      <c r="DA126" s="228">
        <v>25.11</v>
      </c>
      <c r="DB126" s="228">
        <v>21.96</v>
      </c>
      <c r="DC126" s="228">
        <v>3.15</v>
      </c>
      <c r="DD126" s="228">
        <v>3.15</v>
      </c>
      <c r="DE126" s="228">
        <v>24.28</v>
      </c>
      <c r="DF126" s="228">
        <v>24.34</v>
      </c>
      <c r="DG126" s="228">
        <v>0.83</v>
      </c>
      <c r="DH126" s="228">
        <v>-0.06</v>
      </c>
      <c r="DI126" s="228">
        <v>25.1</v>
      </c>
      <c r="DJ126" s="228">
        <v>22.2</v>
      </c>
      <c r="DK126" s="228">
        <v>2.9</v>
      </c>
      <c r="DL126" s="228">
        <v>2.9</v>
      </c>
      <c r="DM126" s="228">
        <v>25.13</v>
      </c>
      <c r="DN126" s="228">
        <v>21.36</v>
      </c>
      <c r="DO126" s="228">
        <v>3.77</v>
      </c>
      <c r="DP126" s="228">
        <v>3.77</v>
      </c>
      <c r="DQ126" s="228">
        <v>0.52</v>
      </c>
      <c r="DR126" s="228">
        <v>0.55000000000000004</v>
      </c>
      <c r="DS126" s="228">
        <v>-0.03</v>
      </c>
      <c r="DT126" s="229">
        <v>-5.45E-2</v>
      </c>
      <c r="DU126" s="228">
        <v>785</v>
      </c>
      <c r="DV126" s="228">
        <v>730</v>
      </c>
      <c r="DW126" s="228">
        <v>0.31</v>
      </c>
      <c r="DX126" s="228">
        <v>0.4</v>
      </c>
      <c r="DY126" s="228">
        <v>-0.09</v>
      </c>
      <c r="DZ126" s="229">
        <v>-0.22500000000000001</v>
      </c>
      <c r="EA126" s="229">
        <v>0.61729999999999996</v>
      </c>
      <c r="EB126" s="230">
        <v>8131200</v>
      </c>
      <c r="EC126" s="229">
        <v>5.3E-3</v>
      </c>
      <c r="ED126" s="229">
        <v>0.61729999999999996</v>
      </c>
      <c r="EE126" s="228">
        <v>3.96</v>
      </c>
      <c r="EF126" s="229">
        <v>5.3E-3</v>
      </c>
      <c r="EG126" s="230">
        <v>1712602</v>
      </c>
      <c r="EH126" s="230">
        <v>753340</v>
      </c>
      <c r="EI126" s="229">
        <v>1.2733000000000001</v>
      </c>
      <c r="EJ126" s="229">
        <v>0.67430000000000001</v>
      </c>
      <c r="EK126" s="228">
        <v>524.66999999999996</v>
      </c>
      <c r="EL126" s="228">
        <v>158.79</v>
      </c>
      <c r="EM126" s="231">
        <v>1997.82</v>
      </c>
      <c r="EN126" s="228">
        <v>51.87</v>
      </c>
      <c r="EO126" s="231">
        <v>2681.27</v>
      </c>
      <c r="EP126" s="231">
        <v>1969.98</v>
      </c>
      <c r="EQ126" s="228">
        <v>711.3</v>
      </c>
      <c r="ER126" s="229">
        <v>0.36109999999999998</v>
      </c>
      <c r="ES126" s="228">
        <v>575.67999999999995</v>
      </c>
      <c r="ET126" s="228">
        <v>273.72000000000003</v>
      </c>
      <c r="EU126" s="231">
        <v>2488.12</v>
      </c>
      <c r="EV126" s="231">
        <v>79442217</v>
      </c>
      <c r="EW126" s="231">
        <v>3337.52</v>
      </c>
      <c r="EX126" s="231">
        <v>3320.5</v>
      </c>
      <c r="EY126" s="228">
        <v>17.02</v>
      </c>
      <c r="EZ126" s="229">
        <v>5.1000000000000004E-3</v>
      </c>
      <c r="FA126" s="229">
        <v>0.55349999999999999</v>
      </c>
      <c r="FB126" s="227" t="s">
        <v>555</v>
      </c>
      <c r="FC126">
        <f t="shared" si="1"/>
        <v>1531</v>
      </c>
    </row>
    <row r="127" spans="1:159" ht="17.25" thickBot="1" x14ac:dyDescent="0.3">
      <c r="A127" s="226">
        <v>46044</v>
      </c>
      <c r="B127" s="227" t="s">
        <v>162</v>
      </c>
      <c r="C127" s="227" t="s">
        <v>255</v>
      </c>
      <c r="D127" s="228">
        <v>50</v>
      </c>
      <c r="E127" s="228">
        <v>5</v>
      </c>
      <c r="F127" s="231">
        <v>15752</v>
      </c>
      <c r="G127" s="231">
        <v>15793</v>
      </c>
      <c r="H127" s="228">
        <v>-41</v>
      </c>
      <c r="I127" s="229">
        <v>-2.5999999999999999E-3</v>
      </c>
      <c r="J127" s="231">
        <v>15765</v>
      </c>
      <c r="K127" s="231">
        <v>15770</v>
      </c>
      <c r="L127" s="228">
        <v>-5</v>
      </c>
      <c r="M127" s="229">
        <v>-2.9999999999999997E-4</v>
      </c>
      <c r="N127" s="231">
        <v>15752</v>
      </c>
      <c r="O127" s="231">
        <v>15793</v>
      </c>
      <c r="P127" s="228">
        <v>-41</v>
      </c>
      <c r="Q127" s="229">
        <v>-2.5999999999999999E-3</v>
      </c>
      <c r="R127" s="231">
        <v>15837</v>
      </c>
      <c r="S127" s="231">
        <v>15880</v>
      </c>
      <c r="T127" s="228">
        <v>-43</v>
      </c>
      <c r="U127" s="229">
        <v>-2.7000000000000001E-3</v>
      </c>
      <c r="V127" s="231">
        <v>15951</v>
      </c>
      <c r="W127" s="231">
        <v>16001</v>
      </c>
      <c r="X127" s="228">
        <v>-50</v>
      </c>
      <c r="Y127" s="229">
        <v>-3.0999999999999999E-3</v>
      </c>
      <c r="Z127" s="228">
        <v>-13</v>
      </c>
      <c r="AA127" s="228">
        <v>23</v>
      </c>
      <c r="AB127" s="228">
        <v>-36</v>
      </c>
      <c r="AC127" s="229">
        <v>-8.0000000000000004E-4</v>
      </c>
      <c r="AD127" s="228">
        <v>-13</v>
      </c>
      <c r="AE127" s="228">
        <v>23</v>
      </c>
      <c r="AF127" s="228">
        <v>-36</v>
      </c>
      <c r="AG127" s="229">
        <v>-8.0000000000000004E-4</v>
      </c>
      <c r="AH127" s="228">
        <v>72</v>
      </c>
      <c r="AI127" s="228">
        <v>110</v>
      </c>
      <c r="AJ127" s="228">
        <v>-38</v>
      </c>
      <c r="AK127" s="229">
        <v>4.5999999999999999E-3</v>
      </c>
      <c r="AL127" s="228">
        <v>186</v>
      </c>
      <c r="AM127" s="228">
        <v>231</v>
      </c>
      <c r="AN127" s="228">
        <v>-45</v>
      </c>
      <c r="AO127" s="229">
        <v>1.18E-2</v>
      </c>
      <c r="AP127" s="231">
        <v>15787.58</v>
      </c>
      <c r="AQ127" s="231">
        <v>15871.08</v>
      </c>
      <c r="AR127" s="228">
        <v>0</v>
      </c>
      <c r="AS127" s="230">
        <v>3818</v>
      </c>
      <c r="AT127" s="230">
        <v>2879</v>
      </c>
      <c r="AU127" s="228">
        <v>938</v>
      </c>
      <c r="AV127" s="229">
        <v>0.32590000000000002</v>
      </c>
      <c r="AW127" s="230">
        <v>2025</v>
      </c>
      <c r="AX127" s="230">
        <v>1572</v>
      </c>
      <c r="AY127" s="228">
        <v>453</v>
      </c>
      <c r="AZ127" s="229">
        <v>0.28820000000000001</v>
      </c>
      <c r="BA127" s="230">
        <v>1783</v>
      </c>
      <c r="BB127" s="230">
        <v>1301</v>
      </c>
      <c r="BC127" s="228">
        <v>482</v>
      </c>
      <c r="BD127" s="229">
        <v>0.37019999999999997</v>
      </c>
      <c r="BE127" s="228">
        <v>10</v>
      </c>
      <c r="BF127" s="228">
        <v>6</v>
      </c>
      <c r="BG127" s="228">
        <v>4</v>
      </c>
      <c r="BH127" s="229">
        <v>0.58230000000000004</v>
      </c>
      <c r="BI127" s="230">
        <v>9473</v>
      </c>
      <c r="BJ127" s="230">
        <v>8949</v>
      </c>
      <c r="BK127" s="228">
        <v>524</v>
      </c>
      <c r="BL127" s="229">
        <v>5.8500000000000003E-2</v>
      </c>
      <c r="BM127" s="230">
        <v>4054</v>
      </c>
      <c r="BN127" s="230">
        <v>4948</v>
      </c>
      <c r="BO127" s="228">
        <v>-894</v>
      </c>
      <c r="BP127" s="229">
        <v>-0.1807</v>
      </c>
      <c r="BQ127" s="230">
        <v>17345</v>
      </c>
      <c r="BR127" s="230">
        <v>16777</v>
      </c>
      <c r="BS127" s="228">
        <v>568</v>
      </c>
      <c r="BT127" s="229">
        <v>3.39E-2</v>
      </c>
      <c r="BU127" s="230">
        <v>359288</v>
      </c>
      <c r="BV127" s="230">
        <v>364909</v>
      </c>
      <c r="BW127" s="230">
        <v>-5621</v>
      </c>
      <c r="BX127" s="229">
        <v>-1.54E-2</v>
      </c>
      <c r="BY127" s="230">
        <v>4825</v>
      </c>
      <c r="BZ127" s="230">
        <v>4864</v>
      </c>
      <c r="CA127" s="228">
        <v>-39</v>
      </c>
      <c r="CB127" s="229">
        <v>-7.9000000000000008E-3</v>
      </c>
      <c r="CC127" s="230">
        <v>1581</v>
      </c>
      <c r="CD127" s="230">
        <v>3014</v>
      </c>
      <c r="CE127" s="230">
        <v>-1433</v>
      </c>
      <c r="CF127" s="229">
        <v>-0.47560000000000002</v>
      </c>
      <c r="CG127" s="230">
        <v>3077</v>
      </c>
      <c r="CH127" s="230">
        <v>1688</v>
      </c>
      <c r="CI127" s="230">
        <v>1390</v>
      </c>
      <c r="CJ127" s="229">
        <v>0.82340000000000002</v>
      </c>
      <c r="CK127" s="228">
        <v>167</v>
      </c>
      <c r="CL127" s="228">
        <v>162</v>
      </c>
      <c r="CM127" s="228">
        <v>5</v>
      </c>
      <c r="CN127" s="229">
        <v>3.2199999999999999E-2</v>
      </c>
      <c r="CO127" s="230">
        <v>4292</v>
      </c>
      <c r="CP127" s="230">
        <v>4573</v>
      </c>
      <c r="CQ127" s="228">
        <v>-280</v>
      </c>
      <c r="CR127" s="229">
        <v>-6.13E-2</v>
      </c>
      <c r="CS127" s="230">
        <v>1559</v>
      </c>
      <c r="CT127" s="230">
        <v>1664</v>
      </c>
      <c r="CU127" s="228">
        <v>-104</v>
      </c>
      <c r="CV127" s="229">
        <v>-6.2700000000000006E-2</v>
      </c>
      <c r="CW127" s="230">
        <v>10677</v>
      </c>
      <c r="CX127" s="230">
        <v>11100</v>
      </c>
      <c r="CY127" s="228">
        <v>-423</v>
      </c>
      <c r="CZ127" s="229">
        <v>-3.8100000000000002E-2</v>
      </c>
      <c r="DA127" s="228">
        <v>24.53</v>
      </c>
      <c r="DB127" s="228">
        <v>21.46</v>
      </c>
      <c r="DC127" s="228">
        <v>3.07</v>
      </c>
      <c r="DD127" s="228">
        <v>3.07</v>
      </c>
      <c r="DE127" s="228">
        <v>24.39</v>
      </c>
      <c r="DF127" s="228">
        <v>24.45</v>
      </c>
      <c r="DG127" s="228">
        <v>0.14000000000000001</v>
      </c>
      <c r="DH127" s="228">
        <v>-0.06</v>
      </c>
      <c r="DI127" s="228">
        <v>24.53</v>
      </c>
      <c r="DJ127" s="228">
        <v>22.78</v>
      </c>
      <c r="DK127" s="228">
        <v>1.75</v>
      </c>
      <c r="DL127" s="228">
        <v>1.75</v>
      </c>
      <c r="DM127" s="228">
        <v>24.53</v>
      </c>
      <c r="DN127" s="228">
        <v>19.059999999999999</v>
      </c>
      <c r="DO127" s="228">
        <v>5.47</v>
      </c>
      <c r="DP127" s="228">
        <v>5.47</v>
      </c>
      <c r="DQ127" s="228">
        <v>0.36</v>
      </c>
      <c r="DR127" s="228">
        <v>0.36</v>
      </c>
      <c r="DS127" s="228">
        <v>0</v>
      </c>
      <c r="DT127" s="229">
        <v>0</v>
      </c>
      <c r="DU127" s="231">
        <v>17000</v>
      </c>
      <c r="DV127" s="231">
        <v>16000</v>
      </c>
      <c r="DW127" s="228">
        <v>0.43</v>
      </c>
      <c r="DX127" s="228">
        <v>0.55000000000000004</v>
      </c>
      <c r="DY127" s="228">
        <v>-0.12</v>
      </c>
      <c r="DZ127" s="229">
        <v>-0.21820000000000001</v>
      </c>
      <c r="EA127" s="229">
        <v>0.6724</v>
      </c>
      <c r="EB127" s="230">
        <v>1174050</v>
      </c>
      <c r="EC127" s="229">
        <v>5.4000000000000003E-3</v>
      </c>
      <c r="ED127" s="229">
        <v>0.6724</v>
      </c>
      <c r="EE127" s="228">
        <v>83.5</v>
      </c>
      <c r="EF127" s="229">
        <v>5.3E-3</v>
      </c>
      <c r="EG127" s="230">
        <v>204779</v>
      </c>
      <c r="EH127" s="230">
        <v>200605</v>
      </c>
      <c r="EI127" s="229">
        <v>2.0799999999999999E-2</v>
      </c>
      <c r="EJ127" s="229">
        <v>0.56999999999999995</v>
      </c>
      <c r="EK127" s="231">
        <v>9846.86</v>
      </c>
      <c r="EL127" s="231">
        <v>4048.37</v>
      </c>
      <c r="EM127" s="231">
        <v>3835.78</v>
      </c>
      <c r="EN127" s="228">
        <v>196.68</v>
      </c>
      <c r="EO127" s="231">
        <v>17731.009999999998</v>
      </c>
      <c r="EP127" s="231">
        <v>17217.91</v>
      </c>
      <c r="EQ127" s="228">
        <v>513.1</v>
      </c>
      <c r="ER127" s="229">
        <v>2.98E-2</v>
      </c>
      <c r="ES127" s="231">
        <v>4579.3100000000004</v>
      </c>
      <c r="ET127" s="231">
        <v>1572.4</v>
      </c>
      <c r="EU127" s="231">
        <v>4843.71</v>
      </c>
      <c r="EV127" s="231">
        <v>17687048</v>
      </c>
      <c r="EW127" s="231">
        <v>10995.42</v>
      </c>
      <c r="EX127" s="231">
        <v>11460.35</v>
      </c>
      <c r="EY127" s="228">
        <v>-464.93</v>
      </c>
      <c r="EZ127" s="229">
        <v>-4.0599999999999997E-2</v>
      </c>
      <c r="FA127" s="229">
        <v>0.38319999999999999</v>
      </c>
      <c r="FB127" s="227" t="s">
        <v>568</v>
      </c>
      <c r="FC127">
        <f t="shared" si="1"/>
        <v>3244</v>
      </c>
    </row>
    <row r="128" spans="1:159" ht="17.25" thickBot="1" x14ac:dyDescent="0.3">
      <c r="A128" s="226">
        <v>46044</v>
      </c>
      <c r="B128" s="227" t="s">
        <v>170</v>
      </c>
      <c r="C128" s="227" t="s">
        <v>603</v>
      </c>
      <c r="D128" s="228">
        <v>525</v>
      </c>
      <c r="E128" s="228">
        <v>5</v>
      </c>
      <c r="F128" s="228">
        <v>998.4</v>
      </c>
      <c r="G128" s="231">
        <v>1003.5</v>
      </c>
      <c r="H128" s="228">
        <v>-5.0999999999999996</v>
      </c>
      <c r="I128" s="229">
        <v>-5.1000000000000004E-3</v>
      </c>
      <c r="J128" s="228">
        <v>998.8</v>
      </c>
      <c r="K128" s="231">
        <v>1004.2</v>
      </c>
      <c r="L128" s="228">
        <v>-5.4</v>
      </c>
      <c r="M128" s="229">
        <v>-5.4000000000000003E-3</v>
      </c>
      <c r="N128" s="228">
        <v>998.4</v>
      </c>
      <c r="O128" s="231">
        <v>1003.5</v>
      </c>
      <c r="P128" s="228">
        <v>-5.0999999999999996</v>
      </c>
      <c r="Q128" s="229">
        <v>-5.1000000000000004E-3</v>
      </c>
      <c r="R128" s="231">
        <v>1003.6</v>
      </c>
      <c r="S128" s="231">
        <v>1008.9</v>
      </c>
      <c r="T128" s="228">
        <v>-5.3</v>
      </c>
      <c r="U128" s="229">
        <v>-5.3E-3</v>
      </c>
      <c r="V128" s="231">
        <v>1011</v>
      </c>
      <c r="W128" s="231">
        <v>1015.8</v>
      </c>
      <c r="X128" s="228">
        <v>-4.8</v>
      </c>
      <c r="Y128" s="229">
        <v>-4.7000000000000002E-3</v>
      </c>
      <c r="Z128" s="228">
        <v>-0.4</v>
      </c>
      <c r="AA128" s="228">
        <v>-0.7</v>
      </c>
      <c r="AB128" s="228">
        <v>0.3</v>
      </c>
      <c r="AC128" s="229">
        <v>-4.0000000000000002E-4</v>
      </c>
      <c r="AD128" s="228">
        <v>-0.4</v>
      </c>
      <c r="AE128" s="228">
        <v>-0.7</v>
      </c>
      <c r="AF128" s="228">
        <v>0.3</v>
      </c>
      <c r="AG128" s="229">
        <v>-4.0000000000000002E-4</v>
      </c>
      <c r="AH128" s="228">
        <v>4.8</v>
      </c>
      <c r="AI128" s="228">
        <v>4.7</v>
      </c>
      <c r="AJ128" s="228">
        <v>0.1</v>
      </c>
      <c r="AK128" s="229">
        <v>4.7999999999999996E-3</v>
      </c>
      <c r="AL128" s="228">
        <v>12.2</v>
      </c>
      <c r="AM128" s="228">
        <v>11.6</v>
      </c>
      <c r="AN128" s="228">
        <v>0.6</v>
      </c>
      <c r="AO128" s="229">
        <v>1.2200000000000001E-2</v>
      </c>
      <c r="AP128" s="228">
        <v>997.43</v>
      </c>
      <c r="AQ128" s="231">
        <v>1002.57</v>
      </c>
      <c r="AR128" s="228">
        <v>0</v>
      </c>
      <c r="AS128" s="230">
        <v>1544</v>
      </c>
      <c r="AT128" s="230">
        <v>1272</v>
      </c>
      <c r="AU128" s="228">
        <v>272</v>
      </c>
      <c r="AV128" s="229">
        <v>0.2142</v>
      </c>
      <c r="AW128" s="228">
        <v>777</v>
      </c>
      <c r="AX128" s="228">
        <v>691</v>
      </c>
      <c r="AY128" s="228">
        <v>86</v>
      </c>
      <c r="AZ128" s="229">
        <v>0.1242</v>
      </c>
      <c r="BA128" s="228">
        <v>765</v>
      </c>
      <c r="BB128" s="228">
        <v>579</v>
      </c>
      <c r="BC128" s="228">
        <v>187</v>
      </c>
      <c r="BD128" s="229">
        <v>0.32250000000000001</v>
      </c>
      <c r="BE128" s="228">
        <v>2</v>
      </c>
      <c r="BF128" s="228">
        <v>2</v>
      </c>
      <c r="BG128" s="228">
        <v>0</v>
      </c>
      <c r="BH128" s="229">
        <v>-0.05</v>
      </c>
      <c r="BI128" s="228">
        <v>472</v>
      </c>
      <c r="BJ128" s="228">
        <v>577</v>
      </c>
      <c r="BK128" s="228">
        <v>-105</v>
      </c>
      <c r="BL128" s="229">
        <v>-0.1817</v>
      </c>
      <c r="BM128" s="228">
        <v>197</v>
      </c>
      <c r="BN128" s="228">
        <v>326</v>
      </c>
      <c r="BO128" s="228">
        <v>-129</v>
      </c>
      <c r="BP128" s="229">
        <v>-0.39450000000000002</v>
      </c>
      <c r="BQ128" s="230">
        <v>2214</v>
      </c>
      <c r="BR128" s="230">
        <v>2175</v>
      </c>
      <c r="BS128" s="228">
        <v>39</v>
      </c>
      <c r="BT128" s="229">
        <v>1.7899999999999999E-2</v>
      </c>
      <c r="BU128" s="230">
        <v>2648043</v>
      </c>
      <c r="BV128" s="230">
        <v>3123048</v>
      </c>
      <c r="BW128" s="230">
        <v>-475005</v>
      </c>
      <c r="BX128" s="229">
        <v>-0.15210000000000001</v>
      </c>
      <c r="BY128" s="230">
        <v>1948</v>
      </c>
      <c r="BZ128" s="230">
        <v>1955</v>
      </c>
      <c r="CA128" s="228">
        <v>-6</v>
      </c>
      <c r="CB128" s="229">
        <v>-3.3E-3</v>
      </c>
      <c r="CC128" s="228">
        <v>766</v>
      </c>
      <c r="CD128" s="230">
        <v>1430</v>
      </c>
      <c r="CE128" s="228">
        <v>-664</v>
      </c>
      <c r="CF128" s="229">
        <v>-0.46410000000000001</v>
      </c>
      <c r="CG128" s="230">
        <v>1129</v>
      </c>
      <c r="CH128" s="228">
        <v>473</v>
      </c>
      <c r="CI128" s="228">
        <v>657</v>
      </c>
      <c r="CJ128" s="229">
        <v>1.3885000000000001</v>
      </c>
      <c r="CK128" s="228">
        <v>52</v>
      </c>
      <c r="CL128" s="228">
        <v>52</v>
      </c>
      <c r="CM128" s="228">
        <v>1</v>
      </c>
      <c r="CN128" s="229">
        <v>1.01E-2</v>
      </c>
      <c r="CO128" s="228">
        <v>360</v>
      </c>
      <c r="CP128" s="228">
        <v>346</v>
      </c>
      <c r="CQ128" s="228">
        <v>14</v>
      </c>
      <c r="CR128" s="229">
        <v>4.1700000000000001E-2</v>
      </c>
      <c r="CS128" s="228">
        <v>231</v>
      </c>
      <c r="CT128" s="228">
        <v>246</v>
      </c>
      <c r="CU128" s="228">
        <v>-15</v>
      </c>
      <c r="CV128" s="229">
        <v>-6.0900000000000003E-2</v>
      </c>
      <c r="CW128" s="230">
        <v>2540</v>
      </c>
      <c r="CX128" s="230">
        <v>2547</v>
      </c>
      <c r="CY128" s="228">
        <v>-7</v>
      </c>
      <c r="CZ128" s="229">
        <v>-2.8E-3</v>
      </c>
      <c r="DA128" s="228">
        <v>30.45</v>
      </c>
      <c r="DB128" s="228">
        <v>27.52</v>
      </c>
      <c r="DC128" s="228">
        <v>2.93</v>
      </c>
      <c r="DD128" s="228">
        <v>2.93</v>
      </c>
      <c r="DE128" s="228">
        <v>37.880000000000003</v>
      </c>
      <c r="DF128" s="228">
        <v>37.97</v>
      </c>
      <c r="DG128" s="228">
        <v>-7.43</v>
      </c>
      <c r="DH128" s="228">
        <v>-0.09</v>
      </c>
      <c r="DI128" s="228">
        <v>30.48</v>
      </c>
      <c r="DJ128" s="228">
        <v>26.7</v>
      </c>
      <c r="DK128" s="228">
        <v>3.78</v>
      </c>
      <c r="DL128" s="228">
        <v>3.78</v>
      </c>
      <c r="DM128" s="228">
        <v>30.38</v>
      </c>
      <c r="DN128" s="228">
        <v>28.99</v>
      </c>
      <c r="DO128" s="228">
        <v>1.39</v>
      </c>
      <c r="DP128" s="228">
        <v>1.39</v>
      </c>
      <c r="DQ128" s="228">
        <v>0.64</v>
      </c>
      <c r="DR128" s="228">
        <v>0.71</v>
      </c>
      <c r="DS128" s="228">
        <v>-7.0000000000000007E-2</v>
      </c>
      <c r="DT128" s="229">
        <v>-9.8599999999999993E-2</v>
      </c>
      <c r="DU128" s="231">
        <v>1100</v>
      </c>
      <c r="DV128" s="231">
        <v>1060</v>
      </c>
      <c r="DW128" s="228">
        <v>0.42</v>
      </c>
      <c r="DX128" s="228">
        <v>0.56999999999999995</v>
      </c>
      <c r="DY128" s="228">
        <v>-0.15</v>
      </c>
      <c r="DZ128" s="229">
        <v>-0.26319999999999999</v>
      </c>
      <c r="EA128" s="229">
        <v>0.60660000000000003</v>
      </c>
      <c r="EB128" s="230">
        <v>5255775</v>
      </c>
      <c r="EC128" s="229">
        <v>5.1999999999999998E-3</v>
      </c>
      <c r="ED128" s="229">
        <v>0.60660000000000003</v>
      </c>
      <c r="EE128" s="228">
        <v>5.14</v>
      </c>
      <c r="EF128" s="229">
        <v>5.1999999999999998E-3</v>
      </c>
      <c r="EG128" s="230">
        <v>1577518</v>
      </c>
      <c r="EH128" s="230">
        <v>1800922</v>
      </c>
      <c r="EI128" s="229">
        <v>-0.124</v>
      </c>
      <c r="EJ128" s="229">
        <v>0.59570000000000001</v>
      </c>
      <c r="EK128" s="228">
        <v>490.13</v>
      </c>
      <c r="EL128" s="228">
        <v>198.52</v>
      </c>
      <c r="EM128" s="231">
        <v>1546.6</v>
      </c>
      <c r="EN128" s="228">
        <v>99.12</v>
      </c>
      <c r="EO128" s="231">
        <v>2235.2399999999998</v>
      </c>
      <c r="EP128" s="231">
        <v>2209.62</v>
      </c>
      <c r="EQ128" s="228">
        <v>25.62</v>
      </c>
      <c r="ER128" s="229">
        <v>1.1599999999999999E-2</v>
      </c>
      <c r="ES128" s="228">
        <v>387.43</v>
      </c>
      <c r="ET128" s="228">
        <v>239.23</v>
      </c>
      <c r="EU128" s="231">
        <v>1954.74</v>
      </c>
      <c r="EV128" s="231">
        <v>111218809</v>
      </c>
      <c r="EW128" s="231">
        <v>2581.41</v>
      </c>
      <c r="EX128" s="231">
        <v>2595.4299999999998</v>
      </c>
      <c r="EY128" s="228">
        <v>-14.02</v>
      </c>
      <c r="EZ128" s="229">
        <v>-5.4000000000000003E-3</v>
      </c>
      <c r="FA128" s="229">
        <v>0.22869999999999999</v>
      </c>
      <c r="FB128" s="227" t="s">
        <v>568</v>
      </c>
      <c r="FC128">
        <f t="shared" si="1"/>
        <v>1182</v>
      </c>
    </row>
    <row r="129" spans="1:159" ht="17.25" thickBot="1" x14ac:dyDescent="0.3">
      <c r="A129" s="226">
        <v>46044</v>
      </c>
      <c r="B129" s="227" t="s">
        <v>215</v>
      </c>
      <c r="C129" s="227" t="s">
        <v>673</v>
      </c>
      <c r="D129" s="228">
        <v>200</v>
      </c>
      <c r="E129" s="228">
        <v>5</v>
      </c>
      <c r="F129" s="231">
        <v>2366.6999999999998</v>
      </c>
      <c r="G129" s="231">
        <v>2329.5</v>
      </c>
      <c r="H129" s="228">
        <v>37.200000000000003</v>
      </c>
      <c r="I129" s="229">
        <v>1.6E-2</v>
      </c>
      <c r="J129" s="231">
        <v>2369</v>
      </c>
      <c r="K129" s="231">
        <v>2331.4</v>
      </c>
      <c r="L129" s="228">
        <v>37.6</v>
      </c>
      <c r="M129" s="229">
        <v>1.61E-2</v>
      </c>
      <c r="N129" s="231">
        <v>2366.6999999999998</v>
      </c>
      <c r="O129" s="231">
        <v>2329.5</v>
      </c>
      <c r="P129" s="228">
        <v>37.200000000000003</v>
      </c>
      <c r="Q129" s="229">
        <v>1.6E-2</v>
      </c>
      <c r="R129" s="231">
        <v>2377.6</v>
      </c>
      <c r="S129" s="231">
        <v>2341.1</v>
      </c>
      <c r="T129" s="228">
        <v>36.5</v>
      </c>
      <c r="U129" s="229">
        <v>1.5599999999999999E-2</v>
      </c>
      <c r="V129" s="231">
        <v>2395.1999999999998</v>
      </c>
      <c r="W129" s="231">
        <v>2357.1999999999998</v>
      </c>
      <c r="X129" s="228">
        <v>38</v>
      </c>
      <c r="Y129" s="229">
        <v>1.61E-2</v>
      </c>
      <c r="Z129" s="228">
        <v>-2.2999999999999998</v>
      </c>
      <c r="AA129" s="228">
        <v>-1.9</v>
      </c>
      <c r="AB129" s="228">
        <v>-0.4</v>
      </c>
      <c r="AC129" s="229">
        <v>-1E-3</v>
      </c>
      <c r="AD129" s="228">
        <v>-2.2999999999999998</v>
      </c>
      <c r="AE129" s="228">
        <v>-1.9</v>
      </c>
      <c r="AF129" s="228">
        <v>-0.4</v>
      </c>
      <c r="AG129" s="229">
        <v>-1E-3</v>
      </c>
      <c r="AH129" s="228">
        <v>8.6</v>
      </c>
      <c r="AI129" s="228">
        <v>9.6999999999999993</v>
      </c>
      <c r="AJ129" s="228">
        <v>-1.1000000000000001</v>
      </c>
      <c r="AK129" s="229">
        <v>3.5999999999999999E-3</v>
      </c>
      <c r="AL129" s="228">
        <v>26.2</v>
      </c>
      <c r="AM129" s="228">
        <v>25.8</v>
      </c>
      <c r="AN129" s="228">
        <v>0.4</v>
      </c>
      <c r="AO129" s="229">
        <v>1.11E-2</v>
      </c>
      <c r="AP129" s="231">
        <v>2354.9699999999998</v>
      </c>
      <c r="AQ129" s="231">
        <v>2365.46</v>
      </c>
      <c r="AR129" s="228">
        <v>0</v>
      </c>
      <c r="AS129" s="228">
        <v>926</v>
      </c>
      <c r="AT129" s="228">
        <v>538</v>
      </c>
      <c r="AU129" s="228">
        <v>387</v>
      </c>
      <c r="AV129" s="229">
        <v>0.71970000000000001</v>
      </c>
      <c r="AW129" s="228">
        <v>478</v>
      </c>
      <c r="AX129" s="228">
        <v>295</v>
      </c>
      <c r="AY129" s="228">
        <v>182</v>
      </c>
      <c r="AZ129" s="229">
        <v>0.61819999999999997</v>
      </c>
      <c r="BA129" s="228">
        <v>444</v>
      </c>
      <c r="BB129" s="228">
        <v>239</v>
      </c>
      <c r="BC129" s="228">
        <v>204</v>
      </c>
      <c r="BD129" s="229">
        <v>0.85440000000000005</v>
      </c>
      <c r="BE129" s="228">
        <v>4</v>
      </c>
      <c r="BF129" s="228">
        <v>4</v>
      </c>
      <c r="BG129" s="228">
        <v>0</v>
      </c>
      <c r="BH129" s="229">
        <v>0.1235</v>
      </c>
      <c r="BI129" s="230">
        <v>1245</v>
      </c>
      <c r="BJ129" s="230">
        <v>1297</v>
      </c>
      <c r="BK129" s="228">
        <v>-52</v>
      </c>
      <c r="BL129" s="229">
        <v>-0.04</v>
      </c>
      <c r="BM129" s="228">
        <v>339</v>
      </c>
      <c r="BN129" s="228">
        <v>469</v>
      </c>
      <c r="BO129" s="228">
        <v>-131</v>
      </c>
      <c r="BP129" s="229">
        <v>-0.2782</v>
      </c>
      <c r="BQ129" s="230">
        <v>2509</v>
      </c>
      <c r="BR129" s="230">
        <v>2304</v>
      </c>
      <c r="BS129" s="228">
        <v>205</v>
      </c>
      <c r="BT129" s="229">
        <v>8.8900000000000007E-2</v>
      </c>
      <c r="BU129" s="230">
        <v>796029</v>
      </c>
      <c r="BV129" s="230">
        <v>1466610</v>
      </c>
      <c r="BW129" s="230">
        <v>-670581</v>
      </c>
      <c r="BX129" s="229">
        <v>-0.4572</v>
      </c>
      <c r="BY129" s="230">
        <v>1239</v>
      </c>
      <c r="BZ129" s="230">
        <v>1335</v>
      </c>
      <c r="CA129" s="228">
        <v>-95</v>
      </c>
      <c r="CB129" s="229">
        <v>-7.1400000000000005E-2</v>
      </c>
      <c r="CC129" s="228">
        <v>708</v>
      </c>
      <c r="CD129" s="230">
        <v>1037</v>
      </c>
      <c r="CE129" s="228">
        <v>-330</v>
      </c>
      <c r="CF129" s="229">
        <v>-0.31780000000000003</v>
      </c>
      <c r="CG129" s="228">
        <v>511</v>
      </c>
      <c r="CH129" s="228">
        <v>278</v>
      </c>
      <c r="CI129" s="228">
        <v>233</v>
      </c>
      <c r="CJ129" s="229">
        <v>0.83609999999999995</v>
      </c>
      <c r="CK129" s="228">
        <v>21</v>
      </c>
      <c r="CL129" s="228">
        <v>19</v>
      </c>
      <c r="CM129" s="228">
        <v>2</v>
      </c>
      <c r="CN129" s="229">
        <v>8.3500000000000005E-2</v>
      </c>
      <c r="CO129" s="230">
        <v>1075</v>
      </c>
      <c r="CP129" s="230">
        <v>1199</v>
      </c>
      <c r="CQ129" s="228">
        <v>-124</v>
      </c>
      <c r="CR129" s="229">
        <v>-0.10340000000000001</v>
      </c>
      <c r="CS129" s="228">
        <v>501</v>
      </c>
      <c r="CT129" s="228">
        <v>515</v>
      </c>
      <c r="CU129" s="228">
        <v>-14</v>
      </c>
      <c r="CV129" s="229">
        <v>-2.6499999999999999E-2</v>
      </c>
      <c r="CW129" s="230">
        <v>2816</v>
      </c>
      <c r="CX129" s="230">
        <v>3048</v>
      </c>
      <c r="CY129" s="228">
        <v>-233</v>
      </c>
      <c r="CZ129" s="229">
        <v>-7.6399999999999996E-2</v>
      </c>
      <c r="DA129" s="228">
        <v>41.87</v>
      </c>
      <c r="DB129" s="228">
        <v>38.06</v>
      </c>
      <c r="DC129" s="228">
        <v>3.81</v>
      </c>
      <c r="DD129" s="228">
        <v>3.81</v>
      </c>
      <c r="DE129" s="228">
        <v>53.41</v>
      </c>
      <c r="DF129" s="228">
        <v>53.5</v>
      </c>
      <c r="DG129" s="228">
        <v>-11.54</v>
      </c>
      <c r="DH129" s="228">
        <v>-0.09</v>
      </c>
      <c r="DI129" s="228">
        <v>42.39</v>
      </c>
      <c r="DJ129" s="228">
        <v>39.78</v>
      </c>
      <c r="DK129" s="228">
        <v>2.61</v>
      </c>
      <c r="DL129" s="228">
        <v>2.61</v>
      </c>
      <c r="DM129" s="228">
        <v>40.58</v>
      </c>
      <c r="DN129" s="228">
        <v>33.299999999999997</v>
      </c>
      <c r="DO129" s="228">
        <v>7.28</v>
      </c>
      <c r="DP129" s="228">
        <v>7.28</v>
      </c>
      <c r="DQ129" s="228">
        <v>0.47</v>
      </c>
      <c r="DR129" s="228">
        <v>0.43</v>
      </c>
      <c r="DS129" s="228">
        <v>0.04</v>
      </c>
      <c r="DT129" s="229">
        <v>9.2999999999999999E-2</v>
      </c>
      <c r="DU129" s="231">
        <v>2600</v>
      </c>
      <c r="DV129" s="231">
        <v>2500</v>
      </c>
      <c r="DW129" s="228">
        <v>0.27</v>
      </c>
      <c r="DX129" s="228">
        <v>0.36</v>
      </c>
      <c r="DY129" s="228">
        <v>-0.09</v>
      </c>
      <c r="DZ129" s="229">
        <v>-0.25</v>
      </c>
      <c r="EA129" s="229">
        <v>0.42920000000000003</v>
      </c>
      <c r="EB129" s="230">
        <v>1257600</v>
      </c>
      <c r="EC129" s="229">
        <v>4.5999999999999999E-3</v>
      </c>
      <c r="ED129" s="229">
        <v>0.42920000000000003</v>
      </c>
      <c r="EE129" s="228">
        <v>10.49</v>
      </c>
      <c r="EF129" s="229">
        <v>4.4999999999999997E-3</v>
      </c>
      <c r="EG129" s="230">
        <v>215503</v>
      </c>
      <c r="EH129" s="230">
        <v>335744</v>
      </c>
      <c r="EI129" s="229">
        <v>-0.35809999999999997</v>
      </c>
      <c r="EJ129" s="229">
        <v>0.2707</v>
      </c>
      <c r="EK129" s="231">
        <v>1332.51</v>
      </c>
      <c r="EL129" s="228">
        <v>342.3</v>
      </c>
      <c r="EM129" s="228">
        <v>923.08</v>
      </c>
      <c r="EN129" s="228">
        <v>75.900000000000006</v>
      </c>
      <c r="EO129" s="231">
        <v>2597.9</v>
      </c>
      <c r="EP129" s="231">
        <v>2365.48</v>
      </c>
      <c r="EQ129" s="228">
        <v>232.41</v>
      </c>
      <c r="ER129" s="229">
        <v>9.8299999999999998E-2</v>
      </c>
      <c r="ES129" s="231">
        <v>1195.48</v>
      </c>
      <c r="ET129" s="228">
        <v>522.79999999999995</v>
      </c>
      <c r="EU129" s="231">
        <v>1242.0899999999999</v>
      </c>
      <c r="EV129" s="231">
        <v>11364224</v>
      </c>
      <c r="EW129" s="231">
        <v>2960.37</v>
      </c>
      <c r="EX129" s="231">
        <v>3198.74</v>
      </c>
      <c r="EY129" s="228">
        <v>-238.37</v>
      </c>
      <c r="EZ129" s="229">
        <v>-7.4499999999999997E-2</v>
      </c>
      <c r="FA129" s="229">
        <v>1.0468</v>
      </c>
      <c r="FB129" s="227" t="s">
        <v>556</v>
      </c>
      <c r="FC129">
        <f t="shared" si="1"/>
        <v>531</v>
      </c>
    </row>
    <row r="130" spans="1:159" ht="17.25" thickBot="1" x14ac:dyDescent="0.3">
      <c r="A130" s="226">
        <v>46044</v>
      </c>
      <c r="B130" s="227" t="s">
        <v>175</v>
      </c>
      <c r="C130" s="227" t="s">
        <v>517</v>
      </c>
      <c r="D130" s="228">
        <v>625</v>
      </c>
      <c r="E130" s="228">
        <v>5</v>
      </c>
      <c r="F130" s="231">
        <v>2319</v>
      </c>
      <c r="G130" s="231">
        <v>2329</v>
      </c>
      <c r="H130" s="228">
        <v>-10</v>
      </c>
      <c r="I130" s="229">
        <v>-4.3E-3</v>
      </c>
      <c r="J130" s="231">
        <v>2314</v>
      </c>
      <c r="K130" s="231">
        <v>2320</v>
      </c>
      <c r="L130" s="228">
        <v>-6</v>
      </c>
      <c r="M130" s="229">
        <v>-2.5999999999999999E-3</v>
      </c>
      <c r="N130" s="231">
        <v>2319</v>
      </c>
      <c r="O130" s="231">
        <v>2329</v>
      </c>
      <c r="P130" s="228">
        <v>-10</v>
      </c>
      <c r="Q130" s="229">
        <v>-4.3E-3</v>
      </c>
      <c r="R130" s="231">
        <v>2331</v>
      </c>
      <c r="S130" s="231">
        <v>2339</v>
      </c>
      <c r="T130" s="228">
        <v>-8</v>
      </c>
      <c r="U130" s="229">
        <v>-3.3999999999999998E-3</v>
      </c>
      <c r="V130" s="231">
        <v>2348</v>
      </c>
      <c r="W130" s="231">
        <v>2357</v>
      </c>
      <c r="X130" s="228">
        <v>-9</v>
      </c>
      <c r="Y130" s="229">
        <v>-3.8E-3</v>
      </c>
      <c r="Z130" s="228">
        <v>5</v>
      </c>
      <c r="AA130" s="228">
        <v>9</v>
      </c>
      <c r="AB130" s="228">
        <v>-4</v>
      </c>
      <c r="AC130" s="229">
        <v>2.2000000000000001E-3</v>
      </c>
      <c r="AD130" s="228">
        <v>5</v>
      </c>
      <c r="AE130" s="228">
        <v>9</v>
      </c>
      <c r="AF130" s="228">
        <v>-4</v>
      </c>
      <c r="AG130" s="229">
        <v>2.2000000000000001E-3</v>
      </c>
      <c r="AH130" s="228">
        <v>17</v>
      </c>
      <c r="AI130" s="228">
        <v>19</v>
      </c>
      <c r="AJ130" s="228">
        <v>-2</v>
      </c>
      <c r="AK130" s="229">
        <v>7.3000000000000001E-3</v>
      </c>
      <c r="AL130" s="228">
        <v>34</v>
      </c>
      <c r="AM130" s="228">
        <v>37</v>
      </c>
      <c r="AN130" s="228">
        <v>-3</v>
      </c>
      <c r="AO130" s="229">
        <v>1.47E-2</v>
      </c>
      <c r="AP130" s="231">
        <v>2312.2199999999998</v>
      </c>
      <c r="AQ130" s="231">
        <v>2321.02</v>
      </c>
      <c r="AR130" s="228">
        <v>0</v>
      </c>
      <c r="AS130" s="230">
        <v>4956</v>
      </c>
      <c r="AT130" s="230">
        <v>2539</v>
      </c>
      <c r="AU130" s="230">
        <v>2416</v>
      </c>
      <c r="AV130" s="229">
        <v>0.95150000000000001</v>
      </c>
      <c r="AW130" s="230">
        <v>2618</v>
      </c>
      <c r="AX130" s="230">
        <v>1478</v>
      </c>
      <c r="AY130" s="230">
        <v>1140</v>
      </c>
      <c r="AZ130" s="229">
        <v>0.7712</v>
      </c>
      <c r="BA130" s="230">
        <v>2294</v>
      </c>
      <c r="BB130" s="230">
        <v>1031</v>
      </c>
      <c r="BC130" s="230">
        <v>1263</v>
      </c>
      <c r="BD130" s="229">
        <v>1.2257</v>
      </c>
      <c r="BE130" s="228">
        <v>44</v>
      </c>
      <c r="BF130" s="228">
        <v>31</v>
      </c>
      <c r="BG130" s="228">
        <v>13</v>
      </c>
      <c r="BH130" s="229">
        <v>0.4299</v>
      </c>
      <c r="BI130" s="230">
        <v>11704</v>
      </c>
      <c r="BJ130" s="230">
        <v>7818</v>
      </c>
      <c r="BK130" s="230">
        <v>3885</v>
      </c>
      <c r="BL130" s="229">
        <v>0.497</v>
      </c>
      <c r="BM130" s="230">
        <v>5170</v>
      </c>
      <c r="BN130" s="230">
        <v>3672</v>
      </c>
      <c r="BO130" s="230">
        <v>1498</v>
      </c>
      <c r="BP130" s="229">
        <v>0.40799999999999997</v>
      </c>
      <c r="BQ130" s="230">
        <v>21829</v>
      </c>
      <c r="BR130" s="230">
        <v>14029</v>
      </c>
      <c r="BS130" s="230">
        <v>7800</v>
      </c>
      <c r="BT130" s="229">
        <v>0.55600000000000005</v>
      </c>
      <c r="BU130" s="230">
        <v>4745452</v>
      </c>
      <c r="BV130" s="230">
        <v>4023150</v>
      </c>
      <c r="BW130" s="230">
        <v>722302</v>
      </c>
      <c r="BX130" s="229">
        <v>0.17949999999999999</v>
      </c>
      <c r="BY130" s="230">
        <v>3725</v>
      </c>
      <c r="BZ130" s="230">
        <v>3630</v>
      </c>
      <c r="CA130" s="228">
        <v>95</v>
      </c>
      <c r="CB130" s="229">
        <v>2.6200000000000001E-2</v>
      </c>
      <c r="CC130" s="230">
        <v>1268</v>
      </c>
      <c r="CD130" s="230">
        <v>2528</v>
      </c>
      <c r="CE130" s="230">
        <v>-1260</v>
      </c>
      <c r="CF130" s="229">
        <v>-0.49830000000000002</v>
      </c>
      <c r="CG130" s="230">
        <v>2389</v>
      </c>
      <c r="CH130" s="230">
        <v>1042</v>
      </c>
      <c r="CI130" s="230">
        <v>1347</v>
      </c>
      <c r="CJ130" s="229">
        <v>1.2927999999999999</v>
      </c>
      <c r="CK130" s="228">
        <v>68</v>
      </c>
      <c r="CL130" s="228">
        <v>60</v>
      </c>
      <c r="CM130" s="228">
        <v>8</v>
      </c>
      <c r="CN130" s="229">
        <v>0.13289999999999999</v>
      </c>
      <c r="CO130" s="230">
        <v>4437</v>
      </c>
      <c r="CP130" s="230">
        <v>4013</v>
      </c>
      <c r="CQ130" s="228">
        <v>424</v>
      </c>
      <c r="CR130" s="229">
        <v>0.1056</v>
      </c>
      <c r="CS130" s="230">
        <v>1998</v>
      </c>
      <c r="CT130" s="230">
        <v>1950</v>
      </c>
      <c r="CU130" s="228">
        <v>49</v>
      </c>
      <c r="CV130" s="229">
        <v>2.5000000000000001E-2</v>
      </c>
      <c r="CW130" s="230">
        <v>10161</v>
      </c>
      <c r="CX130" s="230">
        <v>9593</v>
      </c>
      <c r="CY130" s="228">
        <v>568</v>
      </c>
      <c r="CZ130" s="229">
        <v>5.9200000000000003E-2</v>
      </c>
      <c r="DA130" s="228">
        <v>46.41</v>
      </c>
      <c r="DB130" s="228">
        <v>53.3</v>
      </c>
      <c r="DC130" s="228">
        <v>-6.89</v>
      </c>
      <c r="DD130" s="228">
        <v>-6.89</v>
      </c>
      <c r="DE130" s="228">
        <v>44.9</v>
      </c>
      <c r="DF130" s="228">
        <v>45.01</v>
      </c>
      <c r="DG130" s="228">
        <v>1.51</v>
      </c>
      <c r="DH130" s="228">
        <v>-0.11</v>
      </c>
      <c r="DI130" s="228">
        <v>46.47</v>
      </c>
      <c r="DJ130" s="228">
        <v>55.03</v>
      </c>
      <c r="DK130" s="228">
        <v>-8.56</v>
      </c>
      <c r="DL130" s="228">
        <v>-8.56</v>
      </c>
      <c r="DM130" s="228">
        <v>46.29</v>
      </c>
      <c r="DN130" s="228">
        <v>49.6</v>
      </c>
      <c r="DO130" s="228">
        <v>-3.31</v>
      </c>
      <c r="DP130" s="228">
        <v>-3.31</v>
      </c>
      <c r="DQ130" s="228">
        <v>0.45</v>
      </c>
      <c r="DR130" s="228">
        <v>0.49</v>
      </c>
      <c r="DS130" s="228">
        <v>-0.04</v>
      </c>
      <c r="DT130" s="229">
        <v>-8.1600000000000006E-2</v>
      </c>
      <c r="DU130" s="231">
        <v>2500</v>
      </c>
      <c r="DV130" s="231">
        <v>2400</v>
      </c>
      <c r="DW130" s="228">
        <v>0.44</v>
      </c>
      <c r="DX130" s="228">
        <v>0.47</v>
      </c>
      <c r="DY130" s="228">
        <v>-0.03</v>
      </c>
      <c r="DZ130" s="229">
        <v>-6.3799999999999996E-2</v>
      </c>
      <c r="EA130" s="229">
        <v>0.65949999999999998</v>
      </c>
      <c r="EB130" s="230">
        <v>4751875</v>
      </c>
      <c r="EC130" s="229">
        <v>5.1999999999999998E-3</v>
      </c>
      <c r="ED130" s="229">
        <v>0.65949999999999998</v>
      </c>
      <c r="EE130" s="228">
        <v>8.8000000000000007</v>
      </c>
      <c r="EF130" s="229">
        <v>3.8E-3</v>
      </c>
      <c r="EG130" s="230">
        <v>1826863</v>
      </c>
      <c r="EH130" s="230">
        <v>1483840</v>
      </c>
      <c r="EI130" s="229">
        <v>0.23119999999999999</v>
      </c>
      <c r="EJ130" s="229">
        <v>0.38500000000000001</v>
      </c>
      <c r="EK130" s="231">
        <v>12507.69</v>
      </c>
      <c r="EL130" s="231">
        <v>5090.79</v>
      </c>
      <c r="EM130" s="231">
        <v>4950.33</v>
      </c>
      <c r="EN130" s="228">
        <v>111.83</v>
      </c>
      <c r="EO130" s="231">
        <v>22548.81</v>
      </c>
      <c r="EP130" s="231">
        <v>14714.27</v>
      </c>
      <c r="EQ130" s="231">
        <v>7834.54</v>
      </c>
      <c r="ER130" s="229">
        <v>0.53239999999999998</v>
      </c>
      <c r="ES130" s="231">
        <v>4723.1499999999996</v>
      </c>
      <c r="ET130" s="231">
        <v>1925.53</v>
      </c>
      <c r="EU130" s="231">
        <v>3738.54</v>
      </c>
      <c r="EV130" s="231">
        <v>38177110</v>
      </c>
      <c r="EW130" s="231">
        <v>10387.219999999999</v>
      </c>
      <c r="EX130" s="231">
        <v>9807.2999999999993</v>
      </c>
      <c r="EY130" s="228">
        <v>579.91999999999996</v>
      </c>
      <c r="EZ130" s="229">
        <v>5.91E-2</v>
      </c>
      <c r="FA130" s="229">
        <v>1.1476999999999999</v>
      </c>
      <c r="FB130" s="227" t="s">
        <v>567</v>
      </c>
      <c r="FC130">
        <f t="shared" si="1"/>
        <v>2457</v>
      </c>
    </row>
    <row r="131" spans="1:159" ht="17.25" thickBot="1" x14ac:dyDescent="0.3">
      <c r="A131" s="226">
        <v>46044</v>
      </c>
      <c r="B131" s="227" t="s">
        <v>175</v>
      </c>
      <c r="C131" s="227" t="s">
        <v>257</v>
      </c>
      <c r="D131" s="228">
        <v>400</v>
      </c>
      <c r="E131" s="228">
        <v>5</v>
      </c>
      <c r="F131" s="231">
        <v>1626.7</v>
      </c>
      <c r="G131" s="231">
        <v>1618.4</v>
      </c>
      <c r="H131" s="228">
        <v>8.3000000000000007</v>
      </c>
      <c r="I131" s="229">
        <v>5.1000000000000004E-3</v>
      </c>
      <c r="J131" s="231">
        <v>1627.7</v>
      </c>
      <c r="K131" s="231">
        <v>1619.8</v>
      </c>
      <c r="L131" s="228">
        <v>7.9</v>
      </c>
      <c r="M131" s="229">
        <v>4.8999999999999998E-3</v>
      </c>
      <c r="N131" s="231">
        <v>1626.7</v>
      </c>
      <c r="O131" s="231">
        <v>1618.4</v>
      </c>
      <c r="P131" s="228">
        <v>8.3000000000000007</v>
      </c>
      <c r="Q131" s="229">
        <v>5.1000000000000004E-3</v>
      </c>
      <c r="R131" s="231">
        <v>1635.7</v>
      </c>
      <c r="S131" s="231">
        <v>1626.6</v>
      </c>
      <c r="T131" s="228">
        <v>9.1</v>
      </c>
      <c r="U131" s="229">
        <v>5.5999999999999999E-3</v>
      </c>
      <c r="V131" s="231">
        <v>1640.7</v>
      </c>
      <c r="W131" s="231">
        <v>1621</v>
      </c>
      <c r="X131" s="228">
        <v>19.7</v>
      </c>
      <c r="Y131" s="229">
        <v>1.2200000000000001E-2</v>
      </c>
      <c r="Z131" s="228">
        <v>-1</v>
      </c>
      <c r="AA131" s="228">
        <v>-1.4</v>
      </c>
      <c r="AB131" s="228">
        <v>0.4</v>
      </c>
      <c r="AC131" s="229">
        <v>-5.9999999999999995E-4</v>
      </c>
      <c r="AD131" s="228">
        <v>-1</v>
      </c>
      <c r="AE131" s="228">
        <v>-1.4</v>
      </c>
      <c r="AF131" s="228">
        <v>0.4</v>
      </c>
      <c r="AG131" s="229">
        <v>-5.9999999999999995E-4</v>
      </c>
      <c r="AH131" s="228">
        <v>8</v>
      </c>
      <c r="AI131" s="228">
        <v>6.8</v>
      </c>
      <c r="AJ131" s="228">
        <v>1.2</v>
      </c>
      <c r="AK131" s="229">
        <v>4.8999999999999998E-3</v>
      </c>
      <c r="AL131" s="228">
        <v>13</v>
      </c>
      <c r="AM131" s="228">
        <v>1.2</v>
      </c>
      <c r="AN131" s="228">
        <v>11.8</v>
      </c>
      <c r="AO131" s="229">
        <v>8.0000000000000002E-3</v>
      </c>
      <c r="AP131" s="231">
        <v>1624.59</v>
      </c>
      <c r="AQ131" s="231">
        <v>1633.5</v>
      </c>
      <c r="AR131" s="228">
        <v>0</v>
      </c>
      <c r="AS131" s="230">
        <v>1267</v>
      </c>
      <c r="AT131" s="230">
        <v>1108</v>
      </c>
      <c r="AU131" s="228">
        <v>159</v>
      </c>
      <c r="AV131" s="229">
        <v>0.14380000000000001</v>
      </c>
      <c r="AW131" s="228">
        <v>626</v>
      </c>
      <c r="AX131" s="228">
        <v>577</v>
      </c>
      <c r="AY131" s="228">
        <v>48</v>
      </c>
      <c r="AZ131" s="229">
        <v>8.3900000000000002E-2</v>
      </c>
      <c r="BA131" s="228">
        <v>641</v>
      </c>
      <c r="BB131" s="228">
        <v>530</v>
      </c>
      <c r="BC131" s="228">
        <v>111</v>
      </c>
      <c r="BD131" s="229">
        <v>0.2092</v>
      </c>
      <c r="BE131" s="228">
        <v>0</v>
      </c>
      <c r="BF131" s="228">
        <v>0</v>
      </c>
      <c r="BG131" s="228">
        <v>0</v>
      </c>
      <c r="BH131" s="229">
        <v>-0.25</v>
      </c>
      <c r="BI131" s="228">
        <v>260</v>
      </c>
      <c r="BJ131" s="228">
        <v>256</v>
      </c>
      <c r="BK131" s="228">
        <v>4</v>
      </c>
      <c r="BL131" s="229">
        <v>1.7000000000000001E-2</v>
      </c>
      <c r="BM131" s="228">
        <v>146</v>
      </c>
      <c r="BN131" s="228">
        <v>259</v>
      </c>
      <c r="BO131" s="228">
        <v>-113</v>
      </c>
      <c r="BP131" s="229">
        <v>-0.43609999999999999</v>
      </c>
      <c r="BQ131" s="230">
        <v>1674</v>
      </c>
      <c r="BR131" s="230">
        <v>1624</v>
      </c>
      <c r="BS131" s="228">
        <v>50</v>
      </c>
      <c r="BT131" s="229">
        <v>3.1099999999999999E-2</v>
      </c>
      <c r="BU131" s="230">
        <v>405650</v>
      </c>
      <c r="BV131" s="230">
        <v>771711</v>
      </c>
      <c r="BW131" s="230">
        <v>-366061</v>
      </c>
      <c r="BX131" s="229">
        <v>-0.4743</v>
      </c>
      <c r="BY131" s="230">
        <v>1479</v>
      </c>
      <c r="BZ131" s="230">
        <v>1499</v>
      </c>
      <c r="CA131" s="228">
        <v>-19</v>
      </c>
      <c r="CB131" s="229">
        <v>-1.29E-2</v>
      </c>
      <c r="CC131" s="228">
        <v>489</v>
      </c>
      <c r="CD131" s="230">
        <v>1047</v>
      </c>
      <c r="CE131" s="228">
        <v>-559</v>
      </c>
      <c r="CF131" s="229">
        <v>-0.53349999999999997</v>
      </c>
      <c r="CG131" s="228">
        <v>990</v>
      </c>
      <c r="CH131" s="228">
        <v>451</v>
      </c>
      <c r="CI131" s="228">
        <v>539</v>
      </c>
      <c r="CJ131" s="229">
        <v>1.1958</v>
      </c>
      <c r="CK131" s="228">
        <v>1</v>
      </c>
      <c r="CL131" s="228">
        <v>1</v>
      </c>
      <c r="CM131" s="228">
        <v>0</v>
      </c>
      <c r="CN131" s="229">
        <v>0.1</v>
      </c>
      <c r="CO131" s="228">
        <v>234</v>
      </c>
      <c r="CP131" s="228">
        <v>261</v>
      </c>
      <c r="CQ131" s="228">
        <v>-27</v>
      </c>
      <c r="CR131" s="229">
        <v>-0.10390000000000001</v>
      </c>
      <c r="CS131" s="228">
        <v>160</v>
      </c>
      <c r="CT131" s="228">
        <v>178</v>
      </c>
      <c r="CU131" s="228">
        <v>-18</v>
      </c>
      <c r="CV131" s="229">
        <v>-9.98E-2</v>
      </c>
      <c r="CW131" s="230">
        <v>1873</v>
      </c>
      <c r="CX131" s="230">
        <v>1937</v>
      </c>
      <c r="CY131" s="228">
        <v>-64</v>
      </c>
      <c r="CZ131" s="229">
        <v>-3.32E-2</v>
      </c>
      <c r="DA131" s="228">
        <v>27.5</v>
      </c>
      <c r="DB131" s="228">
        <v>24.69</v>
      </c>
      <c r="DC131" s="228">
        <v>2.81</v>
      </c>
      <c r="DD131" s="228">
        <v>2.81</v>
      </c>
      <c r="DE131" s="228">
        <v>29</v>
      </c>
      <c r="DF131" s="228">
        <v>29.07</v>
      </c>
      <c r="DG131" s="228">
        <v>-1.5</v>
      </c>
      <c r="DH131" s="228">
        <v>-7.0000000000000007E-2</v>
      </c>
      <c r="DI131" s="228">
        <v>26.9</v>
      </c>
      <c r="DJ131" s="228">
        <v>25.04</v>
      </c>
      <c r="DK131" s="228">
        <v>1.86</v>
      </c>
      <c r="DL131" s="228">
        <v>1.86</v>
      </c>
      <c r="DM131" s="228">
        <v>28.25</v>
      </c>
      <c r="DN131" s="228">
        <v>24.35</v>
      </c>
      <c r="DO131" s="228">
        <v>3.9</v>
      </c>
      <c r="DP131" s="228">
        <v>3.9</v>
      </c>
      <c r="DQ131" s="228">
        <v>0.69</v>
      </c>
      <c r="DR131" s="228">
        <v>0.68</v>
      </c>
      <c r="DS131" s="228">
        <v>0.01</v>
      </c>
      <c r="DT131" s="229">
        <v>1.47E-2</v>
      </c>
      <c r="DU131" s="231">
        <v>1700</v>
      </c>
      <c r="DV131" s="231">
        <v>1560</v>
      </c>
      <c r="DW131" s="228">
        <v>0.56000000000000005</v>
      </c>
      <c r="DX131" s="228">
        <v>1.01</v>
      </c>
      <c r="DY131" s="228">
        <v>-0.45</v>
      </c>
      <c r="DZ131" s="229">
        <v>-0.44550000000000001</v>
      </c>
      <c r="EA131" s="229">
        <v>0.66969999999999996</v>
      </c>
      <c r="EB131" s="230">
        <v>2775600</v>
      </c>
      <c r="EC131" s="229">
        <v>5.4999999999999997E-3</v>
      </c>
      <c r="ED131" s="229">
        <v>0.66969999999999996</v>
      </c>
      <c r="EE131" s="228">
        <v>8.91</v>
      </c>
      <c r="EF131" s="229">
        <v>5.4999999999999997E-3</v>
      </c>
      <c r="EG131" s="230">
        <v>260904</v>
      </c>
      <c r="EH131" s="230">
        <v>515175</v>
      </c>
      <c r="EI131" s="229">
        <v>-0.49359999999999998</v>
      </c>
      <c r="EJ131" s="229">
        <v>0.64319999999999999</v>
      </c>
      <c r="EK131" s="228">
        <v>273.07</v>
      </c>
      <c r="EL131" s="228">
        <v>143.28</v>
      </c>
      <c r="EM131" s="231">
        <v>1269.1400000000001</v>
      </c>
      <c r="EN131" s="228">
        <v>53.86</v>
      </c>
      <c r="EO131" s="231">
        <v>1685.5</v>
      </c>
      <c r="EP131" s="231">
        <v>1620.14</v>
      </c>
      <c r="EQ131" s="228">
        <v>65.36</v>
      </c>
      <c r="ER131" s="229">
        <v>4.0300000000000002E-2</v>
      </c>
      <c r="ES131" s="228">
        <v>251.91</v>
      </c>
      <c r="ET131" s="228">
        <v>158.44</v>
      </c>
      <c r="EU131" s="231">
        <v>1484.74</v>
      </c>
      <c r="EV131" s="231">
        <v>33919851</v>
      </c>
      <c r="EW131" s="231">
        <v>1895.09</v>
      </c>
      <c r="EX131" s="231">
        <v>1951.3</v>
      </c>
      <c r="EY131" s="228">
        <v>-56.21</v>
      </c>
      <c r="EZ131" s="229">
        <v>-2.8799999999999999E-2</v>
      </c>
      <c r="FA131" s="229">
        <v>0.33950000000000002</v>
      </c>
      <c r="FB131" s="227" t="s">
        <v>556</v>
      </c>
      <c r="FC131">
        <f t="shared" ref="FC131:FC147" si="2">BY131-CC131</f>
        <v>990</v>
      </c>
    </row>
    <row r="132" spans="1:159" ht="17.25" thickBot="1" x14ac:dyDescent="0.3">
      <c r="A132" s="226">
        <v>46044</v>
      </c>
      <c r="B132" s="227" t="s">
        <v>181</v>
      </c>
      <c r="C132" s="227" t="s">
        <v>563</v>
      </c>
      <c r="D132" s="228">
        <v>120</v>
      </c>
      <c r="E132" s="228">
        <v>5</v>
      </c>
      <c r="F132" s="231">
        <v>13337.15</v>
      </c>
      <c r="G132" s="231">
        <v>13141.2</v>
      </c>
      <c r="H132" s="228">
        <v>195.95</v>
      </c>
      <c r="I132" s="229">
        <v>1.49E-2</v>
      </c>
      <c r="J132" s="231">
        <v>13325.45</v>
      </c>
      <c r="K132" s="231">
        <v>13155.05</v>
      </c>
      <c r="L132" s="228">
        <v>170.4</v>
      </c>
      <c r="M132" s="229">
        <v>1.2999999999999999E-2</v>
      </c>
      <c r="N132" s="231">
        <v>13337.15</v>
      </c>
      <c r="O132" s="231">
        <v>13141.2</v>
      </c>
      <c r="P132" s="228">
        <v>195.95</v>
      </c>
      <c r="Q132" s="229">
        <v>1.49E-2</v>
      </c>
      <c r="R132" s="231">
        <v>13357.9</v>
      </c>
      <c r="S132" s="231">
        <v>13182.05</v>
      </c>
      <c r="T132" s="228">
        <v>175.85</v>
      </c>
      <c r="U132" s="229">
        <v>1.3299999999999999E-2</v>
      </c>
      <c r="V132" s="231">
        <v>13422.6</v>
      </c>
      <c r="W132" s="231">
        <v>13248.8</v>
      </c>
      <c r="X132" s="228">
        <v>173.8</v>
      </c>
      <c r="Y132" s="229">
        <v>1.3100000000000001E-2</v>
      </c>
      <c r="Z132" s="228">
        <v>11.7</v>
      </c>
      <c r="AA132" s="228">
        <v>-13.85</v>
      </c>
      <c r="AB132" s="228">
        <v>25.55</v>
      </c>
      <c r="AC132" s="229">
        <v>8.9999999999999998E-4</v>
      </c>
      <c r="AD132" s="228">
        <v>11.7</v>
      </c>
      <c r="AE132" s="228">
        <v>-13.85</v>
      </c>
      <c r="AF132" s="228">
        <v>25.55</v>
      </c>
      <c r="AG132" s="229">
        <v>8.9999999999999998E-4</v>
      </c>
      <c r="AH132" s="228">
        <v>32.450000000000003</v>
      </c>
      <c r="AI132" s="228">
        <v>27</v>
      </c>
      <c r="AJ132" s="228">
        <v>5.45</v>
      </c>
      <c r="AK132" s="229">
        <v>2.3999999999999998E-3</v>
      </c>
      <c r="AL132" s="228">
        <v>97.15</v>
      </c>
      <c r="AM132" s="228">
        <v>93.75</v>
      </c>
      <c r="AN132" s="228">
        <v>3.4</v>
      </c>
      <c r="AO132" s="229">
        <v>7.3000000000000001E-3</v>
      </c>
      <c r="AP132" s="231">
        <v>13297.17</v>
      </c>
      <c r="AQ132" s="231">
        <v>13321.76</v>
      </c>
      <c r="AR132" s="228">
        <v>0</v>
      </c>
      <c r="AS132" s="230">
        <v>4205</v>
      </c>
      <c r="AT132" s="230">
        <v>2313</v>
      </c>
      <c r="AU132" s="230">
        <v>1892</v>
      </c>
      <c r="AV132" s="229">
        <v>0.81799999999999995</v>
      </c>
      <c r="AW132" s="230">
        <v>2419</v>
      </c>
      <c r="AX132" s="230">
        <v>1681</v>
      </c>
      <c r="AY132" s="228">
        <v>738</v>
      </c>
      <c r="AZ132" s="229">
        <v>0.43919999999999998</v>
      </c>
      <c r="BA132" s="230">
        <v>1770</v>
      </c>
      <c r="BB132" s="228">
        <v>608</v>
      </c>
      <c r="BC132" s="230">
        <v>1162</v>
      </c>
      <c r="BD132" s="229">
        <v>1.9095</v>
      </c>
      <c r="BE132" s="228">
        <v>16</v>
      </c>
      <c r="BF132" s="228">
        <v>24</v>
      </c>
      <c r="BG132" s="228">
        <v>-8</v>
      </c>
      <c r="BH132" s="229">
        <v>-0.33110000000000001</v>
      </c>
      <c r="BI132" s="230">
        <v>115031</v>
      </c>
      <c r="BJ132" s="230">
        <v>161590</v>
      </c>
      <c r="BK132" s="230">
        <v>-46559</v>
      </c>
      <c r="BL132" s="229">
        <v>-0.28810000000000002</v>
      </c>
      <c r="BM132" s="230">
        <v>95571</v>
      </c>
      <c r="BN132" s="230">
        <v>143196</v>
      </c>
      <c r="BO132" s="230">
        <v>-47624</v>
      </c>
      <c r="BP132" s="229">
        <v>-0.33260000000000001</v>
      </c>
      <c r="BQ132" s="230">
        <v>214808</v>
      </c>
      <c r="BR132" s="230">
        <v>307099</v>
      </c>
      <c r="BS132" s="230">
        <v>-92291</v>
      </c>
      <c r="BT132" s="229">
        <v>-0.30049999999999999</v>
      </c>
      <c r="BU132" s="228">
        <v>0</v>
      </c>
      <c r="BV132" s="228">
        <v>0</v>
      </c>
      <c r="BW132" s="228">
        <v>0</v>
      </c>
      <c r="BX132" s="229">
        <v>0</v>
      </c>
      <c r="BY132" s="230">
        <v>3504</v>
      </c>
      <c r="BZ132" s="230">
        <v>3561</v>
      </c>
      <c r="CA132" s="228">
        <v>-58</v>
      </c>
      <c r="CB132" s="229">
        <v>-1.6199999999999999E-2</v>
      </c>
      <c r="CC132" s="230">
        <v>1697</v>
      </c>
      <c r="CD132" s="230">
        <v>3060</v>
      </c>
      <c r="CE132" s="230">
        <v>-1363</v>
      </c>
      <c r="CF132" s="229">
        <v>-0.44529999999999997</v>
      </c>
      <c r="CG132" s="230">
        <v>1762</v>
      </c>
      <c r="CH132" s="228">
        <v>460</v>
      </c>
      <c r="CI132" s="230">
        <v>1303</v>
      </c>
      <c r="CJ132" s="229">
        <v>2.8329</v>
      </c>
      <c r="CK132" s="228">
        <v>44</v>
      </c>
      <c r="CL132" s="228">
        <v>42</v>
      </c>
      <c r="CM132" s="228">
        <v>2</v>
      </c>
      <c r="CN132" s="229">
        <v>5.7700000000000001E-2</v>
      </c>
      <c r="CO132" s="230">
        <v>20920</v>
      </c>
      <c r="CP132" s="230">
        <v>20938</v>
      </c>
      <c r="CQ132" s="228">
        <v>-18</v>
      </c>
      <c r="CR132" s="229">
        <v>-8.9999999999999998E-4</v>
      </c>
      <c r="CS132" s="230">
        <v>15464</v>
      </c>
      <c r="CT132" s="230">
        <v>14127</v>
      </c>
      <c r="CU132" s="230">
        <v>1338</v>
      </c>
      <c r="CV132" s="229">
        <v>9.4700000000000006E-2</v>
      </c>
      <c r="CW132" s="230">
        <v>39888</v>
      </c>
      <c r="CX132" s="230">
        <v>38626</v>
      </c>
      <c r="CY132" s="230">
        <v>1262</v>
      </c>
      <c r="CZ132" s="229">
        <v>3.27E-2</v>
      </c>
      <c r="DA132" s="228">
        <v>20.54</v>
      </c>
      <c r="DB132" s="228">
        <v>19.25</v>
      </c>
      <c r="DC132" s="228">
        <v>1.29</v>
      </c>
      <c r="DD132" s="228">
        <v>1.29</v>
      </c>
      <c r="DE132" s="228">
        <v>21.56</v>
      </c>
      <c r="DF132" s="228">
        <v>21.53</v>
      </c>
      <c r="DG132" s="228">
        <v>-1.02</v>
      </c>
      <c r="DH132" s="228">
        <v>0.03</v>
      </c>
      <c r="DI132" s="228">
        <v>19.64</v>
      </c>
      <c r="DJ132" s="228">
        <v>19.72</v>
      </c>
      <c r="DK132" s="228">
        <v>-0.08</v>
      </c>
      <c r="DL132" s="228">
        <v>-0.08</v>
      </c>
      <c r="DM132" s="228">
        <v>21.58</v>
      </c>
      <c r="DN132" s="228">
        <v>18.71</v>
      </c>
      <c r="DO132" s="228">
        <v>2.87</v>
      </c>
      <c r="DP132" s="228">
        <v>2.87</v>
      </c>
      <c r="DQ132" s="228">
        <v>0.74</v>
      </c>
      <c r="DR132" s="228">
        <v>0.67</v>
      </c>
      <c r="DS132" s="228">
        <v>7.0000000000000007E-2</v>
      </c>
      <c r="DT132" s="229">
        <v>0.1045</v>
      </c>
      <c r="DU132" s="231">
        <v>14000</v>
      </c>
      <c r="DV132" s="231">
        <v>13000</v>
      </c>
      <c r="DW132" s="228">
        <v>0.83</v>
      </c>
      <c r="DX132" s="228">
        <v>0.89</v>
      </c>
      <c r="DY132" s="228">
        <v>-0.06</v>
      </c>
      <c r="DZ132" s="229">
        <v>-6.7400000000000002E-2</v>
      </c>
      <c r="EA132" s="229">
        <v>0.51559999999999995</v>
      </c>
      <c r="EB132" s="230">
        <v>375960</v>
      </c>
      <c r="EC132" s="229">
        <v>1.6000000000000001E-3</v>
      </c>
      <c r="ED132" s="229">
        <v>0.51559999999999995</v>
      </c>
      <c r="EE132" s="228">
        <v>24.59</v>
      </c>
      <c r="EF132" s="229">
        <v>1.8E-3</v>
      </c>
      <c r="EG132" s="228">
        <v>0</v>
      </c>
      <c r="EH132" s="228">
        <v>0</v>
      </c>
      <c r="EI132" s="229">
        <v>0</v>
      </c>
      <c r="EJ132" s="229">
        <v>0</v>
      </c>
      <c r="EK132" s="231">
        <v>117531.38</v>
      </c>
      <c r="EL132" s="231">
        <v>94090.65</v>
      </c>
      <c r="EM132" s="231">
        <v>4195.99</v>
      </c>
      <c r="EN132" s="228">
        <v>0</v>
      </c>
      <c r="EO132" s="231">
        <v>215818.01</v>
      </c>
      <c r="EP132" s="231">
        <v>307096.18</v>
      </c>
      <c r="EQ132" s="231">
        <v>-91278.17</v>
      </c>
      <c r="ER132" s="229">
        <v>-0.29720000000000002</v>
      </c>
      <c r="ES132" s="231">
        <v>21718.68</v>
      </c>
      <c r="ET132" s="231">
        <v>15223.37</v>
      </c>
      <c r="EU132" s="231">
        <v>3506.75</v>
      </c>
      <c r="EV132" s="228">
        <v>0</v>
      </c>
      <c r="EW132" s="231">
        <v>40448.79</v>
      </c>
      <c r="EX132" s="231">
        <v>39157.879999999997</v>
      </c>
      <c r="EY132" s="231">
        <v>1290.9100000000001</v>
      </c>
      <c r="EZ132" s="229">
        <v>3.3000000000000002E-2</v>
      </c>
      <c r="FA132" s="229">
        <v>0</v>
      </c>
      <c r="FB132" s="227" t="s">
        <v>556</v>
      </c>
      <c r="FC132">
        <f t="shared" si="2"/>
        <v>1807</v>
      </c>
    </row>
    <row r="133" spans="1:159" ht="17.25" thickBot="1" x14ac:dyDescent="0.3">
      <c r="A133" s="226">
        <v>46044</v>
      </c>
      <c r="B133" s="227" t="s">
        <v>162</v>
      </c>
      <c r="C133" s="227" t="s">
        <v>559</v>
      </c>
      <c r="D133" s="228">
        <v>6150</v>
      </c>
      <c r="E133" s="228">
        <v>5</v>
      </c>
      <c r="F133" s="228">
        <v>111.52</v>
      </c>
      <c r="G133" s="228">
        <v>109.66</v>
      </c>
      <c r="H133" s="228">
        <v>1.86</v>
      </c>
      <c r="I133" s="229">
        <v>1.7000000000000001E-2</v>
      </c>
      <c r="J133" s="228">
        <v>111.33</v>
      </c>
      <c r="K133" s="228">
        <v>109.67</v>
      </c>
      <c r="L133" s="228">
        <v>1.66</v>
      </c>
      <c r="M133" s="229">
        <v>1.5100000000000001E-2</v>
      </c>
      <c r="N133" s="228">
        <v>111.52</v>
      </c>
      <c r="O133" s="228">
        <v>109.66</v>
      </c>
      <c r="P133" s="228">
        <v>1.86</v>
      </c>
      <c r="Q133" s="229">
        <v>1.7000000000000001E-2</v>
      </c>
      <c r="R133" s="228">
        <v>112.1</v>
      </c>
      <c r="S133" s="228">
        <v>110.24</v>
      </c>
      <c r="T133" s="228">
        <v>1.86</v>
      </c>
      <c r="U133" s="229">
        <v>1.6899999999999998E-2</v>
      </c>
      <c r="V133" s="228">
        <v>112.91</v>
      </c>
      <c r="W133" s="228">
        <v>111.16</v>
      </c>
      <c r="X133" s="228">
        <v>1.75</v>
      </c>
      <c r="Y133" s="229">
        <v>1.5699999999999999E-2</v>
      </c>
      <c r="Z133" s="228">
        <v>0.19</v>
      </c>
      <c r="AA133" s="228">
        <v>-0.01</v>
      </c>
      <c r="AB133" s="228">
        <v>0.2</v>
      </c>
      <c r="AC133" s="229">
        <v>1.6999999999999999E-3</v>
      </c>
      <c r="AD133" s="228">
        <v>0.19</v>
      </c>
      <c r="AE133" s="228">
        <v>-0.01</v>
      </c>
      <c r="AF133" s="228">
        <v>0.2</v>
      </c>
      <c r="AG133" s="229">
        <v>1.6999999999999999E-3</v>
      </c>
      <c r="AH133" s="228">
        <v>0.77</v>
      </c>
      <c r="AI133" s="228">
        <v>0.56999999999999995</v>
      </c>
      <c r="AJ133" s="228">
        <v>0.2</v>
      </c>
      <c r="AK133" s="229">
        <v>6.8999999999999999E-3</v>
      </c>
      <c r="AL133" s="228">
        <v>1.58</v>
      </c>
      <c r="AM133" s="228">
        <v>1.49</v>
      </c>
      <c r="AN133" s="228">
        <v>0.09</v>
      </c>
      <c r="AO133" s="229">
        <v>1.4200000000000001E-2</v>
      </c>
      <c r="AP133" s="228">
        <v>112.03</v>
      </c>
      <c r="AQ133" s="228">
        <v>112.57</v>
      </c>
      <c r="AR133" s="228">
        <v>0</v>
      </c>
      <c r="AS133" s="230">
        <v>1481</v>
      </c>
      <c r="AT133" s="230">
        <v>1293</v>
      </c>
      <c r="AU133" s="228">
        <v>189</v>
      </c>
      <c r="AV133" s="229">
        <v>0.1459</v>
      </c>
      <c r="AW133" s="228">
        <v>739</v>
      </c>
      <c r="AX133" s="228">
        <v>663</v>
      </c>
      <c r="AY133" s="228">
        <v>76</v>
      </c>
      <c r="AZ133" s="229">
        <v>0.114</v>
      </c>
      <c r="BA133" s="228">
        <v>736</v>
      </c>
      <c r="BB133" s="228">
        <v>622</v>
      </c>
      <c r="BC133" s="228">
        <v>114</v>
      </c>
      <c r="BD133" s="229">
        <v>0.18329999999999999</v>
      </c>
      <c r="BE133" s="228">
        <v>6</v>
      </c>
      <c r="BF133" s="228">
        <v>7</v>
      </c>
      <c r="BG133" s="228">
        <v>-1</v>
      </c>
      <c r="BH133" s="229">
        <v>-0.14560000000000001</v>
      </c>
      <c r="BI133" s="230">
        <v>1086</v>
      </c>
      <c r="BJ133" s="230">
        <v>1527</v>
      </c>
      <c r="BK133" s="228">
        <v>-441</v>
      </c>
      <c r="BL133" s="229">
        <v>-0.28860000000000002</v>
      </c>
      <c r="BM133" s="228">
        <v>390</v>
      </c>
      <c r="BN133" s="228">
        <v>622</v>
      </c>
      <c r="BO133" s="228">
        <v>-232</v>
      </c>
      <c r="BP133" s="229">
        <v>-0.373</v>
      </c>
      <c r="BQ133" s="230">
        <v>2957</v>
      </c>
      <c r="BR133" s="230">
        <v>3441</v>
      </c>
      <c r="BS133" s="228">
        <v>-484</v>
      </c>
      <c r="BT133" s="229">
        <v>-0.1406</v>
      </c>
      <c r="BU133" s="230">
        <v>10508624</v>
      </c>
      <c r="BV133" s="230">
        <v>17879852</v>
      </c>
      <c r="BW133" s="230">
        <v>-7371228</v>
      </c>
      <c r="BX133" s="229">
        <v>-0.4123</v>
      </c>
      <c r="BY133" s="230">
        <v>1982</v>
      </c>
      <c r="BZ133" s="230">
        <v>1958</v>
      </c>
      <c r="CA133" s="228">
        <v>24</v>
      </c>
      <c r="CB133" s="229">
        <v>1.2E-2</v>
      </c>
      <c r="CC133" s="228">
        <v>835</v>
      </c>
      <c r="CD133" s="230">
        <v>1371</v>
      </c>
      <c r="CE133" s="228">
        <v>-536</v>
      </c>
      <c r="CF133" s="229">
        <v>-0.39079999999999998</v>
      </c>
      <c r="CG133" s="230">
        <v>1125</v>
      </c>
      <c r="CH133" s="228">
        <v>566</v>
      </c>
      <c r="CI133" s="228">
        <v>559</v>
      </c>
      <c r="CJ133" s="229">
        <v>0.98719999999999997</v>
      </c>
      <c r="CK133" s="228">
        <v>22</v>
      </c>
      <c r="CL133" s="228">
        <v>21</v>
      </c>
      <c r="CM133" s="228">
        <v>1</v>
      </c>
      <c r="CN133" s="229">
        <v>2.9499999999999998E-2</v>
      </c>
      <c r="CO133" s="228">
        <v>780</v>
      </c>
      <c r="CP133" s="228">
        <v>853</v>
      </c>
      <c r="CQ133" s="228">
        <v>-72</v>
      </c>
      <c r="CR133" s="229">
        <v>-8.48E-2</v>
      </c>
      <c r="CS133" s="228">
        <v>420</v>
      </c>
      <c r="CT133" s="228">
        <v>415</v>
      </c>
      <c r="CU133" s="228">
        <v>5</v>
      </c>
      <c r="CV133" s="229">
        <v>1.11E-2</v>
      </c>
      <c r="CW133" s="230">
        <v>3182</v>
      </c>
      <c r="CX133" s="230">
        <v>3226</v>
      </c>
      <c r="CY133" s="228">
        <v>-44</v>
      </c>
      <c r="CZ133" s="229">
        <v>-1.37E-2</v>
      </c>
      <c r="DA133" s="228">
        <v>37.26</v>
      </c>
      <c r="DB133" s="228">
        <v>35.65</v>
      </c>
      <c r="DC133" s="228">
        <v>1.61</v>
      </c>
      <c r="DD133" s="228">
        <v>1.61</v>
      </c>
      <c r="DE133" s="228">
        <v>38.1</v>
      </c>
      <c r="DF133" s="228">
        <v>38.130000000000003</v>
      </c>
      <c r="DG133" s="228">
        <v>-0.84</v>
      </c>
      <c r="DH133" s="228">
        <v>-0.03</v>
      </c>
      <c r="DI133" s="228">
        <v>37.67</v>
      </c>
      <c r="DJ133" s="228">
        <v>36.46</v>
      </c>
      <c r="DK133" s="228">
        <v>1.21</v>
      </c>
      <c r="DL133" s="228">
        <v>1.21</v>
      </c>
      <c r="DM133" s="228">
        <v>36.53</v>
      </c>
      <c r="DN133" s="228">
        <v>33.67</v>
      </c>
      <c r="DO133" s="228">
        <v>2.86</v>
      </c>
      <c r="DP133" s="228">
        <v>2.86</v>
      </c>
      <c r="DQ133" s="228">
        <v>0.54</v>
      </c>
      <c r="DR133" s="228">
        <v>0.49</v>
      </c>
      <c r="DS133" s="228">
        <v>0.05</v>
      </c>
      <c r="DT133" s="229">
        <v>0.10199999999999999</v>
      </c>
      <c r="DU133" s="228">
        <v>130</v>
      </c>
      <c r="DV133" s="228">
        <v>112</v>
      </c>
      <c r="DW133" s="228">
        <v>0.36</v>
      </c>
      <c r="DX133" s="228">
        <v>0.41</v>
      </c>
      <c r="DY133" s="228">
        <v>-0.05</v>
      </c>
      <c r="DZ133" s="229">
        <v>-0.122</v>
      </c>
      <c r="EA133" s="229">
        <v>0.57850000000000001</v>
      </c>
      <c r="EB133" s="230">
        <v>52644000</v>
      </c>
      <c r="EC133" s="229">
        <v>5.1999999999999998E-3</v>
      </c>
      <c r="ED133" s="229">
        <v>0.57850000000000001</v>
      </c>
      <c r="EE133" s="228">
        <v>0.54</v>
      </c>
      <c r="EF133" s="229">
        <v>4.7999999999999996E-3</v>
      </c>
      <c r="EG133" s="230">
        <v>3391280</v>
      </c>
      <c r="EH133" s="230">
        <v>6079717</v>
      </c>
      <c r="EI133" s="229">
        <v>-0.44219999999999998</v>
      </c>
      <c r="EJ133" s="229">
        <v>0.32269999999999999</v>
      </c>
      <c r="EK133" s="231">
        <v>1152.22</v>
      </c>
      <c r="EL133" s="228">
        <v>388.02</v>
      </c>
      <c r="EM133" s="231">
        <v>1491.79</v>
      </c>
      <c r="EN133" s="228">
        <v>90.65</v>
      </c>
      <c r="EO133" s="231">
        <v>3032.04</v>
      </c>
      <c r="EP133" s="231">
        <v>3461.9</v>
      </c>
      <c r="EQ133" s="228">
        <v>-429.86</v>
      </c>
      <c r="ER133" s="229">
        <v>-0.1242</v>
      </c>
      <c r="ES133" s="228">
        <v>850.99</v>
      </c>
      <c r="ET133" s="228">
        <v>424.83</v>
      </c>
      <c r="EU133" s="231">
        <v>1988.15</v>
      </c>
      <c r="EV133" s="231">
        <v>606151620</v>
      </c>
      <c r="EW133" s="231">
        <v>3263.97</v>
      </c>
      <c r="EX133" s="231">
        <v>3276.84</v>
      </c>
      <c r="EY133" s="228">
        <v>-12.87</v>
      </c>
      <c r="EZ133" s="229">
        <v>-3.8999999999999998E-3</v>
      </c>
      <c r="FA133" s="229">
        <v>0.47070000000000001</v>
      </c>
      <c r="FB133" s="227" t="s">
        <v>555</v>
      </c>
      <c r="FC133">
        <f t="shared" si="2"/>
        <v>1147</v>
      </c>
    </row>
    <row r="134" spans="1:159" ht="17.25" thickBot="1" x14ac:dyDescent="0.3">
      <c r="A134" s="226">
        <v>46044</v>
      </c>
      <c r="B134" s="227" t="s">
        <v>221</v>
      </c>
      <c r="C134" s="227" t="s">
        <v>487</v>
      </c>
      <c r="D134" s="228">
        <v>275</v>
      </c>
      <c r="E134" s="228">
        <v>5</v>
      </c>
      <c r="F134" s="231">
        <v>2808.2</v>
      </c>
      <c r="G134" s="231">
        <v>2792.6</v>
      </c>
      <c r="H134" s="228">
        <v>15.6</v>
      </c>
      <c r="I134" s="229">
        <v>5.5999999999999999E-3</v>
      </c>
      <c r="J134" s="231">
        <v>2810.1</v>
      </c>
      <c r="K134" s="231">
        <v>2798.9</v>
      </c>
      <c r="L134" s="228">
        <v>11.2</v>
      </c>
      <c r="M134" s="229">
        <v>4.0000000000000001E-3</v>
      </c>
      <c r="N134" s="231">
        <v>2808.2</v>
      </c>
      <c r="O134" s="231">
        <v>2792.6</v>
      </c>
      <c r="P134" s="228">
        <v>15.6</v>
      </c>
      <c r="Q134" s="229">
        <v>5.5999999999999999E-3</v>
      </c>
      <c r="R134" s="231">
        <v>2824.4</v>
      </c>
      <c r="S134" s="231">
        <v>2808.6</v>
      </c>
      <c r="T134" s="228">
        <v>15.8</v>
      </c>
      <c r="U134" s="229">
        <v>5.5999999999999999E-3</v>
      </c>
      <c r="V134" s="231">
        <v>2844.5</v>
      </c>
      <c r="W134" s="231">
        <v>2806.8</v>
      </c>
      <c r="X134" s="228">
        <v>37.700000000000003</v>
      </c>
      <c r="Y134" s="229">
        <v>1.34E-2</v>
      </c>
      <c r="Z134" s="228">
        <v>-1.9</v>
      </c>
      <c r="AA134" s="228">
        <v>-6.3</v>
      </c>
      <c r="AB134" s="228">
        <v>4.4000000000000004</v>
      </c>
      <c r="AC134" s="229">
        <v>-6.9999999999999999E-4</v>
      </c>
      <c r="AD134" s="228">
        <v>-1.9</v>
      </c>
      <c r="AE134" s="228">
        <v>-6.3</v>
      </c>
      <c r="AF134" s="228">
        <v>4.4000000000000004</v>
      </c>
      <c r="AG134" s="229">
        <v>-6.9999999999999999E-4</v>
      </c>
      <c r="AH134" s="228">
        <v>14.3</v>
      </c>
      <c r="AI134" s="228">
        <v>9.6999999999999993</v>
      </c>
      <c r="AJ134" s="228">
        <v>4.5999999999999996</v>
      </c>
      <c r="AK134" s="229">
        <v>5.1000000000000004E-3</v>
      </c>
      <c r="AL134" s="228">
        <v>34.4</v>
      </c>
      <c r="AM134" s="228">
        <v>7.9</v>
      </c>
      <c r="AN134" s="228">
        <v>26.5</v>
      </c>
      <c r="AO134" s="229">
        <v>1.2200000000000001E-2</v>
      </c>
      <c r="AP134" s="231">
        <v>2836.48</v>
      </c>
      <c r="AQ134" s="231">
        <v>2852.35</v>
      </c>
      <c r="AR134" s="228">
        <v>0</v>
      </c>
      <c r="AS134" s="230">
        <v>1412</v>
      </c>
      <c r="AT134" s="230">
        <v>1686</v>
      </c>
      <c r="AU134" s="228">
        <v>-274</v>
      </c>
      <c r="AV134" s="229">
        <v>-0.16239999999999999</v>
      </c>
      <c r="AW134" s="228">
        <v>753</v>
      </c>
      <c r="AX134" s="228">
        <v>987</v>
      </c>
      <c r="AY134" s="228">
        <v>-233</v>
      </c>
      <c r="AZ134" s="229">
        <v>-0.2366</v>
      </c>
      <c r="BA134" s="228">
        <v>658</v>
      </c>
      <c r="BB134" s="228">
        <v>698</v>
      </c>
      <c r="BC134" s="228">
        <v>-40</v>
      </c>
      <c r="BD134" s="229">
        <v>-5.7000000000000002E-2</v>
      </c>
      <c r="BE134" s="228">
        <v>1</v>
      </c>
      <c r="BF134" s="228">
        <v>1</v>
      </c>
      <c r="BG134" s="228">
        <v>-1</v>
      </c>
      <c r="BH134" s="229">
        <v>-0.36840000000000001</v>
      </c>
      <c r="BI134" s="228">
        <v>921</v>
      </c>
      <c r="BJ134" s="228">
        <v>553</v>
      </c>
      <c r="BK134" s="228">
        <v>368</v>
      </c>
      <c r="BL134" s="229">
        <v>0.66620000000000001</v>
      </c>
      <c r="BM134" s="228">
        <v>695</v>
      </c>
      <c r="BN134" s="228">
        <v>870</v>
      </c>
      <c r="BO134" s="228">
        <v>-174</v>
      </c>
      <c r="BP134" s="229">
        <v>-0.20039999999999999</v>
      </c>
      <c r="BQ134" s="230">
        <v>3028</v>
      </c>
      <c r="BR134" s="230">
        <v>3108</v>
      </c>
      <c r="BS134" s="228">
        <v>-80</v>
      </c>
      <c r="BT134" s="229">
        <v>-2.5700000000000001E-2</v>
      </c>
      <c r="BU134" s="230">
        <v>346951</v>
      </c>
      <c r="BV134" s="230">
        <v>1468950</v>
      </c>
      <c r="BW134" s="230">
        <v>-1121999</v>
      </c>
      <c r="BX134" s="229">
        <v>-0.76380000000000003</v>
      </c>
      <c r="BY134" s="230">
        <v>1344</v>
      </c>
      <c r="BZ134" s="230">
        <v>1353</v>
      </c>
      <c r="CA134" s="228">
        <v>-9</v>
      </c>
      <c r="CB134" s="229">
        <v>-6.3E-3</v>
      </c>
      <c r="CC134" s="228">
        <v>476</v>
      </c>
      <c r="CD134" s="228">
        <v>896</v>
      </c>
      <c r="CE134" s="228">
        <v>-421</v>
      </c>
      <c r="CF134" s="229">
        <v>-0.46920000000000001</v>
      </c>
      <c r="CG134" s="228">
        <v>865</v>
      </c>
      <c r="CH134" s="228">
        <v>454</v>
      </c>
      <c r="CI134" s="228">
        <v>412</v>
      </c>
      <c r="CJ134" s="229">
        <v>0.90720000000000001</v>
      </c>
      <c r="CK134" s="228">
        <v>3</v>
      </c>
      <c r="CL134" s="228">
        <v>3</v>
      </c>
      <c r="CM134" s="228">
        <v>0</v>
      </c>
      <c r="CN134" s="229">
        <v>0.12820000000000001</v>
      </c>
      <c r="CO134" s="228">
        <v>363</v>
      </c>
      <c r="CP134" s="228">
        <v>327</v>
      </c>
      <c r="CQ134" s="228">
        <v>37</v>
      </c>
      <c r="CR134" s="229">
        <v>0.11310000000000001</v>
      </c>
      <c r="CS134" s="228">
        <v>271</v>
      </c>
      <c r="CT134" s="228">
        <v>264</v>
      </c>
      <c r="CU134" s="228">
        <v>8</v>
      </c>
      <c r="CV134" s="229">
        <v>2.9000000000000001E-2</v>
      </c>
      <c r="CW134" s="230">
        <v>1979</v>
      </c>
      <c r="CX134" s="230">
        <v>1943</v>
      </c>
      <c r="CY134" s="228">
        <v>36</v>
      </c>
      <c r="CZ134" s="229">
        <v>1.8499999999999999E-2</v>
      </c>
      <c r="DA134" s="228">
        <v>35.04</v>
      </c>
      <c r="DB134" s="228">
        <v>44.88</v>
      </c>
      <c r="DC134" s="228">
        <v>-9.84</v>
      </c>
      <c r="DD134" s="228">
        <v>-9.84</v>
      </c>
      <c r="DE134" s="228">
        <v>35.21</v>
      </c>
      <c r="DF134" s="228">
        <v>35.29</v>
      </c>
      <c r="DG134" s="228">
        <v>-0.17</v>
      </c>
      <c r="DH134" s="228">
        <v>-0.08</v>
      </c>
      <c r="DI134" s="228">
        <v>35.19</v>
      </c>
      <c r="DJ134" s="228">
        <v>45.08</v>
      </c>
      <c r="DK134" s="228">
        <v>-9.89</v>
      </c>
      <c r="DL134" s="228">
        <v>-9.89</v>
      </c>
      <c r="DM134" s="228">
        <v>34.869999999999997</v>
      </c>
      <c r="DN134" s="228">
        <v>44.76</v>
      </c>
      <c r="DO134" s="228">
        <v>-9.89</v>
      </c>
      <c r="DP134" s="228">
        <v>-9.89</v>
      </c>
      <c r="DQ134" s="228">
        <v>0.75</v>
      </c>
      <c r="DR134" s="228">
        <v>0.81</v>
      </c>
      <c r="DS134" s="228">
        <v>-0.06</v>
      </c>
      <c r="DT134" s="229">
        <v>-7.4099999999999999E-2</v>
      </c>
      <c r="DU134" s="231">
        <v>3000</v>
      </c>
      <c r="DV134" s="231">
        <v>2700</v>
      </c>
      <c r="DW134" s="228">
        <v>0.76</v>
      </c>
      <c r="DX134" s="228">
        <v>1.57</v>
      </c>
      <c r="DY134" s="228">
        <v>-0.81</v>
      </c>
      <c r="DZ134" s="229">
        <v>-0.51590000000000003</v>
      </c>
      <c r="EA134" s="229">
        <v>0.6462</v>
      </c>
      <c r="EB134" s="230">
        <v>1626350</v>
      </c>
      <c r="EC134" s="229">
        <v>5.7999999999999996E-3</v>
      </c>
      <c r="ED134" s="229">
        <v>0.6462</v>
      </c>
      <c r="EE134" s="228">
        <v>15.87</v>
      </c>
      <c r="EF134" s="229">
        <v>5.5999999999999999E-3</v>
      </c>
      <c r="EG134" s="230">
        <v>151539</v>
      </c>
      <c r="EH134" s="230">
        <v>904606</v>
      </c>
      <c r="EI134" s="229">
        <v>-0.83250000000000002</v>
      </c>
      <c r="EJ134" s="229">
        <v>0.43680000000000002</v>
      </c>
      <c r="EK134" s="228">
        <v>979.86</v>
      </c>
      <c r="EL134" s="228">
        <v>683.82</v>
      </c>
      <c r="EM134" s="231">
        <v>1430.17</v>
      </c>
      <c r="EN134" s="228">
        <v>86.53</v>
      </c>
      <c r="EO134" s="231">
        <v>3093.86</v>
      </c>
      <c r="EP134" s="231">
        <v>3096.38</v>
      </c>
      <c r="EQ134" s="228">
        <v>-2.52</v>
      </c>
      <c r="ER134" s="229">
        <v>-8.0000000000000004E-4</v>
      </c>
      <c r="ES134" s="228">
        <v>385.86</v>
      </c>
      <c r="ET134" s="228">
        <v>261.54000000000002</v>
      </c>
      <c r="EU134" s="231">
        <v>1349.45</v>
      </c>
      <c r="EV134" s="231">
        <v>17093933</v>
      </c>
      <c r="EW134" s="231">
        <v>1996.85</v>
      </c>
      <c r="EX134" s="231">
        <v>1949.1</v>
      </c>
      <c r="EY134" s="228">
        <v>47.75</v>
      </c>
      <c r="EZ134" s="229">
        <v>2.4500000000000001E-2</v>
      </c>
      <c r="FA134" s="229">
        <v>0.4123</v>
      </c>
      <c r="FB134" s="227" t="s">
        <v>556</v>
      </c>
      <c r="FC134">
        <f t="shared" si="2"/>
        <v>868</v>
      </c>
    </row>
    <row r="135" spans="1:159" ht="17.25" thickBot="1" x14ac:dyDescent="0.3">
      <c r="A135" s="226">
        <v>46044</v>
      </c>
      <c r="B135" s="227" t="s">
        <v>175</v>
      </c>
      <c r="C135" s="227" t="s">
        <v>262</v>
      </c>
      <c r="D135" s="228">
        <v>275</v>
      </c>
      <c r="E135" s="228">
        <v>5</v>
      </c>
      <c r="F135" s="231">
        <v>3865.6</v>
      </c>
      <c r="G135" s="231">
        <v>3918.8</v>
      </c>
      <c r="H135" s="228">
        <v>-53.2</v>
      </c>
      <c r="I135" s="229">
        <v>-1.3599999999999999E-2</v>
      </c>
      <c r="J135" s="231">
        <v>3861.9</v>
      </c>
      <c r="K135" s="231">
        <v>3906.6</v>
      </c>
      <c r="L135" s="228">
        <v>-44.7</v>
      </c>
      <c r="M135" s="229">
        <v>-1.14E-2</v>
      </c>
      <c r="N135" s="231">
        <v>3865.6</v>
      </c>
      <c r="O135" s="231">
        <v>3918.8</v>
      </c>
      <c r="P135" s="228">
        <v>-53.2</v>
      </c>
      <c r="Q135" s="229">
        <v>-1.3599999999999999E-2</v>
      </c>
      <c r="R135" s="231">
        <v>3888.5</v>
      </c>
      <c r="S135" s="231">
        <v>3934.9</v>
      </c>
      <c r="T135" s="228">
        <v>-46.4</v>
      </c>
      <c r="U135" s="229">
        <v>-1.18E-2</v>
      </c>
      <c r="V135" s="231">
        <v>3904.5</v>
      </c>
      <c r="W135" s="231">
        <v>3952</v>
      </c>
      <c r="X135" s="228">
        <v>-47.5</v>
      </c>
      <c r="Y135" s="229">
        <v>-1.2E-2</v>
      </c>
      <c r="Z135" s="228">
        <v>3.7</v>
      </c>
      <c r="AA135" s="228">
        <v>12.2</v>
      </c>
      <c r="AB135" s="228">
        <v>-8.5</v>
      </c>
      <c r="AC135" s="229">
        <v>1E-3</v>
      </c>
      <c r="AD135" s="228">
        <v>3.7</v>
      </c>
      <c r="AE135" s="228">
        <v>12.2</v>
      </c>
      <c r="AF135" s="228">
        <v>-8.5</v>
      </c>
      <c r="AG135" s="229">
        <v>1E-3</v>
      </c>
      <c r="AH135" s="228">
        <v>26.6</v>
      </c>
      <c r="AI135" s="228">
        <v>28.3</v>
      </c>
      <c r="AJ135" s="228">
        <v>-1.7</v>
      </c>
      <c r="AK135" s="229">
        <v>6.8999999999999999E-3</v>
      </c>
      <c r="AL135" s="228">
        <v>42.6</v>
      </c>
      <c r="AM135" s="228">
        <v>45.4</v>
      </c>
      <c r="AN135" s="228">
        <v>-2.8</v>
      </c>
      <c r="AO135" s="229">
        <v>1.0999999999999999E-2</v>
      </c>
      <c r="AP135" s="231">
        <v>3851.48</v>
      </c>
      <c r="AQ135" s="231">
        <v>3868.49</v>
      </c>
      <c r="AR135" s="228">
        <v>0</v>
      </c>
      <c r="AS135" s="230">
        <v>2121</v>
      </c>
      <c r="AT135" s="230">
        <v>1604</v>
      </c>
      <c r="AU135" s="228">
        <v>517</v>
      </c>
      <c r="AV135" s="229">
        <v>0.32200000000000001</v>
      </c>
      <c r="AW135" s="230">
        <v>1089</v>
      </c>
      <c r="AX135" s="228">
        <v>907</v>
      </c>
      <c r="AY135" s="228">
        <v>182</v>
      </c>
      <c r="AZ135" s="229">
        <v>0.20030000000000001</v>
      </c>
      <c r="BA135" s="230">
        <v>1021</v>
      </c>
      <c r="BB135" s="228">
        <v>683</v>
      </c>
      <c r="BC135" s="228">
        <v>338</v>
      </c>
      <c r="BD135" s="229">
        <v>0.49540000000000001</v>
      </c>
      <c r="BE135" s="228">
        <v>11</v>
      </c>
      <c r="BF135" s="228">
        <v>14</v>
      </c>
      <c r="BG135" s="228">
        <v>-3</v>
      </c>
      <c r="BH135" s="229">
        <v>-0.23130000000000001</v>
      </c>
      <c r="BI135" s="230">
        <v>3204</v>
      </c>
      <c r="BJ135" s="230">
        <v>5093</v>
      </c>
      <c r="BK135" s="230">
        <v>-1888</v>
      </c>
      <c r="BL135" s="229">
        <v>-0.37080000000000002</v>
      </c>
      <c r="BM135" s="230">
        <v>3256</v>
      </c>
      <c r="BN135" s="230">
        <v>2099</v>
      </c>
      <c r="BO135" s="230">
        <v>1157</v>
      </c>
      <c r="BP135" s="229">
        <v>0.5514</v>
      </c>
      <c r="BQ135" s="230">
        <v>8582</v>
      </c>
      <c r="BR135" s="230">
        <v>8796</v>
      </c>
      <c r="BS135" s="228">
        <v>-214</v>
      </c>
      <c r="BT135" s="229">
        <v>-2.4400000000000002E-2</v>
      </c>
      <c r="BU135" s="230">
        <v>761013</v>
      </c>
      <c r="BV135" s="230">
        <v>1161284</v>
      </c>
      <c r="BW135" s="230">
        <v>-400271</v>
      </c>
      <c r="BX135" s="229">
        <v>-0.34470000000000001</v>
      </c>
      <c r="BY135" s="230">
        <v>1600</v>
      </c>
      <c r="BZ135" s="230">
        <v>1578</v>
      </c>
      <c r="CA135" s="228">
        <v>22</v>
      </c>
      <c r="CB135" s="229">
        <v>1.37E-2</v>
      </c>
      <c r="CC135" s="228">
        <v>525</v>
      </c>
      <c r="CD135" s="230">
        <v>1102</v>
      </c>
      <c r="CE135" s="228">
        <v>-578</v>
      </c>
      <c r="CF135" s="229">
        <v>-0.52410000000000001</v>
      </c>
      <c r="CG135" s="230">
        <v>1063</v>
      </c>
      <c r="CH135" s="228">
        <v>465</v>
      </c>
      <c r="CI135" s="228">
        <v>598</v>
      </c>
      <c r="CJ135" s="229">
        <v>1.2858000000000001</v>
      </c>
      <c r="CK135" s="228">
        <v>13</v>
      </c>
      <c r="CL135" s="228">
        <v>11</v>
      </c>
      <c r="CM135" s="228">
        <v>2</v>
      </c>
      <c r="CN135" s="229">
        <v>0.15240000000000001</v>
      </c>
      <c r="CO135" s="228">
        <v>921</v>
      </c>
      <c r="CP135" s="228">
        <v>917</v>
      </c>
      <c r="CQ135" s="228">
        <v>4</v>
      </c>
      <c r="CR135" s="229">
        <v>4.3E-3</v>
      </c>
      <c r="CS135" s="228">
        <v>589</v>
      </c>
      <c r="CT135" s="228">
        <v>550</v>
      </c>
      <c r="CU135" s="228">
        <v>38</v>
      </c>
      <c r="CV135" s="229">
        <v>6.9900000000000004E-2</v>
      </c>
      <c r="CW135" s="230">
        <v>3110</v>
      </c>
      <c r="CX135" s="230">
        <v>3046</v>
      </c>
      <c r="CY135" s="228">
        <v>64</v>
      </c>
      <c r="CZ135" s="229">
        <v>2.1000000000000001E-2</v>
      </c>
      <c r="DA135" s="228">
        <v>36.14</v>
      </c>
      <c r="DB135" s="228">
        <v>31.28</v>
      </c>
      <c r="DC135" s="228">
        <v>4.8600000000000003</v>
      </c>
      <c r="DD135" s="228">
        <v>4.8600000000000003</v>
      </c>
      <c r="DE135" s="228">
        <v>34.979999999999997</v>
      </c>
      <c r="DF135" s="228">
        <v>35.020000000000003</v>
      </c>
      <c r="DG135" s="228">
        <v>1.1599999999999999</v>
      </c>
      <c r="DH135" s="228">
        <v>-0.04</v>
      </c>
      <c r="DI135" s="228">
        <v>35.200000000000003</v>
      </c>
      <c r="DJ135" s="228">
        <v>31.16</v>
      </c>
      <c r="DK135" s="228">
        <v>4.04</v>
      </c>
      <c r="DL135" s="228">
        <v>4.04</v>
      </c>
      <c r="DM135" s="228">
        <v>37.19</v>
      </c>
      <c r="DN135" s="228">
        <v>31.57</v>
      </c>
      <c r="DO135" s="228">
        <v>5.62</v>
      </c>
      <c r="DP135" s="228">
        <v>5.62</v>
      </c>
      <c r="DQ135" s="228">
        <v>0.64</v>
      </c>
      <c r="DR135" s="228">
        <v>0.6</v>
      </c>
      <c r="DS135" s="228">
        <v>0.04</v>
      </c>
      <c r="DT135" s="229">
        <v>6.6699999999999995E-2</v>
      </c>
      <c r="DU135" s="231">
        <v>4000</v>
      </c>
      <c r="DV135" s="231">
        <v>3800</v>
      </c>
      <c r="DW135" s="228">
        <v>1.02</v>
      </c>
      <c r="DX135" s="228">
        <v>0.41</v>
      </c>
      <c r="DY135" s="228">
        <v>0.61</v>
      </c>
      <c r="DZ135" s="229">
        <v>1.4878</v>
      </c>
      <c r="EA135" s="229">
        <v>0.67210000000000003</v>
      </c>
      <c r="EB135" s="230">
        <v>1231450</v>
      </c>
      <c r="EC135" s="229">
        <v>5.8999999999999999E-3</v>
      </c>
      <c r="ED135" s="229">
        <v>0.67210000000000003</v>
      </c>
      <c r="EE135" s="228">
        <v>17.010000000000002</v>
      </c>
      <c r="EF135" s="229">
        <v>4.4000000000000003E-3</v>
      </c>
      <c r="EG135" s="230">
        <v>307055</v>
      </c>
      <c r="EH135" s="230">
        <v>504279</v>
      </c>
      <c r="EI135" s="229">
        <v>-0.3911</v>
      </c>
      <c r="EJ135" s="229">
        <v>0.40350000000000003</v>
      </c>
      <c r="EK135" s="231">
        <v>3335.22</v>
      </c>
      <c r="EL135" s="231">
        <v>3192.54</v>
      </c>
      <c r="EM135" s="231">
        <v>2117.7399999999998</v>
      </c>
      <c r="EN135" s="228">
        <v>58.86</v>
      </c>
      <c r="EO135" s="231">
        <v>8645.5</v>
      </c>
      <c r="EP135" s="231">
        <v>9151.2999999999993</v>
      </c>
      <c r="EQ135" s="228">
        <v>-505.81</v>
      </c>
      <c r="ER135" s="229">
        <v>-5.5300000000000002E-2</v>
      </c>
      <c r="ES135" s="228">
        <v>954.21</v>
      </c>
      <c r="ET135" s="228">
        <v>567.42999999999995</v>
      </c>
      <c r="EU135" s="231">
        <v>1606.51</v>
      </c>
      <c r="EV135" s="231">
        <v>14790848</v>
      </c>
      <c r="EW135" s="231">
        <v>3128.15</v>
      </c>
      <c r="EX135" s="231">
        <v>3093.06</v>
      </c>
      <c r="EY135" s="228">
        <v>35.090000000000003</v>
      </c>
      <c r="EZ135" s="229">
        <v>1.1299999999999999E-2</v>
      </c>
      <c r="FA135" s="229">
        <v>0.54390000000000005</v>
      </c>
      <c r="FB135" s="227" t="s">
        <v>567</v>
      </c>
      <c r="FC135">
        <f t="shared" si="2"/>
        <v>1075</v>
      </c>
    </row>
    <row r="136" spans="1:159" ht="17.25" thickBot="1" x14ac:dyDescent="0.3">
      <c r="A136" s="226">
        <v>46044</v>
      </c>
      <c r="B136" s="227" t="s">
        <v>227</v>
      </c>
      <c r="C136" s="227" t="s">
        <v>263</v>
      </c>
      <c r="D136" s="228">
        <v>3750</v>
      </c>
      <c r="E136" s="228">
        <v>5</v>
      </c>
      <c r="F136" s="228">
        <v>364.2</v>
      </c>
      <c r="G136" s="228">
        <v>361.75</v>
      </c>
      <c r="H136" s="228">
        <v>2.4500000000000002</v>
      </c>
      <c r="I136" s="229">
        <v>6.7999999999999996E-3</v>
      </c>
      <c r="J136" s="228">
        <v>364.6</v>
      </c>
      <c r="K136" s="228">
        <v>361.5</v>
      </c>
      <c r="L136" s="228">
        <v>3.1</v>
      </c>
      <c r="M136" s="229">
        <v>8.6E-3</v>
      </c>
      <c r="N136" s="228">
        <v>364.2</v>
      </c>
      <c r="O136" s="228">
        <v>361.75</v>
      </c>
      <c r="P136" s="228">
        <v>2.4500000000000002</v>
      </c>
      <c r="Q136" s="229">
        <v>6.7999999999999996E-3</v>
      </c>
      <c r="R136" s="228">
        <v>363.55</v>
      </c>
      <c r="S136" s="228">
        <v>360.45</v>
      </c>
      <c r="T136" s="228">
        <v>3.1</v>
      </c>
      <c r="U136" s="229">
        <v>8.6E-3</v>
      </c>
      <c r="V136" s="228">
        <v>364.3</v>
      </c>
      <c r="W136" s="228">
        <v>360.8</v>
      </c>
      <c r="X136" s="228">
        <v>3.5</v>
      </c>
      <c r="Y136" s="229">
        <v>9.7000000000000003E-3</v>
      </c>
      <c r="Z136" s="228">
        <v>-0.4</v>
      </c>
      <c r="AA136" s="228">
        <v>0.25</v>
      </c>
      <c r="AB136" s="228">
        <v>-0.65</v>
      </c>
      <c r="AC136" s="229">
        <v>-1.1000000000000001E-3</v>
      </c>
      <c r="AD136" s="228">
        <v>-0.4</v>
      </c>
      <c r="AE136" s="228">
        <v>0.25</v>
      </c>
      <c r="AF136" s="228">
        <v>-0.65</v>
      </c>
      <c r="AG136" s="229">
        <v>-1.1000000000000001E-3</v>
      </c>
      <c r="AH136" s="228">
        <v>-1.05</v>
      </c>
      <c r="AI136" s="228">
        <v>-1.05</v>
      </c>
      <c r="AJ136" s="228">
        <v>0</v>
      </c>
      <c r="AK136" s="229">
        <v>-2.8999999999999998E-3</v>
      </c>
      <c r="AL136" s="228">
        <v>-0.3</v>
      </c>
      <c r="AM136" s="228">
        <v>-0.7</v>
      </c>
      <c r="AN136" s="228">
        <v>0.4</v>
      </c>
      <c r="AO136" s="229">
        <v>-8.0000000000000004E-4</v>
      </c>
      <c r="AP136" s="228">
        <v>363.1</v>
      </c>
      <c r="AQ136" s="228">
        <v>362.07</v>
      </c>
      <c r="AR136" s="228">
        <v>0</v>
      </c>
      <c r="AS136" s="230">
        <v>2163</v>
      </c>
      <c r="AT136" s="230">
        <v>1399</v>
      </c>
      <c r="AU136" s="228">
        <v>764</v>
      </c>
      <c r="AV136" s="229">
        <v>0.54649999999999999</v>
      </c>
      <c r="AW136" s="230">
        <v>1145</v>
      </c>
      <c r="AX136" s="228">
        <v>872</v>
      </c>
      <c r="AY136" s="228">
        <v>274</v>
      </c>
      <c r="AZ136" s="229">
        <v>0.31390000000000001</v>
      </c>
      <c r="BA136" s="230">
        <v>1001</v>
      </c>
      <c r="BB136" s="228">
        <v>514</v>
      </c>
      <c r="BC136" s="228">
        <v>487</v>
      </c>
      <c r="BD136" s="229">
        <v>0.94740000000000002</v>
      </c>
      <c r="BE136" s="228">
        <v>17</v>
      </c>
      <c r="BF136" s="228">
        <v>13</v>
      </c>
      <c r="BG136" s="228">
        <v>4</v>
      </c>
      <c r="BH136" s="229">
        <v>0.30209999999999998</v>
      </c>
      <c r="BI136" s="230">
        <v>2471</v>
      </c>
      <c r="BJ136" s="230">
        <v>4579</v>
      </c>
      <c r="BK136" s="230">
        <v>-2109</v>
      </c>
      <c r="BL136" s="229">
        <v>-0.46050000000000002</v>
      </c>
      <c r="BM136" s="230">
        <v>1675</v>
      </c>
      <c r="BN136" s="230">
        <v>2359</v>
      </c>
      <c r="BO136" s="228">
        <v>-683</v>
      </c>
      <c r="BP136" s="229">
        <v>-0.28970000000000001</v>
      </c>
      <c r="BQ136" s="230">
        <v>6309</v>
      </c>
      <c r="BR136" s="230">
        <v>8337</v>
      </c>
      <c r="BS136" s="230">
        <v>-2028</v>
      </c>
      <c r="BT136" s="229">
        <v>-0.2432</v>
      </c>
      <c r="BU136" s="230">
        <v>13830090</v>
      </c>
      <c r="BV136" s="230">
        <v>12768641</v>
      </c>
      <c r="BW136" s="230">
        <v>1061449</v>
      </c>
      <c r="BX136" s="229">
        <v>8.3099999999999993E-2</v>
      </c>
      <c r="BY136" s="230">
        <v>1988</v>
      </c>
      <c r="BZ136" s="230">
        <v>1949</v>
      </c>
      <c r="CA136" s="228">
        <v>39</v>
      </c>
      <c r="CB136" s="229">
        <v>2.01E-2</v>
      </c>
      <c r="CC136" s="228">
        <v>784</v>
      </c>
      <c r="CD136" s="230">
        <v>1318</v>
      </c>
      <c r="CE136" s="228">
        <v>-535</v>
      </c>
      <c r="CF136" s="229">
        <v>-0.40570000000000001</v>
      </c>
      <c r="CG136" s="230">
        <v>1179</v>
      </c>
      <c r="CH136" s="228">
        <v>605</v>
      </c>
      <c r="CI136" s="228">
        <v>574</v>
      </c>
      <c r="CJ136" s="229">
        <v>0.94830000000000003</v>
      </c>
      <c r="CK136" s="228">
        <v>26</v>
      </c>
      <c r="CL136" s="228">
        <v>25</v>
      </c>
      <c r="CM136" s="228">
        <v>1</v>
      </c>
      <c r="CN136" s="229">
        <v>2.1499999999999998E-2</v>
      </c>
      <c r="CO136" s="230">
        <v>1677</v>
      </c>
      <c r="CP136" s="230">
        <v>1795</v>
      </c>
      <c r="CQ136" s="228">
        <v>-118</v>
      </c>
      <c r="CR136" s="229">
        <v>-6.59E-2</v>
      </c>
      <c r="CS136" s="230">
        <v>1402</v>
      </c>
      <c r="CT136" s="230">
        <v>1414</v>
      </c>
      <c r="CU136" s="228">
        <v>-12</v>
      </c>
      <c r="CV136" s="229">
        <v>-8.5000000000000006E-3</v>
      </c>
      <c r="CW136" s="230">
        <v>5067</v>
      </c>
      <c r="CX136" s="230">
        <v>5158</v>
      </c>
      <c r="CY136" s="228">
        <v>-91</v>
      </c>
      <c r="CZ136" s="229">
        <v>-1.77E-2</v>
      </c>
      <c r="DA136" s="228">
        <v>38.74</v>
      </c>
      <c r="DB136" s="228">
        <v>35.29</v>
      </c>
      <c r="DC136" s="228">
        <v>3.45</v>
      </c>
      <c r="DD136" s="228">
        <v>3.45</v>
      </c>
      <c r="DE136" s="228">
        <v>47.47</v>
      </c>
      <c r="DF136" s="228">
        <v>47.57</v>
      </c>
      <c r="DG136" s="228">
        <v>-8.73</v>
      </c>
      <c r="DH136" s="228">
        <v>-0.1</v>
      </c>
      <c r="DI136" s="228">
        <v>38.369999999999997</v>
      </c>
      <c r="DJ136" s="228">
        <v>34.1</v>
      </c>
      <c r="DK136" s="228">
        <v>4.2699999999999996</v>
      </c>
      <c r="DL136" s="228">
        <v>4.2699999999999996</v>
      </c>
      <c r="DM136" s="228">
        <v>39.26</v>
      </c>
      <c r="DN136" s="228">
        <v>37.6</v>
      </c>
      <c r="DO136" s="228">
        <v>1.66</v>
      </c>
      <c r="DP136" s="228">
        <v>1.66</v>
      </c>
      <c r="DQ136" s="228">
        <v>0.84</v>
      </c>
      <c r="DR136" s="228">
        <v>0.79</v>
      </c>
      <c r="DS136" s="228">
        <v>0.05</v>
      </c>
      <c r="DT136" s="229">
        <v>6.3299999999999995E-2</v>
      </c>
      <c r="DU136" s="228">
        <v>370</v>
      </c>
      <c r="DV136" s="228">
        <v>350</v>
      </c>
      <c r="DW136" s="228">
        <v>0.68</v>
      </c>
      <c r="DX136" s="228">
        <v>0.52</v>
      </c>
      <c r="DY136" s="228">
        <v>0.16</v>
      </c>
      <c r="DZ136" s="229">
        <v>0.30769999999999997</v>
      </c>
      <c r="EA136" s="229">
        <v>0.60589999999999999</v>
      </c>
      <c r="EB136" s="230">
        <v>17306250</v>
      </c>
      <c r="EC136" s="229">
        <v>-1.8E-3</v>
      </c>
      <c r="ED136" s="229">
        <v>0.60589999999999999</v>
      </c>
      <c r="EE136" s="228">
        <v>-1.03</v>
      </c>
      <c r="EF136" s="229">
        <v>-2.8E-3</v>
      </c>
      <c r="EG136" s="230">
        <v>6062162</v>
      </c>
      <c r="EH136" s="230">
        <v>3822203</v>
      </c>
      <c r="EI136" s="229">
        <v>0.58599999999999997</v>
      </c>
      <c r="EJ136" s="229">
        <v>0.43830000000000002</v>
      </c>
      <c r="EK136" s="231">
        <v>2554.31</v>
      </c>
      <c r="EL136" s="231">
        <v>1629.29</v>
      </c>
      <c r="EM136" s="231">
        <v>2153.41</v>
      </c>
      <c r="EN136" s="228">
        <v>77.959999999999994</v>
      </c>
      <c r="EO136" s="231">
        <v>6337</v>
      </c>
      <c r="EP136" s="231">
        <v>8354.9500000000007</v>
      </c>
      <c r="EQ136" s="231">
        <v>-2017.95</v>
      </c>
      <c r="ER136" s="229">
        <v>-0.24149999999999999</v>
      </c>
      <c r="ES136" s="231">
        <v>1661.55</v>
      </c>
      <c r="ET136" s="231">
        <v>1268.3399999999999</v>
      </c>
      <c r="EU136" s="231">
        <v>1985.89</v>
      </c>
      <c r="EV136" s="231">
        <v>134225816</v>
      </c>
      <c r="EW136" s="231">
        <v>4915.78</v>
      </c>
      <c r="EX136" s="231">
        <v>4987.84</v>
      </c>
      <c r="EY136" s="228">
        <v>-72.06</v>
      </c>
      <c r="EZ136" s="229">
        <v>-1.44E-2</v>
      </c>
      <c r="FA136" s="229">
        <v>1.0364</v>
      </c>
      <c r="FB136" s="227" t="s">
        <v>555</v>
      </c>
      <c r="FC136">
        <f t="shared" si="2"/>
        <v>1204</v>
      </c>
    </row>
    <row r="137" spans="1:159" ht="17.25" thickBot="1" x14ac:dyDescent="0.3">
      <c r="A137" s="226">
        <v>46044</v>
      </c>
      <c r="B137" s="227" t="s">
        <v>615</v>
      </c>
      <c r="C137" s="227" t="s">
        <v>264</v>
      </c>
      <c r="D137" s="228">
        <v>375</v>
      </c>
      <c r="E137" s="228">
        <v>5</v>
      </c>
      <c r="F137" s="231">
        <v>1317.2</v>
      </c>
      <c r="G137" s="231">
        <v>1337.7</v>
      </c>
      <c r="H137" s="228">
        <v>-20.5</v>
      </c>
      <c r="I137" s="229">
        <v>-1.5299999999999999E-2</v>
      </c>
      <c r="J137" s="231">
        <v>1319.5</v>
      </c>
      <c r="K137" s="231">
        <v>1332.9</v>
      </c>
      <c r="L137" s="228">
        <v>-13.4</v>
      </c>
      <c r="M137" s="229">
        <v>-1.01E-2</v>
      </c>
      <c r="N137" s="231">
        <v>1317.2</v>
      </c>
      <c r="O137" s="231">
        <v>1337.7</v>
      </c>
      <c r="P137" s="228">
        <v>-20.5</v>
      </c>
      <c r="Q137" s="229">
        <v>-1.5299999999999999E-2</v>
      </c>
      <c r="R137" s="231">
        <v>1318.1</v>
      </c>
      <c r="S137" s="231">
        <v>1331.3</v>
      </c>
      <c r="T137" s="228">
        <v>-13.2</v>
      </c>
      <c r="U137" s="229">
        <v>-9.9000000000000008E-3</v>
      </c>
      <c r="V137" s="231">
        <v>1324</v>
      </c>
      <c r="W137" s="231">
        <v>1335</v>
      </c>
      <c r="X137" s="228">
        <v>-11</v>
      </c>
      <c r="Y137" s="229">
        <v>-8.2000000000000007E-3</v>
      </c>
      <c r="Z137" s="228">
        <v>-2.2999999999999998</v>
      </c>
      <c r="AA137" s="228">
        <v>4.8</v>
      </c>
      <c r="AB137" s="228">
        <v>-7.1</v>
      </c>
      <c r="AC137" s="229">
        <v>-1.6999999999999999E-3</v>
      </c>
      <c r="AD137" s="228">
        <v>-2.2999999999999998</v>
      </c>
      <c r="AE137" s="228">
        <v>4.8</v>
      </c>
      <c r="AF137" s="228">
        <v>-7.1</v>
      </c>
      <c r="AG137" s="229">
        <v>-1.6999999999999999E-3</v>
      </c>
      <c r="AH137" s="228">
        <v>-1.4</v>
      </c>
      <c r="AI137" s="228">
        <v>-1.6</v>
      </c>
      <c r="AJ137" s="228">
        <v>0.2</v>
      </c>
      <c r="AK137" s="229">
        <v>-1.1000000000000001E-3</v>
      </c>
      <c r="AL137" s="228">
        <v>4.5</v>
      </c>
      <c r="AM137" s="228">
        <v>2.1</v>
      </c>
      <c r="AN137" s="228">
        <v>2.4</v>
      </c>
      <c r="AO137" s="229">
        <v>3.3999999999999998E-3</v>
      </c>
      <c r="AP137" s="231">
        <v>1325.88</v>
      </c>
      <c r="AQ137" s="231">
        <v>1321.54</v>
      </c>
      <c r="AR137" s="228">
        <v>0</v>
      </c>
      <c r="AS137" s="230">
        <v>1191</v>
      </c>
      <c r="AT137" s="230">
        <v>1399</v>
      </c>
      <c r="AU137" s="228">
        <v>-207</v>
      </c>
      <c r="AV137" s="229">
        <v>-0.14810000000000001</v>
      </c>
      <c r="AW137" s="228">
        <v>615</v>
      </c>
      <c r="AX137" s="228">
        <v>766</v>
      </c>
      <c r="AY137" s="228">
        <v>-151</v>
      </c>
      <c r="AZ137" s="229">
        <v>-0.19689999999999999</v>
      </c>
      <c r="BA137" s="228">
        <v>575</v>
      </c>
      <c r="BB137" s="228">
        <v>630</v>
      </c>
      <c r="BC137" s="228">
        <v>-55</v>
      </c>
      <c r="BD137" s="229">
        <v>-8.7800000000000003E-2</v>
      </c>
      <c r="BE137" s="228">
        <v>2</v>
      </c>
      <c r="BF137" s="228">
        <v>3</v>
      </c>
      <c r="BG137" s="228">
        <v>-1</v>
      </c>
      <c r="BH137" s="229">
        <v>-0.38600000000000001</v>
      </c>
      <c r="BI137" s="228">
        <v>801</v>
      </c>
      <c r="BJ137" s="230">
        <v>1164</v>
      </c>
      <c r="BK137" s="228">
        <v>-363</v>
      </c>
      <c r="BL137" s="229">
        <v>-0.31180000000000002</v>
      </c>
      <c r="BM137" s="228">
        <v>595</v>
      </c>
      <c r="BN137" s="228">
        <v>765</v>
      </c>
      <c r="BO137" s="228">
        <v>-170</v>
      </c>
      <c r="BP137" s="229">
        <v>-0.22259999999999999</v>
      </c>
      <c r="BQ137" s="230">
        <v>2587</v>
      </c>
      <c r="BR137" s="230">
        <v>3327</v>
      </c>
      <c r="BS137" s="228">
        <v>-740</v>
      </c>
      <c r="BT137" s="229">
        <v>-0.2225</v>
      </c>
      <c r="BU137" s="230">
        <v>1347763</v>
      </c>
      <c r="BV137" s="230">
        <v>2049759</v>
      </c>
      <c r="BW137" s="230">
        <v>-701996</v>
      </c>
      <c r="BX137" s="229">
        <v>-0.34250000000000003</v>
      </c>
      <c r="BY137" s="230">
        <v>1101</v>
      </c>
      <c r="BZ137" s="230">
        <v>1144</v>
      </c>
      <c r="CA137" s="228">
        <v>-43</v>
      </c>
      <c r="CB137" s="229">
        <v>-3.7699999999999997E-2</v>
      </c>
      <c r="CC137" s="228">
        <v>291</v>
      </c>
      <c r="CD137" s="228">
        <v>648</v>
      </c>
      <c r="CE137" s="228">
        <v>-356</v>
      </c>
      <c r="CF137" s="229">
        <v>-0.55049999999999999</v>
      </c>
      <c r="CG137" s="228">
        <v>806</v>
      </c>
      <c r="CH137" s="228">
        <v>493</v>
      </c>
      <c r="CI137" s="228">
        <v>313</v>
      </c>
      <c r="CJ137" s="229">
        <v>0.63539999999999996</v>
      </c>
      <c r="CK137" s="228">
        <v>4</v>
      </c>
      <c r="CL137" s="228">
        <v>4</v>
      </c>
      <c r="CM137" s="228">
        <v>0</v>
      </c>
      <c r="CN137" s="229">
        <v>8.3299999999999999E-2</v>
      </c>
      <c r="CO137" s="228">
        <v>409</v>
      </c>
      <c r="CP137" s="228">
        <v>433</v>
      </c>
      <c r="CQ137" s="228">
        <v>-24</v>
      </c>
      <c r="CR137" s="229">
        <v>-5.5E-2</v>
      </c>
      <c r="CS137" s="228">
        <v>235</v>
      </c>
      <c r="CT137" s="228">
        <v>251</v>
      </c>
      <c r="CU137" s="228">
        <v>-16</v>
      </c>
      <c r="CV137" s="229">
        <v>-6.2E-2</v>
      </c>
      <c r="CW137" s="230">
        <v>1746</v>
      </c>
      <c r="CX137" s="230">
        <v>1828</v>
      </c>
      <c r="CY137" s="228">
        <v>-82</v>
      </c>
      <c r="CZ137" s="229">
        <v>-4.5100000000000001E-2</v>
      </c>
      <c r="DA137" s="228">
        <v>34.15</v>
      </c>
      <c r="DB137" s="228">
        <v>32.229999999999997</v>
      </c>
      <c r="DC137" s="228">
        <v>1.92</v>
      </c>
      <c r="DD137" s="228">
        <v>1.92</v>
      </c>
      <c r="DE137" s="228">
        <v>35.270000000000003</v>
      </c>
      <c r="DF137" s="228">
        <v>35.340000000000003</v>
      </c>
      <c r="DG137" s="228">
        <v>-1.1200000000000001</v>
      </c>
      <c r="DH137" s="228">
        <v>-7.0000000000000007E-2</v>
      </c>
      <c r="DI137" s="228">
        <v>34.68</v>
      </c>
      <c r="DJ137" s="228">
        <v>30.9</v>
      </c>
      <c r="DK137" s="228">
        <v>3.78</v>
      </c>
      <c r="DL137" s="228">
        <v>3.78</v>
      </c>
      <c r="DM137" s="228">
        <v>33.22</v>
      </c>
      <c r="DN137" s="228">
        <v>34.25</v>
      </c>
      <c r="DO137" s="228">
        <v>-1.03</v>
      </c>
      <c r="DP137" s="228">
        <v>-1.03</v>
      </c>
      <c r="DQ137" s="228">
        <v>0.57999999999999996</v>
      </c>
      <c r="DR137" s="228">
        <v>0.57999999999999996</v>
      </c>
      <c r="DS137" s="228">
        <v>0</v>
      </c>
      <c r="DT137" s="229">
        <v>0</v>
      </c>
      <c r="DU137" s="231">
        <v>1400</v>
      </c>
      <c r="DV137" s="231">
        <v>1260</v>
      </c>
      <c r="DW137" s="228">
        <v>0.74</v>
      </c>
      <c r="DX137" s="228">
        <v>0.66</v>
      </c>
      <c r="DY137" s="228">
        <v>0.08</v>
      </c>
      <c r="DZ137" s="229">
        <v>0.1212</v>
      </c>
      <c r="EA137" s="229">
        <v>0.73560000000000003</v>
      </c>
      <c r="EB137" s="230">
        <v>3771375</v>
      </c>
      <c r="EC137" s="229">
        <v>6.9999999999999999E-4</v>
      </c>
      <c r="ED137" s="229">
        <v>0.73560000000000003</v>
      </c>
      <c r="EE137" s="228">
        <v>-4.34</v>
      </c>
      <c r="EF137" s="229">
        <v>-3.3E-3</v>
      </c>
      <c r="EG137" s="230">
        <v>624979</v>
      </c>
      <c r="EH137" s="230">
        <v>1087433</v>
      </c>
      <c r="EI137" s="229">
        <v>-0.42530000000000001</v>
      </c>
      <c r="EJ137" s="229">
        <v>0.4637</v>
      </c>
      <c r="EK137" s="228">
        <v>848.17</v>
      </c>
      <c r="EL137" s="228">
        <v>596.38</v>
      </c>
      <c r="EM137" s="231">
        <v>1197.31</v>
      </c>
      <c r="EN137" s="228">
        <v>95.17</v>
      </c>
      <c r="EO137" s="231">
        <v>2641.86</v>
      </c>
      <c r="EP137" s="231">
        <v>3360.88</v>
      </c>
      <c r="EQ137" s="228">
        <v>-719.02</v>
      </c>
      <c r="ER137" s="229">
        <v>-0.21390000000000001</v>
      </c>
      <c r="ES137" s="228">
        <v>441.46</v>
      </c>
      <c r="ET137" s="228">
        <v>230.4</v>
      </c>
      <c r="EU137" s="231">
        <v>1101.8399999999999</v>
      </c>
      <c r="EV137" s="231">
        <v>45110207</v>
      </c>
      <c r="EW137" s="231">
        <v>1773.69</v>
      </c>
      <c r="EX137" s="231">
        <v>1871.31</v>
      </c>
      <c r="EY137" s="228">
        <v>-97.62</v>
      </c>
      <c r="EZ137" s="229">
        <v>-5.2200000000000003E-2</v>
      </c>
      <c r="FA137" s="229">
        <v>0.29380000000000001</v>
      </c>
      <c r="FB137" s="227" t="s">
        <v>568</v>
      </c>
      <c r="FC137">
        <f t="shared" si="2"/>
        <v>810</v>
      </c>
    </row>
    <row r="138" spans="1:159" ht="17.25" thickBot="1" x14ac:dyDescent="0.3">
      <c r="A138" s="226">
        <v>46044</v>
      </c>
      <c r="B138" s="227" t="s">
        <v>206</v>
      </c>
      <c r="C138" s="227" t="s">
        <v>550</v>
      </c>
      <c r="D138" s="228">
        <v>6500</v>
      </c>
      <c r="E138" s="228">
        <v>5</v>
      </c>
      <c r="F138" s="228">
        <v>98.76</v>
      </c>
      <c r="G138" s="228">
        <v>96.61</v>
      </c>
      <c r="H138" s="228">
        <v>2.15</v>
      </c>
      <c r="I138" s="229">
        <v>2.23E-2</v>
      </c>
      <c r="J138" s="228">
        <v>98.68</v>
      </c>
      <c r="K138" s="228">
        <v>96.69</v>
      </c>
      <c r="L138" s="228">
        <v>1.99</v>
      </c>
      <c r="M138" s="229">
        <v>2.06E-2</v>
      </c>
      <c r="N138" s="228">
        <v>98.76</v>
      </c>
      <c r="O138" s="228">
        <v>96.61</v>
      </c>
      <c r="P138" s="228">
        <v>2.15</v>
      </c>
      <c r="Q138" s="229">
        <v>2.23E-2</v>
      </c>
      <c r="R138" s="228">
        <v>98.76</v>
      </c>
      <c r="S138" s="228">
        <v>96.51</v>
      </c>
      <c r="T138" s="228">
        <v>2.25</v>
      </c>
      <c r="U138" s="229">
        <v>2.3300000000000001E-2</v>
      </c>
      <c r="V138" s="228">
        <v>99.49</v>
      </c>
      <c r="W138" s="228">
        <v>97.09</v>
      </c>
      <c r="X138" s="228">
        <v>2.4</v>
      </c>
      <c r="Y138" s="229">
        <v>2.47E-2</v>
      </c>
      <c r="Z138" s="228">
        <v>0.08</v>
      </c>
      <c r="AA138" s="228">
        <v>-0.08</v>
      </c>
      <c r="AB138" s="228">
        <v>0.16</v>
      </c>
      <c r="AC138" s="229">
        <v>8.0000000000000004E-4</v>
      </c>
      <c r="AD138" s="228">
        <v>0.08</v>
      </c>
      <c r="AE138" s="228">
        <v>-0.08</v>
      </c>
      <c r="AF138" s="228">
        <v>0.16</v>
      </c>
      <c r="AG138" s="229">
        <v>8.0000000000000004E-4</v>
      </c>
      <c r="AH138" s="228">
        <v>0.08</v>
      </c>
      <c r="AI138" s="228">
        <v>-0.18</v>
      </c>
      <c r="AJ138" s="228">
        <v>0.26</v>
      </c>
      <c r="AK138" s="229">
        <v>8.0000000000000004E-4</v>
      </c>
      <c r="AL138" s="228">
        <v>0.81</v>
      </c>
      <c r="AM138" s="228">
        <v>0.4</v>
      </c>
      <c r="AN138" s="228">
        <v>0.41</v>
      </c>
      <c r="AO138" s="229">
        <v>8.2000000000000007E-3</v>
      </c>
      <c r="AP138" s="228">
        <v>98.55</v>
      </c>
      <c r="AQ138" s="228">
        <v>98.43</v>
      </c>
      <c r="AR138" s="228">
        <v>0</v>
      </c>
      <c r="AS138" s="228">
        <v>510</v>
      </c>
      <c r="AT138" s="228">
        <v>497</v>
      </c>
      <c r="AU138" s="228">
        <v>13</v>
      </c>
      <c r="AV138" s="229">
        <v>2.5399999999999999E-2</v>
      </c>
      <c r="AW138" s="228">
        <v>251</v>
      </c>
      <c r="AX138" s="228">
        <v>266</v>
      </c>
      <c r="AY138" s="228">
        <v>-14</v>
      </c>
      <c r="AZ138" s="229">
        <v>-5.4399999999999997E-2</v>
      </c>
      <c r="BA138" s="228">
        <v>253</v>
      </c>
      <c r="BB138" s="228">
        <v>219</v>
      </c>
      <c r="BC138" s="228">
        <v>34</v>
      </c>
      <c r="BD138" s="229">
        <v>0.15579999999999999</v>
      </c>
      <c r="BE138" s="228">
        <v>5</v>
      </c>
      <c r="BF138" s="228">
        <v>12</v>
      </c>
      <c r="BG138" s="228">
        <v>-7</v>
      </c>
      <c r="BH138" s="229">
        <v>-0.57289999999999996</v>
      </c>
      <c r="BI138" s="228">
        <v>590</v>
      </c>
      <c r="BJ138" s="228">
        <v>705</v>
      </c>
      <c r="BK138" s="228">
        <v>-115</v>
      </c>
      <c r="BL138" s="229">
        <v>-0.16259999999999999</v>
      </c>
      <c r="BM138" s="228">
        <v>183</v>
      </c>
      <c r="BN138" s="228">
        <v>282</v>
      </c>
      <c r="BO138" s="228">
        <v>-100</v>
      </c>
      <c r="BP138" s="229">
        <v>-0.35239999999999999</v>
      </c>
      <c r="BQ138" s="230">
        <v>1283</v>
      </c>
      <c r="BR138" s="230">
        <v>1485</v>
      </c>
      <c r="BS138" s="228">
        <v>-202</v>
      </c>
      <c r="BT138" s="229">
        <v>-0.13569999999999999</v>
      </c>
      <c r="BU138" s="230">
        <v>12529237</v>
      </c>
      <c r="BV138" s="230">
        <v>18992674</v>
      </c>
      <c r="BW138" s="230">
        <v>-6463437</v>
      </c>
      <c r="BX138" s="229">
        <v>-0.34029999999999999</v>
      </c>
      <c r="BY138" s="228">
        <v>921</v>
      </c>
      <c r="BZ138" s="228">
        <v>898</v>
      </c>
      <c r="CA138" s="228">
        <v>23</v>
      </c>
      <c r="CB138" s="229">
        <v>2.6100000000000002E-2</v>
      </c>
      <c r="CC138" s="228">
        <v>552</v>
      </c>
      <c r="CD138" s="228">
        <v>654</v>
      </c>
      <c r="CE138" s="228">
        <v>-102</v>
      </c>
      <c r="CF138" s="229">
        <v>-0.15570000000000001</v>
      </c>
      <c r="CG138" s="228">
        <v>347</v>
      </c>
      <c r="CH138" s="228">
        <v>223</v>
      </c>
      <c r="CI138" s="228">
        <v>124</v>
      </c>
      <c r="CJ138" s="229">
        <v>0.55389999999999995</v>
      </c>
      <c r="CK138" s="228">
        <v>22</v>
      </c>
      <c r="CL138" s="228">
        <v>20</v>
      </c>
      <c r="CM138" s="228">
        <v>2</v>
      </c>
      <c r="CN138" s="229">
        <v>7.7200000000000005E-2</v>
      </c>
      <c r="CO138" s="228">
        <v>770</v>
      </c>
      <c r="CP138" s="228">
        <v>817</v>
      </c>
      <c r="CQ138" s="228">
        <v>-47</v>
      </c>
      <c r="CR138" s="229">
        <v>-5.7200000000000001E-2</v>
      </c>
      <c r="CS138" s="228">
        <v>304</v>
      </c>
      <c r="CT138" s="228">
        <v>314</v>
      </c>
      <c r="CU138" s="228">
        <v>-10</v>
      </c>
      <c r="CV138" s="229">
        <v>-3.27E-2</v>
      </c>
      <c r="CW138" s="230">
        <v>1995</v>
      </c>
      <c r="CX138" s="230">
        <v>2029</v>
      </c>
      <c r="CY138" s="228">
        <v>-34</v>
      </c>
      <c r="CZ138" s="229">
        <v>-1.6500000000000001E-2</v>
      </c>
      <c r="DA138" s="228">
        <v>44.03</v>
      </c>
      <c r="DB138" s="228">
        <v>44.04</v>
      </c>
      <c r="DC138" s="228">
        <v>-0.01</v>
      </c>
      <c r="DD138" s="228">
        <v>-0.01</v>
      </c>
      <c r="DE138" s="228">
        <v>50.37</v>
      </c>
      <c r="DF138" s="228">
        <v>50.4</v>
      </c>
      <c r="DG138" s="228">
        <v>-6.34</v>
      </c>
      <c r="DH138" s="228">
        <v>-0.03</v>
      </c>
      <c r="DI138" s="228">
        <v>44.21</v>
      </c>
      <c r="DJ138" s="228">
        <v>46.33</v>
      </c>
      <c r="DK138" s="228">
        <v>-2.12</v>
      </c>
      <c r="DL138" s="228">
        <v>-2.12</v>
      </c>
      <c r="DM138" s="228">
        <v>43.68</v>
      </c>
      <c r="DN138" s="228">
        <v>38.33</v>
      </c>
      <c r="DO138" s="228">
        <v>5.35</v>
      </c>
      <c r="DP138" s="228">
        <v>5.35</v>
      </c>
      <c r="DQ138" s="228">
        <v>0.39</v>
      </c>
      <c r="DR138" s="228">
        <v>0.38</v>
      </c>
      <c r="DS138" s="228">
        <v>0.01</v>
      </c>
      <c r="DT138" s="229">
        <v>2.63E-2</v>
      </c>
      <c r="DU138" s="228">
        <v>120</v>
      </c>
      <c r="DV138" s="228">
        <v>120</v>
      </c>
      <c r="DW138" s="228">
        <v>0.31</v>
      </c>
      <c r="DX138" s="228">
        <v>0.4</v>
      </c>
      <c r="DY138" s="228">
        <v>-0.09</v>
      </c>
      <c r="DZ138" s="229">
        <v>-0.22500000000000001</v>
      </c>
      <c r="EA138" s="229">
        <v>0.40029999999999999</v>
      </c>
      <c r="EB138" s="230">
        <v>24648000</v>
      </c>
      <c r="EC138" s="229">
        <v>0</v>
      </c>
      <c r="ED138" s="229">
        <v>0.40029999999999999</v>
      </c>
      <c r="EE138" s="228">
        <v>-0.12</v>
      </c>
      <c r="EF138" s="229">
        <v>-1.1999999999999999E-3</v>
      </c>
      <c r="EG138" s="230">
        <v>3937477</v>
      </c>
      <c r="EH138" s="230">
        <v>5562676</v>
      </c>
      <c r="EI138" s="229">
        <v>-0.29220000000000002</v>
      </c>
      <c r="EJ138" s="229">
        <v>0.31430000000000002</v>
      </c>
      <c r="EK138" s="228">
        <v>646.69000000000005</v>
      </c>
      <c r="EL138" s="228">
        <v>190.12</v>
      </c>
      <c r="EM138" s="228">
        <v>508.56</v>
      </c>
      <c r="EN138" s="228">
        <v>44.55</v>
      </c>
      <c r="EO138" s="231">
        <v>1345.37</v>
      </c>
      <c r="EP138" s="231">
        <v>1544.86</v>
      </c>
      <c r="EQ138" s="228">
        <v>-199.49</v>
      </c>
      <c r="ER138" s="229">
        <v>-0.12909999999999999</v>
      </c>
      <c r="ES138" s="228">
        <v>914.28</v>
      </c>
      <c r="ET138" s="228">
        <v>334.4</v>
      </c>
      <c r="EU138" s="228">
        <v>921.28</v>
      </c>
      <c r="EV138" s="231">
        <v>154894704</v>
      </c>
      <c r="EW138" s="231">
        <v>2169.9499999999998</v>
      </c>
      <c r="EX138" s="231">
        <v>2196.91</v>
      </c>
      <c r="EY138" s="228">
        <v>-26.96</v>
      </c>
      <c r="EZ138" s="229">
        <v>-1.23E-2</v>
      </c>
      <c r="FA138" s="229">
        <v>1.3042</v>
      </c>
      <c r="FB138" s="227" t="s">
        <v>555</v>
      </c>
      <c r="FC138">
        <f t="shared" si="2"/>
        <v>369</v>
      </c>
    </row>
    <row r="139" spans="1:159" ht="17.25" thickBot="1" x14ac:dyDescent="0.3">
      <c r="A139" s="226">
        <v>46044</v>
      </c>
      <c r="B139" s="227" t="s">
        <v>168</v>
      </c>
      <c r="C139" s="227" t="s">
        <v>265</v>
      </c>
      <c r="D139" s="228">
        <v>500</v>
      </c>
      <c r="E139" s="228">
        <v>5</v>
      </c>
      <c r="F139" s="231">
        <v>1306.5</v>
      </c>
      <c r="G139" s="231">
        <v>1283.5999999999999</v>
      </c>
      <c r="H139" s="228">
        <v>22.9</v>
      </c>
      <c r="I139" s="229">
        <v>1.78E-2</v>
      </c>
      <c r="J139" s="231">
        <v>1306</v>
      </c>
      <c r="K139" s="231">
        <v>1283.2</v>
      </c>
      <c r="L139" s="228">
        <v>22.8</v>
      </c>
      <c r="M139" s="229">
        <v>1.78E-2</v>
      </c>
      <c r="N139" s="231">
        <v>1306.5</v>
      </c>
      <c r="O139" s="231">
        <v>1283.5999999999999</v>
      </c>
      <c r="P139" s="228">
        <v>22.9</v>
      </c>
      <c r="Q139" s="229">
        <v>1.78E-2</v>
      </c>
      <c r="R139" s="231">
        <v>1306.4000000000001</v>
      </c>
      <c r="S139" s="231">
        <v>1283.5</v>
      </c>
      <c r="T139" s="228">
        <v>22.9</v>
      </c>
      <c r="U139" s="229">
        <v>1.78E-2</v>
      </c>
      <c r="V139" s="231">
        <v>1315.3</v>
      </c>
      <c r="W139" s="231">
        <v>1289</v>
      </c>
      <c r="X139" s="228">
        <v>26.3</v>
      </c>
      <c r="Y139" s="229">
        <v>2.0400000000000001E-2</v>
      </c>
      <c r="Z139" s="228">
        <v>0.5</v>
      </c>
      <c r="AA139" s="228">
        <v>0.4</v>
      </c>
      <c r="AB139" s="228">
        <v>0.1</v>
      </c>
      <c r="AC139" s="229">
        <v>4.0000000000000002E-4</v>
      </c>
      <c r="AD139" s="228">
        <v>0.5</v>
      </c>
      <c r="AE139" s="228">
        <v>0.4</v>
      </c>
      <c r="AF139" s="228">
        <v>0.1</v>
      </c>
      <c r="AG139" s="229">
        <v>4.0000000000000002E-4</v>
      </c>
      <c r="AH139" s="228">
        <v>0.4</v>
      </c>
      <c r="AI139" s="228">
        <v>0.3</v>
      </c>
      <c r="AJ139" s="228">
        <v>0.1</v>
      </c>
      <c r="AK139" s="229">
        <v>2.9999999999999997E-4</v>
      </c>
      <c r="AL139" s="228">
        <v>9.3000000000000007</v>
      </c>
      <c r="AM139" s="228">
        <v>5.8</v>
      </c>
      <c r="AN139" s="228">
        <v>3.5</v>
      </c>
      <c r="AO139" s="229">
        <v>7.1000000000000004E-3</v>
      </c>
      <c r="AP139" s="231">
        <v>1296.58</v>
      </c>
      <c r="AQ139" s="231">
        <v>1296.92</v>
      </c>
      <c r="AR139" s="228">
        <v>0</v>
      </c>
      <c r="AS139" s="230">
        <v>1684</v>
      </c>
      <c r="AT139" s="230">
        <v>1435</v>
      </c>
      <c r="AU139" s="228">
        <v>248</v>
      </c>
      <c r="AV139" s="229">
        <v>0.17299999999999999</v>
      </c>
      <c r="AW139" s="228">
        <v>868</v>
      </c>
      <c r="AX139" s="228">
        <v>795</v>
      </c>
      <c r="AY139" s="228">
        <v>73</v>
      </c>
      <c r="AZ139" s="229">
        <v>9.1999999999999998E-2</v>
      </c>
      <c r="BA139" s="228">
        <v>813</v>
      </c>
      <c r="BB139" s="228">
        <v>638</v>
      </c>
      <c r="BC139" s="228">
        <v>175</v>
      </c>
      <c r="BD139" s="229">
        <v>0.2742</v>
      </c>
      <c r="BE139" s="228">
        <v>3</v>
      </c>
      <c r="BF139" s="228">
        <v>2</v>
      </c>
      <c r="BG139" s="228">
        <v>0</v>
      </c>
      <c r="BH139" s="229">
        <v>0.1081</v>
      </c>
      <c r="BI139" s="228">
        <v>629</v>
      </c>
      <c r="BJ139" s="228">
        <v>583</v>
      </c>
      <c r="BK139" s="228">
        <v>46</v>
      </c>
      <c r="BL139" s="229">
        <v>7.8200000000000006E-2</v>
      </c>
      <c r="BM139" s="228">
        <v>360</v>
      </c>
      <c r="BN139" s="228">
        <v>355</v>
      </c>
      <c r="BO139" s="228">
        <v>6</v>
      </c>
      <c r="BP139" s="229">
        <v>1.6799999999999999E-2</v>
      </c>
      <c r="BQ139" s="230">
        <v>2673</v>
      </c>
      <c r="BR139" s="230">
        <v>2373</v>
      </c>
      <c r="BS139" s="228">
        <v>300</v>
      </c>
      <c r="BT139" s="229">
        <v>0.12640000000000001</v>
      </c>
      <c r="BU139" s="230">
        <v>1018580</v>
      </c>
      <c r="BV139" s="230">
        <v>1076844</v>
      </c>
      <c r="BW139" s="230">
        <v>-58264</v>
      </c>
      <c r="BX139" s="229">
        <v>-5.4100000000000002E-2</v>
      </c>
      <c r="BY139" s="230">
        <v>2284</v>
      </c>
      <c r="BZ139" s="230">
        <v>2296</v>
      </c>
      <c r="CA139" s="228">
        <v>-12</v>
      </c>
      <c r="CB139" s="229">
        <v>-5.3E-3</v>
      </c>
      <c r="CC139" s="228">
        <v>930</v>
      </c>
      <c r="CD139" s="230">
        <v>1630</v>
      </c>
      <c r="CE139" s="228">
        <v>-700</v>
      </c>
      <c r="CF139" s="229">
        <v>-0.42949999999999999</v>
      </c>
      <c r="CG139" s="230">
        <v>1326</v>
      </c>
      <c r="CH139" s="228">
        <v>639</v>
      </c>
      <c r="CI139" s="228">
        <v>688</v>
      </c>
      <c r="CJ139" s="229">
        <v>1.0765</v>
      </c>
      <c r="CK139" s="228">
        <v>28</v>
      </c>
      <c r="CL139" s="228">
        <v>27</v>
      </c>
      <c r="CM139" s="228">
        <v>0</v>
      </c>
      <c r="CN139" s="229">
        <v>9.5999999999999992E-3</v>
      </c>
      <c r="CO139" s="228">
        <v>447</v>
      </c>
      <c r="CP139" s="228">
        <v>507</v>
      </c>
      <c r="CQ139" s="228">
        <v>-60</v>
      </c>
      <c r="CR139" s="229">
        <v>-0.1191</v>
      </c>
      <c r="CS139" s="228">
        <v>248</v>
      </c>
      <c r="CT139" s="228">
        <v>245</v>
      </c>
      <c r="CU139" s="228">
        <v>2</v>
      </c>
      <c r="CV139" s="229">
        <v>9.7999999999999997E-3</v>
      </c>
      <c r="CW139" s="230">
        <v>2978</v>
      </c>
      <c r="CX139" s="230">
        <v>3049</v>
      </c>
      <c r="CY139" s="228">
        <v>-70</v>
      </c>
      <c r="CZ139" s="229">
        <v>-2.3E-2</v>
      </c>
      <c r="DA139" s="228">
        <v>23.76</v>
      </c>
      <c r="DB139" s="228">
        <v>19.899999999999999</v>
      </c>
      <c r="DC139" s="228">
        <v>3.86</v>
      </c>
      <c r="DD139" s="228">
        <v>3.86</v>
      </c>
      <c r="DE139" s="228">
        <v>22.57</v>
      </c>
      <c r="DF139" s="228">
        <v>22.5</v>
      </c>
      <c r="DG139" s="228">
        <v>1.19</v>
      </c>
      <c r="DH139" s="228">
        <v>7.0000000000000007E-2</v>
      </c>
      <c r="DI139" s="228">
        <v>23.64</v>
      </c>
      <c r="DJ139" s="228">
        <v>20.65</v>
      </c>
      <c r="DK139" s="228">
        <v>2.99</v>
      </c>
      <c r="DL139" s="228">
        <v>2.99</v>
      </c>
      <c r="DM139" s="228">
        <v>23.99</v>
      </c>
      <c r="DN139" s="228">
        <v>18.66</v>
      </c>
      <c r="DO139" s="228">
        <v>5.33</v>
      </c>
      <c r="DP139" s="228">
        <v>5.33</v>
      </c>
      <c r="DQ139" s="228">
        <v>0.56000000000000005</v>
      </c>
      <c r="DR139" s="228">
        <v>0.48</v>
      </c>
      <c r="DS139" s="228">
        <v>0.08</v>
      </c>
      <c r="DT139" s="229">
        <v>0.16669999999999999</v>
      </c>
      <c r="DU139" s="231">
        <v>1340</v>
      </c>
      <c r="DV139" s="231">
        <v>1300</v>
      </c>
      <c r="DW139" s="228">
        <v>0.56999999999999995</v>
      </c>
      <c r="DX139" s="228">
        <v>0.61</v>
      </c>
      <c r="DY139" s="228">
        <v>-0.04</v>
      </c>
      <c r="DZ139" s="229">
        <v>-6.5600000000000006E-2</v>
      </c>
      <c r="EA139" s="229">
        <v>0.59279999999999999</v>
      </c>
      <c r="EB139" s="230">
        <v>5098000</v>
      </c>
      <c r="EC139" s="229">
        <v>-1E-4</v>
      </c>
      <c r="ED139" s="229">
        <v>0.59279999999999999</v>
      </c>
      <c r="EE139" s="228">
        <v>0.34</v>
      </c>
      <c r="EF139" s="229">
        <v>2.9999999999999997E-4</v>
      </c>
      <c r="EG139" s="230">
        <v>476196</v>
      </c>
      <c r="EH139" s="230">
        <v>518693</v>
      </c>
      <c r="EI139" s="229">
        <v>-8.1900000000000001E-2</v>
      </c>
      <c r="EJ139" s="229">
        <v>0.46750000000000003</v>
      </c>
      <c r="EK139" s="228">
        <v>638.22</v>
      </c>
      <c r="EL139" s="228">
        <v>353.55</v>
      </c>
      <c r="EM139" s="231">
        <v>1671.06</v>
      </c>
      <c r="EN139" s="228">
        <v>86.34</v>
      </c>
      <c r="EO139" s="231">
        <v>2662.83</v>
      </c>
      <c r="EP139" s="231">
        <v>2357.9699999999998</v>
      </c>
      <c r="EQ139" s="228">
        <v>304.86</v>
      </c>
      <c r="ER139" s="229">
        <v>0.1293</v>
      </c>
      <c r="ES139" s="228">
        <v>459.5</v>
      </c>
      <c r="ET139" s="228">
        <v>240.01</v>
      </c>
      <c r="EU139" s="231">
        <v>2284.11</v>
      </c>
      <c r="EV139" s="231">
        <v>71801274</v>
      </c>
      <c r="EW139" s="231">
        <v>2983.62</v>
      </c>
      <c r="EX139" s="231">
        <v>3013.49</v>
      </c>
      <c r="EY139" s="228">
        <v>-29.87</v>
      </c>
      <c r="EZ139" s="229">
        <v>-9.9000000000000008E-3</v>
      </c>
      <c r="FA139" s="229">
        <v>0.3175</v>
      </c>
      <c r="FB139" s="227" t="s">
        <v>556</v>
      </c>
      <c r="FC139">
        <f t="shared" si="2"/>
        <v>1354</v>
      </c>
    </row>
    <row r="140" spans="1:159" ht="17.25" thickBot="1" x14ac:dyDescent="0.3">
      <c r="A140" s="226">
        <v>46044</v>
      </c>
      <c r="B140" s="227" t="s">
        <v>161</v>
      </c>
      <c r="C140" s="227" t="s">
        <v>585</v>
      </c>
      <c r="D140" s="228">
        <v>6400</v>
      </c>
      <c r="E140" s="228">
        <v>5</v>
      </c>
      <c r="F140" s="228">
        <v>77.709999999999994</v>
      </c>
      <c r="G140" s="228">
        <v>76.33</v>
      </c>
      <c r="H140" s="228">
        <v>1.38</v>
      </c>
      <c r="I140" s="229">
        <v>1.8100000000000002E-2</v>
      </c>
      <c r="J140" s="228">
        <v>77.45</v>
      </c>
      <c r="K140" s="228">
        <v>76.12</v>
      </c>
      <c r="L140" s="228">
        <v>1.33</v>
      </c>
      <c r="M140" s="229">
        <v>1.7500000000000002E-2</v>
      </c>
      <c r="N140" s="228">
        <v>77.709999999999994</v>
      </c>
      <c r="O140" s="228">
        <v>76.33</v>
      </c>
      <c r="P140" s="228">
        <v>1.38</v>
      </c>
      <c r="Q140" s="229">
        <v>1.8100000000000002E-2</v>
      </c>
      <c r="R140" s="228">
        <v>76.78</v>
      </c>
      <c r="S140" s="228">
        <v>75.34</v>
      </c>
      <c r="T140" s="228">
        <v>1.44</v>
      </c>
      <c r="U140" s="229">
        <v>1.9099999999999999E-2</v>
      </c>
      <c r="V140" s="228">
        <v>77.3</v>
      </c>
      <c r="W140" s="228">
        <v>75.989999999999995</v>
      </c>
      <c r="X140" s="228">
        <v>1.31</v>
      </c>
      <c r="Y140" s="229">
        <v>1.72E-2</v>
      </c>
      <c r="Z140" s="228">
        <v>0.26</v>
      </c>
      <c r="AA140" s="228">
        <v>0.21</v>
      </c>
      <c r="AB140" s="228">
        <v>0.05</v>
      </c>
      <c r="AC140" s="229">
        <v>3.3999999999999998E-3</v>
      </c>
      <c r="AD140" s="228">
        <v>0.26</v>
      </c>
      <c r="AE140" s="228">
        <v>0.21</v>
      </c>
      <c r="AF140" s="228">
        <v>0.05</v>
      </c>
      <c r="AG140" s="229">
        <v>3.3999999999999998E-3</v>
      </c>
      <c r="AH140" s="228">
        <v>-0.67</v>
      </c>
      <c r="AI140" s="228">
        <v>-0.78</v>
      </c>
      <c r="AJ140" s="228">
        <v>0.11</v>
      </c>
      <c r="AK140" s="229">
        <v>-8.6999999999999994E-3</v>
      </c>
      <c r="AL140" s="228">
        <v>-0.15</v>
      </c>
      <c r="AM140" s="228">
        <v>-0.13</v>
      </c>
      <c r="AN140" s="228">
        <v>-0.02</v>
      </c>
      <c r="AO140" s="229">
        <v>-1.9E-3</v>
      </c>
      <c r="AP140" s="228">
        <v>77.430000000000007</v>
      </c>
      <c r="AQ140" s="228">
        <v>76.569999999999993</v>
      </c>
      <c r="AR140" s="228">
        <v>0</v>
      </c>
      <c r="AS140" s="228">
        <v>479</v>
      </c>
      <c r="AT140" s="228">
        <v>443</v>
      </c>
      <c r="AU140" s="228">
        <v>36</v>
      </c>
      <c r="AV140" s="229">
        <v>8.0799999999999997E-2</v>
      </c>
      <c r="AW140" s="228">
        <v>259</v>
      </c>
      <c r="AX140" s="228">
        <v>243</v>
      </c>
      <c r="AY140" s="228">
        <v>16</v>
      </c>
      <c r="AZ140" s="229">
        <v>6.7599999999999993E-2</v>
      </c>
      <c r="BA140" s="228">
        <v>219</v>
      </c>
      <c r="BB140" s="228">
        <v>199</v>
      </c>
      <c r="BC140" s="228">
        <v>20</v>
      </c>
      <c r="BD140" s="229">
        <v>9.8400000000000001E-2</v>
      </c>
      <c r="BE140" s="228">
        <v>1</v>
      </c>
      <c r="BF140" s="228">
        <v>1</v>
      </c>
      <c r="BG140" s="228">
        <v>0</v>
      </c>
      <c r="BH140" s="229">
        <v>-0.16</v>
      </c>
      <c r="BI140" s="228">
        <v>283</v>
      </c>
      <c r="BJ140" s="228">
        <v>496</v>
      </c>
      <c r="BK140" s="228">
        <v>-213</v>
      </c>
      <c r="BL140" s="229">
        <v>-0.42970000000000003</v>
      </c>
      <c r="BM140" s="228">
        <v>115</v>
      </c>
      <c r="BN140" s="228">
        <v>322</v>
      </c>
      <c r="BO140" s="228">
        <v>-208</v>
      </c>
      <c r="BP140" s="229">
        <v>-0.64410000000000001</v>
      </c>
      <c r="BQ140" s="228">
        <v>877</v>
      </c>
      <c r="BR140" s="230">
        <v>1261</v>
      </c>
      <c r="BS140" s="228">
        <v>-385</v>
      </c>
      <c r="BT140" s="229">
        <v>-0.30509999999999998</v>
      </c>
      <c r="BU140" s="230">
        <v>10805959</v>
      </c>
      <c r="BV140" s="230">
        <v>18422000</v>
      </c>
      <c r="BW140" s="230">
        <v>-7616041</v>
      </c>
      <c r="BX140" s="229">
        <v>-0.41339999999999999</v>
      </c>
      <c r="BY140" s="228">
        <v>586</v>
      </c>
      <c r="BZ140" s="228">
        <v>615</v>
      </c>
      <c r="CA140" s="228">
        <v>-29</v>
      </c>
      <c r="CB140" s="229">
        <v>-4.6899999999999997E-2</v>
      </c>
      <c r="CC140" s="228">
        <v>258</v>
      </c>
      <c r="CD140" s="228">
        <v>416</v>
      </c>
      <c r="CE140" s="228">
        <v>-158</v>
      </c>
      <c r="CF140" s="229">
        <v>-0.37909999999999999</v>
      </c>
      <c r="CG140" s="228">
        <v>323</v>
      </c>
      <c r="CH140" s="228">
        <v>194</v>
      </c>
      <c r="CI140" s="228">
        <v>129</v>
      </c>
      <c r="CJ140" s="229">
        <v>0.66359999999999997</v>
      </c>
      <c r="CK140" s="228">
        <v>5</v>
      </c>
      <c r="CL140" s="228">
        <v>4</v>
      </c>
      <c r="CM140" s="228">
        <v>0</v>
      </c>
      <c r="CN140" s="229">
        <v>4.4400000000000002E-2</v>
      </c>
      <c r="CO140" s="228">
        <v>344</v>
      </c>
      <c r="CP140" s="228">
        <v>380</v>
      </c>
      <c r="CQ140" s="228">
        <v>-36</v>
      </c>
      <c r="CR140" s="229">
        <v>-9.4299999999999995E-2</v>
      </c>
      <c r="CS140" s="228">
        <v>174</v>
      </c>
      <c r="CT140" s="228">
        <v>179</v>
      </c>
      <c r="CU140" s="228">
        <v>-5</v>
      </c>
      <c r="CV140" s="229">
        <v>-2.64E-2</v>
      </c>
      <c r="CW140" s="230">
        <v>1104</v>
      </c>
      <c r="CX140" s="230">
        <v>1174</v>
      </c>
      <c r="CY140" s="228">
        <v>-69</v>
      </c>
      <c r="CZ140" s="229">
        <v>-5.91E-2</v>
      </c>
      <c r="DA140" s="228">
        <v>32.33</v>
      </c>
      <c r="DB140" s="228">
        <v>28.94</v>
      </c>
      <c r="DC140" s="228">
        <v>3.39</v>
      </c>
      <c r="DD140" s="228">
        <v>3.39</v>
      </c>
      <c r="DE140" s="228">
        <v>36.06</v>
      </c>
      <c r="DF140" s="228">
        <v>36.07</v>
      </c>
      <c r="DG140" s="228">
        <v>-3.73</v>
      </c>
      <c r="DH140" s="228">
        <v>-0.01</v>
      </c>
      <c r="DI140" s="228">
        <v>33.130000000000003</v>
      </c>
      <c r="DJ140" s="228">
        <v>30.25</v>
      </c>
      <c r="DK140" s="228">
        <v>2.88</v>
      </c>
      <c r="DL140" s="228">
        <v>2.88</v>
      </c>
      <c r="DM140" s="228">
        <v>31.11</v>
      </c>
      <c r="DN140" s="228">
        <v>26.92</v>
      </c>
      <c r="DO140" s="228">
        <v>4.1900000000000004</v>
      </c>
      <c r="DP140" s="228">
        <v>4.1900000000000004</v>
      </c>
      <c r="DQ140" s="228">
        <v>0.51</v>
      </c>
      <c r="DR140" s="228">
        <v>0.47</v>
      </c>
      <c r="DS140" s="228">
        <v>0.04</v>
      </c>
      <c r="DT140" s="229">
        <v>8.5099999999999995E-2</v>
      </c>
      <c r="DU140" s="228">
        <v>85</v>
      </c>
      <c r="DV140" s="228">
        <v>74</v>
      </c>
      <c r="DW140" s="228">
        <v>0.41</v>
      </c>
      <c r="DX140" s="228">
        <v>0.65</v>
      </c>
      <c r="DY140" s="228">
        <v>-0.24</v>
      </c>
      <c r="DZ140" s="229">
        <v>-0.36919999999999997</v>
      </c>
      <c r="EA140" s="229">
        <v>0.55889999999999995</v>
      </c>
      <c r="EB140" s="230">
        <v>25536000</v>
      </c>
      <c r="EC140" s="229">
        <v>-1.2E-2</v>
      </c>
      <c r="ED140" s="229">
        <v>0.55889999999999995</v>
      </c>
      <c r="EE140" s="228">
        <v>-0.86</v>
      </c>
      <c r="EF140" s="229">
        <v>-1.11E-2</v>
      </c>
      <c r="EG140" s="230">
        <v>5032363</v>
      </c>
      <c r="EH140" s="230">
        <v>7017761</v>
      </c>
      <c r="EI140" s="229">
        <v>-0.28289999999999998</v>
      </c>
      <c r="EJ140" s="229">
        <v>0.4657</v>
      </c>
      <c r="EK140" s="228">
        <v>295.17</v>
      </c>
      <c r="EL140" s="228">
        <v>115.8</v>
      </c>
      <c r="EM140" s="228">
        <v>474.89</v>
      </c>
      <c r="EN140" s="228">
        <v>45.7</v>
      </c>
      <c r="EO140" s="228">
        <v>885.86</v>
      </c>
      <c r="EP140" s="231">
        <v>1269.78</v>
      </c>
      <c r="EQ140" s="228">
        <v>-383.93</v>
      </c>
      <c r="ER140" s="229">
        <v>-0.3024</v>
      </c>
      <c r="ES140" s="228">
        <v>375.09</v>
      </c>
      <c r="ET140" s="228">
        <v>173.99</v>
      </c>
      <c r="EU140" s="228">
        <v>581.84</v>
      </c>
      <c r="EV140" s="231">
        <v>491233252</v>
      </c>
      <c r="EW140" s="231">
        <v>1130.9100000000001</v>
      </c>
      <c r="EX140" s="231">
        <v>1193.17</v>
      </c>
      <c r="EY140" s="228">
        <v>-62.26</v>
      </c>
      <c r="EZ140" s="229">
        <v>-5.2200000000000003E-2</v>
      </c>
      <c r="FA140" s="229">
        <v>0.2893</v>
      </c>
      <c r="FB140" s="227" t="s">
        <v>556</v>
      </c>
      <c r="FC140">
        <f t="shared" si="2"/>
        <v>328</v>
      </c>
    </row>
    <row r="141" spans="1:159" ht="17.25" thickBot="1" x14ac:dyDescent="0.3">
      <c r="A141" s="226">
        <v>46044</v>
      </c>
      <c r="B141" s="227" t="s">
        <v>181</v>
      </c>
      <c r="C141" s="227" t="s">
        <v>266</v>
      </c>
      <c r="D141" s="228">
        <v>65</v>
      </c>
      <c r="E141" s="228">
        <v>5</v>
      </c>
      <c r="F141" s="231">
        <v>25349.8</v>
      </c>
      <c r="G141" s="231">
        <v>25178.2</v>
      </c>
      <c r="H141" s="228">
        <v>171.6</v>
      </c>
      <c r="I141" s="229">
        <v>6.7999999999999996E-3</v>
      </c>
      <c r="J141" s="231">
        <v>25289.9</v>
      </c>
      <c r="K141" s="231">
        <v>25157.5</v>
      </c>
      <c r="L141" s="228">
        <v>132.4</v>
      </c>
      <c r="M141" s="229">
        <v>5.3E-3</v>
      </c>
      <c r="N141" s="231">
        <v>25349.8</v>
      </c>
      <c r="O141" s="231">
        <v>25178.2</v>
      </c>
      <c r="P141" s="228">
        <v>171.6</v>
      </c>
      <c r="Q141" s="229">
        <v>6.7999999999999996E-3</v>
      </c>
      <c r="R141" s="231">
        <v>25464.7</v>
      </c>
      <c r="S141" s="231">
        <v>25309.200000000001</v>
      </c>
      <c r="T141" s="228">
        <v>155.5</v>
      </c>
      <c r="U141" s="229">
        <v>6.1000000000000004E-3</v>
      </c>
      <c r="V141" s="231">
        <v>25688.400000000001</v>
      </c>
      <c r="W141" s="231">
        <v>25499.7</v>
      </c>
      <c r="X141" s="228">
        <v>188.7</v>
      </c>
      <c r="Y141" s="229">
        <v>7.4000000000000003E-3</v>
      </c>
      <c r="Z141" s="228">
        <v>59.9</v>
      </c>
      <c r="AA141" s="228">
        <v>20.7</v>
      </c>
      <c r="AB141" s="228">
        <v>39.200000000000003</v>
      </c>
      <c r="AC141" s="229">
        <v>2.3999999999999998E-3</v>
      </c>
      <c r="AD141" s="228">
        <v>59.9</v>
      </c>
      <c r="AE141" s="228">
        <v>20.7</v>
      </c>
      <c r="AF141" s="228">
        <v>39.200000000000003</v>
      </c>
      <c r="AG141" s="229">
        <v>2.3999999999999998E-3</v>
      </c>
      <c r="AH141" s="228">
        <v>174.8</v>
      </c>
      <c r="AI141" s="228">
        <v>151.69999999999999</v>
      </c>
      <c r="AJ141" s="228">
        <v>23.1</v>
      </c>
      <c r="AK141" s="229">
        <v>6.8999999999999999E-3</v>
      </c>
      <c r="AL141" s="228">
        <v>398.5</v>
      </c>
      <c r="AM141" s="228">
        <v>342.2</v>
      </c>
      <c r="AN141" s="228">
        <v>56.3</v>
      </c>
      <c r="AO141" s="229">
        <v>1.5800000000000002E-2</v>
      </c>
      <c r="AP141" s="231">
        <v>25317.75</v>
      </c>
      <c r="AQ141" s="231">
        <v>25421.919999999998</v>
      </c>
      <c r="AR141" s="228">
        <v>0</v>
      </c>
      <c r="AS141" s="230">
        <v>41019</v>
      </c>
      <c r="AT141" s="230">
        <v>35913</v>
      </c>
      <c r="AU141" s="230">
        <v>5106</v>
      </c>
      <c r="AV141" s="229">
        <v>0.14219999999999999</v>
      </c>
      <c r="AW141" s="230">
        <v>26569</v>
      </c>
      <c r="AX141" s="230">
        <v>26270</v>
      </c>
      <c r="AY141" s="228">
        <v>299</v>
      </c>
      <c r="AZ141" s="229">
        <v>1.14E-2</v>
      </c>
      <c r="BA141" s="230">
        <v>13225</v>
      </c>
      <c r="BB141" s="230">
        <v>8322</v>
      </c>
      <c r="BC141" s="230">
        <v>4903</v>
      </c>
      <c r="BD141" s="229">
        <v>0.58909999999999996</v>
      </c>
      <c r="BE141" s="230">
        <v>1224</v>
      </c>
      <c r="BF141" s="230">
        <v>1320</v>
      </c>
      <c r="BG141" s="228">
        <v>-95</v>
      </c>
      <c r="BH141" s="229">
        <v>-7.2300000000000003E-2</v>
      </c>
      <c r="BI141" s="230">
        <v>7472094</v>
      </c>
      <c r="BJ141" s="230">
        <v>8303580</v>
      </c>
      <c r="BK141" s="230">
        <v>-831486</v>
      </c>
      <c r="BL141" s="229">
        <v>-0.10009999999999999</v>
      </c>
      <c r="BM141" s="230">
        <v>7808358</v>
      </c>
      <c r="BN141" s="230">
        <v>8633727</v>
      </c>
      <c r="BO141" s="230">
        <v>-825369</v>
      </c>
      <c r="BP141" s="229">
        <v>-9.5600000000000004E-2</v>
      </c>
      <c r="BQ141" s="230">
        <v>15321471</v>
      </c>
      <c r="BR141" s="230">
        <v>16973219</v>
      </c>
      <c r="BS141" s="230">
        <v>-1651748</v>
      </c>
      <c r="BT141" s="229">
        <v>-9.7299999999999998E-2</v>
      </c>
      <c r="BU141" s="228">
        <v>0</v>
      </c>
      <c r="BV141" s="228">
        <v>0</v>
      </c>
      <c r="BW141" s="228">
        <v>0</v>
      </c>
      <c r="BX141" s="229">
        <v>0</v>
      </c>
      <c r="BY141" s="230">
        <v>53174</v>
      </c>
      <c r="BZ141" s="230">
        <v>51052</v>
      </c>
      <c r="CA141" s="230">
        <v>2122</v>
      </c>
      <c r="CB141" s="229">
        <v>4.1599999999999998E-2</v>
      </c>
      <c r="CC141" s="230">
        <v>31110</v>
      </c>
      <c r="CD141" s="230">
        <v>37431</v>
      </c>
      <c r="CE141" s="230">
        <v>-6321</v>
      </c>
      <c r="CF141" s="229">
        <v>-0.16889999999999999</v>
      </c>
      <c r="CG141" s="230">
        <v>19874</v>
      </c>
      <c r="CH141" s="230">
        <v>11487</v>
      </c>
      <c r="CI141" s="230">
        <v>8387</v>
      </c>
      <c r="CJ141" s="229">
        <v>0.73009999999999997</v>
      </c>
      <c r="CK141" s="230">
        <v>2190</v>
      </c>
      <c r="CL141" s="230">
        <v>2133</v>
      </c>
      <c r="CM141" s="228">
        <v>57</v>
      </c>
      <c r="CN141" s="229">
        <v>2.6599999999999999E-2</v>
      </c>
      <c r="CO141" s="230">
        <v>632290</v>
      </c>
      <c r="CP141" s="230">
        <v>616696</v>
      </c>
      <c r="CQ141" s="230">
        <v>15594</v>
      </c>
      <c r="CR141" s="229">
        <v>2.53E-2</v>
      </c>
      <c r="CS141" s="230">
        <v>552924</v>
      </c>
      <c r="CT141" s="230">
        <v>482976</v>
      </c>
      <c r="CU141" s="230">
        <v>69949</v>
      </c>
      <c r="CV141" s="229">
        <v>0.14480000000000001</v>
      </c>
      <c r="CW141" s="230">
        <v>1238388</v>
      </c>
      <c r="CX141" s="230">
        <v>1150723</v>
      </c>
      <c r="CY141" s="230">
        <v>87665</v>
      </c>
      <c r="CZ141" s="229">
        <v>7.6200000000000004E-2</v>
      </c>
      <c r="DA141" s="228">
        <v>14.72</v>
      </c>
      <c r="DB141" s="228">
        <v>13.69</v>
      </c>
      <c r="DC141" s="228">
        <v>1.03</v>
      </c>
      <c r="DD141" s="228">
        <v>1.03</v>
      </c>
      <c r="DE141" s="228">
        <v>13.75</v>
      </c>
      <c r="DF141" s="228">
        <v>13.77</v>
      </c>
      <c r="DG141" s="228">
        <v>0.97</v>
      </c>
      <c r="DH141" s="228">
        <v>-0.02</v>
      </c>
      <c r="DI141" s="228">
        <v>14.04</v>
      </c>
      <c r="DJ141" s="228">
        <v>13.17</v>
      </c>
      <c r="DK141" s="228">
        <v>0.87</v>
      </c>
      <c r="DL141" s="228">
        <v>0.87</v>
      </c>
      <c r="DM141" s="228">
        <v>15.46</v>
      </c>
      <c r="DN141" s="228">
        <v>14.2</v>
      </c>
      <c r="DO141" s="228">
        <v>1.26</v>
      </c>
      <c r="DP141" s="228">
        <v>1.26</v>
      </c>
      <c r="DQ141" s="228">
        <v>0.87</v>
      </c>
      <c r="DR141" s="228">
        <v>0.78</v>
      </c>
      <c r="DS141" s="228">
        <v>0.09</v>
      </c>
      <c r="DT141" s="229">
        <v>0.1154</v>
      </c>
      <c r="DU141" s="231">
        <v>26000</v>
      </c>
      <c r="DV141" s="231">
        <v>25000</v>
      </c>
      <c r="DW141" s="228">
        <v>1.05</v>
      </c>
      <c r="DX141" s="228">
        <v>1.04</v>
      </c>
      <c r="DY141" s="228">
        <v>0.01</v>
      </c>
      <c r="DZ141" s="229">
        <v>9.5999999999999992E-3</v>
      </c>
      <c r="EA141" s="229">
        <v>0.41489999999999999</v>
      </c>
      <c r="EB141" s="230">
        <v>5372965</v>
      </c>
      <c r="EC141" s="229">
        <v>4.4999999999999997E-3</v>
      </c>
      <c r="ED141" s="229">
        <v>0.41489999999999999</v>
      </c>
      <c r="EE141" s="228">
        <v>104.17</v>
      </c>
      <c r="EF141" s="229">
        <v>4.1000000000000003E-3</v>
      </c>
      <c r="EG141" s="228">
        <v>0</v>
      </c>
      <c r="EH141" s="228">
        <v>0</v>
      </c>
      <c r="EI141" s="229">
        <v>0</v>
      </c>
      <c r="EJ141" s="229">
        <v>0</v>
      </c>
      <c r="EK141" s="231">
        <v>7598920.2300000004</v>
      </c>
      <c r="EL141" s="231">
        <v>7688060.7300000004</v>
      </c>
      <c r="EM141" s="231">
        <v>41037.29</v>
      </c>
      <c r="EN141" s="231">
        <v>1351.28</v>
      </c>
      <c r="EO141" s="231">
        <v>15328018.24</v>
      </c>
      <c r="EP141" s="231">
        <v>16970972.239999998</v>
      </c>
      <c r="EQ141" s="231">
        <v>-1642954</v>
      </c>
      <c r="ER141" s="229">
        <v>-9.6799999999999997E-2</v>
      </c>
      <c r="ES141" s="231">
        <v>652587.86</v>
      </c>
      <c r="ET141" s="231">
        <v>543119.35</v>
      </c>
      <c r="EU141" s="231">
        <v>53293.29</v>
      </c>
      <c r="EV141" s="228">
        <v>0</v>
      </c>
      <c r="EW141" s="231">
        <v>1249000.49</v>
      </c>
      <c r="EX141" s="231">
        <v>1162453.83</v>
      </c>
      <c r="EY141" s="231">
        <v>86546.66</v>
      </c>
      <c r="EZ141" s="229">
        <v>7.4499999999999997E-2</v>
      </c>
      <c r="FA141" s="229">
        <v>0</v>
      </c>
      <c r="FB141" s="227" t="s">
        <v>555</v>
      </c>
      <c r="FC141">
        <f t="shared" si="2"/>
        <v>22064</v>
      </c>
    </row>
    <row r="142" spans="1:159" ht="17.25" thickBot="1" x14ac:dyDescent="0.3">
      <c r="A142" s="226">
        <v>46044</v>
      </c>
      <c r="B142" s="227" t="s">
        <v>181</v>
      </c>
      <c r="C142" s="227" t="s">
        <v>566</v>
      </c>
      <c r="D142" s="228">
        <v>25</v>
      </c>
      <c r="E142" s="228">
        <v>5</v>
      </c>
      <c r="F142" s="231">
        <v>67754</v>
      </c>
      <c r="G142" s="231">
        <v>66991.199999999997</v>
      </c>
      <c r="H142" s="228">
        <v>762.8</v>
      </c>
      <c r="I142" s="229">
        <v>1.14E-2</v>
      </c>
      <c r="J142" s="231">
        <v>67592.800000000003</v>
      </c>
      <c r="K142" s="231">
        <v>66864.45</v>
      </c>
      <c r="L142" s="228">
        <v>728.35</v>
      </c>
      <c r="M142" s="229">
        <v>1.09E-2</v>
      </c>
      <c r="N142" s="231">
        <v>67754</v>
      </c>
      <c r="O142" s="231">
        <v>66991.199999999997</v>
      </c>
      <c r="P142" s="228">
        <v>762.8</v>
      </c>
      <c r="Q142" s="229">
        <v>1.14E-2</v>
      </c>
      <c r="R142" s="231">
        <v>67897.399999999994</v>
      </c>
      <c r="S142" s="231">
        <v>67246.2</v>
      </c>
      <c r="T142" s="228">
        <v>651.20000000000005</v>
      </c>
      <c r="U142" s="229">
        <v>9.7000000000000003E-3</v>
      </c>
      <c r="V142" s="228">
        <v>0</v>
      </c>
      <c r="W142" s="228">
        <v>0</v>
      </c>
      <c r="X142" s="228">
        <v>0</v>
      </c>
      <c r="Y142" s="229">
        <v>0</v>
      </c>
      <c r="Z142" s="228">
        <v>161.19999999999999</v>
      </c>
      <c r="AA142" s="228">
        <v>126.75</v>
      </c>
      <c r="AB142" s="228">
        <v>34.450000000000003</v>
      </c>
      <c r="AC142" s="229">
        <v>2.3999999999999998E-3</v>
      </c>
      <c r="AD142" s="228">
        <v>161.19999999999999</v>
      </c>
      <c r="AE142" s="228">
        <v>126.75</v>
      </c>
      <c r="AF142" s="228">
        <v>34.450000000000003</v>
      </c>
      <c r="AG142" s="229">
        <v>2.3999999999999998E-3</v>
      </c>
      <c r="AH142" s="228">
        <v>304.60000000000002</v>
      </c>
      <c r="AI142" s="228">
        <v>381.75</v>
      </c>
      <c r="AJ142" s="228">
        <v>-77.150000000000006</v>
      </c>
      <c r="AK142" s="229">
        <v>4.4999999999999997E-3</v>
      </c>
      <c r="AL142" s="228">
        <v>0</v>
      </c>
      <c r="AM142" s="228">
        <v>0</v>
      </c>
      <c r="AN142" s="228">
        <v>0</v>
      </c>
      <c r="AO142" s="229">
        <v>0</v>
      </c>
      <c r="AP142" s="231">
        <v>67680.649999999994</v>
      </c>
      <c r="AQ142" s="231">
        <v>67868.070000000007</v>
      </c>
      <c r="AR142" s="228">
        <v>0</v>
      </c>
      <c r="AS142" s="228">
        <v>93</v>
      </c>
      <c r="AT142" s="228">
        <v>92</v>
      </c>
      <c r="AU142" s="228">
        <v>2</v>
      </c>
      <c r="AV142" s="229">
        <v>1.8499999999999999E-2</v>
      </c>
      <c r="AW142" s="228">
        <v>63</v>
      </c>
      <c r="AX142" s="228">
        <v>68</v>
      </c>
      <c r="AY142" s="228">
        <v>-6</v>
      </c>
      <c r="AZ142" s="229">
        <v>-8.1900000000000001E-2</v>
      </c>
      <c r="BA142" s="228">
        <v>31</v>
      </c>
      <c r="BB142" s="228">
        <v>23</v>
      </c>
      <c r="BC142" s="228">
        <v>7</v>
      </c>
      <c r="BD142" s="229">
        <v>0.31159999999999999</v>
      </c>
      <c r="BE142" s="228">
        <v>0</v>
      </c>
      <c r="BF142" s="228">
        <v>0</v>
      </c>
      <c r="BG142" s="228">
        <v>0</v>
      </c>
      <c r="BH142" s="229">
        <v>0</v>
      </c>
      <c r="BI142" s="228">
        <v>172</v>
      </c>
      <c r="BJ142" s="228">
        <v>110</v>
      </c>
      <c r="BK142" s="228">
        <v>62</v>
      </c>
      <c r="BL142" s="229">
        <v>0.55979999999999996</v>
      </c>
      <c r="BM142" s="228">
        <v>70</v>
      </c>
      <c r="BN142" s="228">
        <v>40</v>
      </c>
      <c r="BO142" s="228">
        <v>29</v>
      </c>
      <c r="BP142" s="229">
        <v>0.71970000000000001</v>
      </c>
      <c r="BQ142" s="228">
        <v>335</v>
      </c>
      <c r="BR142" s="228">
        <v>243</v>
      </c>
      <c r="BS142" s="228">
        <v>93</v>
      </c>
      <c r="BT142" s="229">
        <v>0.38200000000000001</v>
      </c>
      <c r="BU142" s="228">
        <v>0</v>
      </c>
      <c r="BV142" s="228">
        <v>0</v>
      </c>
      <c r="BW142" s="228">
        <v>0</v>
      </c>
      <c r="BX142" s="229">
        <v>0</v>
      </c>
      <c r="BY142" s="228">
        <v>167</v>
      </c>
      <c r="BZ142" s="228">
        <v>167</v>
      </c>
      <c r="CA142" s="228">
        <v>1</v>
      </c>
      <c r="CB142" s="229">
        <v>4.1000000000000003E-3</v>
      </c>
      <c r="CC142" s="228">
        <v>116</v>
      </c>
      <c r="CD142" s="228">
        <v>125</v>
      </c>
      <c r="CE142" s="228">
        <v>-9</v>
      </c>
      <c r="CF142" s="229">
        <v>-7.1599999999999997E-2</v>
      </c>
      <c r="CG142" s="228">
        <v>51</v>
      </c>
      <c r="CH142" s="228">
        <v>41</v>
      </c>
      <c r="CI142" s="228">
        <v>10</v>
      </c>
      <c r="CJ142" s="229">
        <v>0.2346</v>
      </c>
      <c r="CK142" s="228">
        <v>0</v>
      </c>
      <c r="CL142" s="228">
        <v>0</v>
      </c>
      <c r="CM142" s="228">
        <v>0</v>
      </c>
      <c r="CN142" s="229">
        <v>0</v>
      </c>
      <c r="CO142" s="228">
        <v>158</v>
      </c>
      <c r="CP142" s="228">
        <v>155</v>
      </c>
      <c r="CQ142" s="228">
        <v>2</v>
      </c>
      <c r="CR142" s="229">
        <v>1.5299999999999999E-2</v>
      </c>
      <c r="CS142" s="228">
        <v>47</v>
      </c>
      <c r="CT142" s="228">
        <v>47</v>
      </c>
      <c r="CU142" s="228">
        <v>-1</v>
      </c>
      <c r="CV142" s="229">
        <v>-1.0800000000000001E-2</v>
      </c>
      <c r="CW142" s="228">
        <v>372</v>
      </c>
      <c r="CX142" s="228">
        <v>369</v>
      </c>
      <c r="CY142" s="228">
        <v>3</v>
      </c>
      <c r="CZ142" s="229">
        <v>6.8999999999999999E-3</v>
      </c>
      <c r="DA142" s="228">
        <v>16.07</v>
      </c>
      <c r="DB142" s="228">
        <v>18.399999999999999</v>
      </c>
      <c r="DC142" s="228">
        <v>-2.33</v>
      </c>
      <c r="DD142" s="228">
        <v>-2.33</v>
      </c>
      <c r="DE142" s="228">
        <v>19.55</v>
      </c>
      <c r="DF142" s="228">
        <v>19.54</v>
      </c>
      <c r="DG142" s="228">
        <v>-3.48</v>
      </c>
      <c r="DH142" s="228">
        <v>0.01</v>
      </c>
      <c r="DI142" s="228">
        <v>16.07</v>
      </c>
      <c r="DJ142" s="228">
        <v>18.28</v>
      </c>
      <c r="DK142" s="228">
        <v>-2.21</v>
      </c>
      <c r="DL142" s="228">
        <v>-2.21</v>
      </c>
      <c r="DM142" s="228">
        <v>16.07</v>
      </c>
      <c r="DN142" s="228">
        <v>18.73</v>
      </c>
      <c r="DO142" s="228">
        <v>-2.66</v>
      </c>
      <c r="DP142" s="228">
        <v>-2.66</v>
      </c>
      <c r="DQ142" s="228">
        <v>0.3</v>
      </c>
      <c r="DR142" s="228">
        <v>0.3</v>
      </c>
      <c r="DS142" s="228">
        <v>0</v>
      </c>
      <c r="DT142" s="229">
        <v>0</v>
      </c>
      <c r="DU142" s="231">
        <v>70000</v>
      </c>
      <c r="DV142" s="231">
        <v>69000</v>
      </c>
      <c r="DW142" s="228">
        <v>0.4</v>
      </c>
      <c r="DX142" s="228">
        <v>0.37</v>
      </c>
      <c r="DY142" s="228">
        <v>0.03</v>
      </c>
      <c r="DZ142" s="229">
        <v>8.1100000000000005E-2</v>
      </c>
      <c r="EA142" s="229">
        <v>0.30399999999999999</v>
      </c>
      <c r="EB142" s="230">
        <v>6075</v>
      </c>
      <c r="EC142" s="229">
        <v>2.0999999999999999E-3</v>
      </c>
      <c r="ED142" s="229">
        <v>0.30399999999999999</v>
      </c>
      <c r="EE142" s="228">
        <v>187.42</v>
      </c>
      <c r="EF142" s="229">
        <v>2.8E-3</v>
      </c>
      <c r="EG142" s="228">
        <v>0</v>
      </c>
      <c r="EH142" s="228">
        <v>0</v>
      </c>
      <c r="EI142" s="229">
        <v>0</v>
      </c>
      <c r="EJ142" s="229">
        <v>0</v>
      </c>
      <c r="EK142" s="228">
        <v>175.24</v>
      </c>
      <c r="EL142" s="228">
        <v>69.02</v>
      </c>
      <c r="EM142" s="228">
        <v>93.31</v>
      </c>
      <c r="EN142" s="228">
        <v>0</v>
      </c>
      <c r="EO142" s="228">
        <v>337.57</v>
      </c>
      <c r="EP142" s="228">
        <v>242.99</v>
      </c>
      <c r="EQ142" s="228">
        <v>94.58</v>
      </c>
      <c r="ER142" s="229">
        <v>0.38929999999999998</v>
      </c>
      <c r="ES142" s="228">
        <v>161.72999999999999</v>
      </c>
      <c r="ET142" s="228">
        <v>46.89</v>
      </c>
      <c r="EU142" s="228">
        <v>167.29</v>
      </c>
      <c r="EV142" s="228">
        <v>0</v>
      </c>
      <c r="EW142" s="228">
        <v>375.92</v>
      </c>
      <c r="EX142" s="228">
        <v>371.84</v>
      </c>
      <c r="EY142" s="228">
        <v>4.08</v>
      </c>
      <c r="EZ142" s="229">
        <v>1.0999999999999999E-2</v>
      </c>
      <c r="FA142" s="229">
        <v>0</v>
      </c>
      <c r="FB142" s="227" t="s">
        <v>555</v>
      </c>
      <c r="FC142">
        <f t="shared" si="2"/>
        <v>51</v>
      </c>
    </row>
    <row r="143" spans="1:159" ht="17.25" thickBot="1" x14ac:dyDescent="0.3">
      <c r="A143" s="226">
        <v>46044</v>
      </c>
      <c r="B143" s="227" t="s">
        <v>227</v>
      </c>
      <c r="C143" s="227" t="s">
        <v>267</v>
      </c>
      <c r="D143" s="228">
        <v>6750</v>
      </c>
      <c r="E143" s="228">
        <v>5</v>
      </c>
      <c r="F143" s="228">
        <v>78.39</v>
      </c>
      <c r="G143" s="228">
        <v>78.58</v>
      </c>
      <c r="H143" s="228">
        <v>-0.19</v>
      </c>
      <c r="I143" s="229">
        <v>-2.3999999999999998E-3</v>
      </c>
      <c r="J143" s="228">
        <v>78.23</v>
      </c>
      <c r="K143" s="228">
        <v>78.64</v>
      </c>
      <c r="L143" s="228">
        <v>-0.41</v>
      </c>
      <c r="M143" s="229">
        <v>-5.1999999999999998E-3</v>
      </c>
      <c r="N143" s="228">
        <v>78.39</v>
      </c>
      <c r="O143" s="228">
        <v>78.58</v>
      </c>
      <c r="P143" s="228">
        <v>-0.19</v>
      </c>
      <c r="Q143" s="229">
        <v>-2.3999999999999998E-3</v>
      </c>
      <c r="R143" s="228">
        <v>78.790000000000006</v>
      </c>
      <c r="S143" s="228">
        <v>78.97</v>
      </c>
      <c r="T143" s="228">
        <v>-0.18</v>
      </c>
      <c r="U143" s="229">
        <v>-2.3E-3</v>
      </c>
      <c r="V143" s="228">
        <v>79.290000000000006</v>
      </c>
      <c r="W143" s="228">
        <v>79.489999999999995</v>
      </c>
      <c r="X143" s="228">
        <v>-0.2</v>
      </c>
      <c r="Y143" s="229">
        <v>-2.5000000000000001E-3</v>
      </c>
      <c r="Z143" s="228">
        <v>0.16</v>
      </c>
      <c r="AA143" s="228">
        <v>-0.06</v>
      </c>
      <c r="AB143" s="228">
        <v>0.22</v>
      </c>
      <c r="AC143" s="229">
        <v>2E-3</v>
      </c>
      <c r="AD143" s="228">
        <v>0.16</v>
      </c>
      <c r="AE143" s="228">
        <v>-0.06</v>
      </c>
      <c r="AF143" s="228">
        <v>0.22</v>
      </c>
      <c r="AG143" s="229">
        <v>2E-3</v>
      </c>
      <c r="AH143" s="228">
        <v>0.56000000000000005</v>
      </c>
      <c r="AI143" s="228">
        <v>0.33</v>
      </c>
      <c r="AJ143" s="228">
        <v>0.23</v>
      </c>
      <c r="AK143" s="229">
        <v>7.1999999999999998E-3</v>
      </c>
      <c r="AL143" s="228">
        <v>1.06</v>
      </c>
      <c r="AM143" s="228">
        <v>0.85</v>
      </c>
      <c r="AN143" s="228">
        <v>0.21</v>
      </c>
      <c r="AO143" s="229">
        <v>1.35E-2</v>
      </c>
      <c r="AP143" s="228">
        <v>78.680000000000007</v>
      </c>
      <c r="AQ143" s="228">
        <v>79.069999999999993</v>
      </c>
      <c r="AR143" s="228">
        <v>0</v>
      </c>
      <c r="AS143" s="230">
        <v>1167</v>
      </c>
      <c r="AT143" s="228">
        <v>959</v>
      </c>
      <c r="AU143" s="228">
        <v>207</v>
      </c>
      <c r="AV143" s="229">
        <v>0.21629999999999999</v>
      </c>
      <c r="AW143" s="228">
        <v>599</v>
      </c>
      <c r="AX143" s="228">
        <v>524</v>
      </c>
      <c r="AY143" s="228">
        <v>75</v>
      </c>
      <c r="AZ143" s="229">
        <v>0.1431</v>
      </c>
      <c r="BA143" s="228">
        <v>563</v>
      </c>
      <c r="BB143" s="228">
        <v>431</v>
      </c>
      <c r="BC143" s="228">
        <v>131</v>
      </c>
      <c r="BD143" s="229">
        <v>0.30480000000000002</v>
      </c>
      <c r="BE143" s="228">
        <v>5</v>
      </c>
      <c r="BF143" s="228">
        <v>4</v>
      </c>
      <c r="BG143" s="228">
        <v>1</v>
      </c>
      <c r="BH143" s="229">
        <v>0.25969999999999999</v>
      </c>
      <c r="BI143" s="228">
        <v>794</v>
      </c>
      <c r="BJ143" s="230">
        <v>1195</v>
      </c>
      <c r="BK143" s="228">
        <v>-401</v>
      </c>
      <c r="BL143" s="229">
        <v>-0.33579999999999999</v>
      </c>
      <c r="BM143" s="228">
        <v>319</v>
      </c>
      <c r="BN143" s="228">
        <v>616</v>
      </c>
      <c r="BO143" s="228">
        <v>-297</v>
      </c>
      <c r="BP143" s="229">
        <v>-0.4824</v>
      </c>
      <c r="BQ143" s="230">
        <v>2279</v>
      </c>
      <c r="BR143" s="230">
        <v>2770</v>
      </c>
      <c r="BS143" s="228">
        <v>-491</v>
      </c>
      <c r="BT143" s="229">
        <v>-0.17730000000000001</v>
      </c>
      <c r="BU143" s="230">
        <v>19121226</v>
      </c>
      <c r="BV143" s="230">
        <v>21584392</v>
      </c>
      <c r="BW143" s="230">
        <v>-2463166</v>
      </c>
      <c r="BX143" s="229">
        <v>-0.11409999999999999</v>
      </c>
      <c r="BY143" s="230">
        <v>2775</v>
      </c>
      <c r="BZ143" s="230">
        <v>2767</v>
      </c>
      <c r="CA143" s="228">
        <v>8</v>
      </c>
      <c r="CB143" s="229">
        <v>2.8999999999999998E-3</v>
      </c>
      <c r="CC143" s="230">
        <v>1612</v>
      </c>
      <c r="CD143" s="230">
        <v>2052</v>
      </c>
      <c r="CE143" s="228">
        <v>-441</v>
      </c>
      <c r="CF143" s="229">
        <v>-0.2147</v>
      </c>
      <c r="CG143" s="230">
        <v>1136</v>
      </c>
      <c r="CH143" s="228">
        <v>691</v>
      </c>
      <c r="CI143" s="228">
        <v>446</v>
      </c>
      <c r="CJ143" s="229">
        <v>0.64549999999999996</v>
      </c>
      <c r="CK143" s="228">
        <v>27</v>
      </c>
      <c r="CL143" s="228">
        <v>24</v>
      </c>
      <c r="CM143" s="228">
        <v>3</v>
      </c>
      <c r="CN143" s="229">
        <v>0.1195</v>
      </c>
      <c r="CO143" s="230">
        <v>1170</v>
      </c>
      <c r="CP143" s="230">
        <v>1191</v>
      </c>
      <c r="CQ143" s="228">
        <v>-21</v>
      </c>
      <c r="CR143" s="229">
        <v>-1.7299999999999999E-2</v>
      </c>
      <c r="CS143" s="228">
        <v>451</v>
      </c>
      <c r="CT143" s="228">
        <v>464</v>
      </c>
      <c r="CU143" s="228">
        <v>-13</v>
      </c>
      <c r="CV143" s="229">
        <v>-2.7300000000000001E-2</v>
      </c>
      <c r="CW143" s="230">
        <v>4396</v>
      </c>
      <c r="CX143" s="230">
        <v>4421</v>
      </c>
      <c r="CY143" s="228">
        <v>-25</v>
      </c>
      <c r="CZ143" s="229">
        <v>-5.7000000000000002E-3</v>
      </c>
      <c r="DA143" s="228">
        <v>36.86</v>
      </c>
      <c r="DB143" s="228">
        <v>36.31</v>
      </c>
      <c r="DC143" s="228">
        <v>0.55000000000000004</v>
      </c>
      <c r="DD143" s="228">
        <v>0.55000000000000004</v>
      </c>
      <c r="DE143" s="228">
        <v>37.53</v>
      </c>
      <c r="DF143" s="228">
        <v>37.619999999999997</v>
      </c>
      <c r="DG143" s="228">
        <v>-0.67</v>
      </c>
      <c r="DH143" s="228">
        <v>-0.09</v>
      </c>
      <c r="DI143" s="228">
        <v>37.1</v>
      </c>
      <c r="DJ143" s="228">
        <v>36.700000000000003</v>
      </c>
      <c r="DK143" s="228">
        <v>0.4</v>
      </c>
      <c r="DL143" s="228">
        <v>0.4</v>
      </c>
      <c r="DM143" s="228">
        <v>36.28</v>
      </c>
      <c r="DN143" s="228">
        <v>35.56</v>
      </c>
      <c r="DO143" s="228">
        <v>0.72</v>
      </c>
      <c r="DP143" s="228">
        <v>0.72</v>
      </c>
      <c r="DQ143" s="228">
        <v>0.39</v>
      </c>
      <c r="DR143" s="228">
        <v>0.39</v>
      </c>
      <c r="DS143" s="228">
        <v>0</v>
      </c>
      <c r="DT143" s="229">
        <v>0</v>
      </c>
      <c r="DU143" s="228">
        <v>85</v>
      </c>
      <c r="DV143" s="228">
        <v>75</v>
      </c>
      <c r="DW143" s="228">
        <v>0.4</v>
      </c>
      <c r="DX143" s="228">
        <v>0.52</v>
      </c>
      <c r="DY143" s="228">
        <v>-0.12</v>
      </c>
      <c r="DZ143" s="229">
        <v>-0.23080000000000001</v>
      </c>
      <c r="EA143" s="229">
        <v>0.41920000000000002</v>
      </c>
      <c r="EB143" s="230">
        <v>91152000</v>
      </c>
      <c r="EC143" s="229">
        <v>5.1000000000000004E-3</v>
      </c>
      <c r="ED143" s="229">
        <v>0.41920000000000002</v>
      </c>
      <c r="EE143" s="228">
        <v>0.39</v>
      </c>
      <c r="EF143" s="229">
        <v>5.0000000000000001E-3</v>
      </c>
      <c r="EG143" s="230">
        <v>8559754</v>
      </c>
      <c r="EH143" s="230">
        <v>5810410</v>
      </c>
      <c r="EI143" s="229">
        <v>0.47320000000000001</v>
      </c>
      <c r="EJ143" s="229">
        <v>0.44769999999999999</v>
      </c>
      <c r="EK143" s="228">
        <v>850.19</v>
      </c>
      <c r="EL143" s="228">
        <v>319.99</v>
      </c>
      <c r="EM143" s="231">
        <v>1173.69</v>
      </c>
      <c r="EN143" s="228">
        <v>103.13</v>
      </c>
      <c r="EO143" s="231">
        <v>2343.86</v>
      </c>
      <c r="EP143" s="231">
        <v>2835.74</v>
      </c>
      <c r="EQ143" s="228">
        <v>-491.88</v>
      </c>
      <c r="ER143" s="229">
        <v>-0.17349999999999999</v>
      </c>
      <c r="ES143" s="231">
        <v>1277.3399999999999</v>
      </c>
      <c r="ET143" s="228">
        <v>455.76</v>
      </c>
      <c r="EU143" s="231">
        <v>2780.93</v>
      </c>
      <c r="EV143" s="231">
        <v>517037525</v>
      </c>
      <c r="EW143" s="231">
        <v>4514.03</v>
      </c>
      <c r="EX143" s="231">
        <v>4548.3</v>
      </c>
      <c r="EY143" s="228">
        <v>-34.270000000000003</v>
      </c>
      <c r="EZ143" s="229">
        <v>-7.4999999999999997E-3</v>
      </c>
      <c r="FA143" s="229">
        <v>1.0845</v>
      </c>
      <c r="FB143" s="227" t="s">
        <v>567</v>
      </c>
      <c r="FC143">
        <f t="shared" si="2"/>
        <v>1163</v>
      </c>
    </row>
    <row r="144" spans="1:159" ht="17.25" thickBot="1" x14ac:dyDescent="0.3">
      <c r="A144" s="226">
        <v>46044</v>
      </c>
      <c r="B144" s="227" t="s">
        <v>161</v>
      </c>
      <c r="C144" s="227" t="s">
        <v>268</v>
      </c>
      <c r="D144" s="228">
        <v>1500</v>
      </c>
      <c r="E144" s="228">
        <v>5</v>
      </c>
      <c r="F144" s="228">
        <v>342.8</v>
      </c>
      <c r="G144" s="228">
        <v>338.55</v>
      </c>
      <c r="H144" s="228">
        <v>4.25</v>
      </c>
      <c r="I144" s="229">
        <v>1.26E-2</v>
      </c>
      <c r="J144" s="228">
        <v>342.45</v>
      </c>
      <c r="K144" s="228">
        <v>338.7</v>
      </c>
      <c r="L144" s="228">
        <v>3.75</v>
      </c>
      <c r="M144" s="229">
        <v>1.11E-2</v>
      </c>
      <c r="N144" s="228">
        <v>342.8</v>
      </c>
      <c r="O144" s="228">
        <v>338.55</v>
      </c>
      <c r="P144" s="228">
        <v>4.25</v>
      </c>
      <c r="Q144" s="229">
        <v>1.26E-2</v>
      </c>
      <c r="R144" s="228">
        <v>342.15</v>
      </c>
      <c r="S144" s="228">
        <v>337.7</v>
      </c>
      <c r="T144" s="228">
        <v>4.45</v>
      </c>
      <c r="U144" s="229">
        <v>1.32E-2</v>
      </c>
      <c r="V144" s="228">
        <v>344.55</v>
      </c>
      <c r="W144" s="228">
        <v>340.05</v>
      </c>
      <c r="X144" s="228">
        <v>4.5</v>
      </c>
      <c r="Y144" s="229">
        <v>1.32E-2</v>
      </c>
      <c r="Z144" s="228">
        <v>0.35</v>
      </c>
      <c r="AA144" s="228">
        <v>-0.15</v>
      </c>
      <c r="AB144" s="228">
        <v>0.5</v>
      </c>
      <c r="AC144" s="229">
        <v>1E-3</v>
      </c>
      <c r="AD144" s="228">
        <v>0.35</v>
      </c>
      <c r="AE144" s="228">
        <v>-0.15</v>
      </c>
      <c r="AF144" s="228">
        <v>0.5</v>
      </c>
      <c r="AG144" s="229">
        <v>1E-3</v>
      </c>
      <c r="AH144" s="228">
        <v>-0.3</v>
      </c>
      <c r="AI144" s="228">
        <v>-1</v>
      </c>
      <c r="AJ144" s="228">
        <v>0.7</v>
      </c>
      <c r="AK144" s="229">
        <v>-8.9999999999999998E-4</v>
      </c>
      <c r="AL144" s="228">
        <v>2.1</v>
      </c>
      <c r="AM144" s="228">
        <v>1.35</v>
      </c>
      <c r="AN144" s="228">
        <v>0.75</v>
      </c>
      <c r="AO144" s="229">
        <v>6.1000000000000004E-3</v>
      </c>
      <c r="AP144" s="228">
        <v>341.2</v>
      </c>
      <c r="AQ144" s="228">
        <v>340.53</v>
      </c>
      <c r="AR144" s="228">
        <v>0</v>
      </c>
      <c r="AS144" s="230">
        <v>1848</v>
      </c>
      <c r="AT144" s="230">
        <v>1369</v>
      </c>
      <c r="AU144" s="228">
        <v>479</v>
      </c>
      <c r="AV144" s="229">
        <v>0.3498</v>
      </c>
      <c r="AW144" s="228">
        <v>950</v>
      </c>
      <c r="AX144" s="228">
        <v>738</v>
      </c>
      <c r="AY144" s="228">
        <v>212</v>
      </c>
      <c r="AZ144" s="229">
        <v>0.2878</v>
      </c>
      <c r="BA144" s="228">
        <v>896</v>
      </c>
      <c r="BB144" s="228">
        <v>627</v>
      </c>
      <c r="BC144" s="228">
        <v>268</v>
      </c>
      <c r="BD144" s="229">
        <v>0.42749999999999999</v>
      </c>
      <c r="BE144" s="228">
        <v>3</v>
      </c>
      <c r="BF144" s="228">
        <v>4</v>
      </c>
      <c r="BG144" s="228">
        <v>-2</v>
      </c>
      <c r="BH144" s="229">
        <v>-0.37969999999999998</v>
      </c>
      <c r="BI144" s="230">
        <v>2166</v>
      </c>
      <c r="BJ144" s="230">
        <v>2275</v>
      </c>
      <c r="BK144" s="228">
        <v>-109</v>
      </c>
      <c r="BL144" s="229">
        <v>-4.8000000000000001E-2</v>
      </c>
      <c r="BM144" s="230">
        <v>1401</v>
      </c>
      <c r="BN144" s="230">
        <v>1469</v>
      </c>
      <c r="BO144" s="228">
        <v>-67</v>
      </c>
      <c r="BP144" s="229">
        <v>-4.5699999999999998E-2</v>
      </c>
      <c r="BQ144" s="230">
        <v>5415</v>
      </c>
      <c r="BR144" s="230">
        <v>5113</v>
      </c>
      <c r="BS144" s="228">
        <v>303</v>
      </c>
      <c r="BT144" s="229">
        <v>5.9200000000000003E-2</v>
      </c>
      <c r="BU144" s="230">
        <v>12165239</v>
      </c>
      <c r="BV144" s="230">
        <v>7247655</v>
      </c>
      <c r="BW144" s="230">
        <v>4917584</v>
      </c>
      <c r="BX144" s="229">
        <v>0.67849999999999999</v>
      </c>
      <c r="BY144" s="230">
        <v>2915</v>
      </c>
      <c r="BZ144" s="230">
        <v>2868</v>
      </c>
      <c r="CA144" s="228">
        <v>47</v>
      </c>
      <c r="CB144" s="229">
        <v>1.6400000000000001E-2</v>
      </c>
      <c r="CC144" s="230">
        <v>1229</v>
      </c>
      <c r="CD144" s="230">
        <v>1940</v>
      </c>
      <c r="CE144" s="228">
        <v>-711</v>
      </c>
      <c r="CF144" s="229">
        <v>-0.36649999999999999</v>
      </c>
      <c r="CG144" s="230">
        <v>1647</v>
      </c>
      <c r="CH144" s="228">
        <v>889</v>
      </c>
      <c r="CI144" s="228">
        <v>758</v>
      </c>
      <c r="CJ144" s="229">
        <v>0.8518</v>
      </c>
      <c r="CK144" s="228">
        <v>39</v>
      </c>
      <c r="CL144" s="228">
        <v>39</v>
      </c>
      <c r="CM144" s="228">
        <v>1</v>
      </c>
      <c r="CN144" s="229">
        <v>1.46E-2</v>
      </c>
      <c r="CO144" s="230">
        <v>2319</v>
      </c>
      <c r="CP144" s="230">
        <v>2386</v>
      </c>
      <c r="CQ144" s="228">
        <v>-66</v>
      </c>
      <c r="CR144" s="229">
        <v>-2.7799999999999998E-2</v>
      </c>
      <c r="CS144" s="228">
        <v>997</v>
      </c>
      <c r="CT144" s="228">
        <v>945</v>
      </c>
      <c r="CU144" s="228">
        <v>52</v>
      </c>
      <c r="CV144" s="229">
        <v>5.5399999999999998E-2</v>
      </c>
      <c r="CW144" s="230">
        <v>6232</v>
      </c>
      <c r="CX144" s="230">
        <v>6198</v>
      </c>
      <c r="CY144" s="228">
        <v>33</v>
      </c>
      <c r="CZ144" s="229">
        <v>5.4000000000000003E-3</v>
      </c>
      <c r="DA144" s="228">
        <v>21.79</v>
      </c>
      <c r="DB144" s="228">
        <v>16.68</v>
      </c>
      <c r="DC144" s="228">
        <v>5.1100000000000003</v>
      </c>
      <c r="DD144" s="228">
        <v>5.1100000000000003</v>
      </c>
      <c r="DE144" s="228">
        <v>26.9</v>
      </c>
      <c r="DF144" s="228">
        <v>26.93</v>
      </c>
      <c r="DG144" s="228">
        <v>-5.1100000000000003</v>
      </c>
      <c r="DH144" s="228">
        <v>-0.03</v>
      </c>
      <c r="DI144" s="228">
        <v>21.71</v>
      </c>
      <c r="DJ144" s="228">
        <v>16.920000000000002</v>
      </c>
      <c r="DK144" s="228">
        <v>4.79</v>
      </c>
      <c r="DL144" s="228">
        <v>4.79</v>
      </c>
      <c r="DM144" s="228">
        <v>21.98</v>
      </c>
      <c r="DN144" s="228">
        <v>16.32</v>
      </c>
      <c r="DO144" s="228">
        <v>5.66</v>
      </c>
      <c r="DP144" s="228">
        <v>5.66</v>
      </c>
      <c r="DQ144" s="228">
        <v>0.43</v>
      </c>
      <c r="DR144" s="228">
        <v>0.4</v>
      </c>
      <c r="DS144" s="228">
        <v>0.03</v>
      </c>
      <c r="DT144" s="229">
        <v>7.4999999999999997E-2</v>
      </c>
      <c r="DU144" s="228">
        <v>350</v>
      </c>
      <c r="DV144" s="228">
        <v>340</v>
      </c>
      <c r="DW144" s="228">
        <v>0.65</v>
      </c>
      <c r="DX144" s="228">
        <v>0.65</v>
      </c>
      <c r="DY144" s="228">
        <v>0</v>
      </c>
      <c r="DZ144" s="229">
        <v>0</v>
      </c>
      <c r="EA144" s="229">
        <v>0.57840000000000003</v>
      </c>
      <c r="EB144" s="230">
        <v>27072000</v>
      </c>
      <c r="EC144" s="229">
        <v>-1.9E-3</v>
      </c>
      <c r="ED144" s="229">
        <v>0.57840000000000003</v>
      </c>
      <c r="EE144" s="228">
        <v>-0.67</v>
      </c>
      <c r="EF144" s="229">
        <v>-2E-3</v>
      </c>
      <c r="EG144" s="230">
        <v>9050690</v>
      </c>
      <c r="EH144" s="230">
        <v>4277170</v>
      </c>
      <c r="EI144" s="229">
        <v>1.1160000000000001</v>
      </c>
      <c r="EJ144" s="229">
        <v>0.74399999999999999</v>
      </c>
      <c r="EK144" s="231">
        <v>2202.4</v>
      </c>
      <c r="EL144" s="231">
        <v>1386.34</v>
      </c>
      <c r="EM144" s="231">
        <v>1838.15</v>
      </c>
      <c r="EN144" s="228">
        <v>137.71</v>
      </c>
      <c r="EO144" s="231">
        <v>5426.9</v>
      </c>
      <c r="EP144" s="231">
        <v>5110.26</v>
      </c>
      <c r="EQ144" s="228">
        <v>316.63</v>
      </c>
      <c r="ER144" s="229">
        <v>6.2E-2</v>
      </c>
      <c r="ES144" s="231">
        <v>2391.9499999999998</v>
      </c>
      <c r="ET144" s="228">
        <v>988.78</v>
      </c>
      <c r="EU144" s="231">
        <v>2912.18</v>
      </c>
      <c r="EV144" s="231">
        <v>474131988</v>
      </c>
      <c r="EW144" s="231">
        <v>6292.92</v>
      </c>
      <c r="EX144" s="231">
        <v>6230.09</v>
      </c>
      <c r="EY144" s="228">
        <v>62.83</v>
      </c>
      <c r="EZ144" s="229">
        <v>1.01E-2</v>
      </c>
      <c r="FA144" s="229">
        <v>0.38340000000000002</v>
      </c>
      <c r="FB144" s="227" t="s">
        <v>555</v>
      </c>
      <c r="FC144">
        <f t="shared" si="2"/>
        <v>1686</v>
      </c>
    </row>
    <row r="145" spans="1:159" ht="17.25" thickBot="1" x14ac:dyDescent="0.3">
      <c r="A145" s="226">
        <v>46044</v>
      </c>
      <c r="B145" s="227" t="s">
        <v>175</v>
      </c>
      <c r="C145" s="227" t="s">
        <v>685</v>
      </c>
      <c r="D145" s="228">
        <v>500</v>
      </c>
      <c r="E145" s="228">
        <v>5</v>
      </c>
      <c r="F145" s="231">
        <v>1383.4</v>
      </c>
      <c r="G145" s="231">
        <v>1365.7</v>
      </c>
      <c r="H145" s="228">
        <v>17.7</v>
      </c>
      <c r="I145" s="229">
        <v>1.2999999999999999E-2</v>
      </c>
      <c r="J145" s="231">
        <v>1383.3</v>
      </c>
      <c r="K145" s="231">
        <v>1364.7</v>
      </c>
      <c r="L145" s="228">
        <v>18.600000000000001</v>
      </c>
      <c r="M145" s="229">
        <v>1.3599999999999999E-2</v>
      </c>
      <c r="N145" s="231">
        <v>1383.4</v>
      </c>
      <c r="O145" s="231">
        <v>1365.7</v>
      </c>
      <c r="P145" s="228">
        <v>17.7</v>
      </c>
      <c r="Q145" s="229">
        <v>1.2999999999999999E-2</v>
      </c>
      <c r="R145" s="231">
        <v>1391.2</v>
      </c>
      <c r="S145" s="231">
        <v>1371.4</v>
      </c>
      <c r="T145" s="228">
        <v>19.8</v>
      </c>
      <c r="U145" s="229">
        <v>1.44E-2</v>
      </c>
      <c r="V145" s="231">
        <v>1400.7</v>
      </c>
      <c r="W145" s="231">
        <v>1371.6</v>
      </c>
      <c r="X145" s="228">
        <v>29.1</v>
      </c>
      <c r="Y145" s="229">
        <v>2.12E-2</v>
      </c>
      <c r="Z145" s="228">
        <v>0.1</v>
      </c>
      <c r="AA145" s="228">
        <v>1</v>
      </c>
      <c r="AB145" s="228">
        <v>-0.9</v>
      </c>
      <c r="AC145" s="229">
        <v>1E-4</v>
      </c>
      <c r="AD145" s="228">
        <v>0.1</v>
      </c>
      <c r="AE145" s="228">
        <v>1</v>
      </c>
      <c r="AF145" s="228">
        <v>-0.9</v>
      </c>
      <c r="AG145" s="229">
        <v>1E-4</v>
      </c>
      <c r="AH145" s="228">
        <v>7.9</v>
      </c>
      <c r="AI145" s="228">
        <v>6.7</v>
      </c>
      <c r="AJ145" s="228">
        <v>1.2</v>
      </c>
      <c r="AK145" s="229">
        <v>5.7000000000000002E-3</v>
      </c>
      <c r="AL145" s="228">
        <v>17.399999999999999</v>
      </c>
      <c r="AM145" s="228">
        <v>6.9</v>
      </c>
      <c r="AN145" s="228">
        <v>10.5</v>
      </c>
      <c r="AO145" s="229">
        <v>1.26E-2</v>
      </c>
      <c r="AP145" s="231">
        <v>1388.98</v>
      </c>
      <c r="AQ145" s="231">
        <v>1396.27</v>
      </c>
      <c r="AR145" s="228">
        <v>0</v>
      </c>
      <c r="AS145" s="228">
        <v>270</v>
      </c>
      <c r="AT145" s="228">
        <v>250</v>
      </c>
      <c r="AU145" s="228">
        <v>20</v>
      </c>
      <c r="AV145" s="229">
        <v>7.9600000000000004E-2</v>
      </c>
      <c r="AW145" s="228">
        <v>131</v>
      </c>
      <c r="AX145" s="228">
        <v>127</v>
      </c>
      <c r="AY145" s="228">
        <v>4</v>
      </c>
      <c r="AZ145" s="229">
        <v>3.15E-2</v>
      </c>
      <c r="BA145" s="228">
        <v>138</v>
      </c>
      <c r="BB145" s="228">
        <v>122</v>
      </c>
      <c r="BC145" s="228">
        <v>16</v>
      </c>
      <c r="BD145" s="229">
        <v>0.1305</v>
      </c>
      <c r="BE145" s="228">
        <v>0</v>
      </c>
      <c r="BF145" s="228">
        <v>0</v>
      </c>
      <c r="BG145" s="228">
        <v>0</v>
      </c>
      <c r="BH145" s="229">
        <v>-0.16669999999999999</v>
      </c>
      <c r="BI145" s="228">
        <v>151</v>
      </c>
      <c r="BJ145" s="228">
        <v>260</v>
      </c>
      <c r="BK145" s="228">
        <v>-109</v>
      </c>
      <c r="BL145" s="229">
        <v>-0.42</v>
      </c>
      <c r="BM145" s="228">
        <v>88</v>
      </c>
      <c r="BN145" s="228">
        <v>163</v>
      </c>
      <c r="BO145" s="228">
        <v>-76</v>
      </c>
      <c r="BP145" s="229">
        <v>-0.4647</v>
      </c>
      <c r="BQ145" s="228">
        <v>509</v>
      </c>
      <c r="BR145" s="228">
        <v>674</v>
      </c>
      <c r="BS145" s="228">
        <v>-165</v>
      </c>
      <c r="BT145" s="229">
        <v>-0.24529999999999999</v>
      </c>
      <c r="BU145" s="230">
        <v>357287</v>
      </c>
      <c r="BV145" s="230">
        <v>549138</v>
      </c>
      <c r="BW145" s="230">
        <v>-191851</v>
      </c>
      <c r="BX145" s="229">
        <v>-0.34939999999999999</v>
      </c>
      <c r="BY145" s="228">
        <v>372</v>
      </c>
      <c r="BZ145" s="228">
        <v>358</v>
      </c>
      <c r="CA145" s="228">
        <v>13</v>
      </c>
      <c r="CB145" s="229">
        <v>3.7100000000000001E-2</v>
      </c>
      <c r="CC145" s="228">
        <v>202</v>
      </c>
      <c r="CD145" s="228">
        <v>277</v>
      </c>
      <c r="CE145" s="228">
        <v>-75</v>
      </c>
      <c r="CF145" s="229">
        <v>-0.27039999999999997</v>
      </c>
      <c r="CG145" s="228">
        <v>169</v>
      </c>
      <c r="CH145" s="228">
        <v>81</v>
      </c>
      <c r="CI145" s="228">
        <v>88</v>
      </c>
      <c r="CJ145" s="229">
        <v>1.0918000000000001</v>
      </c>
      <c r="CK145" s="228">
        <v>1</v>
      </c>
      <c r="CL145" s="228">
        <v>1</v>
      </c>
      <c r="CM145" s="228">
        <v>0</v>
      </c>
      <c r="CN145" s="229">
        <v>0.1333</v>
      </c>
      <c r="CO145" s="228">
        <v>205</v>
      </c>
      <c r="CP145" s="228">
        <v>228</v>
      </c>
      <c r="CQ145" s="228">
        <v>-22</v>
      </c>
      <c r="CR145" s="229">
        <v>-9.8199999999999996E-2</v>
      </c>
      <c r="CS145" s="228">
        <v>85</v>
      </c>
      <c r="CT145" s="228">
        <v>88</v>
      </c>
      <c r="CU145" s="228">
        <v>-3</v>
      </c>
      <c r="CV145" s="229">
        <v>-3.6900000000000002E-2</v>
      </c>
      <c r="CW145" s="228">
        <v>662</v>
      </c>
      <c r="CX145" s="228">
        <v>674</v>
      </c>
      <c r="CY145" s="228">
        <v>-12</v>
      </c>
      <c r="CZ145" s="229">
        <v>-1.83E-2</v>
      </c>
      <c r="DA145" s="228">
        <v>35.94</v>
      </c>
      <c r="DB145" s="228">
        <v>43.26</v>
      </c>
      <c r="DC145" s="228">
        <v>-7.32</v>
      </c>
      <c r="DD145" s="228">
        <v>-7.32</v>
      </c>
      <c r="DE145" s="228">
        <v>47.77</v>
      </c>
      <c r="DF145" s="228">
        <v>47.86</v>
      </c>
      <c r="DG145" s="228">
        <v>-11.83</v>
      </c>
      <c r="DH145" s="228">
        <v>-0.09</v>
      </c>
      <c r="DI145" s="228">
        <v>35.79</v>
      </c>
      <c r="DJ145" s="228">
        <v>44.91</v>
      </c>
      <c r="DK145" s="228">
        <v>-9.1199999999999992</v>
      </c>
      <c r="DL145" s="228">
        <v>-9.1199999999999992</v>
      </c>
      <c r="DM145" s="228">
        <v>36.14</v>
      </c>
      <c r="DN145" s="228">
        <v>40.64</v>
      </c>
      <c r="DO145" s="228">
        <v>-4.5</v>
      </c>
      <c r="DP145" s="228">
        <v>-4.5</v>
      </c>
      <c r="DQ145" s="228">
        <v>0.41</v>
      </c>
      <c r="DR145" s="228">
        <v>0.39</v>
      </c>
      <c r="DS145" s="228">
        <v>0.02</v>
      </c>
      <c r="DT145" s="229">
        <v>5.1299999999999998E-2</v>
      </c>
      <c r="DU145" s="231">
        <v>1500</v>
      </c>
      <c r="DV145" s="231">
        <v>1300</v>
      </c>
      <c r="DW145" s="228">
        <v>0.57999999999999996</v>
      </c>
      <c r="DX145" s="228">
        <v>0.63</v>
      </c>
      <c r="DY145" s="228">
        <v>-0.05</v>
      </c>
      <c r="DZ145" s="229">
        <v>-7.9399999999999998E-2</v>
      </c>
      <c r="EA145" s="229">
        <v>0.45669999999999999</v>
      </c>
      <c r="EB145" s="230">
        <v>590000</v>
      </c>
      <c r="EC145" s="229">
        <v>5.5999999999999999E-3</v>
      </c>
      <c r="ED145" s="229">
        <v>0.45669999999999999</v>
      </c>
      <c r="EE145" s="228">
        <v>7.29</v>
      </c>
      <c r="EF145" s="229">
        <v>5.1999999999999998E-3</v>
      </c>
      <c r="EG145" s="230">
        <v>178615</v>
      </c>
      <c r="EH145" s="230">
        <v>242474</v>
      </c>
      <c r="EI145" s="229">
        <v>-0.26340000000000002</v>
      </c>
      <c r="EJ145" s="229">
        <v>0.49990000000000001</v>
      </c>
      <c r="EK145" s="228">
        <v>160.72</v>
      </c>
      <c r="EL145" s="228">
        <v>87.21</v>
      </c>
      <c r="EM145" s="228">
        <v>272.07</v>
      </c>
      <c r="EN145" s="228">
        <v>29.11</v>
      </c>
      <c r="EO145" s="228">
        <v>520</v>
      </c>
      <c r="EP145" s="228">
        <v>695.71</v>
      </c>
      <c r="EQ145" s="228">
        <v>-175.71</v>
      </c>
      <c r="ER145" s="229">
        <v>-0.25259999999999999</v>
      </c>
      <c r="ES145" s="228">
        <v>223.78</v>
      </c>
      <c r="ET145" s="228">
        <v>85.75</v>
      </c>
      <c r="EU145" s="228">
        <v>372.62</v>
      </c>
      <c r="EV145" s="231">
        <v>12267678</v>
      </c>
      <c r="EW145" s="228">
        <v>682.15</v>
      </c>
      <c r="EX145" s="228">
        <v>691.23</v>
      </c>
      <c r="EY145" s="228">
        <v>-9.08</v>
      </c>
      <c r="EZ145" s="229">
        <v>-1.3100000000000001E-2</v>
      </c>
      <c r="FA145" s="229">
        <v>0.38990000000000002</v>
      </c>
      <c r="FB145" s="227" t="s">
        <v>555</v>
      </c>
      <c r="FC145">
        <f t="shared" si="2"/>
        <v>170</v>
      </c>
    </row>
    <row r="146" spans="1:159" ht="17.25" thickBot="1" x14ac:dyDescent="0.3">
      <c r="A146" s="226">
        <v>46044</v>
      </c>
      <c r="B146" s="227" t="s">
        <v>615</v>
      </c>
      <c r="C146" s="227" t="s">
        <v>613</v>
      </c>
      <c r="D146" s="228">
        <v>3125</v>
      </c>
      <c r="E146" s="228">
        <v>5</v>
      </c>
      <c r="F146" s="228">
        <v>239.8</v>
      </c>
      <c r="G146" s="228">
        <v>242.2</v>
      </c>
      <c r="H146" s="228">
        <v>-2.4</v>
      </c>
      <c r="I146" s="229">
        <v>-9.9000000000000008E-3</v>
      </c>
      <c r="J146" s="228">
        <v>239.45</v>
      </c>
      <c r="K146" s="228">
        <v>241.65</v>
      </c>
      <c r="L146" s="228">
        <v>-2.2000000000000002</v>
      </c>
      <c r="M146" s="229">
        <v>-9.1000000000000004E-3</v>
      </c>
      <c r="N146" s="228">
        <v>239.8</v>
      </c>
      <c r="O146" s="228">
        <v>242.2</v>
      </c>
      <c r="P146" s="228">
        <v>-2.4</v>
      </c>
      <c r="Q146" s="229">
        <v>-9.9000000000000008E-3</v>
      </c>
      <c r="R146" s="228">
        <v>239.95</v>
      </c>
      <c r="S146" s="228">
        <v>242.4</v>
      </c>
      <c r="T146" s="228">
        <v>-2.4500000000000002</v>
      </c>
      <c r="U146" s="229">
        <v>-1.01E-2</v>
      </c>
      <c r="V146" s="228">
        <v>240.3</v>
      </c>
      <c r="W146" s="228">
        <v>243.25</v>
      </c>
      <c r="X146" s="228">
        <v>-2.95</v>
      </c>
      <c r="Y146" s="229">
        <v>-1.21E-2</v>
      </c>
      <c r="Z146" s="228">
        <v>0.35</v>
      </c>
      <c r="AA146" s="228">
        <v>0.55000000000000004</v>
      </c>
      <c r="AB146" s="228">
        <v>-0.2</v>
      </c>
      <c r="AC146" s="229">
        <v>1.5E-3</v>
      </c>
      <c r="AD146" s="228">
        <v>0.35</v>
      </c>
      <c r="AE146" s="228">
        <v>0.55000000000000004</v>
      </c>
      <c r="AF146" s="228">
        <v>-0.2</v>
      </c>
      <c r="AG146" s="229">
        <v>1.5E-3</v>
      </c>
      <c r="AH146" s="228">
        <v>0.5</v>
      </c>
      <c r="AI146" s="228">
        <v>0.75</v>
      </c>
      <c r="AJ146" s="228">
        <v>-0.25</v>
      </c>
      <c r="AK146" s="229">
        <v>2.0999999999999999E-3</v>
      </c>
      <c r="AL146" s="228">
        <v>0.85</v>
      </c>
      <c r="AM146" s="228">
        <v>1.6</v>
      </c>
      <c r="AN146" s="228">
        <v>-0.75</v>
      </c>
      <c r="AO146" s="229">
        <v>3.5000000000000001E-3</v>
      </c>
      <c r="AP146" s="228">
        <v>240.72</v>
      </c>
      <c r="AQ146" s="228">
        <v>240.81</v>
      </c>
      <c r="AR146" s="228">
        <v>0</v>
      </c>
      <c r="AS146" s="228">
        <v>979</v>
      </c>
      <c r="AT146" s="228">
        <v>578</v>
      </c>
      <c r="AU146" s="228">
        <v>401</v>
      </c>
      <c r="AV146" s="229">
        <v>0.69299999999999995</v>
      </c>
      <c r="AW146" s="228">
        <v>477</v>
      </c>
      <c r="AX146" s="228">
        <v>330</v>
      </c>
      <c r="AY146" s="228">
        <v>147</v>
      </c>
      <c r="AZ146" s="229">
        <v>0.44700000000000001</v>
      </c>
      <c r="BA146" s="228">
        <v>500</v>
      </c>
      <c r="BB146" s="228">
        <v>247</v>
      </c>
      <c r="BC146" s="228">
        <v>253</v>
      </c>
      <c r="BD146" s="229">
        <v>1.0264</v>
      </c>
      <c r="BE146" s="228">
        <v>2</v>
      </c>
      <c r="BF146" s="228">
        <v>2</v>
      </c>
      <c r="BG146" s="228">
        <v>0</v>
      </c>
      <c r="BH146" s="229">
        <v>0</v>
      </c>
      <c r="BI146" s="228">
        <v>525</v>
      </c>
      <c r="BJ146" s="228">
        <v>530</v>
      </c>
      <c r="BK146" s="228">
        <v>-4</v>
      </c>
      <c r="BL146" s="229">
        <v>-8.5000000000000006E-3</v>
      </c>
      <c r="BM146" s="228">
        <v>374</v>
      </c>
      <c r="BN146" s="228">
        <v>277</v>
      </c>
      <c r="BO146" s="228">
        <v>97</v>
      </c>
      <c r="BP146" s="229">
        <v>0.3493</v>
      </c>
      <c r="BQ146" s="230">
        <v>1878</v>
      </c>
      <c r="BR146" s="230">
        <v>1385</v>
      </c>
      <c r="BS146" s="228">
        <v>493</v>
      </c>
      <c r="BT146" s="229">
        <v>0.35589999999999999</v>
      </c>
      <c r="BU146" s="230">
        <v>2964349</v>
      </c>
      <c r="BV146" s="230">
        <v>5494440</v>
      </c>
      <c r="BW146" s="230">
        <v>-2530091</v>
      </c>
      <c r="BX146" s="229">
        <v>-0.46050000000000002</v>
      </c>
      <c r="BY146" s="230">
        <v>1155</v>
      </c>
      <c r="BZ146" s="230">
        <v>1108</v>
      </c>
      <c r="CA146" s="228">
        <v>47</v>
      </c>
      <c r="CB146" s="229">
        <v>4.2299999999999997E-2</v>
      </c>
      <c r="CC146" s="228">
        <v>571</v>
      </c>
      <c r="CD146" s="228">
        <v>871</v>
      </c>
      <c r="CE146" s="228">
        <v>-300</v>
      </c>
      <c r="CF146" s="229">
        <v>-0.34449999999999997</v>
      </c>
      <c r="CG146" s="228">
        <v>579</v>
      </c>
      <c r="CH146" s="228">
        <v>233</v>
      </c>
      <c r="CI146" s="228">
        <v>346</v>
      </c>
      <c r="CJ146" s="229">
        <v>1.4838</v>
      </c>
      <c r="CK146" s="228">
        <v>5</v>
      </c>
      <c r="CL146" s="228">
        <v>4</v>
      </c>
      <c r="CM146" s="228">
        <v>1</v>
      </c>
      <c r="CN146" s="229">
        <v>0.20369999999999999</v>
      </c>
      <c r="CO146" s="228">
        <v>411</v>
      </c>
      <c r="CP146" s="228">
        <v>423</v>
      </c>
      <c r="CQ146" s="228">
        <v>-13</v>
      </c>
      <c r="CR146" s="229">
        <v>-3.0300000000000001E-2</v>
      </c>
      <c r="CS146" s="228">
        <v>280</v>
      </c>
      <c r="CT146" s="228">
        <v>271</v>
      </c>
      <c r="CU146" s="228">
        <v>9</v>
      </c>
      <c r="CV146" s="229">
        <v>3.2899999999999999E-2</v>
      </c>
      <c r="CW146" s="230">
        <v>1845</v>
      </c>
      <c r="CX146" s="230">
        <v>1802</v>
      </c>
      <c r="CY146" s="228">
        <v>43</v>
      </c>
      <c r="CZ146" s="229">
        <v>2.3900000000000001E-2</v>
      </c>
      <c r="DA146" s="228">
        <v>36.020000000000003</v>
      </c>
      <c r="DB146" s="228">
        <v>31.46</v>
      </c>
      <c r="DC146" s="228">
        <v>4.5599999999999996</v>
      </c>
      <c r="DD146" s="228">
        <v>4.5599999999999996</v>
      </c>
      <c r="DE146" s="228">
        <v>35.15</v>
      </c>
      <c r="DF146" s="228">
        <v>35.22</v>
      </c>
      <c r="DG146" s="228">
        <v>0.87</v>
      </c>
      <c r="DH146" s="228">
        <v>-7.0000000000000007E-2</v>
      </c>
      <c r="DI146" s="228">
        <v>36.380000000000003</v>
      </c>
      <c r="DJ146" s="228">
        <v>32.93</v>
      </c>
      <c r="DK146" s="228">
        <v>3.45</v>
      </c>
      <c r="DL146" s="228">
        <v>3.45</v>
      </c>
      <c r="DM146" s="228">
        <v>35.53</v>
      </c>
      <c r="DN146" s="228">
        <v>28.66</v>
      </c>
      <c r="DO146" s="228">
        <v>6.87</v>
      </c>
      <c r="DP146" s="228">
        <v>6.87</v>
      </c>
      <c r="DQ146" s="228">
        <v>0.68</v>
      </c>
      <c r="DR146" s="228">
        <v>0.64</v>
      </c>
      <c r="DS146" s="228">
        <v>0.04</v>
      </c>
      <c r="DT146" s="229">
        <v>6.25E-2</v>
      </c>
      <c r="DU146" s="228">
        <v>270</v>
      </c>
      <c r="DV146" s="228">
        <v>260</v>
      </c>
      <c r="DW146" s="228">
        <v>0.71</v>
      </c>
      <c r="DX146" s="228">
        <v>0.52</v>
      </c>
      <c r="DY146" s="228">
        <v>0.19</v>
      </c>
      <c r="DZ146" s="229">
        <v>0.3654</v>
      </c>
      <c r="EA146" s="229">
        <v>0.50580000000000003</v>
      </c>
      <c r="EB146" s="230">
        <v>9896875</v>
      </c>
      <c r="EC146" s="229">
        <v>5.9999999999999995E-4</v>
      </c>
      <c r="ED146" s="229">
        <v>0.50580000000000003</v>
      </c>
      <c r="EE146" s="228">
        <v>0.09</v>
      </c>
      <c r="EF146" s="229">
        <v>4.0000000000000002E-4</v>
      </c>
      <c r="EG146" s="230">
        <v>1177777</v>
      </c>
      <c r="EH146" s="230">
        <v>2996746</v>
      </c>
      <c r="EI146" s="229">
        <v>-0.60699999999999998</v>
      </c>
      <c r="EJ146" s="229">
        <v>0.39729999999999999</v>
      </c>
      <c r="EK146" s="228">
        <v>559.96</v>
      </c>
      <c r="EL146" s="228">
        <v>377.68</v>
      </c>
      <c r="EM146" s="228">
        <v>982.64</v>
      </c>
      <c r="EN146" s="228">
        <v>36.26</v>
      </c>
      <c r="EO146" s="231">
        <v>1920.28</v>
      </c>
      <c r="EP146" s="231">
        <v>1433.52</v>
      </c>
      <c r="EQ146" s="228">
        <v>486.75</v>
      </c>
      <c r="ER146" s="229">
        <v>0.33960000000000001</v>
      </c>
      <c r="ES146" s="228">
        <v>453.19</v>
      </c>
      <c r="ET146" s="228">
        <v>289.27</v>
      </c>
      <c r="EU146" s="231">
        <v>1155.46</v>
      </c>
      <c r="EV146" s="231">
        <v>205483040</v>
      </c>
      <c r="EW146" s="231">
        <v>1897.92</v>
      </c>
      <c r="EX146" s="231">
        <v>1867.93</v>
      </c>
      <c r="EY146" s="228">
        <v>29.99</v>
      </c>
      <c r="EZ146" s="229">
        <v>1.61E-2</v>
      </c>
      <c r="FA146" s="229">
        <v>0.3745</v>
      </c>
      <c r="FB146" s="227" t="s">
        <v>567</v>
      </c>
      <c r="FC146">
        <f t="shared" si="2"/>
        <v>584</v>
      </c>
    </row>
    <row r="147" spans="1:159" ht="17.25" thickBot="1" x14ac:dyDescent="0.3">
      <c r="A147" s="226">
        <v>46044</v>
      </c>
      <c r="B147" s="227" t="s">
        <v>206</v>
      </c>
      <c r="C147" s="227" t="s">
        <v>528</v>
      </c>
      <c r="D147" s="228">
        <v>350</v>
      </c>
      <c r="E147" s="228">
        <v>5</v>
      </c>
      <c r="F147" s="231">
        <v>1477.9</v>
      </c>
      <c r="G147" s="231">
        <v>1502.3</v>
      </c>
      <c r="H147" s="228">
        <v>-24.4</v>
      </c>
      <c r="I147" s="229">
        <v>-1.6199999999999999E-2</v>
      </c>
      <c r="J147" s="231">
        <v>1480.2</v>
      </c>
      <c r="K147" s="231">
        <v>1502.6</v>
      </c>
      <c r="L147" s="228">
        <v>-22.4</v>
      </c>
      <c r="M147" s="229">
        <v>-1.49E-2</v>
      </c>
      <c r="N147" s="231">
        <v>1477.9</v>
      </c>
      <c r="O147" s="231">
        <v>1502.3</v>
      </c>
      <c r="P147" s="228">
        <v>-24.4</v>
      </c>
      <c r="Q147" s="229">
        <v>-1.6199999999999999E-2</v>
      </c>
      <c r="R147" s="231">
        <v>1459.8</v>
      </c>
      <c r="S147" s="231">
        <v>1484.4</v>
      </c>
      <c r="T147" s="228">
        <v>-24.6</v>
      </c>
      <c r="U147" s="229">
        <v>-1.66E-2</v>
      </c>
      <c r="V147" s="231">
        <v>1456</v>
      </c>
      <c r="W147" s="231">
        <v>1476.8</v>
      </c>
      <c r="X147" s="228">
        <v>-20.8</v>
      </c>
      <c r="Y147" s="229">
        <v>-1.41E-2</v>
      </c>
      <c r="Z147" s="228">
        <v>-2.2999999999999998</v>
      </c>
      <c r="AA147" s="228">
        <v>-0.3</v>
      </c>
      <c r="AB147" s="228">
        <v>-2</v>
      </c>
      <c r="AC147" s="229">
        <v>-1.6000000000000001E-3</v>
      </c>
      <c r="AD147" s="228">
        <v>-2.2999999999999998</v>
      </c>
      <c r="AE147" s="228">
        <v>-0.3</v>
      </c>
      <c r="AF147" s="228">
        <v>-2</v>
      </c>
      <c r="AG147" s="229">
        <v>-1.6000000000000001E-3</v>
      </c>
      <c r="AH147" s="228">
        <v>-20.399999999999999</v>
      </c>
      <c r="AI147" s="228">
        <v>-18.2</v>
      </c>
      <c r="AJ147" s="228">
        <v>-2.2000000000000002</v>
      </c>
      <c r="AK147" s="229">
        <v>-1.38E-2</v>
      </c>
      <c r="AL147" s="228">
        <v>-24.2</v>
      </c>
      <c r="AM147" s="228">
        <v>-25.8</v>
      </c>
      <c r="AN147" s="228">
        <v>1.6</v>
      </c>
      <c r="AO147" s="229">
        <v>-1.6299999999999999E-2</v>
      </c>
      <c r="AP147" s="231">
        <v>1485.74</v>
      </c>
      <c r="AQ147" s="231">
        <v>1467.21</v>
      </c>
      <c r="AR147" s="228">
        <v>0</v>
      </c>
      <c r="AS147" s="228">
        <v>702</v>
      </c>
      <c r="AT147" s="228">
        <v>822</v>
      </c>
      <c r="AU147" s="228">
        <v>-120</v>
      </c>
      <c r="AV147" s="229">
        <v>-0.14610000000000001</v>
      </c>
      <c r="AW147" s="228">
        <v>374</v>
      </c>
      <c r="AX147" s="228">
        <v>462</v>
      </c>
      <c r="AY147" s="228">
        <v>-88</v>
      </c>
      <c r="AZ147" s="229">
        <v>-0.1913</v>
      </c>
      <c r="BA147" s="228">
        <v>327</v>
      </c>
      <c r="BB147" s="228">
        <v>355</v>
      </c>
      <c r="BC147" s="228">
        <v>-28</v>
      </c>
      <c r="BD147" s="229">
        <v>-7.9699999999999993E-2</v>
      </c>
      <c r="BE147" s="228">
        <v>2</v>
      </c>
      <c r="BF147" s="228">
        <v>5</v>
      </c>
      <c r="BG147" s="228">
        <v>-3</v>
      </c>
      <c r="BH147" s="229">
        <v>-0.65659999999999996</v>
      </c>
      <c r="BI147" s="228">
        <v>759</v>
      </c>
      <c r="BJ147" s="230">
        <v>1525</v>
      </c>
      <c r="BK147" s="228">
        <v>-767</v>
      </c>
      <c r="BL147" s="229">
        <v>-0.50249999999999995</v>
      </c>
      <c r="BM147" s="228">
        <v>458</v>
      </c>
      <c r="BN147" s="230">
        <v>1046</v>
      </c>
      <c r="BO147" s="228">
        <v>-588</v>
      </c>
      <c r="BP147" s="229">
        <v>-0.56230000000000002</v>
      </c>
      <c r="BQ147" s="230">
        <v>1919</v>
      </c>
      <c r="BR147" s="230">
        <v>3394</v>
      </c>
      <c r="BS147" s="230">
        <v>-1475</v>
      </c>
      <c r="BT147" s="229">
        <v>-0.43459999999999999</v>
      </c>
      <c r="BU147" s="230">
        <v>1592863</v>
      </c>
      <c r="BV147" s="230">
        <v>1502372</v>
      </c>
      <c r="BW147" s="230">
        <v>90491</v>
      </c>
      <c r="BX147" s="229">
        <v>6.0199999999999997E-2</v>
      </c>
      <c r="BY147" s="228">
        <v>889</v>
      </c>
      <c r="BZ147" s="228">
        <v>947</v>
      </c>
      <c r="CA147" s="228">
        <v>-58</v>
      </c>
      <c r="CB147" s="229">
        <v>-6.1400000000000003E-2</v>
      </c>
      <c r="CC147" s="228">
        <v>337</v>
      </c>
      <c r="CD147" s="228">
        <v>553</v>
      </c>
      <c r="CE147" s="228">
        <v>-216</v>
      </c>
      <c r="CF147" s="229">
        <v>-0.39069999999999999</v>
      </c>
      <c r="CG147" s="228">
        <v>546</v>
      </c>
      <c r="CH147" s="228">
        <v>389</v>
      </c>
      <c r="CI147" s="228">
        <v>157</v>
      </c>
      <c r="CJ147" s="229">
        <v>0.40450000000000003</v>
      </c>
      <c r="CK147" s="228">
        <v>7</v>
      </c>
      <c r="CL147" s="228">
        <v>6</v>
      </c>
      <c r="CM147" s="228">
        <v>1</v>
      </c>
      <c r="CN147" s="229">
        <v>0.1351</v>
      </c>
      <c r="CO147" s="228">
        <v>401</v>
      </c>
      <c r="CP147" s="228">
        <v>447</v>
      </c>
      <c r="CQ147" s="228">
        <v>-46</v>
      </c>
      <c r="CR147" s="229">
        <v>-0.1028</v>
      </c>
      <c r="CS147" s="228">
        <v>211</v>
      </c>
      <c r="CT147" s="228">
        <v>229</v>
      </c>
      <c r="CU147" s="228">
        <v>-18</v>
      </c>
      <c r="CV147" s="229">
        <v>-7.8100000000000003E-2</v>
      </c>
      <c r="CW147" s="230">
        <v>1501</v>
      </c>
      <c r="CX147" s="230">
        <v>1623</v>
      </c>
      <c r="CY147" s="228">
        <v>-122</v>
      </c>
      <c r="CZ147" s="229">
        <v>-7.51E-2</v>
      </c>
      <c r="DA147" s="228">
        <v>32.94</v>
      </c>
      <c r="DB147" s="228">
        <v>30.17</v>
      </c>
      <c r="DC147" s="228">
        <v>2.77</v>
      </c>
      <c r="DD147" s="228">
        <v>2.77</v>
      </c>
      <c r="DE147" s="228">
        <v>37.24</v>
      </c>
      <c r="DF147" s="228">
        <v>37.28</v>
      </c>
      <c r="DG147" s="228">
        <v>-4.3</v>
      </c>
      <c r="DH147" s="228">
        <v>-0.04</v>
      </c>
      <c r="DI147" s="228">
        <v>33.04</v>
      </c>
      <c r="DJ147" s="228">
        <v>32.159999999999997</v>
      </c>
      <c r="DK147" s="228">
        <v>0.88</v>
      </c>
      <c r="DL147" s="228">
        <v>0.88</v>
      </c>
      <c r="DM147" s="228">
        <v>32.81</v>
      </c>
      <c r="DN147" s="228">
        <v>27.26</v>
      </c>
      <c r="DO147" s="228">
        <v>5.55</v>
      </c>
      <c r="DP147" s="228">
        <v>5.55</v>
      </c>
      <c r="DQ147" s="228">
        <v>0.53</v>
      </c>
      <c r="DR147" s="228">
        <v>0.51</v>
      </c>
      <c r="DS147" s="228">
        <v>0.02</v>
      </c>
      <c r="DT147" s="229">
        <v>3.9199999999999999E-2</v>
      </c>
      <c r="DU147" s="231">
        <v>1600</v>
      </c>
      <c r="DV147" s="231">
        <v>1400</v>
      </c>
      <c r="DW147" s="228">
        <v>0.6</v>
      </c>
      <c r="DX147" s="228">
        <v>0.69</v>
      </c>
      <c r="DY147" s="228">
        <v>-0.09</v>
      </c>
      <c r="DZ147" s="229">
        <v>-0.13039999999999999</v>
      </c>
      <c r="EA147" s="229">
        <v>0.62109999999999999</v>
      </c>
      <c r="EB147" s="230">
        <v>2668400</v>
      </c>
      <c r="EC147" s="229">
        <v>-1.2200000000000001E-2</v>
      </c>
      <c r="ED147" s="229">
        <v>0.62109999999999999</v>
      </c>
      <c r="EE147" s="228">
        <v>-18.53</v>
      </c>
      <c r="EF147" s="229">
        <v>-1.2500000000000001E-2</v>
      </c>
      <c r="EG147" s="230">
        <v>1077347</v>
      </c>
      <c r="EH147" s="230">
        <v>677403</v>
      </c>
      <c r="EI147" s="229">
        <v>0.59040000000000004</v>
      </c>
      <c r="EJ147" s="229">
        <v>0.6764</v>
      </c>
      <c r="EK147" s="228">
        <v>805</v>
      </c>
      <c r="EL147" s="228">
        <v>463.39</v>
      </c>
      <c r="EM147" s="228">
        <v>701.79</v>
      </c>
      <c r="EN147" s="228">
        <v>99.77</v>
      </c>
      <c r="EO147" s="231">
        <v>1970.18</v>
      </c>
      <c r="EP147" s="231">
        <v>3558.77</v>
      </c>
      <c r="EQ147" s="231">
        <v>-1588.59</v>
      </c>
      <c r="ER147" s="229">
        <v>-0.44640000000000002</v>
      </c>
      <c r="ES147" s="228">
        <v>448.18</v>
      </c>
      <c r="ET147" s="228">
        <v>217.76</v>
      </c>
      <c r="EU147" s="228">
        <v>882.55</v>
      </c>
      <c r="EV147" s="231">
        <v>17614093</v>
      </c>
      <c r="EW147" s="231">
        <v>1548.49</v>
      </c>
      <c r="EX147" s="231">
        <v>1697.49</v>
      </c>
      <c r="EY147" s="228">
        <v>-149</v>
      </c>
      <c r="EZ147" s="229">
        <v>-8.7800000000000003E-2</v>
      </c>
      <c r="FA147" s="229">
        <v>0.5766</v>
      </c>
      <c r="FB147" s="227" t="s">
        <v>568</v>
      </c>
      <c r="FC147">
        <f t="shared" si="2"/>
        <v>552</v>
      </c>
    </row>
    <row r="148" spans="1:159" ht="17.25" thickBot="1" x14ac:dyDescent="0.3">
      <c r="A148" s="226">
        <v>46044</v>
      </c>
      <c r="B148" s="227" t="s">
        <v>221</v>
      </c>
      <c r="C148" s="227" t="s">
        <v>518</v>
      </c>
      <c r="D148" s="228">
        <v>75</v>
      </c>
      <c r="E148" s="228">
        <v>5</v>
      </c>
      <c r="F148" s="231">
        <v>7895</v>
      </c>
      <c r="G148" s="231">
        <v>7696</v>
      </c>
      <c r="H148" s="228">
        <v>199</v>
      </c>
      <c r="I148" s="229">
        <v>2.5899999999999999E-2</v>
      </c>
      <c r="J148" s="231">
        <v>7897</v>
      </c>
      <c r="K148" s="231">
        <v>7673.5</v>
      </c>
      <c r="L148" s="228">
        <v>223.5</v>
      </c>
      <c r="M148" s="229">
        <v>2.9100000000000001E-2</v>
      </c>
      <c r="N148" s="231">
        <v>7895</v>
      </c>
      <c r="O148" s="231">
        <v>7696</v>
      </c>
      <c r="P148" s="228">
        <v>199</v>
      </c>
      <c r="Q148" s="229">
        <v>2.5899999999999999E-2</v>
      </c>
      <c r="R148" s="231">
        <v>7926.5</v>
      </c>
      <c r="S148" s="231">
        <v>7731</v>
      </c>
      <c r="T148" s="228">
        <v>195.5</v>
      </c>
      <c r="U148" s="229">
        <v>2.53E-2</v>
      </c>
      <c r="V148" s="231">
        <v>7965</v>
      </c>
      <c r="W148" s="231">
        <v>7757</v>
      </c>
      <c r="X148" s="228">
        <v>208</v>
      </c>
      <c r="Y148" s="229">
        <v>2.6800000000000001E-2</v>
      </c>
      <c r="Z148" s="228">
        <v>-2</v>
      </c>
      <c r="AA148" s="228">
        <v>22.5</v>
      </c>
      <c r="AB148" s="228">
        <v>-24.5</v>
      </c>
      <c r="AC148" s="229">
        <v>-2.9999999999999997E-4</v>
      </c>
      <c r="AD148" s="228">
        <v>-2</v>
      </c>
      <c r="AE148" s="228">
        <v>22.5</v>
      </c>
      <c r="AF148" s="228">
        <v>-24.5</v>
      </c>
      <c r="AG148" s="229">
        <v>-2.9999999999999997E-4</v>
      </c>
      <c r="AH148" s="228">
        <v>29.5</v>
      </c>
      <c r="AI148" s="228">
        <v>57.5</v>
      </c>
      <c r="AJ148" s="228">
        <v>-28</v>
      </c>
      <c r="AK148" s="229">
        <v>3.7000000000000002E-3</v>
      </c>
      <c r="AL148" s="228">
        <v>68</v>
      </c>
      <c r="AM148" s="228">
        <v>83.5</v>
      </c>
      <c r="AN148" s="228">
        <v>-15.5</v>
      </c>
      <c r="AO148" s="229">
        <v>8.6E-3</v>
      </c>
      <c r="AP148" s="231">
        <v>7925.59</v>
      </c>
      <c r="AQ148" s="231">
        <v>7958.92</v>
      </c>
      <c r="AR148" s="228">
        <v>0</v>
      </c>
      <c r="AS148" s="230">
        <v>1381</v>
      </c>
      <c r="AT148" s="230">
        <v>1693</v>
      </c>
      <c r="AU148" s="228">
        <v>-312</v>
      </c>
      <c r="AV148" s="229">
        <v>-0.1842</v>
      </c>
      <c r="AW148" s="228">
        <v>760</v>
      </c>
      <c r="AX148" s="228">
        <v>919</v>
      </c>
      <c r="AY148" s="228">
        <v>-159</v>
      </c>
      <c r="AZ148" s="229">
        <v>-0.1729</v>
      </c>
      <c r="BA148" s="228">
        <v>615</v>
      </c>
      <c r="BB148" s="228">
        <v>767</v>
      </c>
      <c r="BC148" s="228">
        <v>-152</v>
      </c>
      <c r="BD148" s="229">
        <v>-0.1981</v>
      </c>
      <c r="BE148" s="228">
        <v>5</v>
      </c>
      <c r="BF148" s="228">
        <v>6</v>
      </c>
      <c r="BG148" s="228">
        <v>-1</v>
      </c>
      <c r="BH148" s="229">
        <v>-0.1346</v>
      </c>
      <c r="BI148" s="230">
        <v>3725</v>
      </c>
      <c r="BJ148" s="230">
        <v>1492</v>
      </c>
      <c r="BK148" s="230">
        <v>2233</v>
      </c>
      <c r="BL148" s="229">
        <v>1.4970000000000001</v>
      </c>
      <c r="BM148" s="230">
        <v>1693</v>
      </c>
      <c r="BN148" s="230">
        <v>1240</v>
      </c>
      <c r="BO148" s="228">
        <v>453</v>
      </c>
      <c r="BP148" s="229">
        <v>0.36559999999999998</v>
      </c>
      <c r="BQ148" s="230">
        <v>6799</v>
      </c>
      <c r="BR148" s="230">
        <v>4424</v>
      </c>
      <c r="BS148" s="230">
        <v>2375</v>
      </c>
      <c r="BT148" s="229">
        <v>0.53680000000000005</v>
      </c>
      <c r="BU148" s="230">
        <v>336790</v>
      </c>
      <c r="BV148" s="230">
        <v>171214</v>
      </c>
      <c r="BW148" s="230">
        <v>165576</v>
      </c>
      <c r="BX148" s="229">
        <v>0.96709999999999996</v>
      </c>
      <c r="BY148" s="230">
        <v>1170</v>
      </c>
      <c r="BZ148" s="230">
        <v>1429</v>
      </c>
      <c r="CA148" s="228">
        <v>-259</v>
      </c>
      <c r="CB148" s="229">
        <v>-0.18149999999999999</v>
      </c>
      <c r="CC148" s="228">
        <v>453</v>
      </c>
      <c r="CD148" s="228">
        <v>827</v>
      </c>
      <c r="CE148" s="228">
        <v>-373</v>
      </c>
      <c r="CF148" s="229">
        <v>-0.4516</v>
      </c>
      <c r="CG148" s="228">
        <v>702</v>
      </c>
      <c r="CH148" s="228">
        <v>589</v>
      </c>
      <c r="CI148" s="228">
        <v>113</v>
      </c>
      <c r="CJ148" s="229">
        <v>0.19239999999999999</v>
      </c>
      <c r="CK148" s="228">
        <v>14</v>
      </c>
      <c r="CL148" s="228">
        <v>13</v>
      </c>
      <c r="CM148" s="228">
        <v>1</v>
      </c>
      <c r="CN148" s="229">
        <v>5.3800000000000001E-2</v>
      </c>
      <c r="CO148" s="228">
        <v>437</v>
      </c>
      <c r="CP148" s="228">
        <v>514</v>
      </c>
      <c r="CQ148" s="228">
        <v>-77</v>
      </c>
      <c r="CR148" s="229">
        <v>-0.14929999999999999</v>
      </c>
      <c r="CS148" s="228">
        <v>343</v>
      </c>
      <c r="CT148" s="228">
        <v>411</v>
      </c>
      <c r="CU148" s="228">
        <v>-68</v>
      </c>
      <c r="CV148" s="229">
        <v>-0.16550000000000001</v>
      </c>
      <c r="CW148" s="230">
        <v>1950</v>
      </c>
      <c r="CX148" s="230">
        <v>2354</v>
      </c>
      <c r="CY148" s="228">
        <v>-404</v>
      </c>
      <c r="CZ148" s="229">
        <v>-0.17169999999999999</v>
      </c>
      <c r="DA148" s="228">
        <v>30.77</v>
      </c>
      <c r="DB148" s="228">
        <v>50.85</v>
      </c>
      <c r="DC148" s="228">
        <v>-20.079999999999998</v>
      </c>
      <c r="DD148" s="228">
        <v>-20.079999999999998</v>
      </c>
      <c r="DE148" s="228">
        <v>38.71</v>
      </c>
      <c r="DF148" s="228">
        <v>38.65</v>
      </c>
      <c r="DG148" s="228">
        <v>-7.94</v>
      </c>
      <c r="DH148" s="228">
        <v>0.06</v>
      </c>
      <c r="DI148" s="228">
        <v>30.73</v>
      </c>
      <c r="DJ148" s="228">
        <v>50.53</v>
      </c>
      <c r="DK148" s="228">
        <v>-19.8</v>
      </c>
      <c r="DL148" s="228">
        <v>-19.8</v>
      </c>
      <c r="DM148" s="228">
        <v>30.85</v>
      </c>
      <c r="DN148" s="228">
        <v>51.24</v>
      </c>
      <c r="DO148" s="228">
        <v>-20.39</v>
      </c>
      <c r="DP148" s="228">
        <v>-20.39</v>
      </c>
      <c r="DQ148" s="228">
        <v>0.79</v>
      </c>
      <c r="DR148" s="228">
        <v>0.8</v>
      </c>
      <c r="DS148" s="228">
        <v>-0.01</v>
      </c>
      <c r="DT148" s="229">
        <v>-1.2500000000000001E-2</v>
      </c>
      <c r="DU148" s="231">
        <v>8000</v>
      </c>
      <c r="DV148" s="231">
        <v>7500</v>
      </c>
      <c r="DW148" s="228">
        <v>0.45</v>
      </c>
      <c r="DX148" s="228">
        <v>0.83</v>
      </c>
      <c r="DY148" s="228">
        <v>-0.38</v>
      </c>
      <c r="DZ148" s="229">
        <v>-0.45779999999999998</v>
      </c>
      <c r="EA148" s="229">
        <v>0.61240000000000006</v>
      </c>
      <c r="EB148" s="230">
        <v>762900</v>
      </c>
      <c r="EC148" s="229">
        <v>4.0000000000000001E-3</v>
      </c>
      <c r="ED148" s="229">
        <v>0.61240000000000006</v>
      </c>
      <c r="EE148" s="228">
        <v>33.33</v>
      </c>
      <c r="EF148" s="229">
        <v>4.1999999999999997E-3</v>
      </c>
      <c r="EG148" s="230">
        <v>83118</v>
      </c>
      <c r="EH148" s="230">
        <v>52364</v>
      </c>
      <c r="EI148" s="229">
        <v>0.58730000000000004</v>
      </c>
      <c r="EJ148" s="229">
        <v>0.24679999999999999</v>
      </c>
      <c r="EK148" s="231">
        <v>3886.56</v>
      </c>
      <c r="EL148" s="231">
        <v>1629.44</v>
      </c>
      <c r="EM148" s="231">
        <v>1388.84</v>
      </c>
      <c r="EN148" s="228">
        <v>130.28</v>
      </c>
      <c r="EO148" s="231">
        <v>6904.83</v>
      </c>
      <c r="EP148" s="231">
        <v>4388.7299999999996</v>
      </c>
      <c r="EQ148" s="231">
        <v>2516.11</v>
      </c>
      <c r="ER148" s="229">
        <v>0.57330000000000003</v>
      </c>
      <c r="ES148" s="228">
        <v>454.43</v>
      </c>
      <c r="ET148" s="228">
        <v>331.96</v>
      </c>
      <c r="EU148" s="231">
        <v>1172.67</v>
      </c>
      <c r="EV148" s="231">
        <v>3582756</v>
      </c>
      <c r="EW148" s="231">
        <v>1959.06</v>
      </c>
      <c r="EX148" s="231">
        <v>2316.67</v>
      </c>
      <c r="EY148" s="228">
        <v>-357.61</v>
      </c>
      <c r="EZ148" s="229">
        <v>-0.15440000000000001</v>
      </c>
      <c r="FA148" s="229">
        <v>0.68940000000000001</v>
      </c>
      <c r="FB148" s="227" t="s">
        <v>556</v>
      </c>
      <c r="FC148">
        <f>BY216-CC216</f>
        <v>0</v>
      </c>
    </row>
    <row r="149" spans="1:159" ht="17.25" thickBot="1" x14ac:dyDescent="0.3">
      <c r="A149" s="226">
        <v>46044</v>
      </c>
      <c r="B149" s="227" t="s">
        <v>193</v>
      </c>
      <c r="C149" s="227" t="s">
        <v>587</v>
      </c>
      <c r="D149" s="228">
        <v>1400</v>
      </c>
      <c r="E149" s="228">
        <v>5</v>
      </c>
      <c r="F149" s="228">
        <v>438.05</v>
      </c>
      <c r="G149" s="228">
        <v>433.55</v>
      </c>
      <c r="H149" s="228">
        <v>4.5</v>
      </c>
      <c r="I149" s="229">
        <v>1.04E-2</v>
      </c>
      <c r="J149" s="228">
        <v>436.45</v>
      </c>
      <c r="K149" s="228">
        <v>433.55</v>
      </c>
      <c r="L149" s="228">
        <v>2.9</v>
      </c>
      <c r="M149" s="229">
        <v>6.7000000000000002E-3</v>
      </c>
      <c r="N149" s="228">
        <v>438.05</v>
      </c>
      <c r="O149" s="228">
        <v>433.55</v>
      </c>
      <c r="P149" s="228">
        <v>4.5</v>
      </c>
      <c r="Q149" s="229">
        <v>1.04E-2</v>
      </c>
      <c r="R149" s="228">
        <v>432.5</v>
      </c>
      <c r="S149" s="228">
        <v>428.1</v>
      </c>
      <c r="T149" s="228">
        <v>4.4000000000000004</v>
      </c>
      <c r="U149" s="229">
        <v>1.03E-2</v>
      </c>
      <c r="V149" s="228">
        <v>431.75</v>
      </c>
      <c r="W149" s="228">
        <v>426.4</v>
      </c>
      <c r="X149" s="228">
        <v>5.35</v>
      </c>
      <c r="Y149" s="229">
        <v>1.2500000000000001E-2</v>
      </c>
      <c r="Z149" s="228">
        <v>1.6</v>
      </c>
      <c r="AA149" s="228">
        <v>0</v>
      </c>
      <c r="AB149" s="228">
        <v>1.6</v>
      </c>
      <c r="AC149" s="229">
        <v>3.7000000000000002E-3</v>
      </c>
      <c r="AD149" s="228">
        <v>1.6</v>
      </c>
      <c r="AE149" s="228">
        <v>0</v>
      </c>
      <c r="AF149" s="228">
        <v>1.6</v>
      </c>
      <c r="AG149" s="229">
        <v>3.7000000000000002E-3</v>
      </c>
      <c r="AH149" s="228">
        <v>-3.95</v>
      </c>
      <c r="AI149" s="228">
        <v>-5.45</v>
      </c>
      <c r="AJ149" s="228">
        <v>1.5</v>
      </c>
      <c r="AK149" s="229">
        <v>-9.1000000000000004E-3</v>
      </c>
      <c r="AL149" s="228">
        <v>-4.7</v>
      </c>
      <c r="AM149" s="228">
        <v>-7.15</v>
      </c>
      <c r="AN149" s="228">
        <v>2.4500000000000002</v>
      </c>
      <c r="AO149" s="229">
        <v>-1.0800000000000001E-2</v>
      </c>
      <c r="AP149" s="228">
        <v>440.29</v>
      </c>
      <c r="AQ149" s="228">
        <v>435.19</v>
      </c>
      <c r="AR149" s="228">
        <v>0</v>
      </c>
      <c r="AS149" s="228">
        <v>818</v>
      </c>
      <c r="AT149" s="228">
        <v>467</v>
      </c>
      <c r="AU149" s="228">
        <v>350</v>
      </c>
      <c r="AV149" s="229">
        <v>0.74970000000000003</v>
      </c>
      <c r="AW149" s="228">
        <v>397</v>
      </c>
      <c r="AX149" s="228">
        <v>249</v>
      </c>
      <c r="AY149" s="228">
        <v>148</v>
      </c>
      <c r="AZ149" s="229">
        <v>0.59640000000000004</v>
      </c>
      <c r="BA149" s="228">
        <v>417</v>
      </c>
      <c r="BB149" s="228">
        <v>218</v>
      </c>
      <c r="BC149" s="228">
        <v>199</v>
      </c>
      <c r="BD149" s="229">
        <v>0.91579999999999995</v>
      </c>
      <c r="BE149" s="228">
        <v>3</v>
      </c>
      <c r="BF149" s="228">
        <v>1</v>
      </c>
      <c r="BG149" s="228">
        <v>3</v>
      </c>
      <c r="BH149" s="229">
        <v>3.5</v>
      </c>
      <c r="BI149" s="228">
        <v>481</v>
      </c>
      <c r="BJ149" s="228">
        <v>568</v>
      </c>
      <c r="BK149" s="228">
        <v>-87</v>
      </c>
      <c r="BL149" s="229">
        <v>-0.15290000000000001</v>
      </c>
      <c r="BM149" s="228">
        <v>166</v>
      </c>
      <c r="BN149" s="228">
        <v>243</v>
      </c>
      <c r="BO149" s="228">
        <v>-77</v>
      </c>
      <c r="BP149" s="229">
        <v>-0.31759999999999999</v>
      </c>
      <c r="BQ149" s="230">
        <v>1465</v>
      </c>
      <c r="BR149" s="230">
        <v>1278</v>
      </c>
      <c r="BS149" s="228">
        <v>186</v>
      </c>
      <c r="BT149" s="229">
        <v>0.14560000000000001</v>
      </c>
      <c r="BU149" s="230">
        <v>2260886</v>
      </c>
      <c r="BV149" s="230">
        <v>2420858</v>
      </c>
      <c r="BW149" s="230">
        <v>-159972</v>
      </c>
      <c r="BX149" s="229">
        <v>-6.6100000000000006E-2</v>
      </c>
      <c r="BY149" s="228">
        <v>622</v>
      </c>
      <c r="BZ149" s="228">
        <v>665</v>
      </c>
      <c r="CA149" s="228">
        <v>-42</v>
      </c>
      <c r="CB149" s="229">
        <v>-6.3899999999999998E-2</v>
      </c>
      <c r="CC149" s="228">
        <v>144</v>
      </c>
      <c r="CD149" s="228">
        <v>394</v>
      </c>
      <c r="CE149" s="228">
        <v>-250</v>
      </c>
      <c r="CF149" s="229">
        <v>-0.63360000000000005</v>
      </c>
      <c r="CG149" s="228">
        <v>472</v>
      </c>
      <c r="CH149" s="228">
        <v>264</v>
      </c>
      <c r="CI149" s="228">
        <v>208</v>
      </c>
      <c r="CJ149" s="229">
        <v>0.79020000000000001</v>
      </c>
      <c r="CK149" s="228">
        <v>6</v>
      </c>
      <c r="CL149" s="228">
        <v>7</v>
      </c>
      <c r="CM149" s="228">
        <v>-1</v>
      </c>
      <c r="CN149" s="229">
        <v>-0.16239999999999999</v>
      </c>
      <c r="CO149" s="228">
        <v>373</v>
      </c>
      <c r="CP149" s="228">
        <v>394</v>
      </c>
      <c r="CQ149" s="228">
        <v>-21</v>
      </c>
      <c r="CR149" s="229">
        <v>-5.3600000000000002E-2</v>
      </c>
      <c r="CS149" s="228">
        <v>239</v>
      </c>
      <c r="CT149" s="228">
        <v>241</v>
      </c>
      <c r="CU149" s="228">
        <v>-2</v>
      </c>
      <c r="CV149" s="229">
        <v>-7.4000000000000003E-3</v>
      </c>
      <c r="CW149" s="230">
        <v>1234</v>
      </c>
      <c r="CX149" s="230">
        <v>1299</v>
      </c>
      <c r="CY149" s="228">
        <v>-65</v>
      </c>
      <c r="CZ149" s="229">
        <v>-5.0299999999999997E-2</v>
      </c>
      <c r="DA149" s="228">
        <v>33.979999999999997</v>
      </c>
      <c r="DB149" s="228">
        <v>27.91</v>
      </c>
      <c r="DC149" s="228">
        <v>6.07</v>
      </c>
      <c r="DD149" s="228">
        <v>6.07</v>
      </c>
      <c r="DE149" s="228">
        <v>40.869999999999997</v>
      </c>
      <c r="DF149" s="228">
        <v>40.94</v>
      </c>
      <c r="DG149" s="228">
        <v>-6.89</v>
      </c>
      <c r="DH149" s="228">
        <v>-7.0000000000000007E-2</v>
      </c>
      <c r="DI149" s="228">
        <v>34.47</v>
      </c>
      <c r="DJ149" s="228">
        <v>28.2</v>
      </c>
      <c r="DK149" s="228">
        <v>6.27</v>
      </c>
      <c r="DL149" s="228">
        <v>6.27</v>
      </c>
      <c r="DM149" s="228">
        <v>32.65</v>
      </c>
      <c r="DN149" s="228">
        <v>27.23</v>
      </c>
      <c r="DO149" s="228">
        <v>5.42</v>
      </c>
      <c r="DP149" s="228">
        <v>5.42</v>
      </c>
      <c r="DQ149" s="228">
        <v>0.64</v>
      </c>
      <c r="DR149" s="228">
        <v>0.61</v>
      </c>
      <c r="DS149" s="228">
        <v>0.03</v>
      </c>
      <c r="DT149" s="229">
        <v>4.9200000000000001E-2</v>
      </c>
      <c r="DU149" s="228">
        <v>470</v>
      </c>
      <c r="DV149" s="228">
        <v>420</v>
      </c>
      <c r="DW149" s="228">
        <v>0.35</v>
      </c>
      <c r="DX149" s="228">
        <v>0.43</v>
      </c>
      <c r="DY149" s="228">
        <v>-0.08</v>
      </c>
      <c r="DZ149" s="229">
        <v>-0.186</v>
      </c>
      <c r="EA149" s="229">
        <v>0.76800000000000002</v>
      </c>
      <c r="EB149" s="230">
        <v>6182400</v>
      </c>
      <c r="EC149" s="229">
        <v>-1.2699999999999999E-2</v>
      </c>
      <c r="ED149" s="229">
        <v>0.76800000000000002</v>
      </c>
      <c r="EE149" s="228">
        <v>-5.0999999999999996</v>
      </c>
      <c r="EF149" s="229">
        <v>-1.1599999999999999E-2</v>
      </c>
      <c r="EG149" s="230">
        <v>1204316</v>
      </c>
      <c r="EH149" s="230">
        <v>863234</v>
      </c>
      <c r="EI149" s="229">
        <v>0.39510000000000001</v>
      </c>
      <c r="EJ149" s="229">
        <v>0.53269999999999995</v>
      </c>
      <c r="EK149" s="228">
        <v>502.41</v>
      </c>
      <c r="EL149" s="228">
        <v>163.13</v>
      </c>
      <c r="EM149" s="228">
        <v>816.83</v>
      </c>
      <c r="EN149" s="228">
        <v>46.38</v>
      </c>
      <c r="EO149" s="231">
        <v>1482.37</v>
      </c>
      <c r="EP149" s="231">
        <v>1279.3</v>
      </c>
      <c r="EQ149" s="228">
        <v>203.07</v>
      </c>
      <c r="ER149" s="229">
        <v>0.15870000000000001</v>
      </c>
      <c r="ES149" s="228">
        <v>392.29</v>
      </c>
      <c r="ET149" s="228">
        <v>229.46</v>
      </c>
      <c r="EU149" s="228">
        <v>616.28</v>
      </c>
      <c r="EV149" s="231">
        <v>102006452</v>
      </c>
      <c r="EW149" s="231">
        <v>1238.03</v>
      </c>
      <c r="EX149" s="231">
        <v>1299.6500000000001</v>
      </c>
      <c r="EY149" s="228">
        <v>-61.62</v>
      </c>
      <c r="EZ149" s="229">
        <v>-4.7399999999999998E-2</v>
      </c>
      <c r="FA149" s="229">
        <v>0.27610000000000001</v>
      </c>
      <c r="FB149" s="227" t="s">
        <v>556</v>
      </c>
      <c r="FC149">
        <f t="shared" ref="FC149:FC194" si="3">BY215-CC215</f>
        <v>535</v>
      </c>
    </row>
    <row r="150" spans="1:159" ht="17.25" thickBot="1" x14ac:dyDescent="0.3">
      <c r="A150" s="226">
        <v>46044</v>
      </c>
      <c r="B150" s="227" t="s">
        <v>193</v>
      </c>
      <c r="C150" s="227" t="s">
        <v>269</v>
      </c>
      <c r="D150" s="228">
        <v>2250</v>
      </c>
      <c r="E150" s="228">
        <v>5</v>
      </c>
      <c r="F150" s="228">
        <v>243.78</v>
      </c>
      <c r="G150" s="228">
        <v>242.14</v>
      </c>
      <c r="H150" s="228">
        <v>1.64</v>
      </c>
      <c r="I150" s="229">
        <v>6.7999999999999996E-3</v>
      </c>
      <c r="J150" s="228">
        <v>244.01</v>
      </c>
      <c r="K150" s="228">
        <v>242.37</v>
      </c>
      <c r="L150" s="228">
        <v>1.64</v>
      </c>
      <c r="M150" s="229">
        <v>6.7999999999999996E-3</v>
      </c>
      <c r="N150" s="228">
        <v>243.78</v>
      </c>
      <c r="O150" s="228">
        <v>242.14</v>
      </c>
      <c r="P150" s="228">
        <v>1.64</v>
      </c>
      <c r="Q150" s="229">
        <v>6.7999999999999996E-3</v>
      </c>
      <c r="R150" s="228">
        <v>244.65</v>
      </c>
      <c r="S150" s="228">
        <v>242.6</v>
      </c>
      <c r="T150" s="228">
        <v>2.0499999999999998</v>
      </c>
      <c r="U150" s="229">
        <v>8.5000000000000006E-3</v>
      </c>
      <c r="V150" s="228">
        <v>245.8</v>
      </c>
      <c r="W150" s="228">
        <v>244.28</v>
      </c>
      <c r="X150" s="228">
        <v>1.52</v>
      </c>
      <c r="Y150" s="229">
        <v>6.1999999999999998E-3</v>
      </c>
      <c r="Z150" s="228">
        <v>-0.23</v>
      </c>
      <c r="AA150" s="228">
        <v>-0.23</v>
      </c>
      <c r="AB150" s="228">
        <v>0</v>
      </c>
      <c r="AC150" s="229">
        <v>-8.9999999999999998E-4</v>
      </c>
      <c r="AD150" s="228">
        <v>-0.23</v>
      </c>
      <c r="AE150" s="228">
        <v>-0.23</v>
      </c>
      <c r="AF150" s="228">
        <v>0</v>
      </c>
      <c r="AG150" s="229">
        <v>-8.9999999999999998E-4</v>
      </c>
      <c r="AH150" s="228">
        <v>0.64</v>
      </c>
      <c r="AI150" s="228">
        <v>0.23</v>
      </c>
      <c r="AJ150" s="228">
        <v>0.41</v>
      </c>
      <c r="AK150" s="229">
        <v>2.5999999999999999E-3</v>
      </c>
      <c r="AL150" s="228">
        <v>1.79</v>
      </c>
      <c r="AM150" s="228">
        <v>1.91</v>
      </c>
      <c r="AN150" s="228">
        <v>-0.12</v>
      </c>
      <c r="AO150" s="229">
        <v>7.3000000000000001E-3</v>
      </c>
      <c r="AP150" s="228">
        <v>244.23</v>
      </c>
      <c r="AQ150" s="228">
        <v>245.04</v>
      </c>
      <c r="AR150" s="228">
        <v>0</v>
      </c>
      <c r="AS150" s="230">
        <v>1380</v>
      </c>
      <c r="AT150" s="230">
        <v>1052</v>
      </c>
      <c r="AU150" s="228">
        <v>328</v>
      </c>
      <c r="AV150" s="229">
        <v>0.31219999999999998</v>
      </c>
      <c r="AW150" s="228">
        <v>749</v>
      </c>
      <c r="AX150" s="228">
        <v>616</v>
      </c>
      <c r="AY150" s="228">
        <v>133</v>
      </c>
      <c r="AZ150" s="229">
        <v>0.216</v>
      </c>
      <c r="BA150" s="228">
        <v>614</v>
      </c>
      <c r="BB150" s="228">
        <v>431</v>
      </c>
      <c r="BC150" s="228">
        <v>183</v>
      </c>
      <c r="BD150" s="229">
        <v>0.42409999999999998</v>
      </c>
      <c r="BE150" s="228">
        <v>18</v>
      </c>
      <c r="BF150" s="228">
        <v>5</v>
      </c>
      <c r="BG150" s="228">
        <v>13</v>
      </c>
      <c r="BH150" s="229">
        <v>2.4468000000000001</v>
      </c>
      <c r="BI150" s="230">
        <v>2002</v>
      </c>
      <c r="BJ150" s="230">
        <v>2134</v>
      </c>
      <c r="BK150" s="228">
        <v>-131</v>
      </c>
      <c r="BL150" s="229">
        <v>-6.1600000000000002E-2</v>
      </c>
      <c r="BM150" s="230">
        <v>1384</v>
      </c>
      <c r="BN150" s="230">
        <v>1489</v>
      </c>
      <c r="BO150" s="228">
        <v>-105</v>
      </c>
      <c r="BP150" s="229">
        <v>-7.0599999999999996E-2</v>
      </c>
      <c r="BQ150" s="230">
        <v>4766</v>
      </c>
      <c r="BR150" s="230">
        <v>4674</v>
      </c>
      <c r="BS150" s="228">
        <v>92</v>
      </c>
      <c r="BT150" s="229">
        <v>1.9699999999999999E-2</v>
      </c>
      <c r="BU150" s="230">
        <v>11140205</v>
      </c>
      <c r="BV150" s="230">
        <v>10358736</v>
      </c>
      <c r="BW150" s="230">
        <v>781469</v>
      </c>
      <c r="BX150" s="229">
        <v>7.5399999999999995E-2</v>
      </c>
      <c r="BY150" s="230">
        <v>2800</v>
      </c>
      <c r="BZ150" s="230">
        <v>2730</v>
      </c>
      <c r="CA150" s="228">
        <v>69</v>
      </c>
      <c r="CB150" s="229">
        <v>2.5399999999999999E-2</v>
      </c>
      <c r="CC150" s="230">
        <v>1868</v>
      </c>
      <c r="CD150" s="230">
        <v>2254</v>
      </c>
      <c r="CE150" s="228">
        <v>-386</v>
      </c>
      <c r="CF150" s="229">
        <v>-0.17119999999999999</v>
      </c>
      <c r="CG150" s="228">
        <v>902</v>
      </c>
      <c r="CH150" s="228">
        <v>453</v>
      </c>
      <c r="CI150" s="228">
        <v>449</v>
      </c>
      <c r="CJ150" s="229">
        <v>0.98960000000000004</v>
      </c>
      <c r="CK150" s="228">
        <v>29</v>
      </c>
      <c r="CL150" s="228">
        <v>23</v>
      </c>
      <c r="CM150" s="228">
        <v>6</v>
      </c>
      <c r="CN150" s="229">
        <v>0.27750000000000002</v>
      </c>
      <c r="CO150" s="230">
        <v>2460</v>
      </c>
      <c r="CP150" s="230">
        <v>2507</v>
      </c>
      <c r="CQ150" s="228">
        <v>-47</v>
      </c>
      <c r="CR150" s="229">
        <v>-1.8800000000000001E-2</v>
      </c>
      <c r="CS150" s="230">
        <v>1109</v>
      </c>
      <c r="CT150" s="230">
        <v>1094</v>
      </c>
      <c r="CU150" s="228">
        <v>14</v>
      </c>
      <c r="CV150" s="229">
        <v>1.29E-2</v>
      </c>
      <c r="CW150" s="230">
        <v>6368</v>
      </c>
      <c r="CX150" s="230">
        <v>6332</v>
      </c>
      <c r="CY150" s="228">
        <v>36</v>
      </c>
      <c r="CZ150" s="229">
        <v>5.7000000000000002E-3</v>
      </c>
      <c r="DA150" s="228">
        <v>24.44</v>
      </c>
      <c r="DB150" s="228">
        <v>18.29</v>
      </c>
      <c r="DC150" s="228">
        <v>6.15</v>
      </c>
      <c r="DD150" s="228">
        <v>6.15</v>
      </c>
      <c r="DE150" s="228">
        <v>29.72</v>
      </c>
      <c r="DF150" s="228">
        <v>29.78</v>
      </c>
      <c r="DG150" s="228">
        <v>-5.28</v>
      </c>
      <c r="DH150" s="228">
        <v>-0.06</v>
      </c>
      <c r="DI150" s="228">
        <v>23.82</v>
      </c>
      <c r="DJ150" s="228">
        <v>18.04</v>
      </c>
      <c r="DK150" s="228">
        <v>5.78</v>
      </c>
      <c r="DL150" s="228">
        <v>5.78</v>
      </c>
      <c r="DM150" s="228">
        <v>25.48</v>
      </c>
      <c r="DN150" s="228">
        <v>18.649999999999999</v>
      </c>
      <c r="DO150" s="228">
        <v>6.83</v>
      </c>
      <c r="DP150" s="228">
        <v>6.83</v>
      </c>
      <c r="DQ150" s="228">
        <v>0.45</v>
      </c>
      <c r="DR150" s="228">
        <v>0.44</v>
      </c>
      <c r="DS150" s="228">
        <v>0.01</v>
      </c>
      <c r="DT150" s="229">
        <v>2.2700000000000001E-2</v>
      </c>
      <c r="DU150" s="228">
        <v>240</v>
      </c>
      <c r="DV150" s="228">
        <v>240</v>
      </c>
      <c r="DW150" s="228">
        <v>0.69</v>
      </c>
      <c r="DX150" s="228">
        <v>0.7</v>
      </c>
      <c r="DY150" s="228">
        <v>-0.01</v>
      </c>
      <c r="DZ150" s="229">
        <v>-1.43E-2</v>
      </c>
      <c r="EA150" s="229">
        <v>0.3327</v>
      </c>
      <c r="EB150" s="230">
        <v>19541250</v>
      </c>
      <c r="EC150" s="229">
        <v>3.5999999999999999E-3</v>
      </c>
      <c r="ED150" s="229">
        <v>0.3327</v>
      </c>
      <c r="EE150" s="228">
        <v>0.81</v>
      </c>
      <c r="EF150" s="229">
        <v>3.3E-3</v>
      </c>
      <c r="EG150" s="230">
        <v>7446762</v>
      </c>
      <c r="EH150" s="230">
        <v>5726029</v>
      </c>
      <c r="EI150" s="229">
        <v>0.30049999999999999</v>
      </c>
      <c r="EJ150" s="229">
        <v>0.66849999999999998</v>
      </c>
      <c r="EK150" s="231">
        <v>2051.2600000000002</v>
      </c>
      <c r="EL150" s="231">
        <v>1364.85</v>
      </c>
      <c r="EM150" s="231">
        <v>1385.04</v>
      </c>
      <c r="EN150" s="228">
        <v>107.52</v>
      </c>
      <c r="EO150" s="231">
        <v>4801.1499999999996</v>
      </c>
      <c r="EP150" s="231">
        <v>4682.78</v>
      </c>
      <c r="EQ150" s="228">
        <v>118.37</v>
      </c>
      <c r="ER150" s="229">
        <v>2.53E-2</v>
      </c>
      <c r="ES150" s="231">
        <v>2495.8000000000002</v>
      </c>
      <c r="ET150" s="231">
        <v>1080.04</v>
      </c>
      <c r="EU150" s="231">
        <v>2803.03</v>
      </c>
      <c r="EV150" s="231">
        <v>517141211</v>
      </c>
      <c r="EW150" s="231">
        <v>6378.87</v>
      </c>
      <c r="EX150" s="231">
        <v>6324.88</v>
      </c>
      <c r="EY150" s="228">
        <v>53.99</v>
      </c>
      <c r="EZ150" s="229">
        <v>8.5000000000000006E-3</v>
      </c>
      <c r="FA150" s="229">
        <v>0.50519999999999998</v>
      </c>
      <c r="FB150" s="227" t="s">
        <v>555</v>
      </c>
      <c r="FC150">
        <f t="shared" si="3"/>
        <v>0</v>
      </c>
    </row>
    <row r="151" spans="1:159" ht="17.25" thickBot="1" x14ac:dyDescent="0.3">
      <c r="A151" s="226">
        <v>46044</v>
      </c>
      <c r="B151" s="227" t="s">
        <v>197</v>
      </c>
      <c r="C151" s="227" t="s">
        <v>270</v>
      </c>
      <c r="D151" s="228">
        <v>15</v>
      </c>
      <c r="E151" s="228">
        <v>5</v>
      </c>
      <c r="F151" s="231">
        <v>33005</v>
      </c>
      <c r="G151" s="231">
        <v>33050</v>
      </c>
      <c r="H151" s="228">
        <v>-45</v>
      </c>
      <c r="I151" s="229">
        <v>-1.4E-3</v>
      </c>
      <c r="J151" s="231">
        <v>32875</v>
      </c>
      <c r="K151" s="231">
        <v>33110</v>
      </c>
      <c r="L151" s="228">
        <v>-235</v>
      </c>
      <c r="M151" s="229">
        <v>-7.1000000000000004E-3</v>
      </c>
      <c r="N151" s="231">
        <v>33005</v>
      </c>
      <c r="O151" s="231">
        <v>33050</v>
      </c>
      <c r="P151" s="228">
        <v>-45</v>
      </c>
      <c r="Q151" s="229">
        <v>-1.4E-3</v>
      </c>
      <c r="R151" s="231">
        <v>32185</v>
      </c>
      <c r="S151" s="231">
        <v>32290</v>
      </c>
      <c r="T151" s="228">
        <v>-105</v>
      </c>
      <c r="U151" s="229">
        <v>-3.3E-3</v>
      </c>
      <c r="V151" s="231">
        <v>31980</v>
      </c>
      <c r="W151" s="231">
        <v>32175</v>
      </c>
      <c r="X151" s="228">
        <v>-195</v>
      </c>
      <c r="Y151" s="229">
        <v>-6.1000000000000004E-3</v>
      </c>
      <c r="Z151" s="228">
        <v>130</v>
      </c>
      <c r="AA151" s="228">
        <v>-60</v>
      </c>
      <c r="AB151" s="228">
        <v>190</v>
      </c>
      <c r="AC151" s="229">
        <v>4.0000000000000001E-3</v>
      </c>
      <c r="AD151" s="228">
        <v>130</v>
      </c>
      <c r="AE151" s="228">
        <v>-60</v>
      </c>
      <c r="AF151" s="228">
        <v>190</v>
      </c>
      <c r="AG151" s="229">
        <v>4.0000000000000001E-3</v>
      </c>
      <c r="AH151" s="228">
        <v>-690</v>
      </c>
      <c r="AI151" s="228">
        <v>-820</v>
      </c>
      <c r="AJ151" s="228">
        <v>130</v>
      </c>
      <c r="AK151" s="229">
        <v>-2.1000000000000001E-2</v>
      </c>
      <c r="AL151" s="228">
        <v>-895</v>
      </c>
      <c r="AM151" s="228">
        <v>-935</v>
      </c>
      <c r="AN151" s="228">
        <v>40</v>
      </c>
      <c r="AO151" s="229">
        <v>-2.7199999999999998E-2</v>
      </c>
      <c r="AP151" s="231">
        <v>32997.71</v>
      </c>
      <c r="AQ151" s="231">
        <v>32225.51</v>
      </c>
      <c r="AR151" s="228">
        <v>0</v>
      </c>
      <c r="AS151" s="230">
        <v>1034</v>
      </c>
      <c r="AT151" s="228">
        <v>882</v>
      </c>
      <c r="AU151" s="228">
        <v>152</v>
      </c>
      <c r="AV151" s="229">
        <v>0.17199999999999999</v>
      </c>
      <c r="AW151" s="228">
        <v>487</v>
      </c>
      <c r="AX151" s="228">
        <v>452</v>
      </c>
      <c r="AY151" s="228">
        <v>35</v>
      </c>
      <c r="AZ151" s="229">
        <v>7.7200000000000005E-2</v>
      </c>
      <c r="BA151" s="228">
        <v>536</v>
      </c>
      <c r="BB151" s="228">
        <v>420</v>
      </c>
      <c r="BC151" s="228">
        <v>116</v>
      </c>
      <c r="BD151" s="229">
        <v>0.27729999999999999</v>
      </c>
      <c r="BE151" s="228">
        <v>10</v>
      </c>
      <c r="BF151" s="228">
        <v>10</v>
      </c>
      <c r="BG151" s="228">
        <v>0</v>
      </c>
      <c r="BH151" s="229">
        <v>3.4099999999999998E-2</v>
      </c>
      <c r="BI151" s="228">
        <v>629</v>
      </c>
      <c r="BJ151" s="228">
        <v>669</v>
      </c>
      <c r="BK151" s="228">
        <v>-40</v>
      </c>
      <c r="BL151" s="229">
        <v>-6.0199999999999997E-2</v>
      </c>
      <c r="BM151" s="228">
        <v>231</v>
      </c>
      <c r="BN151" s="228">
        <v>249</v>
      </c>
      <c r="BO151" s="228">
        <v>-18</v>
      </c>
      <c r="BP151" s="229">
        <v>-7.1999999999999995E-2</v>
      </c>
      <c r="BQ151" s="230">
        <v>1893</v>
      </c>
      <c r="BR151" s="230">
        <v>1800</v>
      </c>
      <c r="BS151" s="228">
        <v>93</v>
      </c>
      <c r="BT151" s="229">
        <v>5.1900000000000002E-2</v>
      </c>
      <c r="BU151" s="230">
        <v>34076</v>
      </c>
      <c r="BV151" s="230">
        <v>33391</v>
      </c>
      <c r="BW151" s="228">
        <v>685</v>
      </c>
      <c r="BX151" s="229">
        <v>2.0500000000000001E-2</v>
      </c>
      <c r="BY151" s="228">
        <v>973</v>
      </c>
      <c r="BZ151" s="228">
        <v>925</v>
      </c>
      <c r="CA151" s="228">
        <v>48</v>
      </c>
      <c r="CB151" s="229">
        <v>5.1900000000000002E-2</v>
      </c>
      <c r="CC151" s="228">
        <v>269</v>
      </c>
      <c r="CD151" s="228">
        <v>536</v>
      </c>
      <c r="CE151" s="228">
        <v>-267</v>
      </c>
      <c r="CF151" s="229">
        <v>-0.499</v>
      </c>
      <c r="CG151" s="228">
        <v>687</v>
      </c>
      <c r="CH151" s="228">
        <v>375</v>
      </c>
      <c r="CI151" s="228">
        <v>312</v>
      </c>
      <c r="CJ151" s="229">
        <v>0.83340000000000003</v>
      </c>
      <c r="CK151" s="228">
        <v>17</v>
      </c>
      <c r="CL151" s="228">
        <v>14</v>
      </c>
      <c r="CM151" s="228">
        <v>3</v>
      </c>
      <c r="CN151" s="229">
        <v>0.22889999999999999</v>
      </c>
      <c r="CO151" s="228">
        <v>397</v>
      </c>
      <c r="CP151" s="228">
        <v>377</v>
      </c>
      <c r="CQ151" s="228">
        <v>20</v>
      </c>
      <c r="CR151" s="229">
        <v>5.33E-2</v>
      </c>
      <c r="CS151" s="228">
        <v>186</v>
      </c>
      <c r="CT151" s="228">
        <v>187</v>
      </c>
      <c r="CU151" s="228">
        <v>0</v>
      </c>
      <c r="CV151" s="229">
        <v>-2.0999999999999999E-3</v>
      </c>
      <c r="CW151" s="230">
        <v>1556</v>
      </c>
      <c r="CX151" s="230">
        <v>1488</v>
      </c>
      <c r="CY151" s="228">
        <v>68</v>
      </c>
      <c r="CZ151" s="229">
        <v>4.5499999999999999E-2</v>
      </c>
      <c r="DA151" s="228">
        <v>29.78</v>
      </c>
      <c r="DB151" s="228">
        <v>28.87</v>
      </c>
      <c r="DC151" s="228">
        <v>0.91</v>
      </c>
      <c r="DD151" s="228">
        <v>0.91</v>
      </c>
      <c r="DE151" s="228">
        <v>27.5</v>
      </c>
      <c r="DF151" s="228">
        <v>27.55</v>
      </c>
      <c r="DG151" s="228">
        <v>2.2799999999999998</v>
      </c>
      <c r="DH151" s="228">
        <v>-0.05</v>
      </c>
      <c r="DI151" s="228">
        <v>30.26</v>
      </c>
      <c r="DJ151" s="228">
        <v>28.48</v>
      </c>
      <c r="DK151" s="228">
        <v>1.78</v>
      </c>
      <c r="DL151" s="228">
        <v>1.78</v>
      </c>
      <c r="DM151" s="228">
        <v>28.81</v>
      </c>
      <c r="DN151" s="228">
        <v>29.91</v>
      </c>
      <c r="DO151" s="228">
        <v>-1.1000000000000001</v>
      </c>
      <c r="DP151" s="228">
        <v>-1.1000000000000001</v>
      </c>
      <c r="DQ151" s="228">
        <v>0.47</v>
      </c>
      <c r="DR151" s="228">
        <v>0.49</v>
      </c>
      <c r="DS151" s="228">
        <v>-0.02</v>
      </c>
      <c r="DT151" s="229">
        <v>-4.0800000000000003E-2</v>
      </c>
      <c r="DU151" s="231">
        <v>36000</v>
      </c>
      <c r="DV151" s="231">
        <v>35000</v>
      </c>
      <c r="DW151" s="228">
        <v>0.37</v>
      </c>
      <c r="DX151" s="228">
        <v>0.37</v>
      </c>
      <c r="DY151" s="228">
        <v>0</v>
      </c>
      <c r="DZ151" s="229">
        <v>0</v>
      </c>
      <c r="EA151" s="229">
        <v>0.72389999999999999</v>
      </c>
      <c r="EB151" s="230">
        <v>117765</v>
      </c>
      <c r="EC151" s="229">
        <v>-2.4799999999999999E-2</v>
      </c>
      <c r="ED151" s="229">
        <v>0.72389999999999999</v>
      </c>
      <c r="EE151" s="228">
        <v>-772.2</v>
      </c>
      <c r="EF151" s="229">
        <v>-2.3400000000000001E-2</v>
      </c>
      <c r="EG151" s="230">
        <v>17534</v>
      </c>
      <c r="EH151" s="230">
        <v>15003</v>
      </c>
      <c r="EI151" s="229">
        <v>0.16869999999999999</v>
      </c>
      <c r="EJ151" s="229">
        <v>0.51459999999999995</v>
      </c>
      <c r="EK151" s="228">
        <v>683.44</v>
      </c>
      <c r="EL151" s="228">
        <v>224.27</v>
      </c>
      <c r="EM151" s="231">
        <v>1020.43</v>
      </c>
      <c r="EN151" s="228">
        <v>81.319999999999993</v>
      </c>
      <c r="EO151" s="231">
        <v>1928.14</v>
      </c>
      <c r="EP151" s="231">
        <v>1841.49</v>
      </c>
      <c r="EQ151" s="228">
        <v>86.64</v>
      </c>
      <c r="ER151" s="229">
        <v>4.7100000000000003E-2</v>
      </c>
      <c r="ES151" s="228">
        <v>435.42</v>
      </c>
      <c r="ET151" s="228">
        <v>192.05</v>
      </c>
      <c r="EU151" s="228">
        <v>955.02</v>
      </c>
      <c r="EV151" s="231">
        <v>955549</v>
      </c>
      <c r="EW151" s="231">
        <v>1582.5</v>
      </c>
      <c r="EX151" s="231">
        <v>1523.78</v>
      </c>
      <c r="EY151" s="228">
        <v>58.72</v>
      </c>
      <c r="EZ151" s="229">
        <v>3.85E-2</v>
      </c>
      <c r="FA151" s="229">
        <v>0.49340000000000001</v>
      </c>
      <c r="FB151" s="227" t="s">
        <v>567</v>
      </c>
      <c r="FC151">
        <f t="shared" si="3"/>
        <v>0</v>
      </c>
    </row>
    <row r="152" spans="1:159" ht="17.25" thickBot="1" x14ac:dyDescent="0.3">
      <c r="A152" s="226">
        <v>46044</v>
      </c>
      <c r="B152" s="227" t="s">
        <v>168</v>
      </c>
      <c r="C152" s="227" t="s">
        <v>665</v>
      </c>
      <c r="D152" s="228">
        <v>900</v>
      </c>
      <c r="E152" s="228">
        <v>5</v>
      </c>
      <c r="F152" s="228">
        <v>510.55</v>
      </c>
      <c r="G152" s="228">
        <v>503.55</v>
      </c>
      <c r="H152" s="228">
        <v>7</v>
      </c>
      <c r="I152" s="229">
        <v>1.3899999999999999E-2</v>
      </c>
      <c r="J152" s="228">
        <v>511</v>
      </c>
      <c r="K152" s="228">
        <v>505</v>
      </c>
      <c r="L152" s="228">
        <v>6</v>
      </c>
      <c r="M152" s="229">
        <v>1.1900000000000001E-2</v>
      </c>
      <c r="N152" s="228">
        <v>510.55</v>
      </c>
      <c r="O152" s="228">
        <v>503.55</v>
      </c>
      <c r="P152" s="228">
        <v>7</v>
      </c>
      <c r="Q152" s="229">
        <v>1.3899999999999999E-2</v>
      </c>
      <c r="R152" s="228">
        <v>513.29999999999995</v>
      </c>
      <c r="S152" s="228">
        <v>505.85</v>
      </c>
      <c r="T152" s="228">
        <v>7.45</v>
      </c>
      <c r="U152" s="229">
        <v>1.47E-2</v>
      </c>
      <c r="V152" s="228">
        <v>516.54999999999995</v>
      </c>
      <c r="W152" s="228">
        <v>508.7</v>
      </c>
      <c r="X152" s="228">
        <v>7.85</v>
      </c>
      <c r="Y152" s="229">
        <v>1.54E-2</v>
      </c>
      <c r="Z152" s="228">
        <v>-0.45</v>
      </c>
      <c r="AA152" s="228">
        <v>-1.45</v>
      </c>
      <c r="AB152" s="228">
        <v>1</v>
      </c>
      <c r="AC152" s="229">
        <v>-8.9999999999999998E-4</v>
      </c>
      <c r="AD152" s="228">
        <v>-0.45</v>
      </c>
      <c r="AE152" s="228">
        <v>-1.45</v>
      </c>
      <c r="AF152" s="228">
        <v>1</v>
      </c>
      <c r="AG152" s="229">
        <v>-8.9999999999999998E-4</v>
      </c>
      <c r="AH152" s="228">
        <v>2.2999999999999998</v>
      </c>
      <c r="AI152" s="228">
        <v>0.85</v>
      </c>
      <c r="AJ152" s="228">
        <v>1.45</v>
      </c>
      <c r="AK152" s="229">
        <v>4.4999999999999997E-3</v>
      </c>
      <c r="AL152" s="228">
        <v>5.55</v>
      </c>
      <c r="AM152" s="228">
        <v>3.7</v>
      </c>
      <c r="AN152" s="228">
        <v>1.85</v>
      </c>
      <c r="AO152" s="229">
        <v>1.09E-2</v>
      </c>
      <c r="AP152" s="228">
        <v>510.71</v>
      </c>
      <c r="AQ152" s="228">
        <v>513.26</v>
      </c>
      <c r="AR152" s="228">
        <v>0</v>
      </c>
      <c r="AS152" s="230">
        <v>1129</v>
      </c>
      <c r="AT152" s="230">
        <v>1155</v>
      </c>
      <c r="AU152" s="228">
        <v>-25</v>
      </c>
      <c r="AV152" s="229">
        <v>-2.1899999999999999E-2</v>
      </c>
      <c r="AW152" s="228">
        <v>555</v>
      </c>
      <c r="AX152" s="228">
        <v>606</v>
      </c>
      <c r="AY152" s="228">
        <v>-51</v>
      </c>
      <c r="AZ152" s="229">
        <v>-8.3599999999999994E-2</v>
      </c>
      <c r="BA152" s="228">
        <v>574</v>
      </c>
      <c r="BB152" s="228">
        <v>548</v>
      </c>
      <c r="BC152" s="228">
        <v>26</v>
      </c>
      <c r="BD152" s="229">
        <v>4.7100000000000003E-2</v>
      </c>
      <c r="BE152" s="228">
        <v>1</v>
      </c>
      <c r="BF152" s="228">
        <v>1</v>
      </c>
      <c r="BG152" s="228">
        <v>0</v>
      </c>
      <c r="BH152" s="229">
        <v>-0.47620000000000001</v>
      </c>
      <c r="BI152" s="228">
        <v>353</v>
      </c>
      <c r="BJ152" s="228">
        <v>571</v>
      </c>
      <c r="BK152" s="228">
        <v>-218</v>
      </c>
      <c r="BL152" s="229">
        <v>-0.3821</v>
      </c>
      <c r="BM152" s="228">
        <v>139</v>
      </c>
      <c r="BN152" s="228">
        <v>341</v>
      </c>
      <c r="BO152" s="228">
        <v>-202</v>
      </c>
      <c r="BP152" s="229">
        <v>-0.59299999999999997</v>
      </c>
      <c r="BQ152" s="230">
        <v>1621</v>
      </c>
      <c r="BR152" s="230">
        <v>2067</v>
      </c>
      <c r="BS152" s="228">
        <v>-446</v>
      </c>
      <c r="BT152" s="229">
        <v>-0.2157</v>
      </c>
      <c r="BU152" s="230">
        <v>1133250</v>
      </c>
      <c r="BV152" s="230">
        <v>6921655</v>
      </c>
      <c r="BW152" s="230">
        <v>-5788405</v>
      </c>
      <c r="BX152" s="229">
        <v>-0.83630000000000004</v>
      </c>
      <c r="BY152" s="230">
        <v>1974</v>
      </c>
      <c r="BZ152" s="230">
        <v>1983</v>
      </c>
      <c r="CA152" s="228">
        <v>-9</v>
      </c>
      <c r="CB152" s="229">
        <v>-4.5999999999999999E-3</v>
      </c>
      <c r="CC152" s="228">
        <v>423</v>
      </c>
      <c r="CD152" s="228">
        <v>838</v>
      </c>
      <c r="CE152" s="228">
        <v>-415</v>
      </c>
      <c r="CF152" s="229">
        <v>-0.49530000000000002</v>
      </c>
      <c r="CG152" s="230">
        <v>1548</v>
      </c>
      <c r="CH152" s="230">
        <v>1142</v>
      </c>
      <c r="CI152" s="228">
        <v>406</v>
      </c>
      <c r="CJ152" s="229">
        <v>0.35520000000000002</v>
      </c>
      <c r="CK152" s="228">
        <v>3</v>
      </c>
      <c r="CL152" s="228">
        <v>2</v>
      </c>
      <c r="CM152" s="228">
        <v>0</v>
      </c>
      <c r="CN152" s="229">
        <v>0.16669999999999999</v>
      </c>
      <c r="CO152" s="228">
        <v>344</v>
      </c>
      <c r="CP152" s="228">
        <v>391</v>
      </c>
      <c r="CQ152" s="228">
        <v>-47</v>
      </c>
      <c r="CR152" s="229">
        <v>-0.1203</v>
      </c>
      <c r="CS152" s="228">
        <v>162</v>
      </c>
      <c r="CT152" s="228">
        <v>177</v>
      </c>
      <c r="CU152" s="228">
        <v>-15</v>
      </c>
      <c r="CV152" s="229">
        <v>-8.5999999999999993E-2</v>
      </c>
      <c r="CW152" s="230">
        <v>2479</v>
      </c>
      <c r="CX152" s="230">
        <v>2551</v>
      </c>
      <c r="CY152" s="228">
        <v>-71</v>
      </c>
      <c r="CZ152" s="229">
        <v>-2.8000000000000001E-2</v>
      </c>
      <c r="DA152" s="228">
        <v>30.45</v>
      </c>
      <c r="DB152" s="228">
        <v>30.12</v>
      </c>
      <c r="DC152" s="228">
        <v>0.33</v>
      </c>
      <c r="DD152" s="228">
        <v>0.33</v>
      </c>
      <c r="DE152" s="228">
        <v>33.31</v>
      </c>
      <c r="DF152" s="228">
        <v>33.340000000000003</v>
      </c>
      <c r="DG152" s="228">
        <v>-2.86</v>
      </c>
      <c r="DH152" s="228">
        <v>-0.03</v>
      </c>
      <c r="DI152" s="228">
        <v>30.68</v>
      </c>
      <c r="DJ152" s="228">
        <v>32.340000000000003</v>
      </c>
      <c r="DK152" s="228">
        <v>-1.66</v>
      </c>
      <c r="DL152" s="228">
        <v>-1.66</v>
      </c>
      <c r="DM152" s="228">
        <v>30.14</v>
      </c>
      <c r="DN152" s="228">
        <v>26.41</v>
      </c>
      <c r="DO152" s="228">
        <v>3.73</v>
      </c>
      <c r="DP152" s="228">
        <v>3.73</v>
      </c>
      <c r="DQ152" s="228">
        <v>0.47</v>
      </c>
      <c r="DR152" s="228">
        <v>0.45</v>
      </c>
      <c r="DS152" s="228">
        <v>0.02</v>
      </c>
      <c r="DT152" s="229">
        <v>4.4400000000000002E-2</v>
      </c>
      <c r="DU152" s="228">
        <v>600</v>
      </c>
      <c r="DV152" s="228">
        <v>480</v>
      </c>
      <c r="DW152" s="228">
        <v>0.39</v>
      </c>
      <c r="DX152" s="228">
        <v>0.6</v>
      </c>
      <c r="DY152" s="228">
        <v>-0.21</v>
      </c>
      <c r="DZ152" s="229">
        <v>-0.35</v>
      </c>
      <c r="EA152" s="229">
        <v>0.78569999999999995</v>
      </c>
      <c r="EB152" s="230">
        <v>22416300</v>
      </c>
      <c r="EC152" s="229">
        <v>5.4000000000000003E-3</v>
      </c>
      <c r="ED152" s="229">
        <v>0.78569999999999995</v>
      </c>
      <c r="EE152" s="228">
        <v>2.5499999999999998</v>
      </c>
      <c r="EF152" s="229">
        <v>5.0000000000000001E-3</v>
      </c>
      <c r="EG152" s="230">
        <v>383727</v>
      </c>
      <c r="EH152" s="230">
        <v>3445228</v>
      </c>
      <c r="EI152" s="229">
        <v>-0.88859999999999995</v>
      </c>
      <c r="EJ152" s="229">
        <v>0.33860000000000001</v>
      </c>
      <c r="EK152" s="228">
        <v>370.47</v>
      </c>
      <c r="EL152" s="228">
        <v>138.16999999999999</v>
      </c>
      <c r="EM152" s="231">
        <v>1132.48</v>
      </c>
      <c r="EN152" s="228">
        <v>193.71</v>
      </c>
      <c r="EO152" s="231">
        <v>1641.11</v>
      </c>
      <c r="EP152" s="231">
        <v>2059.31</v>
      </c>
      <c r="EQ152" s="228">
        <v>-418.19</v>
      </c>
      <c r="ER152" s="229">
        <v>-0.2031</v>
      </c>
      <c r="ES152" s="228">
        <v>382.38</v>
      </c>
      <c r="ET152" s="228">
        <v>165.62</v>
      </c>
      <c r="EU152" s="231">
        <v>1981.9</v>
      </c>
      <c r="EV152" s="231">
        <v>50886533</v>
      </c>
      <c r="EW152" s="231">
        <v>2529.9</v>
      </c>
      <c r="EX152" s="231">
        <v>2572.77</v>
      </c>
      <c r="EY152" s="228">
        <v>-42.87</v>
      </c>
      <c r="EZ152" s="229">
        <v>-1.67E-2</v>
      </c>
      <c r="FA152" s="229">
        <v>0.95430000000000004</v>
      </c>
      <c r="FB152" s="227" t="s">
        <v>556</v>
      </c>
      <c r="FC152">
        <f t="shared" si="3"/>
        <v>0</v>
      </c>
    </row>
    <row r="153" spans="1:159" ht="17.25" thickBot="1" x14ac:dyDescent="0.3">
      <c r="A153" s="226">
        <v>46044</v>
      </c>
      <c r="B153" s="227" t="s">
        <v>615</v>
      </c>
      <c r="C153" s="227" t="s">
        <v>575</v>
      </c>
      <c r="D153" s="228">
        <v>725</v>
      </c>
      <c r="E153" s="228">
        <v>5</v>
      </c>
      <c r="F153" s="231">
        <v>1262.5999999999999</v>
      </c>
      <c r="G153" s="231">
        <v>1234.7</v>
      </c>
      <c r="H153" s="228">
        <v>27.9</v>
      </c>
      <c r="I153" s="229">
        <v>2.2599999999999999E-2</v>
      </c>
      <c r="J153" s="231">
        <v>1260.5</v>
      </c>
      <c r="K153" s="231">
        <v>1235.9000000000001</v>
      </c>
      <c r="L153" s="228">
        <v>24.6</v>
      </c>
      <c r="M153" s="229">
        <v>1.9900000000000001E-2</v>
      </c>
      <c r="N153" s="231">
        <v>1262.5999999999999</v>
      </c>
      <c r="O153" s="231">
        <v>1234.7</v>
      </c>
      <c r="P153" s="228">
        <v>27.9</v>
      </c>
      <c r="Q153" s="229">
        <v>2.2599999999999999E-2</v>
      </c>
      <c r="R153" s="231">
        <v>1269</v>
      </c>
      <c r="S153" s="231">
        <v>1240.9000000000001</v>
      </c>
      <c r="T153" s="228">
        <v>28.1</v>
      </c>
      <c r="U153" s="229">
        <v>2.2599999999999999E-2</v>
      </c>
      <c r="V153" s="231">
        <v>1276.7</v>
      </c>
      <c r="W153" s="231">
        <v>1248.2</v>
      </c>
      <c r="X153" s="228">
        <v>28.5</v>
      </c>
      <c r="Y153" s="229">
        <v>2.2800000000000001E-2</v>
      </c>
      <c r="Z153" s="228">
        <v>2.1</v>
      </c>
      <c r="AA153" s="228">
        <v>-1.2</v>
      </c>
      <c r="AB153" s="228">
        <v>3.3</v>
      </c>
      <c r="AC153" s="229">
        <v>1.6999999999999999E-3</v>
      </c>
      <c r="AD153" s="228">
        <v>2.1</v>
      </c>
      <c r="AE153" s="228">
        <v>-1.2</v>
      </c>
      <c r="AF153" s="228">
        <v>3.3</v>
      </c>
      <c r="AG153" s="229">
        <v>1.6999999999999999E-3</v>
      </c>
      <c r="AH153" s="228">
        <v>8.5</v>
      </c>
      <c r="AI153" s="228">
        <v>5</v>
      </c>
      <c r="AJ153" s="228">
        <v>3.5</v>
      </c>
      <c r="AK153" s="229">
        <v>6.7000000000000002E-3</v>
      </c>
      <c r="AL153" s="228">
        <v>16.2</v>
      </c>
      <c r="AM153" s="228">
        <v>12.3</v>
      </c>
      <c r="AN153" s="228">
        <v>3.9</v>
      </c>
      <c r="AO153" s="229">
        <v>1.29E-2</v>
      </c>
      <c r="AP153" s="231">
        <v>1256.48</v>
      </c>
      <c r="AQ153" s="231">
        <v>1262.5999999999999</v>
      </c>
      <c r="AR153" s="228">
        <v>0</v>
      </c>
      <c r="AS153" s="230">
        <v>1613</v>
      </c>
      <c r="AT153" s="230">
        <v>1691</v>
      </c>
      <c r="AU153" s="228">
        <v>-78</v>
      </c>
      <c r="AV153" s="229">
        <v>-4.6199999999999998E-2</v>
      </c>
      <c r="AW153" s="228">
        <v>829</v>
      </c>
      <c r="AX153" s="230">
        <v>1051</v>
      </c>
      <c r="AY153" s="228">
        <v>-222</v>
      </c>
      <c r="AZ153" s="229">
        <v>-0.21079999999999999</v>
      </c>
      <c r="BA153" s="228">
        <v>781</v>
      </c>
      <c r="BB153" s="228">
        <v>636</v>
      </c>
      <c r="BC153" s="228">
        <v>144</v>
      </c>
      <c r="BD153" s="229">
        <v>0.2271</v>
      </c>
      <c r="BE153" s="228">
        <v>3</v>
      </c>
      <c r="BF153" s="228">
        <v>4</v>
      </c>
      <c r="BG153" s="228">
        <v>-1</v>
      </c>
      <c r="BH153" s="229">
        <v>-0.2727</v>
      </c>
      <c r="BI153" s="230">
        <v>1345</v>
      </c>
      <c r="BJ153" s="230">
        <v>2760</v>
      </c>
      <c r="BK153" s="230">
        <v>-1415</v>
      </c>
      <c r="BL153" s="229">
        <v>-0.51270000000000004</v>
      </c>
      <c r="BM153" s="228">
        <v>854</v>
      </c>
      <c r="BN153" s="230">
        <v>2476</v>
      </c>
      <c r="BO153" s="230">
        <v>-1623</v>
      </c>
      <c r="BP153" s="229">
        <v>-0.65529999999999999</v>
      </c>
      <c r="BQ153" s="230">
        <v>3811</v>
      </c>
      <c r="BR153" s="230">
        <v>6927</v>
      </c>
      <c r="BS153" s="230">
        <v>-3116</v>
      </c>
      <c r="BT153" s="229">
        <v>-0.44979999999999998</v>
      </c>
      <c r="BU153" s="230">
        <v>2480657</v>
      </c>
      <c r="BV153" s="230">
        <v>6960242</v>
      </c>
      <c r="BW153" s="230">
        <v>-4479585</v>
      </c>
      <c r="BX153" s="229">
        <v>-0.64359999999999995</v>
      </c>
      <c r="BY153" s="230">
        <v>2139</v>
      </c>
      <c r="BZ153" s="230">
        <v>2199</v>
      </c>
      <c r="CA153" s="228">
        <v>-61</v>
      </c>
      <c r="CB153" s="229">
        <v>-2.75E-2</v>
      </c>
      <c r="CC153" s="230">
        <v>1135</v>
      </c>
      <c r="CD153" s="230">
        <v>1730</v>
      </c>
      <c r="CE153" s="228">
        <v>-595</v>
      </c>
      <c r="CF153" s="229">
        <v>-0.34399999999999997</v>
      </c>
      <c r="CG153" s="228">
        <v>992</v>
      </c>
      <c r="CH153" s="228">
        <v>459</v>
      </c>
      <c r="CI153" s="228">
        <v>533</v>
      </c>
      <c r="CJ153" s="229">
        <v>1.1626000000000001</v>
      </c>
      <c r="CK153" s="228">
        <v>11</v>
      </c>
      <c r="CL153" s="228">
        <v>10</v>
      </c>
      <c r="CM153" s="228">
        <v>1</v>
      </c>
      <c r="CN153" s="229">
        <v>0.1071</v>
      </c>
      <c r="CO153" s="228">
        <v>743</v>
      </c>
      <c r="CP153" s="228">
        <v>854</v>
      </c>
      <c r="CQ153" s="228">
        <v>-111</v>
      </c>
      <c r="CR153" s="229">
        <v>-0.12989999999999999</v>
      </c>
      <c r="CS153" s="228">
        <v>547</v>
      </c>
      <c r="CT153" s="228">
        <v>528</v>
      </c>
      <c r="CU153" s="228">
        <v>19</v>
      </c>
      <c r="CV153" s="229">
        <v>3.5999999999999997E-2</v>
      </c>
      <c r="CW153" s="230">
        <v>3429</v>
      </c>
      <c r="CX153" s="230">
        <v>3582</v>
      </c>
      <c r="CY153" s="228">
        <v>-152</v>
      </c>
      <c r="CZ153" s="229">
        <v>-4.2599999999999999E-2</v>
      </c>
      <c r="DA153" s="228">
        <v>38.270000000000003</v>
      </c>
      <c r="DB153" s="228">
        <v>37.46</v>
      </c>
      <c r="DC153" s="228">
        <v>0.81</v>
      </c>
      <c r="DD153" s="228">
        <v>0.81</v>
      </c>
      <c r="DE153" s="228">
        <v>50.8</v>
      </c>
      <c r="DF153" s="228">
        <v>50.84</v>
      </c>
      <c r="DG153" s="228">
        <v>-12.53</v>
      </c>
      <c r="DH153" s="228">
        <v>-0.04</v>
      </c>
      <c r="DI153" s="228">
        <v>37.58</v>
      </c>
      <c r="DJ153" s="228">
        <v>39.01</v>
      </c>
      <c r="DK153" s="228">
        <v>-1.43</v>
      </c>
      <c r="DL153" s="228">
        <v>-1.43</v>
      </c>
      <c r="DM153" s="228">
        <v>39.119999999999997</v>
      </c>
      <c r="DN153" s="228">
        <v>35.74</v>
      </c>
      <c r="DO153" s="228">
        <v>3.38</v>
      </c>
      <c r="DP153" s="228">
        <v>3.38</v>
      </c>
      <c r="DQ153" s="228">
        <v>0.74</v>
      </c>
      <c r="DR153" s="228">
        <v>0.62</v>
      </c>
      <c r="DS153" s="228">
        <v>0.12</v>
      </c>
      <c r="DT153" s="229">
        <v>0.19350000000000001</v>
      </c>
      <c r="DU153" s="231">
        <v>1300</v>
      </c>
      <c r="DV153" s="231">
        <v>1200</v>
      </c>
      <c r="DW153" s="228">
        <v>0.63</v>
      </c>
      <c r="DX153" s="228">
        <v>0.9</v>
      </c>
      <c r="DY153" s="228">
        <v>-0.27</v>
      </c>
      <c r="DZ153" s="229">
        <v>-0.3</v>
      </c>
      <c r="EA153" s="229">
        <v>0.46939999999999998</v>
      </c>
      <c r="EB153" s="230">
        <v>3715625</v>
      </c>
      <c r="EC153" s="229">
        <v>5.1000000000000004E-3</v>
      </c>
      <c r="ED153" s="229">
        <v>0.46939999999999998</v>
      </c>
      <c r="EE153" s="228">
        <v>6.12</v>
      </c>
      <c r="EF153" s="229">
        <v>4.8999999999999998E-3</v>
      </c>
      <c r="EG153" s="230">
        <v>1016524</v>
      </c>
      <c r="EH153" s="230">
        <v>3158996</v>
      </c>
      <c r="EI153" s="229">
        <v>-0.67820000000000003</v>
      </c>
      <c r="EJ153" s="229">
        <v>0.4098</v>
      </c>
      <c r="EK153" s="231">
        <v>1398.45</v>
      </c>
      <c r="EL153" s="228">
        <v>835.57</v>
      </c>
      <c r="EM153" s="231">
        <v>1608.9</v>
      </c>
      <c r="EN153" s="228">
        <v>85.16</v>
      </c>
      <c r="EO153" s="231">
        <v>3842.92</v>
      </c>
      <c r="EP153" s="231">
        <v>7007.37</v>
      </c>
      <c r="EQ153" s="231">
        <v>-3164.44</v>
      </c>
      <c r="ER153" s="229">
        <v>-0.4516</v>
      </c>
      <c r="ES153" s="228">
        <v>790.02</v>
      </c>
      <c r="ET153" s="228">
        <v>540.38</v>
      </c>
      <c r="EU153" s="231">
        <v>2143.6799999999998</v>
      </c>
      <c r="EV153" s="231">
        <v>95799519</v>
      </c>
      <c r="EW153" s="231">
        <v>3474.08</v>
      </c>
      <c r="EX153" s="231">
        <v>3581.9</v>
      </c>
      <c r="EY153" s="228">
        <v>-107.82</v>
      </c>
      <c r="EZ153" s="229">
        <v>-3.0099999999999998E-2</v>
      </c>
      <c r="FA153" s="229">
        <v>0.28349999999999997</v>
      </c>
      <c r="FB153" s="227" t="s">
        <v>556</v>
      </c>
      <c r="FC153">
        <f t="shared" si="3"/>
        <v>0</v>
      </c>
    </row>
    <row r="154" spans="1:159" ht="17.25" thickBot="1" x14ac:dyDescent="0.3">
      <c r="A154" s="226">
        <v>46044</v>
      </c>
      <c r="B154" s="227" t="s">
        <v>221</v>
      </c>
      <c r="C154" s="227" t="s">
        <v>529</v>
      </c>
      <c r="D154" s="228">
        <v>100</v>
      </c>
      <c r="E154" s="228">
        <v>5</v>
      </c>
      <c r="F154" s="231">
        <v>6297.5</v>
      </c>
      <c r="G154" s="231">
        <v>6219.5</v>
      </c>
      <c r="H154" s="228">
        <v>78</v>
      </c>
      <c r="I154" s="229">
        <v>1.2500000000000001E-2</v>
      </c>
      <c r="J154" s="231">
        <v>6320.5</v>
      </c>
      <c r="K154" s="231">
        <v>6242</v>
      </c>
      <c r="L154" s="228">
        <v>78.5</v>
      </c>
      <c r="M154" s="229">
        <v>1.26E-2</v>
      </c>
      <c r="N154" s="231">
        <v>6297.5</v>
      </c>
      <c r="O154" s="231">
        <v>6219.5</v>
      </c>
      <c r="P154" s="228">
        <v>78</v>
      </c>
      <c r="Q154" s="229">
        <v>1.2500000000000001E-2</v>
      </c>
      <c r="R154" s="231">
        <v>6328.5</v>
      </c>
      <c r="S154" s="231">
        <v>6248.5</v>
      </c>
      <c r="T154" s="228">
        <v>80</v>
      </c>
      <c r="U154" s="229">
        <v>1.2800000000000001E-2</v>
      </c>
      <c r="V154" s="231">
        <v>6372.5</v>
      </c>
      <c r="W154" s="231">
        <v>6283</v>
      </c>
      <c r="X154" s="228">
        <v>89.5</v>
      </c>
      <c r="Y154" s="229">
        <v>1.4200000000000001E-2</v>
      </c>
      <c r="Z154" s="228">
        <v>-23</v>
      </c>
      <c r="AA154" s="228">
        <v>-22.5</v>
      </c>
      <c r="AB154" s="228">
        <v>-0.5</v>
      </c>
      <c r="AC154" s="229">
        <v>-3.5999999999999999E-3</v>
      </c>
      <c r="AD154" s="228">
        <v>-23</v>
      </c>
      <c r="AE154" s="228">
        <v>-22.5</v>
      </c>
      <c r="AF154" s="228">
        <v>-0.5</v>
      </c>
      <c r="AG154" s="229">
        <v>-3.5999999999999999E-3</v>
      </c>
      <c r="AH154" s="228">
        <v>8</v>
      </c>
      <c r="AI154" s="228">
        <v>6.5</v>
      </c>
      <c r="AJ154" s="228">
        <v>1.5</v>
      </c>
      <c r="AK154" s="229">
        <v>1.2999999999999999E-3</v>
      </c>
      <c r="AL154" s="228">
        <v>52</v>
      </c>
      <c r="AM154" s="228">
        <v>41</v>
      </c>
      <c r="AN154" s="228">
        <v>11</v>
      </c>
      <c r="AO154" s="229">
        <v>8.2000000000000007E-3</v>
      </c>
      <c r="AP154" s="231">
        <v>6267.25</v>
      </c>
      <c r="AQ154" s="231">
        <v>6296.27</v>
      </c>
      <c r="AR154" s="228">
        <v>0</v>
      </c>
      <c r="AS154" s="230">
        <v>1288</v>
      </c>
      <c r="AT154" s="230">
        <v>2831</v>
      </c>
      <c r="AU154" s="230">
        <v>-1543</v>
      </c>
      <c r="AV154" s="229">
        <v>-0.54490000000000005</v>
      </c>
      <c r="AW154" s="228">
        <v>693</v>
      </c>
      <c r="AX154" s="230">
        <v>1946</v>
      </c>
      <c r="AY154" s="230">
        <v>-1253</v>
      </c>
      <c r="AZ154" s="229">
        <v>-0.64370000000000005</v>
      </c>
      <c r="BA154" s="228">
        <v>590</v>
      </c>
      <c r="BB154" s="228">
        <v>879</v>
      </c>
      <c r="BC154" s="228">
        <v>-289</v>
      </c>
      <c r="BD154" s="229">
        <v>-0.3286</v>
      </c>
      <c r="BE154" s="228">
        <v>5</v>
      </c>
      <c r="BF154" s="228">
        <v>6</v>
      </c>
      <c r="BG154" s="228">
        <v>-1</v>
      </c>
      <c r="BH154" s="229">
        <v>-0.16669999999999999</v>
      </c>
      <c r="BI154" s="230">
        <v>2722</v>
      </c>
      <c r="BJ154" s="230">
        <v>8439</v>
      </c>
      <c r="BK154" s="230">
        <v>-5717</v>
      </c>
      <c r="BL154" s="229">
        <v>-0.67749999999999999</v>
      </c>
      <c r="BM154" s="230">
        <v>1979</v>
      </c>
      <c r="BN154" s="230">
        <v>8880</v>
      </c>
      <c r="BO154" s="230">
        <v>-6901</v>
      </c>
      <c r="BP154" s="229">
        <v>-0.7772</v>
      </c>
      <c r="BQ154" s="230">
        <v>5989</v>
      </c>
      <c r="BR154" s="230">
        <v>20150</v>
      </c>
      <c r="BS154" s="230">
        <v>-14161</v>
      </c>
      <c r="BT154" s="229">
        <v>-0.70279999999999998</v>
      </c>
      <c r="BU154" s="230">
        <v>466114</v>
      </c>
      <c r="BV154" s="230">
        <v>2188999</v>
      </c>
      <c r="BW154" s="230">
        <v>-1722885</v>
      </c>
      <c r="BX154" s="229">
        <v>-0.78710000000000002</v>
      </c>
      <c r="BY154" s="230">
        <v>1755</v>
      </c>
      <c r="BZ154" s="230">
        <v>1879</v>
      </c>
      <c r="CA154" s="228">
        <v>-124</v>
      </c>
      <c r="CB154" s="229">
        <v>-6.6000000000000003E-2</v>
      </c>
      <c r="CC154" s="228">
        <v>933</v>
      </c>
      <c r="CD154" s="230">
        <v>1316</v>
      </c>
      <c r="CE154" s="228">
        <v>-383</v>
      </c>
      <c r="CF154" s="229">
        <v>-0.29120000000000001</v>
      </c>
      <c r="CG154" s="228">
        <v>815</v>
      </c>
      <c r="CH154" s="228">
        <v>557</v>
      </c>
      <c r="CI154" s="228">
        <v>258</v>
      </c>
      <c r="CJ154" s="229">
        <v>0.46400000000000002</v>
      </c>
      <c r="CK154" s="228">
        <v>7</v>
      </c>
      <c r="CL154" s="228">
        <v>6</v>
      </c>
      <c r="CM154" s="228">
        <v>1</v>
      </c>
      <c r="CN154" s="229">
        <v>0.12</v>
      </c>
      <c r="CO154" s="228">
        <v>708</v>
      </c>
      <c r="CP154" s="228">
        <v>963</v>
      </c>
      <c r="CQ154" s="228">
        <v>-255</v>
      </c>
      <c r="CR154" s="229">
        <v>-0.2646</v>
      </c>
      <c r="CS154" s="228">
        <v>588</v>
      </c>
      <c r="CT154" s="228">
        <v>717</v>
      </c>
      <c r="CU154" s="228">
        <v>-129</v>
      </c>
      <c r="CV154" s="229">
        <v>-0.18049999999999999</v>
      </c>
      <c r="CW154" s="230">
        <v>3051</v>
      </c>
      <c r="CX154" s="230">
        <v>3559</v>
      </c>
      <c r="CY154" s="228">
        <v>-508</v>
      </c>
      <c r="CZ154" s="229">
        <v>-0.14280000000000001</v>
      </c>
      <c r="DA154" s="228">
        <v>30.31</v>
      </c>
      <c r="DB154" s="228">
        <v>35.26</v>
      </c>
      <c r="DC154" s="228">
        <v>-4.95</v>
      </c>
      <c r="DD154" s="228">
        <v>-4.95</v>
      </c>
      <c r="DE154" s="228">
        <v>39.14</v>
      </c>
      <c r="DF154" s="228">
        <v>39.200000000000003</v>
      </c>
      <c r="DG154" s="228">
        <v>-8.83</v>
      </c>
      <c r="DH154" s="228">
        <v>-0.06</v>
      </c>
      <c r="DI154" s="228">
        <v>29.89</v>
      </c>
      <c r="DJ154" s="228">
        <v>35.53</v>
      </c>
      <c r="DK154" s="228">
        <v>-5.64</v>
      </c>
      <c r="DL154" s="228">
        <v>-5.64</v>
      </c>
      <c r="DM154" s="228">
        <v>30.88</v>
      </c>
      <c r="DN154" s="228">
        <v>35.01</v>
      </c>
      <c r="DO154" s="228">
        <v>-4.13</v>
      </c>
      <c r="DP154" s="228">
        <v>-4.13</v>
      </c>
      <c r="DQ154" s="228">
        <v>0.83</v>
      </c>
      <c r="DR154" s="228">
        <v>0.75</v>
      </c>
      <c r="DS154" s="228">
        <v>0.08</v>
      </c>
      <c r="DT154" s="229">
        <v>0.1067</v>
      </c>
      <c r="DU154" s="231">
        <v>6500</v>
      </c>
      <c r="DV154" s="231">
        <v>6000</v>
      </c>
      <c r="DW154" s="228">
        <v>0.73</v>
      </c>
      <c r="DX154" s="228">
        <v>1.05</v>
      </c>
      <c r="DY154" s="228">
        <v>-0.32</v>
      </c>
      <c r="DZ154" s="229">
        <v>-0.30480000000000002</v>
      </c>
      <c r="EA154" s="229">
        <v>0.46860000000000002</v>
      </c>
      <c r="EB154" s="230">
        <v>894300</v>
      </c>
      <c r="EC154" s="229">
        <v>4.8999999999999998E-3</v>
      </c>
      <c r="ED154" s="229">
        <v>0.46860000000000002</v>
      </c>
      <c r="EE154" s="228">
        <v>29.02</v>
      </c>
      <c r="EF154" s="229">
        <v>4.5999999999999999E-3</v>
      </c>
      <c r="EG154" s="230">
        <v>207252</v>
      </c>
      <c r="EH154" s="230">
        <v>912258</v>
      </c>
      <c r="EI154" s="229">
        <v>-0.77280000000000004</v>
      </c>
      <c r="EJ154" s="229">
        <v>0.4446</v>
      </c>
      <c r="EK154" s="231">
        <v>2823.81</v>
      </c>
      <c r="EL154" s="231">
        <v>1915.45</v>
      </c>
      <c r="EM154" s="231">
        <v>1284.8800000000001</v>
      </c>
      <c r="EN154" s="228">
        <v>201.03</v>
      </c>
      <c r="EO154" s="231">
        <v>6024.15</v>
      </c>
      <c r="EP154" s="231">
        <v>20065.88</v>
      </c>
      <c r="EQ154" s="231">
        <v>-14041.73</v>
      </c>
      <c r="ER154" s="229">
        <v>-0.69979999999999998</v>
      </c>
      <c r="ES154" s="228">
        <v>739.82</v>
      </c>
      <c r="ET154" s="228">
        <v>561.39</v>
      </c>
      <c r="EU154" s="231">
        <v>1759.02</v>
      </c>
      <c r="EV154" s="231">
        <v>15732422</v>
      </c>
      <c r="EW154" s="231">
        <v>3060.24</v>
      </c>
      <c r="EX154" s="231">
        <v>3542.67</v>
      </c>
      <c r="EY154" s="228">
        <v>-482.43</v>
      </c>
      <c r="EZ154" s="229">
        <v>-0.13619999999999999</v>
      </c>
      <c r="FA154" s="229">
        <v>0.30790000000000001</v>
      </c>
      <c r="FB154" s="227" t="s">
        <v>556</v>
      </c>
      <c r="FC154">
        <f t="shared" si="3"/>
        <v>0</v>
      </c>
    </row>
    <row r="155" spans="1:159" ht="17.25" thickBot="1" x14ac:dyDescent="0.3">
      <c r="A155" s="226">
        <v>46044</v>
      </c>
      <c r="B155" s="227" t="s">
        <v>193</v>
      </c>
      <c r="C155" s="227" t="s">
        <v>272</v>
      </c>
      <c r="D155" s="228">
        <v>1900</v>
      </c>
      <c r="E155" s="228">
        <v>5</v>
      </c>
      <c r="F155" s="228">
        <v>275.14999999999998</v>
      </c>
      <c r="G155" s="228">
        <v>275.64999999999998</v>
      </c>
      <c r="H155" s="228">
        <v>-0.5</v>
      </c>
      <c r="I155" s="229">
        <v>-1.8E-3</v>
      </c>
      <c r="J155" s="228">
        <v>275.05</v>
      </c>
      <c r="K155" s="228">
        <v>275.85000000000002</v>
      </c>
      <c r="L155" s="228">
        <v>-0.8</v>
      </c>
      <c r="M155" s="229">
        <v>-2.8999999999999998E-3</v>
      </c>
      <c r="N155" s="228">
        <v>275.14999999999998</v>
      </c>
      <c r="O155" s="228">
        <v>275.64999999999998</v>
      </c>
      <c r="P155" s="228">
        <v>-0.5</v>
      </c>
      <c r="Q155" s="229">
        <v>-1.8E-3</v>
      </c>
      <c r="R155" s="228">
        <v>276.60000000000002</v>
      </c>
      <c r="S155" s="228">
        <v>277.14999999999998</v>
      </c>
      <c r="T155" s="228">
        <v>-0.55000000000000004</v>
      </c>
      <c r="U155" s="229">
        <v>-2E-3</v>
      </c>
      <c r="V155" s="228">
        <v>278.75</v>
      </c>
      <c r="W155" s="228">
        <v>279.25</v>
      </c>
      <c r="X155" s="228">
        <v>-0.5</v>
      </c>
      <c r="Y155" s="229">
        <v>-1.8E-3</v>
      </c>
      <c r="Z155" s="228">
        <v>0.1</v>
      </c>
      <c r="AA155" s="228">
        <v>-0.2</v>
      </c>
      <c r="AB155" s="228">
        <v>0.3</v>
      </c>
      <c r="AC155" s="229">
        <v>4.0000000000000002E-4</v>
      </c>
      <c r="AD155" s="228">
        <v>0.1</v>
      </c>
      <c r="AE155" s="228">
        <v>-0.2</v>
      </c>
      <c r="AF155" s="228">
        <v>0.3</v>
      </c>
      <c r="AG155" s="229">
        <v>4.0000000000000002E-4</v>
      </c>
      <c r="AH155" s="228">
        <v>1.55</v>
      </c>
      <c r="AI155" s="228">
        <v>1.3</v>
      </c>
      <c r="AJ155" s="228">
        <v>0.25</v>
      </c>
      <c r="AK155" s="229">
        <v>5.5999999999999999E-3</v>
      </c>
      <c r="AL155" s="228">
        <v>3.7</v>
      </c>
      <c r="AM155" s="228">
        <v>3.4</v>
      </c>
      <c r="AN155" s="228">
        <v>0.3</v>
      </c>
      <c r="AO155" s="229">
        <v>1.35E-2</v>
      </c>
      <c r="AP155" s="228">
        <v>275.19</v>
      </c>
      <c r="AQ155" s="228">
        <v>276.63</v>
      </c>
      <c r="AR155" s="228">
        <v>0</v>
      </c>
      <c r="AS155" s="228">
        <v>716</v>
      </c>
      <c r="AT155" s="228">
        <v>620</v>
      </c>
      <c r="AU155" s="228">
        <v>96</v>
      </c>
      <c r="AV155" s="229">
        <v>0.15509999999999999</v>
      </c>
      <c r="AW155" s="228">
        <v>356</v>
      </c>
      <c r="AX155" s="228">
        <v>338</v>
      </c>
      <c r="AY155" s="228">
        <v>18</v>
      </c>
      <c r="AZ155" s="229">
        <v>5.4199999999999998E-2</v>
      </c>
      <c r="BA155" s="228">
        <v>358</v>
      </c>
      <c r="BB155" s="228">
        <v>276</v>
      </c>
      <c r="BC155" s="228">
        <v>82</v>
      </c>
      <c r="BD155" s="229">
        <v>0.29630000000000001</v>
      </c>
      <c r="BE155" s="228">
        <v>2</v>
      </c>
      <c r="BF155" s="228">
        <v>6</v>
      </c>
      <c r="BG155" s="228">
        <v>-4</v>
      </c>
      <c r="BH155" s="229">
        <v>-0.61670000000000003</v>
      </c>
      <c r="BI155" s="228">
        <v>185</v>
      </c>
      <c r="BJ155" s="228">
        <v>383</v>
      </c>
      <c r="BK155" s="228">
        <v>-197</v>
      </c>
      <c r="BL155" s="229">
        <v>-0.5161</v>
      </c>
      <c r="BM155" s="228">
        <v>238</v>
      </c>
      <c r="BN155" s="228">
        <v>235</v>
      </c>
      <c r="BO155" s="228">
        <v>3</v>
      </c>
      <c r="BP155" s="229">
        <v>1.2E-2</v>
      </c>
      <c r="BQ155" s="230">
        <v>1139</v>
      </c>
      <c r="BR155" s="230">
        <v>1238</v>
      </c>
      <c r="BS155" s="228">
        <v>-98</v>
      </c>
      <c r="BT155" s="229">
        <v>-7.9500000000000001E-2</v>
      </c>
      <c r="BU155" s="230">
        <v>1474007</v>
      </c>
      <c r="BV155" s="230">
        <v>3151092</v>
      </c>
      <c r="BW155" s="230">
        <v>-1677085</v>
      </c>
      <c r="BX155" s="229">
        <v>-0.53220000000000001</v>
      </c>
      <c r="BY155" s="230">
        <v>1142</v>
      </c>
      <c r="BZ155" s="230">
        <v>1137</v>
      </c>
      <c r="CA155" s="228">
        <v>5</v>
      </c>
      <c r="CB155" s="229">
        <v>4.0000000000000001E-3</v>
      </c>
      <c r="CC155" s="228">
        <v>450</v>
      </c>
      <c r="CD155" s="228">
        <v>733</v>
      </c>
      <c r="CE155" s="228">
        <v>-283</v>
      </c>
      <c r="CF155" s="229">
        <v>-0.38600000000000001</v>
      </c>
      <c r="CG155" s="228">
        <v>683</v>
      </c>
      <c r="CH155" s="228">
        <v>396</v>
      </c>
      <c r="CI155" s="228">
        <v>287</v>
      </c>
      <c r="CJ155" s="229">
        <v>0.72399999999999998</v>
      </c>
      <c r="CK155" s="228">
        <v>9</v>
      </c>
      <c r="CL155" s="228">
        <v>8</v>
      </c>
      <c r="CM155" s="228">
        <v>1</v>
      </c>
      <c r="CN155" s="229">
        <v>8.4400000000000003E-2</v>
      </c>
      <c r="CO155" s="228">
        <v>356</v>
      </c>
      <c r="CP155" s="228">
        <v>372</v>
      </c>
      <c r="CQ155" s="228">
        <v>-16</v>
      </c>
      <c r="CR155" s="229">
        <v>-4.2799999999999998E-2</v>
      </c>
      <c r="CS155" s="228">
        <v>495</v>
      </c>
      <c r="CT155" s="228">
        <v>495</v>
      </c>
      <c r="CU155" s="228">
        <v>0</v>
      </c>
      <c r="CV155" s="229">
        <v>8.0000000000000004E-4</v>
      </c>
      <c r="CW155" s="230">
        <v>1993</v>
      </c>
      <c r="CX155" s="230">
        <v>2004</v>
      </c>
      <c r="CY155" s="228">
        <v>-11</v>
      </c>
      <c r="CZ155" s="229">
        <v>-5.4999999999999997E-3</v>
      </c>
      <c r="DA155" s="228">
        <v>28.68</v>
      </c>
      <c r="DB155" s="228">
        <v>29.43</v>
      </c>
      <c r="DC155" s="228">
        <v>-0.75</v>
      </c>
      <c r="DD155" s="228">
        <v>-0.75</v>
      </c>
      <c r="DE155" s="228">
        <v>30.71</v>
      </c>
      <c r="DF155" s="228">
        <v>30.79</v>
      </c>
      <c r="DG155" s="228">
        <v>-2.0299999999999998</v>
      </c>
      <c r="DH155" s="228">
        <v>-0.08</v>
      </c>
      <c r="DI155" s="228">
        <v>28.13</v>
      </c>
      <c r="DJ155" s="228">
        <v>28.64</v>
      </c>
      <c r="DK155" s="228">
        <v>-0.51</v>
      </c>
      <c r="DL155" s="228">
        <v>-0.51</v>
      </c>
      <c r="DM155" s="228">
        <v>29.04</v>
      </c>
      <c r="DN155" s="228">
        <v>30.71</v>
      </c>
      <c r="DO155" s="228">
        <v>-1.67</v>
      </c>
      <c r="DP155" s="228">
        <v>-1.67</v>
      </c>
      <c r="DQ155" s="228">
        <v>1.39</v>
      </c>
      <c r="DR155" s="228">
        <v>1.33</v>
      </c>
      <c r="DS155" s="228">
        <v>0.06</v>
      </c>
      <c r="DT155" s="229">
        <v>4.5100000000000001E-2</v>
      </c>
      <c r="DU155" s="228">
        <v>300</v>
      </c>
      <c r="DV155" s="228">
        <v>265</v>
      </c>
      <c r="DW155" s="228">
        <v>1.28</v>
      </c>
      <c r="DX155" s="228">
        <v>0.61</v>
      </c>
      <c r="DY155" s="228">
        <v>0.67</v>
      </c>
      <c r="DZ155" s="229">
        <v>1.0984</v>
      </c>
      <c r="EA155" s="229">
        <v>0.60580000000000001</v>
      </c>
      <c r="EB155" s="230">
        <v>14687000</v>
      </c>
      <c r="EC155" s="229">
        <v>5.3E-3</v>
      </c>
      <c r="ED155" s="229">
        <v>0.60580000000000001</v>
      </c>
      <c r="EE155" s="228">
        <v>1.44</v>
      </c>
      <c r="EF155" s="229">
        <v>5.1999999999999998E-3</v>
      </c>
      <c r="EG155" s="230">
        <v>751886</v>
      </c>
      <c r="EH155" s="230">
        <v>1587175</v>
      </c>
      <c r="EI155" s="229">
        <v>-0.52629999999999999</v>
      </c>
      <c r="EJ155" s="229">
        <v>0.5101</v>
      </c>
      <c r="EK155" s="228">
        <v>193.25</v>
      </c>
      <c r="EL155" s="228">
        <v>240.53</v>
      </c>
      <c r="EM155" s="228">
        <v>718.27</v>
      </c>
      <c r="EN155" s="228">
        <v>63.31</v>
      </c>
      <c r="EO155" s="231">
        <v>1152.05</v>
      </c>
      <c r="EP155" s="231">
        <v>1245.79</v>
      </c>
      <c r="EQ155" s="228">
        <v>-93.74</v>
      </c>
      <c r="ER155" s="229">
        <v>-7.5200000000000003E-2</v>
      </c>
      <c r="ES155" s="228">
        <v>378.39</v>
      </c>
      <c r="ET155" s="228">
        <v>495.24</v>
      </c>
      <c r="EU155" s="231">
        <v>1145.21</v>
      </c>
      <c r="EV155" s="231">
        <v>108255733</v>
      </c>
      <c r="EW155" s="231">
        <v>2018.84</v>
      </c>
      <c r="EX155" s="231">
        <v>2031.9</v>
      </c>
      <c r="EY155" s="228">
        <v>-13.06</v>
      </c>
      <c r="EZ155" s="229">
        <v>-6.4000000000000003E-3</v>
      </c>
      <c r="FA155" s="229">
        <v>0.66920000000000002</v>
      </c>
      <c r="FB155" s="227" t="s">
        <v>567</v>
      </c>
      <c r="FC155">
        <f t="shared" si="3"/>
        <v>0</v>
      </c>
    </row>
    <row r="156" spans="1:159" ht="17.25" thickBot="1" x14ac:dyDescent="0.3">
      <c r="A156" s="226">
        <v>46044</v>
      </c>
      <c r="B156" s="227" t="s">
        <v>175</v>
      </c>
      <c r="C156" s="227" t="s">
        <v>273</v>
      </c>
      <c r="D156" s="228">
        <v>1300</v>
      </c>
      <c r="E156" s="228">
        <v>5</v>
      </c>
      <c r="F156" s="228">
        <v>364.6</v>
      </c>
      <c r="G156" s="228">
        <v>357.4</v>
      </c>
      <c r="H156" s="228">
        <v>7.2</v>
      </c>
      <c r="I156" s="229">
        <v>2.01E-2</v>
      </c>
      <c r="J156" s="228">
        <v>364.7</v>
      </c>
      <c r="K156" s="228">
        <v>357.65</v>
      </c>
      <c r="L156" s="228">
        <v>7.05</v>
      </c>
      <c r="M156" s="229">
        <v>1.9699999999999999E-2</v>
      </c>
      <c r="N156" s="228">
        <v>364.6</v>
      </c>
      <c r="O156" s="228">
        <v>357.4</v>
      </c>
      <c r="P156" s="228">
        <v>7.2</v>
      </c>
      <c r="Q156" s="229">
        <v>2.01E-2</v>
      </c>
      <c r="R156" s="228">
        <v>365.6</v>
      </c>
      <c r="S156" s="228">
        <v>358.6</v>
      </c>
      <c r="T156" s="228">
        <v>7</v>
      </c>
      <c r="U156" s="229">
        <v>1.95E-2</v>
      </c>
      <c r="V156" s="228">
        <v>365.65</v>
      </c>
      <c r="W156" s="228">
        <v>358.45</v>
      </c>
      <c r="X156" s="228">
        <v>7.2</v>
      </c>
      <c r="Y156" s="229">
        <v>2.01E-2</v>
      </c>
      <c r="Z156" s="228">
        <v>-0.1</v>
      </c>
      <c r="AA156" s="228">
        <v>-0.25</v>
      </c>
      <c r="AB156" s="228">
        <v>0.15</v>
      </c>
      <c r="AC156" s="229">
        <v>-2.9999999999999997E-4</v>
      </c>
      <c r="AD156" s="228">
        <v>-0.1</v>
      </c>
      <c r="AE156" s="228">
        <v>-0.25</v>
      </c>
      <c r="AF156" s="228">
        <v>0.15</v>
      </c>
      <c r="AG156" s="229">
        <v>-2.9999999999999997E-4</v>
      </c>
      <c r="AH156" s="228">
        <v>0.9</v>
      </c>
      <c r="AI156" s="228">
        <v>0.95</v>
      </c>
      <c r="AJ156" s="228">
        <v>-0.05</v>
      </c>
      <c r="AK156" s="229">
        <v>2.5000000000000001E-3</v>
      </c>
      <c r="AL156" s="228">
        <v>0.95</v>
      </c>
      <c r="AM156" s="228">
        <v>0.8</v>
      </c>
      <c r="AN156" s="228">
        <v>0.15</v>
      </c>
      <c r="AO156" s="229">
        <v>2.5999999999999999E-3</v>
      </c>
      <c r="AP156" s="228">
        <v>364.21</v>
      </c>
      <c r="AQ156" s="228">
        <v>365.38</v>
      </c>
      <c r="AR156" s="228">
        <v>0</v>
      </c>
      <c r="AS156" s="230">
        <v>1373</v>
      </c>
      <c r="AT156" s="230">
        <v>1384</v>
      </c>
      <c r="AU156" s="228">
        <v>-11</v>
      </c>
      <c r="AV156" s="229">
        <v>-8.0000000000000002E-3</v>
      </c>
      <c r="AW156" s="228">
        <v>685</v>
      </c>
      <c r="AX156" s="228">
        <v>729</v>
      </c>
      <c r="AY156" s="228">
        <v>-45</v>
      </c>
      <c r="AZ156" s="229">
        <v>-6.0999999999999999E-2</v>
      </c>
      <c r="BA156" s="228">
        <v>665</v>
      </c>
      <c r="BB156" s="228">
        <v>640</v>
      </c>
      <c r="BC156" s="228">
        <v>25</v>
      </c>
      <c r="BD156" s="229">
        <v>3.8600000000000002E-2</v>
      </c>
      <c r="BE156" s="228">
        <v>24</v>
      </c>
      <c r="BF156" s="228">
        <v>15</v>
      </c>
      <c r="BG156" s="228">
        <v>9</v>
      </c>
      <c r="BH156" s="229">
        <v>0.58789999999999998</v>
      </c>
      <c r="BI156" s="230">
        <v>1330</v>
      </c>
      <c r="BJ156" s="230">
        <v>1932</v>
      </c>
      <c r="BK156" s="228">
        <v>-602</v>
      </c>
      <c r="BL156" s="229">
        <v>-0.31159999999999999</v>
      </c>
      <c r="BM156" s="228">
        <v>825</v>
      </c>
      <c r="BN156" s="230">
        <v>1305</v>
      </c>
      <c r="BO156" s="228">
        <v>-480</v>
      </c>
      <c r="BP156" s="229">
        <v>-0.36799999999999999</v>
      </c>
      <c r="BQ156" s="230">
        <v>3528</v>
      </c>
      <c r="BR156" s="230">
        <v>4621</v>
      </c>
      <c r="BS156" s="230">
        <v>-1093</v>
      </c>
      <c r="BT156" s="229">
        <v>-0.2366</v>
      </c>
      <c r="BU156" s="230">
        <v>3518591</v>
      </c>
      <c r="BV156" s="230">
        <v>6396277</v>
      </c>
      <c r="BW156" s="230">
        <v>-2877686</v>
      </c>
      <c r="BX156" s="229">
        <v>-0.44990000000000002</v>
      </c>
      <c r="BY156" s="230">
        <v>2849</v>
      </c>
      <c r="BZ156" s="230">
        <v>2887</v>
      </c>
      <c r="CA156" s="228">
        <v>-38</v>
      </c>
      <c r="CB156" s="229">
        <v>-1.2999999999999999E-2</v>
      </c>
      <c r="CC156" s="230">
        <v>1503</v>
      </c>
      <c r="CD156" s="230">
        <v>2002</v>
      </c>
      <c r="CE156" s="228">
        <v>-499</v>
      </c>
      <c r="CF156" s="229">
        <v>-0.24940000000000001</v>
      </c>
      <c r="CG156" s="230">
        <v>1266</v>
      </c>
      <c r="CH156" s="228">
        <v>820</v>
      </c>
      <c r="CI156" s="228">
        <v>446</v>
      </c>
      <c r="CJ156" s="229">
        <v>0.54420000000000002</v>
      </c>
      <c r="CK156" s="228">
        <v>80</v>
      </c>
      <c r="CL156" s="228">
        <v>64</v>
      </c>
      <c r="CM156" s="228">
        <v>16</v>
      </c>
      <c r="CN156" s="229">
        <v>0.24210000000000001</v>
      </c>
      <c r="CO156" s="230">
        <v>1191</v>
      </c>
      <c r="CP156" s="230">
        <v>1276</v>
      </c>
      <c r="CQ156" s="228">
        <v>-85</v>
      </c>
      <c r="CR156" s="229">
        <v>-6.6400000000000001E-2</v>
      </c>
      <c r="CS156" s="228">
        <v>895</v>
      </c>
      <c r="CT156" s="228">
        <v>923</v>
      </c>
      <c r="CU156" s="228">
        <v>-28</v>
      </c>
      <c r="CV156" s="229">
        <v>-3.09E-2</v>
      </c>
      <c r="CW156" s="230">
        <v>4935</v>
      </c>
      <c r="CX156" s="230">
        <v>5085</v>
      </c>
      <c r="CY156" s="228">
        <v>-151</v>
      </c>
      <c r="CZ156" s="229">
        <v>-2.9600000000000001E-2</v>
      </c>
      <c r="DA156" s="228">
        <v>30.21</v>
      </c>
      <c r="DB156" s="228">
        <v>28.97</v>
      </c>
      <c r="DC156" s="228">
        <v>1.24</v>
      </c>
      <c r="DD156" s="228">
        <v>1.24</v>
      </c>
      <c r="DE156" s="228">
        <v>40.71</v>
      </c>
      <c r="DF156" s="228">
        <v>40.72</v>
      </c>
      <c r="DG156" s="228">
        <v>-10.5</v>
      </c>
      <c r="DH156" s="228">
        <v>-0.01</v>
      </c>
      <c r="DI156" s="228">
        <v>30.59</v>
      </c>
      <c r="DJ156" s="228">
        <v>29.28</v>
      </c>
      <c r="DK156" s="228">
        <v>1.31</v>
      </c>
      <c r="DL156" s="228">
        <v>1.31</v>
      </c>
      <c r="DM156" s="228">
        <v>29.7</v>
      </c>
      <c r="DN156" s="228">
        <v>28.52</v>
      </c>
      <c r="DO156" s="228">
        <v>1.18</v>
      </c>
      <c r="DP156" s="228">
        <v>1.18</v>
      </c>
      <c r="DQ156" s="228">
        <v>0.75</v>
      </c>
      <c r="DR156" s="228">
        <v>0.72</v>
      </c>
      <c r="DS156" s="228">
        <v>0.03</v>
      </c>
      <c r="DT156" s="229">
        <v>4.1700000000000001E-2</v>
      </c>
      <c r="DU156" s="228">
        <v>380</v>
      </c>
      <c r="DV156" s="228">
        <v>350</v>
      </c>
      <c r="DW156" s="228">
        <v>0.62</v>
      </c>
      <c r="DX156" s="228">
        <v>0.68</v>
      </c>
      <c r="DY156" s="228">
        <v>-0.06</v>
      </c>
      <c r="DZ156" s="229">
        <v>-8.8200000000000001E-2</v>
      </c>
      <c r="EA156" s="229">
        <v>0.47249999999999998</v>
      </c>
      <c r="EB156" s="230">
        <v>24255400</v>
      </c>
      <c r="EC156" s="229">
        <v>2.7000000000000001E-3</v>
      </c>
      <c r="ED156" s="229">
        <v>0.47249999999999998</v>
      </c>
      <c r="EE156" s="228">
        <v>1.17</v>
      </c>
      <c r="EF156" s="229">
        <v>3.2000000000000002E-3</v>
      </c>
      <c r="EG156" s="230">
        <v>1759583</v>
      </c>
      <c r="EH156" s="230">
        <v>2251571</v>
      </c>
      <c r="EI156" s="229">
        <v>-0.2185</v>
      </c>
      <c r="EJ156" s="229">
        <v>0.50009999999999999</v>
      </c>
      <c r="EK156" s="231">
        <v>1371.17</v>
      </c>
      <c r="EL156" s="228">
        <v>834.58</v>
      </c>
      <c r="EM156" s="231">
        <v>1373.99</v>
      </c>
      <c r="EN156" s="228">
        <v>149.44</v>
      </c>
      <c r="EO156" s="231">
        <v>3579.74</v>
      </c>
      <c r="EP156" s="231">
        <v>4619.3</v>
      </c>
      <c r="EQ156" s="231">
        <v>-1039.56</v>
      </c>
      <c r="ER156" s="229">
        <v>-0.22500000000000001</v>
      </c>
      <c r="ES156" s="231">
        <v>1234.5899999999999</v>
      </c>
      <c r="ET156" s="228">
        <v>889.93</v>
      </c>
      <c r="EU156" s="231">
        <v>2852.84</v>
      </c>
      <c r="EV156" s="231">
        <v>217835555</v>
      </c>
      <c r="EW156" s="231">
        <v>4977.3599999999997</v>
      </c>
      <c r="EX156" s="231">
        <v>5067.9399999999996</v>
      </c>
      <c r="EY156" s="228">
        <v>-90.58</v>
      </c>
      <c r="EZ156" s="229">
        <v>-1.7899999999999999E-2</v>
      </c>
      <c r="FA156" s="229">
        <v>0.62129999999999996</v>
      </c>
      <c r="FB156" s="227" t="s">
        <v>556</v>
      </c>
      <c r="FC156">
        <f t="shared" si="3"/>
        <v>0</v>
      </c>
    </row>
    <row r="157" spans="1:159" ht="17.25" thickBot="1" x14ac:dyDescent="0.3">
      <c r="A157" s="226">
        <v>46044</v>
      </c>
      <c r="B157" s="227" t="s">
        <v>184</v>
      </c>
      <c r="C157" s="227" t="s">
        <v>680</v>
      </c>
      <c r="D157" s="228">
        <v>950</v>
      </c>
      <c r="E157" s="228">
        <v>5</v>
      </c>
      <c r="F157" s="228">
        <v>532.04999999999995</v>
      </c>
      <c r="G157" s="228">
        <v>535.70000000000005</v>
      </c>
      <c r="H157" s="228">
        <v>-3.65</v>
      </c>
      <c r="I157" s="229">
        <v>-6.7999999999999996E-3</v>
      </c>
      <c r="J157" s="228">
        <v>530.4</v>
      </c>
      <c r="K157" s="228">
        <v>533</v>
      </c>
      <c r="L157" s="228">
        <v>-2.6</v>
      </c>
      <c r="M157" s="229">
        <v>-4.8999999999999998E-3</v>
      </c>
      <c r="N157" s="228">
        <v>532.04999999999995</v>
      </c>
      <c r="O157" s="228">
        <v>535.70000000000005</v>
      </c>
      <c r="P157" s="228">
        <v>-3.65</v>
      </c>
      <c r="Q157" s="229">
        <v>-6.7999999999999996E-3</v>
      </c>
      <c r="R157" s="228">
        <v>533.1</v>
      </c>
      <c r="S157" s="228">
        <v>536.79999999999995</v>
      </c>
      <c r="T157" s="228">
        <v>-3.7</v>
      </c>
      <c r="U157" s="229">
        <v>-6.8999999999999999E-3</v>
      </c>
      <c r="V157" s="228">
        <v>535.65</v>
      </c>
      <c r="W157" s="228">
        <v>541</v>
      </c>
      <c r="X157" s="228">
        <v>-5.35</v>
      </c>
      <c r="Y157" s="229">
        <v>-9.9000000000000008E-3</v>
      </c>
      <c r="Z157" s="228">
        <v>1.65</v>
      </c>
      <c r="AA157" s="228">
        <v>2.7</v>
      </c>
      <c r="AB157" s="228">
        <v>-1.05</v>
      </c>
      <c r="AC157" s="229">
        <v>3.0999999999999999E-3</v>
      </c>
      <c r="AD157" s="228">
        <v>1.65</v>
      </c>
      <c r="AE157" s="228">
        <v>2.7</v>
      </c>
      <c r="AF157" s="228">
        <v>-1.05</v>
      </c>
      <c r="AG157" s="229">
        <v>3.0999999999999999E-3</v>
      </c>
      <c r="AH157" s="228">
        <v>2.7</v>
      </c>
      <c r="AI157" s="228">
        <v>3.8</v>
      </c>
      <c r="AJ157" s="228">
        <v>-1.1000000000000001</v>
      </c>
      <c r="AK157" s="229">
        <v>5.1000000000000004E-3</v>
      </c>
      <c r="AL157" s="228">
        <v>5.25</v>
      </c>
      <c r="AM157" s="228">
        <v>8</v>
      </c>
      <c r="AN157" s="228">
        <v>-2.75</v>
      </c>
      <c r="AO157" s="229">
        <v>9.9000000000000008E-3</v>
      </c>
      <c r="AP157" s="228">
        <v>536.37</v>
      </c>
      <c r="AQ157" s="228">
        <v>536.80999999999995</v>
      </c>
      <c r="AR157" s="228">
        <v>0</v>
      </c>
      <c r="AS157" s="228">
        <v>554</v>
      </c>
      <c r="AT157" s="228">
        <v>645</v>
      </c>
      <c r="AU157" s="228">
        <v>-91</v>
      </c>
      <c r="AV157" s="229">
        <v>-0.14119999999999999</v>
      </c>
      <c r="AW157" s="228">
        <v>284</v>
      </c>
      <c r="AX157" s="228">
        <v>363</v>
      </c>
      <c r="AY157" s="228">
        <v>-79</v>
      </c>
      <c r="AZ157" s="229">
        <v>-0.2167</v>
      </c>
      <c r="BA157" s="228">
        <v>266</v>
      </c>
      <c r="BB157" s="228">
        <v>278</v>
      </c>
      <c r="BC157" s="228">
        <v>-13</v>
      </c>
      <c r="BD157" s="229">
        <v>-4.5199999999999997E-2</v>
      </c>
      <c r="BE157" s="228">
        <v>4</v>
      </c>
      <c r="BF157" s="228">
        <v>4</v>
      </c>
      <c r="BG157" s="228">
        <v>0</v>
      </c>
      <c r="BH157" s="229">
        <v>3.85E-2</v>
      </c>
      <c r="BI157" s="228">
        <v>766</v>
      </c>
      <c r="BJ157" s="230">
        <v>1095</v>
      </c>
      <c r="BK157" s="228">
        <v>-329</v>
      </c>
      <c r="BL157" s="229">
        <v>-0.30049999999999999</v>
      </c>
      <c r="BM157" s="228">
        <v>386</v>
      </c>
      <c r="BN157" s="230">
        <v>1191</v>
      </c>
      <c r="BO157" s="228">
        <v>-805</v>
      </c>
      <c r="BP157" s="229">
        <v>-0.67610000000000003</v>
      </c>
      <c r="BQ157" s="230">
        <v>1705</v>
      </c>
      <c r="BR157" s="230">
        <v>2931</v>
      </c>
      <c r="BS157" s="230">
        <v>-1225</v>
      </c>
      <c r="BT157" s="229">
        <v>-0.41810000000000003</v>
      </c>
      <c r="BU157" s="230">
        <v>1729626</v>
      </c>
      <c r="BV157" s="230">
        <v>3098119</v>
      </c>
      <c r="BW157" s="230">
        <v>-1368493</v>
      </c>
      <c r="BX157" s="229">
        <v>-0.44169999999999998</v>
      </c>
      <c r="BY157" s="228">
        <v>672</v>
      </c>
      <c r="BZ157" s="228">
        <v>685</v>
      </c>
      <c r="CA157" s="228">
        <v>-12</v>
      </c>
      <c r="CB157" s="229">
        <v>-1.8200000000000001E-2</v>
      </c>
      <c r="CC157" s="228">
        <v>312</v>
      </c>
      <c r="CD157" s="228">
        <v>475</v>
      </c>
      <c r="CE157" s="228">
        <v>-162</v>
      </c>
      <c r="CF157" s="229">
        <v>-0.34189999999999998</v>
      </c>
      <c r="CG157" s="228">
        <v>352</v>
      </c>
      <c r="CH157" s="228">
        <v>203</v>
      </c>
      <c r="CI157" s="228">
        <v>149</v>
      </c>
      <c r="CJ157" s="229">
        <v>0.73270000000000002</v>
      </c>
      <c r="CK157" s="228">
        <v>8</v>
      </c>
      <c r="CL157" s="228">
        <v>7</v>
      </c>
      <c r="CM157" s="228">
        <v>1</v>
      </c>
      <c r="CN157" s="229">
        <v>0.14710000000000001</v>
      </c>
      <c r="CO157" s="228">
        <v>415</v>
      </c>
      <c r="CP157" s="228">
        <v>472</v>
      </c>
      <c r="CQ157" s="228">
        <v>-58</v>
      </c>
      <c r="CR157" s="229">
        <v>-0.12189999999999999</v>
      </c>
      <c r="CS157" s="228">
        <v>216</v>
      </c>
      <c r="CT157" s="228">
        <v>262</v>
      </c>
      <c r="CU157" s="228">
        <v>-46</v>
      </c>
      <c r="CV157" s="229">
        <v>-0.17430000000000001</v>
      </c>
      <c r="CW157" s="230">
        <v>1303</v>
      </c>
      <c r="CX157" s="230">
        <v>1419</v>
      </c>
      <c r="CY157" s="228">
        <v>-116</v>
      </c>
      <c r="CZ157" s="229">
        <v>-8.1600000000000006E-2</v>
      </c>
      <c r="DA157" s="228">
        <v>46.9</v>
      </c>
      <c r="DB157" s="228">
        <v>35.44</v>
      </c>
      <c r="DC157" s="228">
        <v>11.46</v>
      </c>
      <c r="DD157" s="228">
        <v>11.46</v>
      </c>
      <c r="DE157" s="228">
        <v>63.76</v>
      </c>
      <c r="DF157" s="228">
        <v>63.92</v>
      </c>
      <c r="DG157" s="228">
        <v>-16.86</v>
      </c>
      <c r="DH157" s="228">
        <v>-0.16</v>
      </c>
      <c r="DI157" s="228">
        <v>47.02</v>
      </c>
      <c r="DJ157" s="228">
        <v>38.18</v>
      </c>
      <c r="DK157" s="228">
        <v>8.84</v>
      </c>
      <c r="DL157" s="228">
        <v>8.84</v>
      </c>
      <c r="DM157" s="228">
        <v>46.61</v>
      </c>
      <c r="DN157" s="228">
        <v>32.92</v>
      </c>
      <c r="DO157" s="228">
        <v>13.69</v>
      </c>
      <c r="DP157" s="228">
        <v>13.69</v>
      </c>
      <c r="DQ157" s="228">
        <v>0.52</v>
      </c>
      <c r="DR157" s="228">
        <v>0.56000000000000005</v>
      </c>
      <c r="DS157" s="228">
        <v>-0.04</v>
      </c>
      <c r="DT157" s="229">
        <v>-7.1400000000000005E-2</v>
      </c>
      <c r="DU157" s="228">
        <v>600</v>
      </c>
      <c r="DV157" s="228">
        <v>520</v>
      </c>
      <c r="DW157" s="228">
        <v>0.5</v>
      </c>
      <c r="DX157" s="228">
        <v>1.0900000000000001</v>
      </c>
      <c r="DY157" s="228">
        <v>-0.59</v>
      </c>
      <c r="DZ157" s="229">
        <v>-0.5413</v>
      </c>
      <c r="EA157" s="229">
        <v>0.5353</v>
      </c>
      <c r="EB157" s="230">
        <v>3946300</v>
      </c>
      <c r="EC157" s="229">
        <v>2E-3</v>
      </c>
      <c r="ED157" s="229">
        <v>0.5353</v>
      </c>
      <c r="EE157" s="228">
        <v>0.44</v>
      </c>
      <c r="EF157" s="229">
        <v>8.0000000000000004E-4</v>
      </c>
      <c r="EG157" s="230">
        <v>620503</v>
      </c>
      <c r="EH157" s="230">
        <v>821290</v>
      </c>
      <c r="EI157" s="229">
        <v>-0.2445</v>
      </c>
      <c r="EJ157" s="229">
        <v>0.35870000000000002</v>
      </c>
      <c r="EK157" s="228">
        <v>822.65</v>
      </c>
      <c r="EL157" s="228">
        <v>392.55</v>
      </c>
      <c r="EM157" s="228">
        <v>558.45000000000005</v>
      </c>
      <c r="EN157" s="228">
        <v>52.43</v>
      </c>
      <c r="EO157" s="231">
        <v>1773.65</v>
      </c>
      <c r="EP157" s="231">
        <v>3031.03</v>
      </c>
      <c r="EQ157" s="231">
        <v>-1257.3800000000001</v>
      </c>
      <c r="ER157" s="229">
        <v>-0.4148</v>
      </c>
      <c r="ES157" s="228">
        <v>468.82</v>
      </c>
      <c r="ET157" s="228">
        <v>224.84</v>
      </c>
      <c r="EU157" s="228">
        <v>672.89</v>
      </c>
      <c r="EV157" s="231">
        <v>24030912</v>
      </c>
      <c r="EW157" s="231">
        <v>1366.55</v>
      </c>
      <c r="EX157" s="231">
        <v>1497.32</v>
      </c>
      <c r="EY157" s="228">
        <v>-130.77000000000001</v>
      </c>
      <c r="EZ157" s="229">
        <v>-8.7300000000000003E-2</v>
      </c>
      <c r="FA157" s="229">
        <v>1.0193000000000001</v>
      </c>
      <c r="FB157" s="227" t="s">
        <v>568</v>
      </c>
      <c r="FC157">
        <f t="shared" si="3"/>
        <v>0</v>
      </c>
    </row>
    <row r="158" spans="1:159" ht="17.25" thickBot="1" x14ac:dyDescent="0.3">
      <c r="A158" s="226">
        <v>46044</v>
      </c>
      <c r="B158" s="227" t="s">
        <v>206</v>
      </c>
      <c r="C158" s="227" t="s">
        <v>645</v>
      </c>
      <c r="D158" s="228">
        <v>350</v>
      </c>
      <c r="E158" s="228">
        <v>5</v>
      </c>
      <c r="F158" s="231">
        <v>1770.7</v>
      </c>
      <c r="G158" s="231">
        <v>1749.4</v>
      </c>
      <c r="H158" s="228">
        <v>21.3</v>
      </c>
      <c r="I158" s="229">
        <v>1.2200000000000001E-2</v>
      </c>
      <c r="J158" s="231">
        <v>1768.2</v>
      </c>
      <c r="K158" s="231">
        <v>1746.7</v>
      </c>
      <c r="L158" s="228">
        <v>21.5</v>
      </c>
      <c r="M158" s="229">
        <v>1.23E-2</v>
      </c>
      <c r="N158" s="231">
        <v>1770.7</v>
      </c>
      <c r="O158" s="231">
        <v>1749.4</v>
      </c>
      <c r="P158" s="228">
        <v>21.3</v>
      </c>
      <c r="Q158" s="229">
        <v>1.2200000000000001E-2</v>
      </c>
      <c r="R158" s="231">
        <v>1779.7</v>
      </c>
      <c r="S158" s="231">
        <v>1758.7</v>
      </c>
      <c r="T158" s="228">
        <v>21</v>
      </c>
      <c r="U158" s="229">
        <v>1.1900000000000001E-2</v>
      </c>
      <c r="V158" s="231">
        <v>1792.8</v>
      </c>
      <c r="W158" s="231">
        <v>1768</v>
      </c>
      <c r="X158" s="228">
        <v>24.8</v>
      </c>
      <c r="Y158" s="229">
        <v>1.4E-2</v>
      </c>
      <c r="Z158" s="228">
        <v>2.5</v>
      </c>
      <c r="AA158" s="228">
        <v>2.7</v>
      </c>
      <c r="AB158" s="228">
        <v>-0.2</v>
      </c>
      <c r="AC158" s="229">
        <v>1.4E-3</v>
      </c>
      <c r="AD158" s="228">
        <v>2.5</v>
      </c>
      <c r="AE158" s="228">
        <v>2.7</v>
      </c>
      <c r="AF158" s="228">
        <v>-0.2</v>
      </c>
      <c r="AG158" s="229">
        <v>1.4E-3</v>
      </c>
      <c r="AH158" s="228">
        <v>11.5</v>
      </c>
      <c r="AI158" s="228">
        <v>12</v>
      </c>
      <c r="AJ158" s="228">
        <v>-0.5</v>
      </c>
      <c r="AK158" s="229">
        <v>6.4999999999999997E-3</v>
      </c>
      <c r="AL158" s="228">
        <v>24.6</v>
      </c>
      <c r="AM158" s="228">
        <v>21.3</v>
      </c>
      <c r="AN158" s="228">
        <v>3.3</v>
      </c>
      <c r="AO158" s="229">
        <v>1.3899999999999999E-2</v>
      </c>
      <c r="AP158" s="231">
        <v>1771.51</v>
      </c>
      <c r="AQ158" s="231">
        <v>1780.65</v>
      </c>
      <c r="AR158" s="228">
        <v>0</v>
      </c>
      <c r="AS158" s="228">
        <v>538</v>
      </c>
      <c r="AT158" s="228">
        <v>450</v>
      </c>
      <c r="AU158" s="228">
        <v>87</v>
      </c>
      <c r="AV158" s="229">
        <v>0.19420000000000001</v>
      </c>
      <c r="AW158" s="228">
        <v>266</v>
      </c>
      <c r="AX158" s="228">
        <v>226</v>
      </c>
      <c r="AY158" s="228">
        <v>40</v>
      </c>
      <c r="AZ158" s="229">
        <v>0.1764</v>
      </c>
      <c r="BA158" s="228">
        <v>271</v>
      </c>
      <c r="BB158" s="228">
        <v>224</v>
      </c>
      <c r="BC158" s="228">
        <v>48</v>
      </c>
      <c r="BD158" s="229">
        <v>0.21299999999999999</v>
      </c>
      <c r="BE158" s="228">
        <v>0</v>
      </c>
      <c r="BF158" s="228">
        <v>0</v>
      </c>
      <c r="BG158" s="228">
        <v>0</v>
      </c>
      <c r="BH158" s="229">
        <v>-0.5</v>
      </c>
      <c r="BI158" s="228">
        <v>525</v>
      </c>
      <c r="BJ158" s="228">
        <v>346</v>
      </c>
      <c r="BK158" s="228">
        <v>180</v>
      </c>
      <c r="BL158" s="229">
        <v>0.52</v>
      </c>
      <c r="BM158" s="228">
        <v>132</v>
      </c>
      <c r="BN158" s="228">
        <v>389</v>
      </c>
      <c r="BO158" s="228">
        <v>-257</v>
      </c>
      <c r="BP158" s="229">
        <v>-0.66080000000000005</v>
      </c>
      <c r="BQ158" s="230">
        <v>1195</v>
      </c>
      <c r="BR158" s="230">
        <v>1184</v>
      </c>
      <c r="BS158" s="228">
        <v>10</v>
      </c>
      <c r="BT158" s="229">
        <v>8.6999999999999994E-3</v>
      </c>
      <c r="BU158" s="230">
        <v>563009</v>
      </c>
      <c r="BV158" s="230">
        <v>790613</v>
      </c>
      <c r="BW158" s="230">
        <v>-227604</v>
      </c>
      <c r="BX158" s="229">
        <v>-0.28789999999999999</v>
      </c>
      <c r="BY158" s="228">
        <v>696</v>
      </c>
      <c r="BZ158" s="228">
        <v>689</v>
      </c>
      <c r="CA158" s="228">
        <v>7</v>
      </c>
      <c r="CB158" s="229">
        <v>9.5999999999999992E-3</v>
      </c>
      <c r="CC158" s="228">
        <v>312</v>
      </c>
      <c r="CD158" s="228">
        <v>483</v>
      </c>
      <c r="CE158" s="228">
        <v>-171</v>
      </c>
      <c r="CF158" s="229">
        <v>-0.35410000000000003</v>
      </c>
      <c r="CG158" s="228">
        <v>384</v>
      </c>
      <c r="CH158" s="228">
        <v>206</v>
      </c>
      <c r="CI158" s="228">
        <v>178</v>
      </c>
      <c r="CJ158" s="229">
        <v>0.8609</v>
      </c>
      <c r="CK158" s="228">
        <v>0</v>
      </c>
      <c r="CL158" s="228">
        <v>0</v>
      </c>
      <c r="CM158" s="228">
        <v>0</v>
      </c>
      <c r="CN158" s="229">
        <v>0</v>
      </c>
      <c r="CO158" s="228">
        <v>214</v>
      </c>
      <c r="CP158" s="228">
        <v>225</v>
      </c>
      <c r="CQ158" s="228">
        <v>-10</v>
      </c>
      <c r="CR158" s="229">
        <v>-4.6399999999999997E-2</v>
      </c>
      <c r="CS158" s="228">
        <v>142</v>
      </c>
      <c r="CT158" s="228">
        <v>147</v>
      </c>
      <c r="CU158" s="228">
        <v>-5</v>
      </c>
      <c r="CV158" s="229">
        <v>-3.7100000000000001E-2</v>
      </c>
      <c r="CW158" s="230">
        <v>1052</v>
      </c>
      <c r="CX158" s="230">
        <v>1061</v>
      </c>
      <c r="CY158" s="228">
        <v>-9</v>
      </c>
      <c r="CZ158" s="229">
        <v>-8.6999999999999994E-3</v>
      </c>
      <c r="DA158" s="228">
        <v>32.93</v>
      </c>
      <c r="DB158" s="228">
        <v>28.17</v>
      </c>
      <c r="DC158" s="228">
        <v>4.76</v>
      </c>
      <c r="DD158" s="228">
        <v>4.76</v>
      </c>
      <c r="DE158" s="228">
        <v>39.64</v>
      </c>
      <c r="DF158" s="228">
        <v>39.71</v>
      </c>
      <c r="DG158" s="228">
        <v>-6.71</v>
      </c>
      <c r="DH158" s="228">
        <v>-7.0000000000000007E-2</v>
      </c>
      <c r="DI158" s="228">
        <v>33.17</v>
      </c>
      <c r="DJ158" s="228">
        <v>29.45</v>
      </c>
      <c r="DK158" s="228">
        <v>3.72</v>
      </c>
      <c r="DL158" s="228">
        <v>3.72</v>
      </c>
      <c r="DM158" s="228">
        <v>31.98</v>
      </c>
      <c r="DN158" s="228">
        <v>27.04</v>
      </c>
      <c r="DO158" s="228">
        <v>4.9400000000000004</v>
      </c>
      <c r="DP158" s="228">
        <v>4.9400000000000004</v>
      </c>
      <c r="DQ158" s="228">
        <v>0.66</v>
      </c>
      <c r="DR158" s="228">
        <v>0.65</v>
      </c>
      <c r="DS158" s="228">
        <v>0.01</v>
      </c>
      <c r="DT158" s="229">
        <v>1.54E-2</v>
      </c>
      <c r="DU158" s="231">
        <v>1820</v>
      </c>
      <c r="DV158" s="231">
        <v>1700</v>
      </c>
      <c r="DW158" s="228">
        <v>0.25</v>
      </c>
      <c r="DX158" s="228">
        <v>1.1200000000000001</v>
      </c>
      <c r="DY158" s="228">
        <v>-0.87</v>
      </c>
      <c r="DZ158" s="229">
        <v>-0.77680000000000005</v>
      </c>
      <c r="EA158" s="229">
        <v>0.55210000000000004</v>
      </c>
      <c r="EB158" s="230">
        <v>1166900</v>
      </c>
      <c r="EC158" s="229">
        <v>5.1000000000000004E-3</v>
      </c>
      <c r="ED158" s="229">
        <v>0.55210000000000004</v>
      </c>
      <c r="EE158" s="228">
        <v>9.14</v>
      </c>
      <c r="EF158" s="229">
        <v>5.1999999999999998E-3</v>
      </c>
      <c r="EG158" s="230">
        <v>274313</v>
      </c>
      <c r="EH158" s="230">
        <v>414599</v>
      </c>
      <c r="EI158" s="229">
        <v>-0.33839999999999998</v>
      </c>
      <c r="EJ158" s="229">
        <v>0.48720000000000002</v>
      </c>
      <c r="EK158" s="228">
        <v>550.38</v>
      </c>
      <c r="EL158" s="228">
        <v>128.47</v>
      </c>
      <c r="EM158" s="228">
        <v>539.34</v>
      </c>
      <c r="EN158" s="228">
        <v>27.53</v>
      </c>
      <c r="EO158" s="231">
        <v>1218.19</v>
      </c>
      <c r="EP158" s="231">
        <v>1188.3699999999999</v>
      </c>
      <c r="EQ158" s="228">
        <v>29.82</v>
      </c>
      <c r="ER158" s="229">
        <v>2.5100000000000001E-2</v>
      </c>
      <c r="ES158" s="228">
        <v>230.96</v>
      </c>
      <c r="ET158" s="228">
        <v>140.82</v>
      </c>
      <c r="EU158" s="228">
        <v>697.87</v>
      </c>
      <c r="EV158" s="231">
        <v>19533471</v>
      </c>
      <c r="EW158" s="231">
        <v>1069.6500000000001</v>
      </c>
      <c r="EX158" s="231">
        <v>1070.02</v>
      </c>
      <c r="EY158" s="228">
        <v>-0.37</v>
      </c>
      <c r="EZ158" s="229">
        <v>-2.9999999999999997E-4</v>
      </c>
      <c r="FA158" s="229">
        <v>0.30399999999999999</v>
      </c>
      <c r="FB158" s="227" t="s">
        <v>555</v>
      </c>
      <c r="FC158">
        <f t="shared" si="3"/>
        <v>0</v>
      </c>
    </row>
    <row r="159" spans="1:159" ht="17.25" thickBot="1" x14ac:dyDescent="0.3">
      <c r="A159" s="226">
        <v>46044</v>
      </c>
      <c r="B159" s="227" t="s">
        <v>168</v>
      </c>
      <c r="C159" s="227" t="s">
        <v>274</v>
      </c>
      <c r="D159" s="228">
        <v>500</v>
      </c>
      <c r="E159" s="228">
        <v>5</v>
      </c>
      <c r="F159" s="231">
        <v>1455.2</v>
      </c>
      <c r="G159" s="231">
        <v>1423.2</v>
      </c>
      <c r="H159" s="228">
        <v>32</v>
      </c>
      <c r="I159" s="229">
        <v>2.2499999999999999E-2</v>
      </c>
      <c r="J159" s="231">
        <v>1452.8</v>
      </c>
      <c r="K159" s="231">
        <v>1421.8</v>
      </c>
      <c r="L159" s="228">
        <v>31</v>
      </c>
      <c r="M159" s="229">
        <v>2.18E-2</v>
      </c>
      <c r="N159" s="231">
        <v>1455.2</v>
      </c>
      <c r="O159" s="231">
        <v>1423.2</v>
      </c>
      <c r="P159" s="228">
        <v>32</v>
      </c>
      <c r="Q159" s="229">
        <v>2.2499999999999999E-2</v>
      </c>
      <c r="R159" s="231">
        <v>1462.7</v>
      </c>
      <c r="S159" s="231">
        <v>1430.6</v>
      </c>
      <c r="T159" s="228">
        <v>32.1</v>
      </c>
      <c r="U159" s="229">
        <v>2.24E-2</v>
      </c>
      <c r="V159" s="231">
        <v>1477</v>
      </c>
      <c r="W159" s="231">
        <v>1436.1</v>
      </c>
      <c r="X159" s="228">
        <v>40.9</v>
      </c>
      <c r="Y159" s="229">
        <v>2.8500000000000001E-2</v>
      </c>
      <c r="Z159" s="228">
        <v>2.4</v>
      </c>
      <c r="AA159" s="228">
        <v>1.4</v>
      </c>
      <c r="AB159" s="228">
        <v>1</v>
      </c>
      <c r="AC159" s="229">
        <v>1.6999999999999999E-3</v>
      </c>
      <c r="AD159" s="228">
        <v>2.4</v>
      </c>
      <c r="AE159" s="228">
        <v>1.4</v>
      </c>
      <c r="AF159" s="228">
        <v>1</v>
      </c>
      <c r="AG159" s="229">
        <v>1.6999999999999999E-3</v>
      </c>
      <c r="AH159" s="228">
        <v>9.9</v>
      </c>
      <c r="AI159" s="228">
        <v>8.8000000000000007</v>
      </c>
      <c r="AJ159" s="228">
        <v>1.1000000000000001</v>
      </c>
      <c r="AK159" s="229">
        <v>6.7999999999999996E-3</v>
      </c>
      <c r="AL159" s="228">
        <v>24.2</v>
      </c>
      <c r="AM159" s="228">
        <v>14.3</v>
      </c>
      <c r="AN159" s="228">
        <v>9.9</v>
      </c>
      <c r="AO159" s="229">
        <v>1.67E-2</v>
      </c>
      <c r="AP159" s="231">
        <v>1445.85</v>
      </c>
      <c r="AQ159" s="231">
        <v>1453.13</v>
      </c>
      <c r="AR159" s="228">
        <v>0</v>
      </c>
      <c r="AS159" s="230">
        <v>1059</v>
      </c>
      <c r="AT159" s="228">
        <v>723</v>
      </c>
      <c r="AU159" s="228">
        <v>336</v>
      </c>
      <c r="AV159" s="229">
        <v>0.46529999999999999</v>
      </c>
      <c r="AW159" s="228">
        <v>517</v>
      </c>
      <c r="AX159" s="228">
        <v>378</v>
      </c>
      <c r="AY159" s="228">
        <v>138</v>
      </c>
      <c r="AZ159" s="229">
        <v>0.36609999999999998</v>
      </c>
      <c r="BA159" s="228">
        <v>541</v>
      </c>
      <c r="BB159" s="228">
        <v>344</v>
      </c>
      <c r="BC159" s="228">
        <v>197</v>
      </c>
      <c r="BD159" s="229">
        <v>0.57230000000000003</v>
      </c>
      <c r="BE159" s="228">
        <v>1</v>
      </c>
      <c r="BF159" s="228">
        <v>1</v>
      </c>
      <c r="BG159" s="228">
        <v>1</v>
      </c>
      <c r="BH159" s="229">
        <v>1.8571</v>
      </c>
      <c r="BI159" s="228">
        <v>240</v>
      </c>
      <c r="BJ159" s="228">
        <v>266</v>
      </c>
      <c r="BK159" s="228">
        <v>-25</v>
      </c>
      <c r="BL159" s="229">
        <v>-9.5100000000000004E-2</v>
      </c>
      <c r="BM159" s="228">
        <v>239</v>
      </c>
      <c r="BN159" s="228">
        <v>262</v>
      </c>
      <c r="BO159" s="228">
        <v>-23</v>
      </c>
      <c r="BP159" s="229">
        <v>-8.7099999999999997E-2</v>
      </c>
      <c r="BQ159" s="230">
        <v>1538</v>
      </c>
      <c r="BR159" s="230">
        <v>1250</v>
      </c>
      <c r="BS159" s="228">
        <v>288</v>
      </c>
      <c r="BT159" s="229">
        <v>0.23069999999999999</v>
      </c>
      <c r="BU159" s="230">
        <v>393653</v>
      </c>
      <c r="BV159" s="230">
        <v>581221</v>
      </c>
      <c r="BW159" s="230">
        <v>-187568</v>
      </c>
      <c r="BX159" s="229">
        <v>-0.32269999999999999</v>
      </c>
      <c r="BY159" s="230">
        <v>1227</v>
      </c>
      <c r="BZ159" s="230">
        <v>1206</v>
      </c>
      <c r="CA159" s="228">
        <v>21</v>
      </c>
      <c r="CB159" s="229">
        <v>1.7399999999999999E-2</v>
      </c>
      <c r="CC159" s="228">
        <v>465</v>
      </c>
      <c r="CD159" s="228">
        <v>881</v>
      </c>
      <c r="CE159" s="228">
        <v>-416</v>
      </c>
      <c r="CF159" s="229">
        <v>-0.4718</v>
      </c>
      <c r="CG159" s="228">
        <v>760</v>
      </c>
      <c r="CH159" s="228">
        <v>325</v>
      </c>
      <c r="CI159" s="228">
        <v>436</v>
      </c>
      <c r="CJ159" s="229">
        <v>1.3423</v>
      </c>
      <c r="CK159" s="228">
        <v>2</v>
      </c>
      <c r="CL159" s="228">
        <v>1</v>
      </c>
      <c r="CM159" s="228">
        <v>1</v>
      </c>
      <c r="CN159" s="229">
        <v>0.6875</v>
      </c>
      <c r="CO159" s="228">
        <v>172</v>
      </c>
      <c r="CP159" s="228">
        <v>193</v>
      </c>
      <c r="CQ159" s="228">
        <v>-21</v>
      </c>
      <c r="CR159" s="229">
        <v>-0.11020000000000001</v>
      </c>
      <c r="CS159" s="228">
        <v>167</v>
      </c>
      <c r="CT159" s="228">
        <v>181</v>
      </c>
      <c r="CU159" s="228">
        <v>-13</v>
      </c>
      <c r="CV159" s="229">
        <v>-7.2900000000000006E-2</v>
      </c>
      <c r="CW159" s="230">
        <v>1566</v>
      </c>
      <c r="CX159" s="230">
        <v>1580</v>
      </c>
      <c r="CY159" s="228">
        <v>-13</v>
      </c>
      <c r="CZ159" s="229">
        <v>-8.5000000000000006E-3</v>
      </c>
      <c r="DA159" s="228">
        <v>23.32</v>
      </c>
      <c r="DB159" s="228">
        <v>19.84</v>
      </c>
      <c r="DC159" s="228">
        <v>3.48</v>
      </c>
      <c r="DD159" s="228">
        <v>3.48</v>
      </c>
      <c r="DE159" s="228">
        <v>21.38</v>
      </c>
      <c r="DF159" s="228">
        <v>21.23</v>
      </c>
      <c r="DG159" s="228">
        <v>1.94</v>
      </c>
      <c r="DH159" s="228">
        <v>0.15</v>
      </c>
      <c r="DI159" s="228">
        <v>22.58</v>
      </c>
      <c r="DJ159" s="228">
        <v>22.1</v>
      </c>
      <c r="DK159" s="228">
        <v>0.48</v>
      </c>
      <c r="DL159" s="228">
        <v>0.48</v>
      </c>
      <c r="DM159" s="228">
        <v>23.9</v>
      </c>
      <c r="DN159" s="228">
        <v>17.54</v>
      </c>
      <c r="DO159" s="228">
        <v>6.36</v>
      </c>
      <c r="DP159" s="228">
        <v>6.36</v>
      </c>
      <c r="DQ159" s="228">
        <v>0.98</v>
      </c>
      <c r="DR159" s="228">
        <v>0.94</v>
      </c>
      <c r="DS159" s="228">
        <v>0.04</v>
      </c>
      <c r="DT159" s="229">
        <v>4.2599999999999999E-2</v>
      </c>
      <c r="DU159" s="231">
        <v>1500</v>
      </c>
      <c r="DV159" s="231">
        <v>1400</v>
      </c>
      <c r="DW159" s="228">
        <v>0.99</v>
      </c>
      <c r="DX159" s="228">
        <v>0.99</v>
      </c>
      <c r="DY159" s="228">
        <v>0</v>
      </c>
      <c r="DZ159" s="229">
        <v>0</v>
      </c>
      <c r="EA159" s="229">
        <v>0.621</v>
      </c>
      <c r="EB159" s="230">
        <v>2238500</v>
      </c>
      <c r="EC159" s="229">
        <v>5.1999999999999998E-3</v>
      </c>
      <c r="ED159" s="229">
        <v>0.621</v>
      </c>
      <c r="EE159" s="228">
        <v>7.28</v>
      </c>
      <c r="EF159" s="229">
        <v>5.0000000000000001E-3</v>
      </c>
      <c r="EG159" s="230">
        <v>208952</v>
      </c>
      <c r="EH159" s="230">
        <v>291088</v>
      </c>
      <c r="EI159" s="229">
        <v>-0.28220000000000001</v>
      </c>
      <c r="EJ159" s="229">
        <v>0.53080000000000005</v>
      </c>
      <c r="EK159" s="228">
        <v>244.16</v>
      </c>
      <c r="EL159" s="228">
        <v>234.77</v>
      </c>
      <c r="EM159" s="231">
        <v>1054.94</v>
      </c>
      <c r="EN159" s="228">
        <v>44.03</v>
      </c>
      <c r="EO159" s="231">
        <v>1533.87</v>
      </c>
      <c r="EP159" s="231">
        <v>1237.74</v>
      </c>
      <c r="EQ159" s="228">
        <v>296.13</v>
      </c>
      <c r="ER159" s="229">
        <v>0.23930000000000001</v>
      </c>
      <c r="ES159" s="228">
        <v>180.99</v>
      </c>
      <c r="ET159" s="228">
        <v>165.14</v>
      </c>
      <c r="EU159" s="231">
        <v>1231.3399999999999</v>
      </c>
      <c r="EV159" s="231">
        <v>31214205</v>
      </c>
      <c r="EW159" s="231">
        <v>1577.46</v>
      </c>
      <c r="EX159" s="231">
        <v>1561.63</v>
      </c>
      <c r="EY159" s="228">
        <v>15.83</v>
      </c>
      <c r="EZ159" s="229">
        <v>1.01E-2</v>
      </c>
      <c r="FA159" s="229">
        <v>0.34489999999999998</v>
      </c>
      <c r="FB159" s="227" t="s">
        <v>555</v>
      </c>
      <c r="FC159">
        <f t="shared" si="3"/>
        <v>0</v>
      </c>
    </row>
    <row r="160" spans="1:159" ht="17.25" thickBot="1" x14ac:dyDescent="0.3">
      <c r="A160" s="226">
        <v>46044</v>
      </c>
      <c r="B160" s="227" t="s">
        <v>498</v>
      </c>
      <c r="C160" s="227" t="s">
        <v>483</v>
      </c>
      <c r="D160" s="228">
        <v>175</v>
      </c>
      <c r="E160" s="228">
        <v>5</v>
      </c>
      <c r="F160" s="231">
        <v>3173.6</v>
      </c>
      <c r="G160" s="231">
        <v>3116.6</v>
      </c>
      <c r="H160" s="228">
        <v>57</v>
      </c>
      <c r="I160" s="229">
        <v>1.83E-2</v>
      </c>
      <c r="J160" s="231">
        <v>3170.4</v>
      </c>
      <c r="K160" s="231">
        <v>3112.7</v>
      </c>
      <c r="L160" s="228">
        <v>57.7</v>
      </c>
      <c r="M160" s="229">
        <v>1.8499999999999999E-2</v>
      </c>
      <c r="N160" s="231">
        <v>3173.6</v>
      </c>
      <c r="O160" s="231">
        <v>3116.6</v>
      </c>
      <c r="P160" s="228">
        <v>57</v>
      </c>
      <c r="Q160" s="229">
        <v>1.83E-2</v>
      </c>
      <c r="R160" s="231">
        <v>3130.6</v>
      </c>
      <c r="S160" s="231">
        <v>3084.2</v>
      </c>
      <c r="T160" s="228">
        <v>46.4</v>
      </c>
      <c r="U160" s="229">
        <v>1.4999999999999999E-2</v>
      </c>
      <c r="V160" s="231">
        <v>3119.8</v>
      </c>
      <c r="W160" s="231">
        <v>3079</v>
      </c>
      <c r="X160" s="228">
        <v>40.799999999999997</v>
      </c>
      <c r="Y160" s="229">
        <v>1.3299999999999999E-2</v>
      </c>
      <c r="Z160" s="228">
        <v>3.2</v>
      </c>
      <c r="AA160" s="228">
        <v>3.9</v>
      </c>
      <c r="AB160" s="228">
        <v>-0.7</v>
      </c>
      <c r="AC160" s="229">
        <v>1E-3</v>
      </c>
      <c r="AD160" s="228">
        <v>3.2</v>
      </c>
      <c r="AE160" s="228">
        <v>3.9</v>
      </c>
      <c r="AF160" s="228">
        <v>-0.7</v>
      </c>
      <c r="AG160" s="229">
        <v>1E-3</v>
      </c>
      <c r="AH160" s="228">
        <v>-39.799999999999997</v>
      </c>
      <c r="AI160" s="228">
        <v>-28.5</v>
      </c>
      <c r="AJ160" s="228">
        <v>-11.3</v>
      </c>
      <c r="AK160" s="229">
        <v>-1.26E-2</v>
      </c>
      <c r="AL160" s="228">
        <v>-50.6</v>
      </c>
      <c r="AM160" s="228">
        <v>-33.700000000000003</v>
      </c>
      <c r="AN160" s="228">
        <v>-16.899999999999999</v>
      </c>
      <c r="AO160" s="229">
        <v>-1.6E-2</v>
      </c>
      <c r="AP160" s="231">
        <v>3167.91</v>
      </c>
      <c r="AQ160" s="231">
        <v>3131.87</v>
      </c>
      <c r="AR160" s="228">
        <v>0</v>
      </c>
      <c r="AS160" s="228">
        <v>921</v>
      </c>
      <c r="AT160" s="228">
        <v>721</v>
      </c>
      <c r="AU160" s="228">
        <v>200</v>
      </c>
      <c r="AV160" s="229">
        <v>0.2767</v>
      </c>
      <c r="AW160" s="228">
        <v>450</v>
      </c>
      <c r="AX160" s="228">
        <v>371</v>
      </c>
      <c r="AY160" s="228">
        <v>79</v>
      </c>
      <c r="AZ160" s="229">
        <v>0.21329999999999999</v>
      </c>
      <c r="BA160" s="228">
        <v>466</v>
      </c>
      <c r="BB160" s="228">
        <v>349</v>
      </c>
      <c r="BC160" s="228">
        <v>117</v>
      </c>
      <c r="BD160" s="229">
        <v>0.33600000000000002</v>
      </c>
      <c r="BE160" s="228">
        <v>5</v>
      </c>
      <c r="BF160" s="228">
        <v>1</v>
      </c>
      <c r="BG160" s="228">
        <v>3</v>
      </c>
      <c r="BH160" s="229">
        <v>2.2307999999999999</v>
      </c>
      <c r="BI160" s="228">
        <v>203</v>
      </c>
      <c r="BJ160" s="228">
        <v>204</v>
      </c>
      <c r="BK160" s="228">
        <v>0</v>
      </c>
      <c r="BL160" s="229">
        <v>-1.4E-3</v>
      </c>
      <c r="BM160" s="228">
        <v>106</v>
      </c>
      <c r="BN160" s="228">
        <v>163</v>
      </c>
      <c r="BO160" s="228">
        <v>-58</v>
      </c>
      <c r="BP160" s="229">
        <v>-0.35270000000000001</v>
      </c>
      <c r="BQ160" s="230">
        <v>1230</v>
      </c>
      <c r="BR160" s="230">
        <v>1088</v>
      </c>
      <c r="BS160" s="228">
        <v>142</v>
      </c>
      <c r="BT160" s="229">
        <v>0.1303</v>
      </c>
      <c r="BU160" s="230">
        <v>248829</v>
      </c>
      <c r="BV160" s="230">
        <v>453966</v>
      </c>
      <c r="BW160" s="230">
        <v>-205137</v>
      </c>
      <c r="BX160" s="229">
        <v>-0.45190000000000002</v>
      </c>
      <c r="BY160" s="228">
        <v>904</v>
      </c>
      <c r="BZ160" s="228">
        <v>926</v>
      </c>
      <c r="CA160" s="228">
        <v>-22</v>
      </c>
      <c r="CB160" s="229">
        <v>-2.3800000000000002E-2</v>
      </c>
      <c r="CC160" s="228">
        <v>290</v>
      </c>
      <c r="CD160" s="228">
        <v>573</v>
      </c>
      <c r="CE160" s="228">
        <v>-283</v>
      </c>
      <c r="CF160" s="229">
        <v>-0.49370000000000003</v>
      </c>
      <c r="CG160" s="228">
        <v>603</v>
      </c>
      <c r="CH160" s="228">
        <v>345</v>
      </c>
      <c r="CI160" s="228">
        <v>258</v>
      </c>
      <c r="CJ160" s="229">
        <v>0.74750000000000005</v>
      </c>
      <c r="CK160" s="228">
        <v>11</v>
      </c>
      <c r="CL160" s="228">
        <v>8</v>
      </c>
      <c r="CM160" s="228">
        <v>3</v>
      </c>
      <c r="CN160" s="229">
        <v>0.37669999999999998</v>
      </c>
      <c r="CO160" s="228">
        <v>269</v>
      </c>
      <c r="CP160" s="228">
        <v>295</v>
      </c>
      <c r="CQ160" s="228">
        <v>-26</v>
      </c>
      <c r="CR160" s="229">
        <v>-8.8900000000000007E-2</v>
      </c>
      <c r="CS160" s="228">
        <v>151</v>
      </c>
      <c r="CT160" s="228">
        <v>165</v>
      </c>
      <c r="CU160" s="228">
        <v>-14</v>
      </c>
      <c r="CV160" s="229">
        <v>-8.3299999999999999E-2</v>
      </c>
      <c r="CW160" s="230">
        <v>1324</v>
      </c>
      <c r="CX160" s="230">
        <v>1386</v>
      </c>
      <c r="CY160" s="228">
        <v>-62</v>
      </c>
      <c r="CZ160" s="229">
        <v>-4.48E-2</v>
      </c>
      <c r="DA160" s="228">
        <v>30.01</v>
      </c>
      <c r="DB160" s="228">
        <v>26.41</v>
      </c>
      <c r="DC160" s="228">
        <v>3.6</v>
      </c>
      <c r="DD160" s="228">
        <v>3.6</v>
      </c>
      <c r="DE160" s="228">
        <v>28.56</v>
      </c>
      <c r="DF160" s="228">
        <v>28.52</v>
      </c>
      <c r="DG160" s="228">
        <v>1.45</v>
      </c>
      <c r="DH160" s="228">
        <v>0.04</v>
      </c>
      <c r="DI160" s="228">
        <v>30.23</v>
      </c>
      <c r="DJ160" s="228">
        <v>28.82</v>
      </c>
      <c r="DK160" s="228">
        <v>1.41</v>
      </c>
      <c r="DL160" s="228">
        <v>1.41</v>
      </c>
      <c r="DM160" s="228">
        <v>29.75</v>
      </c>
      <c r="DN160" s="228">
        <v>23.4</v>
      </c>
      <c r="DO160" s="228">
        <v>6.35</v>
      </c>
      <c r="DP160" s="228">
        <v>6.35</v>
      </c>
      <c r="DQ160" s="228">
        <v>0.56000000000000005</v>
      </c>
      <c r="DR160" s="228">
        <v>0.56000000000000005</v>
      </c>
      <c r="DS160" s="228">
        <v>0</v>
      </c>
      <c r="DT160" s="229">
        <v>0</v>
      </c>
      <c r="DU160" s="231">
        <v>3300</v>
      </c>
      <c r="DV160" s="231">
        <v>3200</v>
      </c>
      <c r="DW160" s="228">
        <v>0.52</v>
      </c>
      <c r="DX160" s="228">
        <v>0.8</v>
      </c>
      <c r="DY160" s="228">
        <v>-0.28000000000000003</v>
      </c>
      <c r="DZ160" s="229">
        <v>-0.35</v>
      </c>
      <c r="EA160" s="229">
        <v>0.67900000000000005</v>
      </c>
      <c r="EB160" s="230">
        <v>1112125</v>
      </c>
      <c r="EC160" s="229">
        <v>-1.35E-2</v>
      </c>
      <c r="ED160" s="229">
        <v>0.67900000000000005</v>
      </c>
      <c r="EE160" s="228">
        <v>-36.04</v>
      </c>
      <c r="EF160" s="229">
        <v>-1.14E-2</v>
      </c>
      <c r="EG160" s="230">
        <v>136002</v>
      </c>
      <c r="EH160" s="230">
        <v>252483</v>
      </c>
      <c r="EI160" s="229">
        <v>-0.46129999999999999</v>
      </c>
      <c r="EJ160" s="229">
        <v>0.54659999999999997</v>
      </c>
      <c r="EK160" s="228">
        <v>211.07</v>
      </c>
      <c r="EL160" s="228">
        <v>104.95</v>
      </c>
      <c r="EM160" s="228">
        <v>913.64</v>
      </c>
      <c r="EN160" s="228">
        <v>56.98</v>
      </c>
      <c r="EO160" s="231">
        <v>1229.6600000000001</v>
      </c>
      <c r="EP160" s="231">
        <v>1081.57</v>
      </c>
      <c r="EQ160" s="228">
        <v>148.08000000000001</v>
      </c>
      <c r="ER160" s="229">
        <v>0.13689999999999999</v>
      </c>
      <c r="ES160" s="228">
        <v>286.3</v>
      </c>
      <c r="ET160" s="228">
        <v>152.88</v>
      </c>
      <c r="EU160" s="228">
        <v>895.53</v>
      </c>
      <c r="EV160" s="231">
        <v>10712372</v>
      </c>
      <c r="EW160" s="231">
        <v>1334.7</v>
      </c>
      <c r="EX160" s="231">
        <v>1386.25</v>
      </c>
      <c r="EY160" s="228">
        <v>-51.55</v>
      </c>
      <c r="EZ160" s="229">
        <v>-3.7199999999999997E-2</v>
      </c>
      <c r="FA160" s="229">
        <v>0.38940000000000002</v>
      </c>
      <c r="FB160" s="227" t="s">
        <v>556</v>
      </c>
      <c r="FC160">
        <f t="shared" si="3"/>
        <v>0</v>
      </c>
    </row>
    <row r="161" spans="1:159" ht="17.25" thickBot="1" x14ac:dyDescent="0.3">
      <c r="A161" s="226">
        <v>46044</v>
      </c>
      <c r="B161" s="227" t="s">
        <v>172</v>
      </c>
      <c r="C161" s="227" t="s">
        <v>275</v>
      </c>
      <c r="D161" s="228">
        <v>8000</v>
      </c>
      <c r="E161" s="228">
        <v>5</v>
      </c>
      <c r="F161" s="228">
        <v>125.29</v>
      </c>
      <c r="G161" s="228">
        <v>124.08</v>
      </c>
      <c r="H161" s="228">
        <v>1.21</v>
      </c>
      <c r="I161" s="229">
        <v>9.7999999999999997E-3</v>
      </c>
      <c r="J161" s="228">
        <v>125.16</v>
      </c>
      <c r="K161" s="228">
        <v>123.99</v>
      </c>
      <c r="L161" s="228">
        <v>1.17</v>
      </c>
      <c r="M161" s="229">
        <v>9.4000000000000004E-3</v>
      </c>
      <c r="N161" s="228">
        <v>125.29</v>
      </c>
      <c r="O161" s="228">
        <v>124.08</v>
      </c>
      <c r="P161" s="228">
        <v>1.21</v>
      </c>
      <c r="Q161" s="229">
        <v>9.7999999999999997E-3</v>
      </c>
      <c r="R161" s="228">
        <v>125.91</v>
      </c>
      <c r="S161" s="228">
        <v>124.75</v>
      </c>
      <c r="T161" s="228">
        <v>1.1599999999999999</v>
      </c>
      <c r="U161" s="229">
        <v>9.2999999999999992E-3</v>
      </c>
      <c r="V161" s="228">
        <v>126.83</v>
      </c>
      <c r="W161" s="228">
        <v>125.54</v>
      </c>
      <c r="X161" s="228">
        <v>1.29</v>
      </c>
      <c r="Y161" s="229">
        <v>1.03E-2</v>
      </c>
      <c r="Z161" s="228">
        <v>0.13</v>
      </c>
      <c r="AA161" s="228">
        <v>0.09</v>
      </c>
      <c r="AB161" s="228">
        <v>0.04</v>
      </c>
      <c r="AC161" s="229">
        <v>1E-3</v>
      </c>
      <c r="AD161" s="228">
        <v>0.13</v>
      </c>
      <c r="AE161" s="228">
        <v>0.09</v>
      </c>
      <c r="AF161" s="228">
        <v>0.04</v>
      </c>
      <c r="AG161" s="229">
        <v>1E-3</v>
      </c>
      <c r="AH161" s="228">
        <v>0.75</v>
      </c>
      <c r="AI161" s="228">
        <v>0.76</v>
      </c>
      <c r="AJ161" s="228">
        <v>-0.01</v>
      </c>
      <c r="AK161" s="229">
        <v>6.0000000000000001E-3</v>
      </c>
      <c r="AL161" s="228">
        <v>1.67</v>
      </c>
      <c r="AM161" s="228">
        <v>1.55</v>
      </c>
      <c r="AN161" s="228">
        <v>0.12</v>
      </c>
      <c r="AO161" s="229">
        <v>1.3299999999999999E-2</v>
      </c>
      <c r="AP161" s="228">
        <v>125.18</v>
      </c>
      <c r="AQ161" s="228">
        <v>125.82</v>
      </c>
      <c r="AR161" s="228">
        <v>0</v>
      </c>
      <c r="AS161" s="230">
        <v>1833</v>
      </c>
      <c r="AT161" s="230">
        <v>1287</v>
      </c>
      <c r="AU161" s="228">
        <v>546</v>
      </c>
      <c r="AV161" s="229">
        <v>0.42459999999999998</v>
      </c>
      <c r="AW161" s="228">
        <v>938</v>
      </c>
      <c r="AX161" s="228">
        <v>764</v>
      </c>
      <c r="AY161" s="228">
        <v>174</v>
      </c>
      <c r="AZ161" s="229">
        <v>0.22720000000000001</v>
      </c>
      <c r="BA161" s="228">
        <v>882</v>
      </c>
      <c r="BB161" s="228">
        <v>499</v>
      </c>
      <c r="BC161" s="228">
        <v>383</v>
      </c>
      <c r="BD161" s="229">
        <v>0.76729999999999998</v>
      </c>
      <c r="BE161" s="228">
        <v>14</v>
      </c>
      <c r="BF161" s="228">
        <v>24</v>
      </c>
      <c r="BG161" s="228">
        <v>-10</v>
      </c>
      <c r="BH161" s="229">
        <v>-0.41670000000000001</v>
      </c>
      <c r="BI161" s="230">
        <v>2454</v>
      </c>
      <c r="BJ161" s="230">
        <v>3525</v>
      </c>
      <c r="BK161" s="230">
        <v>-1071</v>
      </c>
      <c r="BL161" s="229">
        <v>-0.30380000000000001</v>
      </c>
      <c r="BM161" s="230">
        <v>1388</v>
      </c>
      <c r="BN161" s="230">
        <v>2503</v>
      </c>
      <c r="BO161" s="230">
        <v>-1115</v>
      </c>
      <c r="BP161" s="229">
        <v>-0.44540000000000002</v>
      </c>
      <c r="BQ161" s="230">
        <v>5675</v>
      </c>
      <c r="BR161" s="230">
        <v>7315</v>
      </c>
      <c r="BS161" s="230">
        <v>-1639</v>
      </c>
      <c r="BT161" s="229">
        <v>-0.22409999999999999</v>
      </c>
      <c r="BU161" s="230">
        <v>14470547</v>
      </c>
      <c r="BV161" s="230">
        <v>17998646</v>
      </c>
      <c r="BW161" s="230">
        <v>-3528099</v>
      </c>
      <c r="BX161" s="229">
        <v>-0.19600000000000001</v>
      </c>
      <c r="BY161" s="230">
        <v>3039</v>
      </c>
      <c r="BZ161" s="230">
        <v>3019</v>
      </c>
      <c r="CA161" s="228">
        <v>20</v>
      </c>
      <c r="CB161" s="229">
        <v>6.6E-3</v>
      </c>
      <c r="CC161" s="230">
        <v>1366</v>
      </c>
      <c r="CD161" s="230">
        <v>1968</v>
      </c>
      <c r="CE161" s="228">
        <v>-602</v>
      </c>
      <c r="CF161" s="229">
        <v>-0.30590000000000001</v>
      </c>
      <c r="CG161" s="230">
        <v>1615</v>
      </c>
      <c r="CH161" s="228">
        <v>997</v>
      </c>
      <c r="CI161" s="228">
        <v>617</v>
      </c>
      <c r="CJ161" s="229">
        <v>0.61890000000000001</v>
      </c>
      <c r="CK161" s="228">
        <v>58</v>
      </c>
      <c r="CL161" s="228">
        <v>53</v>
      </c>
      <c r="CM161" s="228">
        <v>5</v>
      </c>
      <c r="CN161" s="229">
        <v>9.2499999999999999E-2</v>
      </c>
      <c r="CO161" s="230">
        <v>1827</v>
      </c>
      <c r="CP161" s="230">
        <v>1996</v>
      </c>
      <c r="CQ161" s="228">
        <v>-169</v>
      </c>
      <c r="CR161" s="229">
        <v>-8.4599999999999995E-2</v>
      </c>
      <c r="CS161" s="230">
        <v>1145</v>
      </c>
      <c r="CT161" s="230">
        <v>1169</v>
      </c>
      <c r="CU161" s="228">
        <v>-24</v>
      </c>
      <c r="CV161" s="229">
        <v>-2.0500000000000001E-2</v>
      </c>
      <c r="CW161" s="230">
        <v>6011</v>
      </c>
      <c r="CX161" s="230">
        <v>6184</v>
      </c>
      <c r="CY161" s="228">
        <v>-173</v>
      </c>
      <c r="CZ161" s="229">
        <v>-2.7900000000000001E-2</v>
      </c>
      <c r="DA161" s="228">
        <v>29.23</v>
      </c>
      <c r="DB161" s="228">
        <v>28.98</v>
      </c>
      <c r="DC161" s="228">
        <v>0.25</v>
      </c>
      <c r="DD161" s="228">
        <v>0.25</v>
      </c>
      <c r="DE161" s="228">
        <v>35.17</v>
      </c>
      <c r="DF161" s="228">
        <v>35.229999999999997</v>
      </c>
      <c r="DG161" s="228">
        <v>-5.94</v>
      </c>
      <c r="DH161" s="228">
        <v>-0.06</v>
      </c>
      <c r="DI161" s="228">
        <v>29.33</v>
      </c>
      <c r="DJ161" s="228">
        <v>30.33</v>
      </c>
      <c r="DK161" s="228">
        <v>-1</v>
      </c>
      <c r="DL161" s="228">
        <v>-1</v>
      </c>
      <c r="DM161" s="228">
        <v>29.03</v>
      </c>
      <c r="DN161" s="228">
        <v>27.08</v>
      </c>
      <c r="DO161" s="228">
        <v>1.95</v>
      </c>
      <c r="DP161" s="228">
        <v>1.95</v>
      </c>
      <c r="DQ161" s="228">
        <v>0.63</v>
      </c>
      <c r="DR161" s="228">
        <v>0.59</v>
      </c>
      <c r="DS161" s="228">
        <v>0.04</v>
      </c>
      <c r="DT161" s="229">
        <v>6.7799999999999999E-2</v>
      </c>
      <c r="DU161" s="228">
        <v>130</v>
      </c>
      <c r="DV161" s="228">
        <v>120</v>
      </c>
      <c r="DW161" s="228">
        <v>0.56999999999999995</v>
      </c>
      <c r="DX161" s="228">
        <v>0.71</v>
      </c>
      <c r="DY161" s="228">
        <v>-0.14000000000000001</v>
      </c>
      <c r="DZ161" s="229">
        <v>-0.19719999999999999</v>
      </c>
      <c r="EA161" s="229">
        <v>0.5504</v>
      </c>
      <c r="EB161" s="230">
        <v>83840000</v>
      </c>
      <c r="EC161" s="229">
        <v>4.8999999999999998E-3</v>
      </c>
      <c r="ED161" s="229">
        <v>0.5504</v>
      </c>
      <c r="EE161" s="228">
        <v>0.64</v>
      </c>
      <c r="EF161" s="229">
        <v>5.1000000000000004E-3</v>
      </c>
      <c r="EG161" s="230">
        <v>5118934</v>
      </c>
      <c r="EH161" s="230">
        <v>5593047</v>
      </c>
      <c r="EI161" s="229">
        <v>-8.48E-2</v>
      </c>
      <c r="EJ161" s="229">
        <v>0.35370000000000001</v>
      </c>
      <c r="EK161" s="231">
        <v>2556.25</v>
      </c>
      <c r="EL161" s="231">
        <v>1368.01</v>
      </c>
      <c r="EM161" s="231">
        <v>1836.34</v>
      </c>
      <c r="EN161" s="228">
        <v>203.45</v>
      </c>
      <c r="EO161" s="231">
        <v>5760.6</v>
      </c>
      <c r="EP161" s="231">
        <v>7433.24</v>
      </c>
      <c r="EQ161" s="231">
        <v>-1672.63</v>
      </c>
      <c r="ER161" s="229">
        <v>-0.22500000000000001</v>
      </c>
      <c r="ES161" s="231">
        <v>1938.4</v>
      </c>
      <c r="ET161" s="231">
        <v>1117.6600000000001</v>
      </c>
      <c r="EU161" s="231">
        <v>3047.44</v>
      </c>
      <c r="EV161" s="231">
        <v>515822637</v>
      </c>
      <c r="EW161" s="231">
        <v>6103.5</v>
      </c>
      <c r="EX161" s="231">
        <v>6249.96</v>
      </c>
      <c r="EY161" s="228">
        <v>-146.46</v>
      </c>
      <c r="EZ161" s="229">
        <v>-2.3400000000000001E-2</v>
      </c>
      <c r="FA161" s="229">
        <v>0.93010000000000004</v>
      </c>
      <c r="FB161" s="227" t="s">
        <v>555</v>
      </c>
      <c r="FC161">
        <f t="shared" si="3"/>
        <v>0</v>
      </c>
    </row>
    <row r="162" spans="1:159" ht="17.25" thickBot="1" x14ac:dyDescent="0.3">
      <c r="A162" s="226">
        <v>46044</v>
      </c>
      <c r="B162" s="227" t="s">
        <v>175</v>
      </c>
      <c r="C162" s="227" t="s">
        <v>670</v>
      </c>
      <c r="D162" s="228">
        <v>650</v>
      </c>
      <c r="E162" s="228">
        <v>5</v>
      </c>
      <c r="F162" s="228">
        <v>859.7</v>
      </c>
      <c r="G162" s="228">
        <v>932.35</v>
      </c>
      <c r="H162" s="228">
        <v>-72.650000000000006</v>
      </c>
      <c r="I162" s="229">
        <v>-7.7899999999999997E-2</v>
      </c>
      <c r="J162" s="228">
        <v>860.25</v>
      </c>
      <c r="K162" s="228">
        <v>930.55</v>
      </c>
      <c r="L162" s="228">
        <v>-70.3</v>
      </c>
      <c r="M162" s="229">
        <v>-7.5499999999999998E-2</v>
      </c>
      <c r="N162" s="228">
        <v>859.7</v>
      </c>
      <c r="O162" s="228">
        <v>932.35</v>
      </c>
      <c r="P162" s="228">
        <v>-72.650000000000006</v>
      </c>
      <c r="Q162" s="229">
        <v>-7.7899999999999997E-2</v>
      </c>
      <c r="R162" s="228">
        <v>863.6</v>
      </c>
      <c r="S162" s="228">
        <v>937.35</v>
      </c>
      <c r="T162" s="228">
        <v>-73.75</v>
      </c>
      <c r="U162" s="229">
        <v>-7.8700000000000006E-2</v>
      </c>
      <c r="V162" s="228">
        <v>869.4</v>
      </c>
      <c r="W162" s="228">
        <v>933.85</v>
      </c>
      <c r="X162" s="228">
        <v>-64.45</v>
      </c>
      <c r="Y162" s="229">
        <v>-6.9000000000000006E-2</v>
      </c>
      <c r="Z162" s="228">
        <v>-0.55000000000000004</v>
      </c>
      <c r="AA162" s="228">
        <v>1.8</v>
      </c>
      <c r="AB162" s="228">
        <v>-2.35</v>
      </c>
      <c r="AC162" s="229">
        <v>-5.9999999999999995E-4</v>
      </c>
      <c r="AD162" s="228">
        <v>-0.55000000000000004</v>
      </c>
      <c r="AE162" s="228">
        <v>1.8</v>
      </c>
      <c r="AF162" s="228">
        <v>-2.35</v>
      </c>
      <c r="AG162" s="229">
        <v>-5.9999999999999995E-4</v>
      </c>
      <c r="AH162" s="228">
        <v>3.35</v>
      </c>
      <c r="AI162" s="228">
        <v>6.8</v>
      </c>
      <c r="AJ162" s="228">
        <v>-3.45</v>
      </c>
      <c r="AK162" s="229">
        <v>3.8999999999999998E-3</v>
      </c>
      <c r="AL162" s="228">
        <v>9.15</v>
      </c>
      <c r="AM162" s="228">
        <v>3.3</v>
      </c>
      <c r="AN162" s="228">
        <v>5.85</v>
      </c>
      <c r="AO162" s="229">
        <v>1.06E-2</v>
      </c>
      <c r="AP162" s="228">
        <v>863.4</v>
      </c>
      <c r="AQ162" s="228">
        <v>868.78</v>
      </c>
      <c r="AR162" s="228">
        <v>0</v>
      </c>
      <c r="AS162" s="230">
        <v>1800</v>
      </c>
      <c r="AT162" s="228">
        <v>647</v>
      </c>
      <c r="AU162" s="230">
        <v>1154</v>
      </c>
      <c r="AV162" s="229">
        <v>1.7838000000000001</v>
      </c>
      <c r="AW162" s="228">
        <v>929</v>
      </c>
      <c r="AX162" s="228">
        <v>399</v>
      </c>
      <c r="AY162" s="228">
        <v>530</v>
      </c>
      <c r="AZ162" s="229">
        <v>1.3279000000000001</v>
      </c>
      <c r="BA162" s="228">
        <v>866</v>
      </c>
      <c r="BB162" s="228">
        <v>247</v>
      </c>
      <c r="BC162" s="228">
        <v>618</v>
      </c>
      <c r="BD162" s="229">
        <v>2.4984999999999999</v>
      </c>
      <c r="BE162" s="228">
        <v>6</v>
      </c>
      <c r="BF162" s="228">
        <v>0</v>
      </c>
      <c r="BG162" s="228">
        <v>5</v>
      </c>
      <c r="BH162" s="229">
        <v>19.600000000000001</v>
      </c>
      <c r="BI162" s="230">
        <v>3238</v>
      </c>
      <c r="BJ162" s="228">
        <v>902</v>
      </c>
      <c r="BK162" s="230">
        <v>2336</v>
      </c>
      <c r="BL162" s="229">
        <v>2.5880999999999998</v>
      </c>
      <c r="BM162" s="230">
        <v>3494</v>
      </c>
      <c r="BN162" s="228">
        <v>616</v>
      </c>
      <c r="BO162" s="230">
        <v>2878</v>
      </c>
      <c r="BP162" s="229">
        <v>4.6742999999999997</v>
      </c>
      <c r="BQ162" s="230">
        <v>8532</v>
      </c>
      <c r="BR162" s="230">
        <v>2165</v>
      </c>
      <c r="BS162" s="230">
        <v>6367</v>
      </c>
      <c r="BT162" s="229">
        <v>2.9411999999999998</v>
      </c>
      <c r="BU162" s="230">
        <v>7947132</v>
      </c>
      <c r="BV162" s="230">
        <v>904861</v>
      </c>
      <c r="BW162" s="230">
        <v>7042271</v>
      </c>
      <c r="BX162" s="229">
        <v>7.7827000000000002</v>
      </c>
      <c r="BY162" s="230">
        <v>1306</v>
      </c>
      <c r="BZ162" s="230">
        <v>1168</v>
      </c>
      <c r="CA162" s="228">
        <v>138</v>
      </c>
      <c r="CB162" s="229">
        <v>0.1179</v>
      </c>
      <c r="CC162" s="228">
        <v>640</v>
      </c>
      <c r="CD162" s="228">
        <v>965</v>
      </c>
      <c r="CE162" s="228">
        <v>-325</v>
      </c>
      <c r="CF162" s="229">
        <v>-0.3367</v>
      </c>
      <c r="CG162" s="228">
        <v>661</v>
      </c>
      <c r="CH162" s="228">
        <v>201</v>
      </c>
      <c r="CI162" s="228">
        <v>460</v>
      </c>
      <c r="CJ162" s="229">
        <v>2.2892999999999999</v>
      </c>
      <c r="CK162" s="228">
        <v>5</v>
      </c>
      <c r="CL162" s="228">
        <v>3</v>
      </c>
      <c r="CM162" s="228">
        <v>3</v>
      </c>
      <c r="CN162" s="229">
        <v>0.92</v>
      </c>
      <c r="CO162" s="228">
        <v>484</v>
      </c>
      <c r="CP162" s="228">
        <v>270</v>
      </c>
      <c r="CQ162" s="228">
        <v>214</v>
      </c>
      <c r="CR162" s="229">
        <v>0.79269999999999996</v>
      </c>
      <c r="CS162" s="228">
        <v>339</v>
      </c>
      <c r="CT162" s="228">
        <v>202</v>
      </c>
      <c r="CU162" s="228">
        <v>137</v>
      </c>
      <c r="CV162" s="229">
        <v>0.67859999999999998</v>
      </c>
      <c r="CW162" s="230">
        <v>2129</v>
      </c>
      <c r="CX162" s="230">
        <v>1640</v>
      </c>
      <c r="CY162" s="228">
        <v>489</v>
      </c>
      <c r="CZ162" s="229">
        <v>0.2979</v>
      </c>
      <c r="DA162" s="228">
        <v>37.35</v>
      </c>
      <c r="DB162" s="228">
        <v>52.66</v>
      </c>
      <c r="DC162" s="228">
        <v>-15.31</v>
      </c>
      <c r="DD162" s="228">
        <v>-15.31</v>
      </c>
      <c r="DE162" s="228">
        <v>46.1</v>
      </c>
      <c r="DF162" s="228">
        <v>44.98</v>
      </c>
      <c r="DG162" s="228">
        <v>-8.75</v>
      </c>
      <c r="DH162" s="228">
        <v>1.1200000000000001</v>
      </c>
      <c r="DI162" s="228">
        <v>36.65</v>
      </c>
      <c r="DJ162" s="228">
        <v>50.84</v>
      </c>
      <c r="DK162" s="228">
        <v>-14.19</v>
      </c>
      <c r="DL162" s="228">
        <v>-14.19</v>
      </c>
      <c r="DM162" s="228">
        <v>38.31</v>
      </c>
      <c r="DN162" s="228">
        <v>55.32</v>
      </c>
      <c r="DO162" s="228">
        <v>-17.010000000000002</v>
      </c>
      <c r="DP162" s="228">
        <v>-17.010000000000002</v>
      </c>
      <c r="DQ162" s="228">
        <v>0.7</v>
      </c>
      <c r="DR162" s="228">
        <v>0.75</v>
      </c>
      <c r="DS162" s="228">
        <v>-0.05</v>
      </c>
      <c r="DT162" s="229">
        <v>-6.6699999999999995E-2</v>
      </c>
      <c r="DU162" s="228">
        <v>900</v>
      </c>
      <c r="DV162" s="228">
        <v>860</v>
      </c>
      <c r="DW162" s="228">
        <v>1.08</v>
      </c>
      <c r="DX162" s="228">
        <v>0.68</v>
      </c>
      <c r="DY162" s="228">
        <v>0.4</v>
      </c>
      <c r="DZ162" s="229">
        <v>0.58819999999999995</v>
      </c>
      <c r="EA162" s="229">
        <v>0.5101</v>
      </c>
      <c r="EB162" s="230">
        <v>2369250</v>
      </c>
      <c r="EC162" s="229">
        <v>4.4999999999999997E-3</v>
      </c>
      <c r="ED162" s="229">
        <v>0.5101</v>
      </c>
      <c r="EE162" s="228">
        <v>5.38</v>
      </c>
      <c r="EF162" s="229">
        <v>6.1999999999999998E-3</v>
      </c>
      <c r="EG162" s="230">
        <v>2529554</v>
      </c>
      <c r="EH162" s="230">
        <v>338080</v>
      </c>
      <c r="EI162" s="229">
        <v>6.4821</v>
      </c>
      <c r="EJ162" s="229">
        <v>0.31830000000000003</v>
      </c>
      <c r="EK162" s="231">
        <v>3463.03</v>
      </c>
      <c r="EL162" s="231">
        <v>3523.56</v>
      </c>
      <c r="EM162" s="231">
        <v>1813.54</v>
      </c>
      <c r="EN162" s="228">
        <v>47.19</v>
      </c>
      <c r="EO162" s="231">
        <v>8800.1299999999992</v>
      </c>
      <c r="EP162" s="231">
        <v>2406.15</v>
      </c>
      <c r="EQ162" s="231">
        <v>6393.98</v>
      </c>
      <c r="ER162" s="229">
        <v>2.6573000000000002</v>
      </c>
      <c r="ES162" s="228">
        <v>533.34</v>
      </c>
      <c r="ET162" s="228">
        <v>344.02</v>
      </c>
      <c r="EU162" s="231">
        <v>1309.04</v>
      </c>
      <c r="EV162" s="231">
        <v>28118603</v>
      </c>
      <c r="EW162" s="231">
        <v>2186.4</v>
      </c>
      <c r="EX162" s="231">
        <v>1796.66</v>
      </c>
      <c r="EY162" s="228">
        <v>389.74</v>
      </c>
      <c r="EZ162" s="229">
        <v>0.21690000000000001</v>
      </c>
      <c r="FA162" s="229">
        <v>0.88060000000000005</v>
      </c>
      <c r="FB162" s="227" t="s">
        <v>567</v>
      </c>
      <c r="FC162">
        <f t="shared" si="3"/>
        <v>0</v>
      </c>
    </row>
    <row r="163" spans="1:159" ht="17.25" thickBot="1" x14ac:dyDescent="0.3">
      <c r="A163" s="226">
        <v>46044</v>
      </c>
      <c r="B163" s="227" t="s">
        <v>615</v>
      </c>
      <c r="C163" s="227" t="s">
        <v>573</v>
      </c>
      <c r="D163" s="228">
        <v>350</v>
      </c>
      <c r="E163" s="228">
        <v>5</v>
      </c>
      <c r="F163" s="231">
        <v>1713.9</v>
      </c>
      <c r="G163" s="231">
        <v>1662.2</v>
      </c>
      <c r="H163" s="228">
        <v>51.7</v>
      </c>
      <c r="I163" s="229">
        <v>3.1099999999999999E-2</v>
      </c>
      <c r="J163" s="231">
        <v>1714.6</v>
      </c>
      <c r="K163" s="231">
        <v>1663.7</v>
      </c>
      <c r="L163" s="228">
        <v>50.9</v>
      </c>
      <c r="M163" s="229">
        <v>3.0599999999999999E-2</v>
      </c>
      <c r="N163" s="231">
        <v>1713.9</v>
      </c>
      <c r="O163" s="231">
        <v>1662.2</v>
      </c>
      <c r="P163" s="228">
        <v>51.7</v>
      </c>
      <c r="Q163" s="229">
        <v>3.1099999999999999E-2</v>
      </c>
      <c r="R163" s="231">
        <v>1720.9</v>
      </c>
      <c r="S163" s="231">
        <v>1670.4</v>
      </c>
      <c r="T163" s="228">
        <v>50.5</v>
      </c>
      <c r="U163" s="229">
        <v>3.0200000000000001E-2</v>
      </c>
      <c r="V163" s="231">
        <v>1731.6</v>
      </c>
      <c r="W163" s="231">
        <v>1644.8</v>
      </c>
      <c r="X163" s="228">
        <v>86.8</v>
      </c>
      <c r="Y163" s="229">
        <v>5.28E-2</v>
      </c>
      <c r="Z163" s="228">
        <v>-0.7</v>
      </c>
      <c r="AA163" s="228">
        <v>-1.5</v>
      </c>
      <c r="AB163" s="228">
        <v>0.8</v>
      </c>
      <c r="AC163" s="229">
        <v>-4.0000000000000002E-4</v>
      </c>
      <c r="AD163" s="228">
        <v>-0.7</v>
      </c>
      <c r="AE163" s="228">
        <v>-1.5</v>
      </c>
      <c r="AF163" s="228">
        <v>0.8</v>
      </c>
      <c r="AG163" s="229">
        <v>-4.0000000000000002E-4</v>
      </c>
      <c r="AH163" s="228">
        <v>6.3</v>
      </c>
      <c r="AI163" s="228">
        <v>6.7</v>
      </c>
      <c r="AJ163" s="228">
        <v>-0.4</v>
      </c>
      <c r="AK163" s="229">
        <v>3.7000000000000002E-3</v>
      </c>
      <c r="AL163" s="228">
        <v>17</v>
      </c>
      <c r="AM163" s="228">
        <v>-18.899999999999999</v>
      </c>
      <c r="AN163" s="228">
        <v>35.9</v>
      </c>
      <c r="AO163" s="229">
        <v>9.9000000000000008E-3</v>
      </c>
      <c r="AP163" s="231">
        <v>1697.35</v>
      </c>
      <c r="AQ163" s="231">
        <v>1705.23</v>
      </c>
      <c r="AR163" s="228">
        <v>0</v>
      </c>
      <c r="AS163" s="230">
        <v>1226</v>
      </c>
      <c r="AT163" s="228">
        <v>802</v>
      </c>
      <c r="AU163" s="228">
        <v>424</v>
      </c>
      <c r="AV163" s="229">
        <v>0.52939999999999998</v>
      </c>
      <c r="AW163" s="228">
        <v>606</v>
      </c>
      <c r="AX163" s="228">
        <v>448</v>
      </c>
      <c r="AY163" s="228">
        <v>158</v>
      </c>
      <c r="AZ163" s="229">
        <v>0.35349999999999998</v>
      </c>
      <c r="BA163" s="228">
        <v>619</v>
      </c>
      <c r="BB163" s="228">
        <v>354</v>
      </c>
      <c r="BC163" s="228">
        <v>265</v>
      </c>
      <c r="BD163" s="229">
        <v>0.74929999999999997</v>
      </c>
      <c r="BE163" s="228">
        <v>1</v>
      </c>
      <c r="BF163" s="228">
        <v>0</v>
      </c>
      <c r="BG163" s="228">
        <v>1</v>
      </c>
      <c r="BH163" s="229">
        <v>4</v>
      </c>
      <c r="BI163" s="228">
        <v>688</v>
      </c>
      <c r="BJ163" s="228">
        <v>513</v>
      </c>
      <c r="BK163" s="228">
        <v>175</v>
      </c>
      <c r="BL163" s="229">
        <v>0.34060000000000001</v>
      </c>
      <c r="BM163" s="228">
        <v>301</v>
      </c>
      <c r="BN163" s="228">
        <v>337</v>
      </c>
      <c r="BO163" s="228">
        <v>-35</v>
      </c>
      <c r="BP163" s="229">
        <v>-0.1047</v>
      </c>
      <c r="BQ163" s="230">
        <v>2216</v>
      </c>
      <c r="BR163" s="230">
        <v>1652</v>
      </c>
      <c r="BS163" s="228">
        <v>564</v>
      </c>
      <c r="BT163" s="229">
        <v>0.34139999999999998</v>
      </c>
      <c r="BU163" s="230">
        <v>1505594</v>
      </c>
      <c r="BV163" s="230">
        <v>1050994</v>
      </c>
      <c r="BW163" s="230">
        <v>454600</v>
      </c>
      <c r="BX163" s="229">
        <v>0.4325</v>
      </c>
      <c r="BY163" s="230">
        <v>1276</v>
      </c>
      <c r="BZ163" s="230">
        <v>1252</v>
      </c>
      <c r="CA163" s="228">
        <v>24</v>
      </c>
      <c r="CB163" s="229">
        <v>1.89E-2</v>
      </c>
      <c r="CC163" s="228">
        <v>646</v>
      </c>
      <c r="CD163" s="228">
        <v>980</v>
      </c>
      <c r="CE163" s="228">
        <v>-333</v>
      </c>
      <c r="CF163" s="229">
        <v>-0.34010000000000001</v>
      </c>
      <c r="CG163" s="228">
        <v>624</v>
      </c>
      <c r="CH163" s="228">
        <v>266</v>
      </c>
      <c r="CI163" s="228">
        <v>357</v>
      </c>
      <c r="CJ163" s="229">
        <v>1.3411999999999999</v>
      </c>
      <c r="CK163" s="228">
        <v>6</v>
      </c>
      <c r="CL163" s="228">
        <v>6</v>
      </c>
      <c r="CM163" s="228">
        <v>0</v>
      </c>
      <c r="CN163" s="229">
        <v>-5.9400000000000001E-2</v>
      </c>
      <c r="CO163" s="228">
        <v>369</v>
      </c>
      <c r="CP163" s="228">
        <v>470</v>
      </c>
      <c r="CQ163" s="228">
        <v>-101</v>
      </c>
      <c r="CR163" s="229">
        <v>-0.2147</v>
      </c>
      <c r="CS163" s="228">
        <v>227</v>
      </c>
      <c r="CT163" s="228">
        <v>256</v>
      </c>
      <c r="CU163" s="228">
        <v>-29</v>
      </c>
      <c r="CV163" s="229">
        <v>-0.1119</v>
      </c>
      <c r="CW163" s="230">
        <v>1872</v>
      </c>
      <c r="CX163" s="230">
        <v>1978</v>
      </c>
      <c r="CY163" s="228">
        <v>-106</v>
      </c>
      <c r="CZ163" s="229">
        <v>-5.3499999999999999E-2</v>
      </c>
      <c r="DA163" s="228">
        <v>36.93</v>
      </c>
      <c r="DB163" s="228">
        <v>30.9</v>
      </c>
      <c r="DC163" s="228">
        <v>6.03</v>
      </c>
      <c r="DD163" s="228">
        <v>6.03</v>
      </c>
      <c r="DE163" s="228">
        <v>45.68</v>
      </c>
      <c r="DF163" s="228">
        <v>45.61</v>
      </c>
      <c r="DG163" s="228">
        <v>-8.75</v>
      </c>
      <c r="DH163" s="228">
        <v>7.0000000000000007E-2</v>
      </c>
      <c r="DI163" s="228">
        <v>36.75</v>
      </c>
      <c r="DJ163" s="228">
        <v>31.16</v>
      </c>
      <c r="DK163" s="228">
        <v>5.59</v>
      </c>
      <c r="DL163" s="228">
        <v>5.59</v>
      </c>
      <c r="DM163" s="228">
        <v>37.21</v>
      </c>
      <c r="DN163" s="228">
        <v>30.51</v>
      </c>
      <c r="DO163" s="228">
        <v>6.7</v>
      </c>
      <c r="DP163" s="228">
        <v>6.7</v>
      </c>
      <c r="DQ163" s="228">
        <v>0.62</v>
      </c>
      <c r="DR163" s="228">
        <v>0.54</v>
      </c>
      <c r="DS163" s="228">
        <v>0.08</v>
      </c>
      <c r="DT163" s="229">
        <v>0.14810000000000001</v>
      </c>
      <c r="DU163" s="231">
        <v>1900</v>
      </c>
      <c r="DV163" s="231">
        <v>1740</v>
      </c>
      <c r="DW163" s="228">
        <v>0.44</v>
      </c>
      <c r="DX163" s="228">
        <v>0.66</v>
      </c>
      <c r="DY163" s="228">
        <v>-0.22</v>
      </c>
      <c r="DZ163" s="229">
        <v>-0.33329999999999999</v>
      </c>
      <c r="EA163" s="229">
        <v>0.49330000000000002</v>
      </c>
      <c r="EB163" s="230">
        <v>1589350</v>
      </c>
      <c r="EC163" s="229">
        <v>4.1000000000000003E-3</v>
      </c>
      <c r="ED163" s="229">
        <v>0.49330000000000002</v>
      </c>
      <c r="EE163" s="228">
        <v>7.88</v>
      </c>
      <c r="EF163" s="229">
        <v>4.5999999999999999E-3</v>
      </c>
      <c r="EG163" s="230">
        <v>904124</v>
      </c>
      <c r="EH163" s="230">
        <v>491047</v>
      </c>
      <c r="EI163" s="229">
        <v>0.84119999999999995</v>
      </c>
      <c r="EJ163" s="229">
        <v>0.60050000000000003</v>
      </c>
      <c r="EK163" s="228">
        <v>708.61</v>
      </c>
      <c r="EL163" s="228">
        <v>292.97000000000003</v>
      </c>
      <c r="EM163" s="231">
        <v>1217.26</v>
      </c>
      <c r="EN163" s="228">
        <v>67.97</v>
      </c>
      <c r="EO163" s="231">
        <v>2218.84</v>
      </c>
      <c r="EP163" s="231">
        <v>1613.13</v>
      </c>
      <c r="EQ163" s="228">
        <v>605.70000000000005</v>
      </c>
      <c r="ER163" s="229">
        <v>0.3755</v>
      </c>
      <c r="ES163" s="228">
        <v>393.95</v>
      </c>
      <c r="ET163" s="228">
        <v>225.57</v>
      </c>
      <c r="EU163" s="231">
        <v>1278.3399999999999</v>
      </c>
      <c r="EV163" s="231">
        <v>60642005</v>
      </c>
      <c r="EW163" s="231">
        <v>1897.85</v>
      </c>
      <c r="EX163" s="231">
        <v>1968.07</v>
      </c>
      <c r="EY163" s="228">
        <v>-70.22</v>
      </c>
      <c r="EZ163" s="229">
        <v>-3.5700000000000003E-2</v>
      </c>
      <c r="FA163" s="229">
        <v>0.18010000000000001</v>
      </c>
      <c r="FB163" s="227" t="s">
        <v>555</v>
      </c>
      <c r="FC163">
        <f t="shared" si="3"/>
        <v>0</v>
      </c>
    </row>
    <row r="164" spans="1:159" ht="17.25" thickBot="1" x14ac:dyDescent="0.3">
      <c r="A164" s="226">
        <v>46044</v>
      </c>
      <c r="B164" s="227" t="s">
        <v>184</v>
      </c>
      <c r="C164" s="227" t="s">
        <v>519</v>
      </c>
      <c r="D164" s="228">
        <v>125</v>
      </c>
      <c r="E164" s="228">
        <v>5</v>
      </c>
      <c r="F164" s="231">
        <v>7014.5</v>
      </c>
      <c r="G164" s="231">
        <v>6973.5</v>
      </c>
      <c r="H164" s="228">
        <v>41</v>
      </c>
      <c r="I164" s="229">
        <v>5.8999999999999999E-3</v>
      </c>
      <c r="J164" s="231">
        <v>6999</v>
      </c>
      <c r="K164" s="231">
        <v>6975</v>
      </c>
      <c r="L164" s="228">
        <v>24</v>
      </c>
      <c r="M164" s="229">
        <v>3.3999999999999998E-3</v>
      </c>
      <c r="N164" s="231">
        <v>7014.5</v>
      </c>
      <c r="O164" s="231">
        <v>6973.5</v>
      </c>
      <c r="P164" s="228">
        <v>41</v>
      </c>
      <c r="Q164" s="229">
        <v>5.8999999999999999E-3</v>
      </c>
      <c r="R164" s="231">
        <v>7051</v>
      </c>
      <c r="S164" s="231">
        <v>7009</v>
      </c>
      <c r="T164" s="228">
        <v>42</v>
      </c>
      <c r="U164" s="229">
        <v>6.0000000000000001E-3</v>
      </c>
      <c r="V164" s="231">
        <v>7085.5</v>
      </c>
      <c r="W164" s="231">
        <v>7040.5</v>
      </c>
      <c r="X164" s="228">
        <v>45</v>
      </c>
      <c r="Y164" s="229">
        <v>6.4000000000000003E-3</v>
      </c>
      <c r="Z164" s="228">
        <v>15.5</v>
      </c>
      <c r="AA164" s="228">
        <v>-1.5</v>
      </c>
      <c r="AB164" s="228">
        <v>17</v>
      </c>
      <c r="AC164" s="229">
        <v>2.2000000000000001E-3</v>
      </c>
      <c r="AD164" s="228">
        <v>15.5</v>
      </c>
      <c r="AE164" s="228">
        <v>-1.5</v>
      </c>
      <c r="AF164" s="228">
        <v>17</v>
      </c>
      <c r="AG164" s="229">
        <v>2.2000000000000001E-3</v>
      </c>
      <c r="AH164" s="228">
        <v>52</v>
      </c>
      <c r="AI164" s="228">
        <v>34</v>
      </c>
      <c r="AJ164" s="228">
        <v>18</v>
      </c>
      <c r="AK164" s="229">
        <v>7.4000000000000003E-3</v>
      </c>
      <c r="AL164" s="228">
        <v>86.5</v>
      </c>
      <c r="AM164" s="228">
        <v>65.5</v>
      </c>
      <c r="AN164" s="228">
        <v>21</v>
      </c>
      <c r="AO164" s="229">
        <v>1.24E-2</v>
      </c>
      <c r="AP164" s="231">
        <v>7036.33</v>
      </c>
      <c r="AQ164" s="231">
        <v>7073</v>
      </c>
      <c r="AR164" s="228">
        <v>0</v>
      </c>
      <c r="AS164" s="230">
        <v>2247</v>
      </c>
      <c r="AT164" s="230">
        <v>2066</v>
      </c>
      <c r="AU164" s="228">
        <v>181</v>
      </c>
      <c r="AV164" s="229">
        <v>8.7800000000000003E-2</v>
      </c>
      <c r="AW164" s="230">
        <v>1107</v>
      </c>
      <c r="AX164" s="230">
        <v>1114</v>
      </c>
      <c r="AY164" s="228">
        <v>-8</v>
      </c>
      <c r="AZ164" s="229">
        <v>-6.7999999999999996E-3</v>
      </c>
      <c r="BA164" s="230">
        <v>1130</v>
      </c>
      <c r="BB164" s="228">
        <v>940</v>
      </c>
      <c r="BC164" s="228">
        <v>190</v>
      </c>
      <c r="BD164" s="229">
        <v>0.20230000000000001</v>
      </c>
      <c r="BE164" s="228">
        <v>10</v>
      </c>
      <c r="BF164" s="228">
        <v>11</v>
      </c>
      <c r="BG164" s="228">
        <v>-1</v>
      </c>
      <c r="BH164" s="229">
        <v>-0.1069</v>
      </c>
      <c r="BI164" s="230">
        <v>2717</v>
      </c>
      <c r="BJ164" s="230">
        <v>5228</v>
      </c>
      <c r="BK164" s="230">
        <v>-2512</v>
      </c>
      <c r="BL164" s="229">
        <v>-0.48039999999999999</v>
      </c>
      <c r="BM164" s="230">
        <v>1295</v>
      </c>
      <c r="BN164" s="230">
        <v>3559</v>
      </c>
      <c r="BO164" s="230">
        <v>-2264</v>
      </c>
      <c r="BP164" s="229">
        <v>-0.6361</v>
      </c>
      <c r="BQ164" s="230">
        <v>6259</v>
      </c>
      <c r="BR164" s="230">
        <v>10853</v>
      </c>
      <c r="BS164" s="230">
        <v>-4594</v>
      </c>
      <c r="BT164" s="229">
        <v>-0.42330000000000001</v>
      </c>
      <c r="BU164" s="230">
        <v>465480</v>
      </c>
      <c r="BV164" s="230">
        <v>804693</v>
      </c>
      <c r="BW164" s="230">
        <v>-339213</v>
      </c>
      <c r="BX164" s="229">
        <v>-0.42149999999999999</v>
      </c>
      <c r="BY164" s="230">
        <v>2718</v>
      </c>
      <c r="BZ164" s="230">
        <v>2779</v>
      </c>
      <c r="CA164" s="228">
        <v>-62</v>
      </c>
      <c r="CB164" s="229">
        <v>-2.2200000000000001E-2</v>
      </c>
      <c r="CC164" s="230">
        <v>1180</v>
      </c>
      <c r="CD164" s="230">
        <v>2032</v>
      </c>
      <c r="CE164" s="228">
        <v>-852</v>
      </c>
      <c r="CF164" s="229">
        <v>-0.41930000000000001</v>
      </c>
      <c r="CG164" s="230">
        <v>1517</v>
      </c>
      <c r="CH164" s="228">
        <v>731</v>
      </c>
      <c r="CI164" s="228">
        <v>786</v>
      </c>
      <c r="CJ164" s="229">
        <v>1.0754999999999999</v>
      </c>
      <c r="CK164" s="228">
        <v>21</v>
      </c>
      <c r="CL164" s="228">
        <v>16</v>
      </c>
      <c r="CM164" s="228">
        <v>4</v>
      </c>
      <c r="CN164" s="229">
        <v>0.2757</v>
      </c>
      <c r="CO164" s="230">
        <v>1806</v>
      </c>
      <c r="CP164" s="230">
        <v>1873</v>
      </c>
      <c r="CQ164" s="228">
        <v>-67</v>
      </c>
      <c r="CR164" s="229">
        <v>-3.56E-2</v>
      </c>
      <c r="CS164" s="228">
        <v>771</v>
      </c>
      <c r="CT164" s="228">
        <v>793</v>
      </c>
      <c r="CU164" s="228">
        <v>-21</v>
      </c>
      <c r="CV164" s="229">
        <v>-2.7099999999999999E-2</v>
      </c>
      <c r="CW164" s="230">
        <v>5295</v>
      </c>
      <c r="CX164" s="230">
        <v>5445</v>
      </c>
      <c r="CY164" s="228">
        <v>-150</v>
      </c>
      <c r="CZ164" s="229">
        <v>-2.75E-2</v>
      </c>
      <c r="DA164" s="228">
        <v>30.5</v>
      </c>
      <c r="DB164" s="228">
        <v>29.67</v>
      </c>
      <c r="DC164" s="228">
        <v>0.83</v>
      </c>
      <c r="DD164" s="228">
        <v>0.83</v>
      </c>
      <c r="DE164" s="228">
        <v>38.86</v>
      </c>
      <c r="DF164" s="228">
        <v>38.950000000000003</v>
      </c>
      <c r="DG164" s="228">
        <v>-8.36</v>
      </c>
      <c r="DH164" s="228">
        <v>-0.09</v>
      </c>
      <c r="DI164" s="228">
        <v>30.04</v>
      </c>
      <c r="DJ164" s="228">
        <v>30.92</v>
      </c>
      <c r="DK164" s="228">
        <v>-0.88</v>
      </c>
      <c r="DL164" s="228">
        <v>-0.88</v>
      </c>
      <c r="DM164" s="228">
        <v>31.47</v>
      </c>
      <c r="DN164" s="228">
        <v>27.84</v>
      </c>
      <c r="DO164" s="228">
        <v>3.63</v>
      </c>
      <c r="DP164" s="228">
        <v>3.63</v>
      </c>
      <c r="DQ164" s="228">
        <v>0.43</v>
      </c>
      <c r="DR164" s="228">
        <v>0.42</v>
      </c>
      <c r="DS164" s="228">
        <v>0.01</v>
      </c>
      <c r="DT164" s="229">
        <v>2.3800000000000002E-2</v>
      </c>
      <c r="DU164" s="231">
        <v>7200</v>
      </c>
      <c r="DV164" s="231">
        <v>6900</v>
      </c>
      <c r="DW164" s="228">
        <v>0.48</v>
      </c>
      <c r="DX164" s="228">
        <v>0.68</v>
      </c>
      <c r="DY164" s="228">
        <v>-0.2</v>
      </c>
      <c r="DZ164" s="229">
        <v>-0.29409999999999997</v>
      </c>
      <c r="EA164" s="229">
        <v>0.56579999999999997</v>
      </c>
      <c r="EB164" s="230">
        <v>1065000</v>
      </c>
      <c r="EC164" s="229">
        <v>5.1999999999999998E-3</v>
      </c>
      <c r="ED164" s="229">
        <v>0.56579999999999997</v>
      </c>
      <c r="EE164" s="228">
        <v>36.67</v>
      </c>
      <c r="EF164" s="229">
        <v>5.1999999999999998E-3</v>
      </c>
      <c r="EG164" s="230">
        <v>203102</v>
      </c>
      <c r="EH164" s="230">
        <v>342571</v>
      </c>
      <c r="EI164" s="229">
        <v>-0.40710000000000002</v>
      </c>
      <c r="EJ164" s="229">
        <v>0.43630000000000002</v>
      </c>
      <c r="EK164" s="231">
        <v>2865.73</v>
      </c>
      <c r="EL164" s="231">
        <v>1271.1500000000001</v>
      </c>
      <c r="EM164" s="231">
        <v>2259.9499999999998</v>
      </c>
      <c r="EN164" s="228">
        <v>196.82</v>
      </c>
      <c r="EO164" s="231">
        <v>6396.84</v>
      </c>
      <c r="EP164" s="231">
        <v>11065.45</v>
      </c>
      <c r="EQ164" s="231">
        <v>-4668.6099999999997</v>
      </c>
      <c r="ER164" s="229">
        <v>-0.4219</v>
      </c>
      <c r="ES164" s="231">
        <v>1954.24</v>
      </c>
      <c r="ET164" s="228">
        <v>775</v>
      </c>
      <c r="EU164" s="231">
        <v>2725.61</v>
      </c>
      <c r="EV164" s="231">
        <v>8688405</v>
      </c>
      <c r="EW164" s="231">
        <v>5454.85</v>
      </c>
      <c r="EX164" s="231">
        <v>5594.36</v>
      </c>
      <c r="EY164" s="228">
        <v>-139.51</v>
      </c>
      <c r="EZ164" s="229">
        <v>-2.4899999999999999E-2</v>
      </c>
      <c r="FA164" s="229">
        <v>0.86880000000000002</v>
      </c>
      <c r="FB164" s="227" t="s">
        <v>556</v>
      </c>
      <c r="FC164">
        <f t="shared" si="3"/>
        <v>0</v>
      </c>
    </row>
    <row r="165" spans="1:159" ht="17.25" thickBot="1" x14ac:dyDescent="0.3">
      <c r="A165" s="226">
        <v>46044</v>
      </c>
      <c r="B165" s="227" t="s">
        <v>161</v>
      </c>
      <c r="C165" s="227" t="s">
        <v>276</v>
      </c>
      <c r="D165" s="228">
        <v>1900</v>
      </c>
      <c r="E165" s="228">
        <v>5</v>
      </c>
      <c r="F165" s="228">
        <v>259.14999999999998</v>
      </c>
      <c r="G165" s="228">
        <v>255.65</v>
      </c>
      <c r="H165" s="228">
        <v>3.5</v>
      </c>
      <c r="I165" s="229">
        <v>1.37E-2</v>
      </c>
      <c r="J165" s="228">
        <v>259.25</v>
      </c>
      <c r="K165" s="228">
        <v>255.8</v>
      </c>
      <c r="L165" s="228">
        <v>3.45</v>
      </c>
      <c r="M165" s="229">
        <v>1.35E-2</v>
      </c>
      <c r="N165" s="228">
        <v>259.14999999999998</v>
      </c>
      <c r="O165" s="228">
        <v>255.65</v>
      </c>
      <c r="P165" s="228">
        <v>3.5</v>
      </c>
      <c r="Q165" s="229">
        <v>1.37E-2</v>
      </c>
      <c r="R165" s="228">
        <v>257.2</v>
      </c>
      <c r="S165" s="228">
        <v>253.6</v>
      </c>
      <c r="T165" s="228">
        <v>3.6</v>
      </c>
      <c r="U165" s="229">
        <v>1.4200000000000001E-2</v>
      </c>
      <c r="V165" s="228">
        <v>258.55</v>
      </c>
      <c r="W165" s="228">
        <v>255.15</v>
      </c>
      <c r="X165" s="228">
        <v>3.4</v>
      </c>
      <c r="Y165" s="229">
        <v>1.3299999999999999E-2</v>
      </c>
      <c r="Z165" s="228">
        <v>-0.1</v>
      </c>
      <c r="AA165" s="228">
        <v>-0.15</v>
      </c>
      <c r="AB165" s="228">
        <v>0.05</v>
      </c>
      <c r="AC165" s="229">
        <v>-4.0000000000000002E-4</v>
      </c>
      <c r="AD165" s="228">
        <v>-0.1</v>
      </c>
      <c r="AE165" s="228">
        <v>-0.15</v>
      </c>
      <c r="AF165" s="228">
        <v>0.05</v>
      </c>
      <c r="AG165" s="229">
        <v>-4.0000000000000002E-4</v>
      </c>
      <c r="AH165" s="228">
        <v>-2.0499999999999998</v>
      </c>
      <c r="AI165" s="228">
        <v>-2.2000000000000002</v>
      </c>
      <c r="AJ165" s="228">
        <v>0.15</v>
      </c>
      <c r="AK165" s="229">
        <v>-7.9000000000000008E-3</v>
      </c>
      <c r="AL165" s="228">
        <v>-0.7</v>
      </c>
      <c r="AM165" s="228">
        <v>-0.65</v>
      </c>
      <c r="AN165" s="228">
        <v>-0.05</v>
      </c>
      <c r="AO165" s="229">
        <v>-2.7000000000000001E-3</v>
      </c>
      <c r="AP165" s="228">
        <v>257.29000000000002</v>
      </c>
      <c r="AQ165" s="228">
        <v>255.24</v>
      </c>
      <c r="AR165" s="228">
        <v>0</v>
      </c>
      <c r="AS165" s="230">
        <v>1041</v>
      </c>
      <c r="AT165" s="230">
        <v>1100</v>
      </c>
      <c r="AU165" s="228">
        <v>-58</v>
      </c>
      <c r="AV165" s="229">
        <v>-5.3199999999999997E-2</v>
      </c>
      <c r="AW165" s="228">
        <v>541</v>
      </c>
      <c r="AX165" s="228">
        <v>621</v>
      </c>
      <c r="AY165" s="228">
        <v>-80</v>
      </c>
      <c r="AZ165" s="229">
        <v>-0.129</v>
      </c>
      <c r="BA165" s="228">
        <v>495</v>
      </c>
      <c r="BB165" s="228">
        <v>472</v>
      </c>
      <c r="BC165" s="228">
        <v>23</v>
      </c>
      <c r="BD165" s="229">
        <v>4.8800000000000003E-2</v>
      </c>
      <c r="BE165" s="228">
        <v>5</v>
      </c>
      <c r="BF165" s="228">
        <v>6</v>
      </c>
      <c r="BG165" s="228">
        <v>-1</v>
      </c>
      <c r="BH165" s="229">
        <v>-0.224</v>
      </c>
      <c r="BI165" s="228">
        <v>688</v>
      </c>
      <c r="BJ165" s="230">
        <v>1240</v>
      </c>
      <c r="BK165" s="228">
        <v>-552</v>
      </c>
      <c r="BL165" s="229">
        <v>-0.44529999999999997</v>
      </c>
      <c r="BM165" s="228">
        <v>356</v>
      </c>
      <c r="BN165" s="228">
        <v>746</v>
      </c>
      <c r="BO165" s="228">
        <v>-390</v>
      </c>
      <c r="BP165" s="229">
        <v>-0.52249999999999996</v>
      </c>
      <c r="BQ165" s="230">
        <v>2085</v>
      </c>
      <c r="BR165" s="230">
        <v>3086</v>
      </c>
      <c r="BS165" s="230">
        <v>-1000</v>
      </c>
      <c r="BT165" s="229">
        <v>-0.32419999999999999</v>
      </c>
      <c r="BU165" s="230">
        <v>16447205</v>
      </c>
      <c r="BV165" s="230">
        <v>15056882</v>
      </c>
      <c r="BW165" s="230">
        <v>1390323</v>
      </c>
      <c r="BX165" s="229">
        <v>9.2299999999999993E-2</v>
      </c>
      <c r="BY165" s="230">
        <v>2714</v>
      </c>
      <c r="BZ165" s="230">
        <v>2730</v>
      </c>
      <c r="CA165" s="228">
        <v>-15</v>
      </c>
      <c r="CB165" s="229">
        <v>-5.5999999999999999E-3</v>
      </c>
      <c r="CC165" s="230">
        <v>1621</v>
      </c>
      <c r="CD165" s="230">
        <v>2000</v>
      </c>
      <c r="CE165" s="228">
        <v>-380</v>
      </c>
      <c r="CF165" s="229">
        <v>-0.1898</v>
      </c>
      <c r="CG165" s="230">
        <v>1060</v>
      </c>
      <c r="CH165" s="228">
        <v>696</v>
      </c>
      <c r="CI165" s="228">
        <v>364</v>
      </c>
      <c r="CJ165" s="229">
        <v>0.52229999999999999</v>
      </c>
      <c r="CK165" s="228">
        <v>34</v>
      </c>
      <c r="CL165" s="228">
        <v>33</v>
      </c>
      <c r="CM165" s="228">
        <v>1</v>
      </c>
      <c r="CN165" s="229">
        <v>2.6700000000000002E-2</v>
      </c>
      <c r="CO165" s="230">
        <v>1059</v>
      </c>
      <c r="CP165" s="230">
        <v>1090</v>
      </c>
      <c r="CQ165" s="228">
        <v>-30</v>
      </c>
      <c r="CR165" s="229">
        <v>-2.8000000000000001E-2</v>
      </c>
      <c r="CS165" s="228">
        <v>659</v>
      </c>
      <c r="CT165" s="228">
        <v>653</v>
      </c>
      <c r="CU165" s="228">
        <v>6</v>
      </c>
      <c r="CV165" s="229">
        <v>9.7999999999999997E-3</v>
      </c>
      <c r="CW165" s="230">
        <v>4432</v>
      </c>
      <c r="CX165" s="230">
        <v>4472</v>
      </c>
      <c r="CY165" s="228">
        <v>-39</v>
      </c>
      <c r="CZ165" s="229">
        <v>-8.8000000000000005E-3</v>
      </c>
      <c r="DA165" s="228">
        <v>23.85</v>
      </c>
      <c r="DB165" s="228">
        <v>20.5</v>
      </c>
      <c r="DC165" s="228">
        <v>3.35</v>
      </c>
      <c r="DD165" s="228">
        <v>3.35</v>
      </c>
      <c r="DE165" s="228">
        <v>27.09</v>
      </c>
      <c r="DF165" s="228">
        <v>27.09</v>
      </c>
      <c r="DG165" s="228">
        <v>-3.24</v>
      </c>
      <c r="DH165" s="228">
        <v>0</v>
      </c>
      <c r="DI165" s="228">
        <v>23.98</v>
      </c>
      <c r="DJ165" s="228">
        <v>20.65</v>
      </c>
      <c r="DK165" s="228">
        <v>3.33</v>
      </c>
      <c r="DL165" s="228">
        <v>3.33</v>
      </c>
      <c r="DM165" s="228">
        <v>23.66</v>
      </c>
      <c r="DN165" s="228">
        <v>20.25</v>
      </c>
      <c r="DO165" s="228">
        <v>3.41</v>
      </c>
      <c r="DP165" s="228">
        <v>3.41</v>
      </c>
      <c r="DQ165" s="228">
        <v>0.62</v>
      </c>
      <c r="DR165" s="228">
        <v>0.6</v>
      </c>
      <c r="DS165" s="228">
        <v>0.02</v>
      </c>
      <c r="DT165" s="229">
        <v>3.3300000000000003E-2</v>
      </c>
      <c r="DU165" s="228">
        <v>270</v>
      </c>
      <c r="DV165" s="228">
        <v>250</v>
      </c>
      <c r="DW165" s="228">
        <v>0.52</v>
      </c>
      <c r="DX165" s="228">
        <v>0.6</v>
      </c>
      <c r="DY165" s="228">
        <v>-0.08</v>
      </c>
      <c r="DZ165" s="229">
        <v>-0.1333</v>
      </c>
      <c r="EA165" s="229">
        <v>0.40289999999999998</v>
      </c>
      <c r="EB165" s="230">
        <v>28140900</v>
      </c>
      <c r="EC165" s="229">
        <v>-7.4999999999999997E-3</v>
      </c>
      <c r="ED165" s="229">
        <v>0.40289999999999998</v>
      </c>
      <c r="EE165" s="228">
        <v>-2.0499999999999998</v>
      </c>
      <c r="EF165" s="229">
        <v>-8.0000000000000002E-3</v>
      </c>
      <c r="EG165" s="230">
        <v>12016019</v>
      </c>
      <c r="EH165" s="230">
        <v>9532919</v>
      </c>
      <c r="EI165" s="229">
        <v>0.26050000000000001</v>
      </c>
      <c r="EJ165" s="229">
        <v>0.73060000000000003</v>
      </c>
      <c r="EK165" s="228">
        <v>705.82</v>
      </c>
      <c r="EL165" s="228">
        <v>360.18</v>
      </c>
      <c r="EM165" s="231">
        <v>1029.8699999999999</v>
      </c>
      <c r="EN165" s="228">
        <v>92.05</v>
      </c>
      <c r="EO165" s="231">
        <v>2095.87</v>
      </c>
      <c r="EP165" s="231">
        <v>3092.24</v>
      </c>
      <c r="EQ165" s="228">
        <v>-996.37</v>
      </c>
      <c r="ER165" s="229">
        <v>-0.32219999999999999</v>
      </c>
      <c r="ES165" s="231">
        <v>1117</v>
      </c>
      <c r="ET165" s="228">
        <v>664.05</v>
      </c>
      <c r="EU165" s="231">
        <v>2706.37</v>
      </c>
      <c r="EV165" s="231">
        <v>678857930</v>
      </c>
      <c r="EW165" s="231">
        <v>4487.42</v>
      </c>
      <c r="EX165" s="231">
        <v>4493.53</v>
      </c>
      <c r="EY165" s="228">
        <v>-6.11</v>
      </c>
      <c r="EZ165" s="229">
        <v>-1.4E-3</v>
      </c>
      <c r="FA165" s="229">
        <v>0.25190000000000001</v>
      </c>
      <c r="FB165" s="227" t="s">
        <v>556</v>
      </c>
      <c r="FC165">
        <f t="shared" si="3"/>
        <v>0</v>
      </c>
    </row>
    <row r="166" spans="1:159" ht="17.25" thickBot="1" x14ac:dyDescent="0.3">
      <c r="A166" s="226">
        <v>46044</v>
      </c>
      <c r="B166" s="227" t="s">
        <v>184</v>
      </c>
      <c r="C166" s="227" t="s">
        <v>687</v>
      </c>
      <c r="D166" s="228">
        <v>50</v>
      </c>
      <c r="E166" s="228">
        <v>5</v>
      </c>
      <c r="F166" s="231">
        <v>16841</v>
      </c>
      <c r="G166" s="231">
        <v>16685</v>
      </c>
      <c r="H166" s="228">
        <v>156</v>
      </c>
      <c r="I166" s="229">
        <v>9.2999999999999992E-3</v>
      </c>
      <c r="J166" s="231">
        <v>16847</v>
      </c>
      <c r="K166" s="231">
        <v>16689</v>
      </c>
      <c r="L166" s="228">
        <v>158</v>
      </c>
      <c r="M166" s="229">
        <v>9.4999999999999998E-3</v>
      </c>
      <c r="N166" s="231">
        <v>16841</v>
      </c>
      <c r="O166" s="231">
        <v>16685</v>
      </c>
      <c r="P166" s="228">
        <v>156</v>
      </c>
      <c r="Q166" s="229">
        <v>9.2999999999999992E-3</v>
      </c>
      <c r="R166" s="231">
        <v>16919</v>
      </c>
      <c r="S166" s="231">
        <v>16765</v>
      </c>
      <c r="T166" s="228">
        <v>154</v>
      </c>
      <c r="U166" s="229">
        <v>9.1999999999999998E-3</v>
      </c>
      <c r="V166" s="231">
        <v>16964</v>
      </c>
      <c r="W166" s="231">
        <v>16870</v>
      </c>
      <c r="X166" s="228">
        <v>94</v>
      </c>
      <c r="Y166" s="229">
        <v>5.5999999999999999E-3</v>
      </c>
      <c r="Z166" s="228">
        <v>-6</v>
      </c>
      <c r="AA166" s="228">
        <v>-4</v>
      </c>
      <c r="AB166" s="228">
        <v>-2</v>
      </c>
      <c r="AC166" s="229">
        <v>-4.0000000000000002E-4</v>
      </c>
      <c r="AD166" s="228">
        <v>-6</v>
      </c>
      <c r="AE166" s="228">
        <v>-4</v>
      </c>
      <c r="AF166" s="228">
        <v>-2</v>
      </c>
      <c r="AG166" s="229">
        <v>-4.0000000000000002E-4</v>
      </c>
      <c r="AH166" s="228">
        <v>72</v>
      </c>
      <c r="AI166" s="228">
        <v>76</v>
      </c>
      <c r="AJ166" s="228">
        <v>-4</v>
      </c>
      <c r="AK166" s="229">
        <v>4.3E-3</v>
      </c>
      <c r="AL166" s="228">
        <v>117</v>
      </c>
      <c r="AM166" s="228">
        <v>181</v>
      </c>
      <c r="AN166" s="228">
        <v>-64</v>
      </c>
      <c r="AO166" s="229">
        <v>6.8999999999999999E-3</v>
      </c>
      <c r="AP166" s="231">
        <v>16876.38</v>
      </c>
      <c r="AQ166" s="231">
        <v>16957.78</v>
      </c>
      <c r="AR166" s="228">
        <v>0</v>
      </c>
      <c r="AS166" s="228">
        <v>457</v>
      </c>
      <c r="AT166" s="228">
        <v>375</v>
      </c>
      <c r="AU166" s="228">
        <v>82</v>
      </c>
      <c r="AV166" s="229">
        <v>0.2175</v>
      </c>
      <c r="AW166" s="228">
        <v>248</v>
      </c>
      <c r="AX166" s="228">
        <v>232</v>
      </c>
      <c r="AY166" s="228">
        <v>16</v>
      </c>
      <c r="AZ166" s="229">
        <v>6.8099999999999994E-2</v>
      </c>
      <c r="BA166" s="228">
        <v>208</v>
      </c>
      <c r="BB166" s="228">
        <v>140</v>
      </c>
      <c r="BC166" s="228">
        <v>67</v>
      </c>
      <c r="BD166" s="229">
        <v>0.47899999999999998</v>
      </c>
      <c r="BE166" s="228">
        <v>1</v>
      </c>
      <c r="BF166" s="228">
        <v>2</v>
      </c>
      <c r="BG166" s="228">
        <v>-2</v>
      </c>
      <c r="BH166" s="229">
        <v>-0.64290000000000003</v>
      </c>
      <c r="BI166" s="228">
        <v>949</v>
      </c>
      <c r="BJ166" s="230">
        <v>1321</v>
      </c>
      <c r="BK166" s="228">
        <v>-371</v>
      </c>
      <c r="BL166" s="229">
        <v>-0.28110000000000002</v>
      </c>
      <c r="BM166" s="228">
        <v>275</v>
      </c>
      <c r="BN166" s="228">
        <v>422</v>
      </c>
      <c r="BO166" s="228">
        <v>-147</v>
      </c>
      <c r="BP166" s="229">
        <v>-0.34760000000000002</v>
      </c>
      <c r="BQ166" s="230">
        <v>1682</v>
      </c>
      <c r="BR166" s="230">
        <v>2118</v>
      </c>
      <c r="BS166" s="228">
        <v>-436</v>
      </c>
      <c r="BT166" s="229">
        <v>-0.20599999999999999</v>
      </c>
      <c r="BU166" s="230">
        <v>119375</v>
      </c>
      <c r="BV166" s="230">
        <v>154841</v>
      </c>
      <c r="BW166" s="230">
        <v>-35466</v>
      </c>
      <c r="BX166" s="229">
        <v>-0.22900000000000001</v>
      </c>
      <c r="BY166" s="228">
        <v>644</v>
      </c>
      <c r="BZ166" s="228">
        <v>672</v>
      </c>
      <c r="CA166" s="228">
        <v>-28</v>
      </c>
      <c r="CB166" s="229">
        <v>-4.1500000000000002E-2</v>
      </c>
      <c r="CC166" s="228">
        <v>358</v>
      </c>
      <c r="CD166" s="228">
        <v>511</v>
      </c>
      <c r="CE166" s="228">
        <v>-153</v>
      </c>
      <c r="CF166" s="229">
        <v>-0.30030000000000001</v>
      </c>
      <c r="CG166" s="228">
        <v>280</v>
      </c>
      <c r="CH166" s="228">
        <v>155</v>
      </c>
      <c r="CI166" s="228">
        <v>125</v>
      </c>
      <c r="CJ166" s="229">
        <v>0.80610000000000004</v>
      </c>
      <c r="CK166" s="228">
        <v>6</v>
      </c>
      <c r="CL166" s="228">
        <v>6</v>
      </c>
      <c r="CM166" s="228">
        <v>1</v>
      </c>
      <c r="CN166" s="229">
        <v>0.10290000000000001</v>
      </c>
      <c r="CO166" s="228">
        <v>494</v>
      </c>
      <c r="CP166" s="228">
        <v>568</v>
      </c>
      <c r="CQ166" s="228">
        <v>-74</v>
      </c>
      <c r="CR166" s="229">
        <v>-0.13</v>
      </c>
      <c r="CS166" s="228">
        <v>290</v>
      </c>
      <c r="CT166" s="228">
        <v>303</v>
      </c>
      <c r="CU166" s="228">
        <v>-13</v>
      </c>
      <c r="CV166" s="229">
        <v>-4.3400000000000001E-2</v>
      </c>
      <c r="CW166" s="230">
        <v>1428</v>
      </c>
      <c r="CX166" s="230">
        <v>1543</v>
      </c>
      <c r="CY166" s="228">
        <v>-115</v>
      </c>
      <c r="CZ166" s="229">
        <v>-7.4399999999999994E-2</v>
      </c>
      <c r="DA166" s="228">
        <v>42.36</v>
      </c>
      <c r="DB166" s="228">
        <v>45.83</v>
      </c>
      <c r="DC166" s="228">
        <v>-3.47</v>
      </c>
      <c r="DD166" s="228">
        <v>-3.47</v>
      </c>
      <c r="DE166" s="228">
        <v>57.3</v>
      </c>
      <c r="DF166" s="228">
        <v>57.43</v>
      </c>
      <c r="DG166" s="228">
        <v>-14.94</v>
      </c>
      <c r="DH166" s="228">
        <v>-0.13</v>
      </c>
      <c r="DI166" s="228">
        <v>42.39</v>
      </c>
      <c r="DJ166" s="228">
        <v>47.04</v>
      </c>
      <c r="DK166" s="228">
        <v>-4.6500000000000004</v>
      </c>
      <c r="DL166" s="228">
        <v>-4.6500000000000004</v>
      </c>
      <c r="DM166" s="228">
        <v>42.32</v>
      </c>
      <c r="DN166" s="228">
        <v>42.04</v>
      </c>
      <c r="DO166" s="228">
        <v>0.28000000000000003</v>
      </c>
      <c r="DP166" s="228">
        <v>0.28000000000000003</v>
      </c>
      <c r="DQ166" s="228">
        <v>0.59</v>
      </c>
      <c r="DR166" s="228">
        <v>0.53</v>
      </c>
      <c r="DS166" s="228">
        <v>0.06</v>
      </c>
      <c r="DT166" s="229">
        <v>0.1132</v>
      </c>
      <c r="DU166" s="231">
        <v>18000</v>
      </c>
      <c r="DV166" s="231">
        <v>15500</v>
      </c>
      <c r="DW166" s="228">
        <v>0.28999999999999998</v>
      </c>
      <c r="DX166" s="228">
        <v>0.32</v>
      </c>
      <c r="DY166" s="228">
        <v>-0.03</v>
      </c>
      <c r="DZ166" s="229">
        <v>-9.3799999999999994E-2</v>
      </c>
      <c r="EA166" s="229">
        <v>0.44469999999999998</v>
      </c>
      <c r="EB166" s="230">
        <v>95450</v>
      </c>
      <c r="EC166" s="229">
        <v>4.5999999999999999E-3</v>
      </c>
      <c r="ED166" s="229">
        <v>0.44469999999999998</v>
      </c>
      <c r="EE166" s="228">
        <v>81.400000000000006</v>
      </c>
      <c r="EF166" s="229">
        <v>4.7999999999999996E-3</v>
      </c>
      <c r="EG166" s="230">
        <v>43581</v>
      </c>
      <c r="EH166" s="230">
        <v>39729</v>
      </c>
      <c r="EI166" s="229">
        <v>9.7000000000000003E-2</v>
      </c>
      <c r="EJ166" s="229">
        <v>0.36509999999999998</v>
      </c>
      <c r="EK166" s="231">
        <v>1035.79</v>
      </c>
      <c r="EL166" s="228">
        <v>266.08</v>
      </c>
      <c r="EM166" s="228">
        <v>458.79</v>
      </c>
      <c r="EN166" s="228">
        <v>39.24</v>
      </c>
      <c r="EO166" s="231">
        <v>1760.66</v>
      </c>
      <c r="EP166" s="231">
        <v>2239.3200000000002</v>
      </c>
      <c r="EQ166" s="228">
        <v>-478.67</v>
      </c>
      <c r="ER166" s="229">
        <v>-0.21379999999999999</v>
      </c>
      <c r="ES166" s="228">
        <v>554.96</v>
      </c>
      <c r="ET166" s="228">
        <v>286.93</v>
      </c>
      <c r="EU166" s="228">
        <v>645.16999999999996</v>
      </c>
      <c r="EV166" s="231">
        <v>1917916</v>
      </c>
      <c r="EW166" s="231">
        <v>1487.06</v>
      </c>
      <c r="EX166" s="231">
        <v>1604.46</v>
      </c>
      <c r="EY166" s="228">
        <v>-117.4</v>
      </c>
      <c r="EZ166" s="229">
        <v>-7.3200000000000001E-2</v>
      </c>
      <c r="FA166" s="229">
        <v>0.44209999999999999</v>
      </c>
      <c r="FB166" s="227" t="s">
        <v>556</v>
      </c>
      <c r="FC166">
        <f t="shared" si="3"/>
        <v>0</v>
      </c>
    </row>
    <row r="167" spans="1:159" ht="17.25" thickBot="1" x14ac:dyDescent="0.3">
      <c r="A167" s="226">
        <v>46044</v>
      </c>
      <c r="B167" s="227" t="s">
        <v>170</v>
      </c>
      <c r="C167" s="227" t="s">
        <v>678</v>
      </c>
      <c r="D167" s="228">
        <v>2625</v>
      </c>
      <c r="E167" s="228">
        <v>5</v>
      </c>
      <c r="F167" s="228">
        <v>156.82</v>
      </c>
      <c r="G167" s="228">
        <v>155.16999999999999</v>
      </c>
      <c r="H167" s="228">
        <v>1.65</v>
      </c>
      <c r="I167" s="229">
        <v>1.06E-2</v>
      </c>
      <c r="J167" s="228">
        <v>156.5</v>
      </c>
      <c r="K167" s="228">
        <v>155.11000000000001</v>
      </c>
      <c r="L167" s="228">
        <v>1.39</v>
      </c>
      <c r="M167" s="229">
        <v>8.9999999999999993E-3</v>
      </c>
      <c r="N167" s="228">
        <v>156.82</v>
      </c>
      <c r="O167" s="228">
        <v>155.16999999999999</v>
      </c>
      <c r="P167" s="228">
        <v>1.65</v>
      </c>
      <c r="Q167" s="229">
        <v>1.06E-2</v>
      </c>
      <c r="R167" s="228">
        <v>157.19</v>
      </c>
      <c r="S167" s="228">
        <v>155.52000000000001</v>
      </c>
      <c r="T167" s="228">
        <v>1.67</v>
      </c>
      <c r="U167" s="229">
        <v>1.0699999999999999E-2</v>
      </c>
      <c r="V167" s="228">
        <v>157.82</v>
      </c>
      <c r="W167" s="228">
        <v>156.47</v>
      </c>
      <c r="X167" s="228">
        <v>1.35</v>
      </c>
      <c r="Y167" s="229">
        <v>8.6E-3</v>
      </c>
      <c r="Z167" s="228">
        <v>0.32</v>
      </c>
      <c r="AA167" s="228">
        <v>0.06</v>
      </c>
      <c r="AB167" s="228">
        <v>0.26</v>
      </c>
      <c r="AC167" s="229">
        <v>2E-3</v>
      </c>
      <c r="AD167" s="228">
        <v>0.32</v>
      </c>
      <c r="AE167" s="228">
        <v>0.06</v>
      </c>
      <c r="AF167" s="228">
        <v>0.26</v>
      </c>
      <c r="AG167" s="229">
        <v>2E-3</v>
      </c>
      <c r="AH167" s="228">
        <v>0.69</v>
      </c>
      <c r="AI167" s="228">
        <v>0.41</v>
      </c>
      <c r="AJ167" s="228">
        <v>0.28000000000000003</v>
      </c>
      <c r="AK167" s="229">
        <v>4.4000000000000003E-3</v>
      </c>
      <c r="AL167" s="228">
        <v>1.32</v>
      </c>
      <c r="AM167" s="228">
        <v>1.36</v>
      </c>
      <c r="AN167" s="228">
        <v>-0.04</v>
      </c>
      <c r="AO167" s="229">
        <v>8.3999999999999995E-3</v>
      </c>
      <c r="AP167" s="228">
        <v>157.02000000000001</v>
      </c>
      <c r="AQ167" s="228">
        <v>157.34</v>
      </c>
      <c r="AR167" s="228">
        <v>0</v>
      </c>
      <c r="AS167" s="228">
        <v>308</v>
      </c>
      <c r="AT167" s="228">
        <v>338</v>
      </c>
      <c r="AU167" s="228">
        <v>-30</v>
      </c>
      <c r="AV167" s="229">
        <v>-8.8700000000000001E-2</v>
      </c>
      <c r="AW167" s="228">
        <v>153</v>
      </c>
      <c r="AX167" s="228">
        <v>181</v>
      </c>
      <c r="AY167" s="228">
        <v>-29</v>
      </c>
      <c r="AZ167" s="229">
        <v>-0.15809999999999999</v>
      </c>
      <c r="BA167" s="228">
        <v>152</v>
      </c>
      <c r="BB167" s="228">
        <v>150</v>
      </c>
      <c r="BC167" s="228">
        <v>2</v>
      </c>
      <c r="BD167" s="229">
        <v>1.04E-2</v>
      </c>
      <c r="BE167" s="228">
        <v>4</v>
      </c>
      <c r="BF167" s="228">
        <v>6</v>
      </c>
      <c r="BG167" s="228">
        <v>-3</v>
      </c>
      <c r="BH167" s="229">
        <v>-0.44590000000000002</v>
      </c>
      <c r="BI167" s="228">
        <v>140</v>
      </c>
      <c r="BJ167" s="228">
        <v>210</v>
      </c>
      <c r="BK167" s="228">
        <v>-70</v>
      </c>
      <c r="BL167" s="229">
        <v>-0.3332</v>
      </c>
      <c r="BM167" s="228">
        <v>60</v>
      </c>
      <c r="BN167" s="228">
        <v>158</v>
      </c>
      <c r="BO167" s="228">
        <v>-98</v>
      </c>
      <c r="BP167" s="229">
        <v>-0.62129999999999996</v>
      </c>
      <c r="BQ167" s="228">
        <v>508</v>
      </c>
      <c r="BR167" s="228">
        <v>706</v>
      </c>
      <c r="BS167" s="228">
        <v>-198</v>
      </c>
      <c r="BT167" s="229">
        <v>-0.28060000000000002</v>
      </c>
      <c r="BU167" s="230">
        <v>2087397</v>
      </c>
      <c r="BV167" s="230">
        <v>3537163</v>
      </c>
      <c r="BW167" s="230">
        <v>-1449766</v>
      </c>
      <c r="BX167" s="229">
        <v>-0.40989999999999999</v>
      </c>
      <c r="BY167" s="228">
        <v>390</v>
      </c>
      <c r="BZ167" s="228">
        <v>408</v>
      </c>
      <c r="CA167" s="228">
        <v>-18</v>
      </c>
      <c r="CB167" s="229">
        <v>-4.3999999999999997E-2</v>
      </c>
      <c r="CC167" s="228">
        <v>190</v>
      </c>
      <c r="CD167" s="228">
        <v>282</v>
      </c>
      <c r="CE167" s="228">
        <v>-92</v>
      </c>
      <c r="CF167" s="229">
        <v>-0.3271</v>
      </c>
      <c r="CG167" s="228">
        <v>188</v>
      </c>
      <c r="CH167" s="228">
        <v>115</v>
      </c>
      <c r="CI167" s="228">
        <v>73</v>
      </c>
      <c r="CJ167" s="229">
        <v>0.62919999999999998</v>
      </c>
      <c r="CK167" s="228">
        <v>12</v>
      </c>
      <c r="CL167" s="228">
        <v>11</v>
      </c>
      <c r="CM167" s="228">
        <v>2</v>
      </c>
      <c r="CN167" s="229">
        <v>0.1719</v>
      </c>
      <c r="CO167" s="228">
        <v>259</v>
      </c>
      <c r="CP167" s="228">
        <v>277</v>
      </c>
      <c r="CQ167" s="228">
        <v>-18</v>
      </c>
      <c r="CR167" s="229">
        <v>-6.54E-2</v>
      </c>
      <c r="CS167" s="228">
        <v>111</v>
      </c>
      <c r="CT167" s="228">
        <v>111</v>
      </c>
      <c r="CU167" s="228">
        <v>0</v>
      </c>
      <c r="CV167" s="229">
        <v>-4.0000000000000002E-4</v>
      </c>
      <c r="CW167" s="228">
        <v>760</v>
      </c>
      <c r="CX167" s="228">
        <v>796</v>
      </c>
      <c r="CY167" s="228">
        <v>-36</v>
      </c>
      <c r="CZ167" s="229">
        <v>-4.5400000000000003E-2</v>
      </c>
      <c r="DA167" s="228">
        <v>38.57</v>
      </c>
      <c r="DB167" s="228">
        <v>38.69</v>
      </c>
      <c r="DC167" s="228">
        <v>-0.12</v>
      </c>
      <c r="DD167" s="228">
        <v>-0.12</v>
      </c>
      <c r="DE167" s="228">
        <v>43.29</v>
      </c>
      <c r="DF167" s="228">
        <v>43.37</v>
      </c>
      <c r="DG167" s="228">
        <v>-4.72</v>
      </c>
      <c r="DH167" s="228">
        <v>-0.08</v>
      </c>
      <c r="DI167" s="228">
        <v>37.79</v>
      </c>
      <c r="DJ167" s="228">
        <v>41.94</v>
      </c>
      <c r="DK167" s="228">
        <v>-4.1500000000000004</v>
      </c>
      <c r="DL167" s="228">
        <v>-4.1500000000000004</v>
      </c>
      <c r="DM167" s="228">
        <v>39.159999999999997</v>
      </c>
      <c r="DN167" s="228">
        <v>34.380000000000003</v>
      </c>
      <c r="DO167" s="228">
        <v>4.78</v>
      </c>
      <c r="DP167" s="228">
        <v>4.78</v>
      </c>
      <c r="DQ167" s="228">
        <v>0.43</v>
      </c>
      <c r="DR167" s="228">
        <v>0.4</v>
      </c>
      <c r="DS167" s="228">
        <v>0.03</v>
      </c>
      <c r="DT167" s="229">
        <v>7.4999999999999997E-2</v>
      </c>
      <c r="DU167" s="228">
        <v>190</v>
      </c>
      <c r="DV167" s="228">
        <v>150</v>
      </c>
      <c r="DW167" s="228">
        <v>0.43</v>
      </c>
      <c r="DX167" s="228">
        <v>0.75</v>
      </c>
      <c r="DY167" s="228">
        <v>-0.32</v>
      </c>
      <c r="DZ167" s="229">
        <v>-0.42670000000000002</v>
      </c>
      <c r="EA167" s="229">
        <v>0.51319999999999999</v>
      </c>
      <c r="EB167" s="230">
        <v>8027250</v>
      </c>
      <c r="EC167" s="229">
        <v>2.3999999999999998E-3</v>
      </c>
      <c r="ED167" s="229">
        <v>0.51319999999999999</v>
      </c>
      <c r="EE167" s="228">
        <v>0.32</v>
      </c>
      <c r="EF167" s="229">
        <v>2E-3</v>
      </c>
      <c r="EG167" s="230">
        <v>907629</v>
      </c>
      <c r="EH167" s="230">
        <v>1079923</v>
      </c>
      <c r="EI167" s="229">
        <v>-0.1595</v>
      </c>
      <c r="EJ167" s="229">
        <v>0.43480000000000002</v>
      </c>
      <c r="EK167" s="228">
        <v>154.66999999999999</v>
      </c>
      <c r="EL167" s="228">
        <v>64.3</v>
      </c>
      <c r="EM167" s="228">
        <v>308.92</v>
      </c>
      <c r="EN167" s="228">
        <v>37.909999999999997</v>
      </c>
      <c r="EO167" s="228">
        <v>527.9</v>
      </c>
      <c r="EP167" s="228">
        <v>726.16</v>
      </c>
      <c r="EQ167" s="228">
        <v>-198.26</v>
      </c>
      <c r="ER167" s="229">
        <v>-0.27300000000000002</v>
      </c>
      <c r="ES167" s="228">
        <v>298.56</v>
      </c>
      <c r="ET167" s="228">
        <v>118.66</v>
      </c>
      <c r="EU167" s="228">
        <v>390.77</v>
      </c>
      <c r="EV167" s="231">
        <v>107697729</v>
      </c>
      <c r="EW167" s="228">
        <v>807.99</v>
      </c>
      <c r="EX167" s="228">
        <v>843.66</v>
      </c>
      <c r="EY167" s="228">
        <v>-35.67</v>
      </c>
      <c r="EZ167" s="229">
        <v>-4.2299999999999997E-2</v>
      </c>
      <c r="FA167" s="229">
        <v>0.44990000000000002</v>
      </c>
      <c r="FB167" s="227" t="s">
        <v>556</v>
      </c>
      <c r="FC167">
        <f t="shared" si="3"/>
        <v>0</v>
      </c>
    </row>
    <row r="168" spans="1:159" ht="17.25" thickBot="1" x14ac:dyDescent="0.3">
      <c r="A168" s="226">
        <v>46044</v>
      </c>
      <c r="B168" s="227" t="s">
        <v>184</v>
      </c>
      <c r="C168" s="227" t="s">
        <v>690</v>
      </c>
      <c r="D168" s="228">
        <v>575</v>
      </c>
      <c r="E168" s="228">
        <v>5</v>
      </c>
      <c r="F168" s="228">
        <v>742.5</v>
      </c>
      <c r="G168" s="228">
        <v>714.1</v>
      </c>
      <c r="H168" s="228">
        <v>28.4</v>
      </c>
      <c r="I168" s="229">
        <v>3.9800000000000002E-2</v>
      </c>
      <c r="J168" s="228">
        <v>739.75</v>
      </c>
      <c r="K168" s="228">
        <v>711.2</v>
      </c>
      <c r="L168" s="228">
        <v>28.55</v>
      </c>
      <c r="M168" s="229">
        <v>4.0099999999999997E-2</v>
      </c>
      <c r="N168" s="228">
        <v>742.5</v>
      </c>
      <c r="O168" s="228">
        <v>714.1</v>
      </c>
      <c r="P168" s="228">
        <v>28.4</v>
      </c>
      <c r="Q168" s="229">
        <v>3.9800000000000002E-2</v>
      </c>
      <c r="R168" s="228">
        <v>741.1</v>
      </c>
      <c r="S168" s="228">
        <v>710.5</v>
      </c>
      <c r="T168" s="228">
        <v>30.6</v>
      </c>
      <c r="U168" s="229">
        <v>4.3099999999999999E-2</v>
      </c>
      <c r="V168" s="228">
        <v>743.45</v>
      </c>
      <c r="W168" s="228">
        <v>710.25</v>
      </c>
      <c r="X168" s="228">
        <v>33.200000000000003</v>
      </c>
      <c r="Y168" s="229">
        <v>4.6699999999999998E-2</v>
      </c>
      <c r="Z168" s="228">
        <v>2.75</v>
      </c>
      <c r="AA168" s="228">
        <v>2.9</v>
      </c>
      <c r="AB168" s="228">
        <v>-0.15</v>
      </c>
      <c r="AC168" s="229">
        <v>3.7000000000000002E-3</v>
      </c>
      <c r="AD168" s="228">
        <v>2.75</v>
      </c>
      <c r="AE168" s="228">
        <v>2.9</v>
      </c>
      <c r="AF168" s="228">
        <v>-0.15</v>
      </c>
      <c r="AG168" s="229">
        <v>3.7000000000000002E-3</v>
      </c>
      <c r="AH168" s="228">
        <v>1.35</v>
      </c>
      <c r="AI168" s="228">
        <v>-0.7</v>
      </c>
      <c r="AJ168" s="228">
        <v>2.0499999999999998</v>
      </c>
      <c r="AK168" s="229">
        <v>1.8E-3</v>
      </c>
      <c r="AL168" s="228">
        <v>3.7</v>
      </c>
      <c r="AM168" s="228">
        <v>-0.95</v>
      </c>
      <c r="AN168" s="228">
        <v>4.6500000000000004</v>
      </c>
      <c r="AO168" s="229">
        <v>5.0000000000000001E-3</v>
      </c>
      <c r="AP168" s="228">
        <v>737.38</v>
      </c>
      <c r="AQ168" s="228">
        <v>732.03</v>
      </c>
      <c r="AR168" s="228">
        <v>0</v>
      </c>
      <c r="AS168" s="228">
        <v>689</v>
      </c>
      <c r="AT168" s="228">
        <v>238</v>
      </c>
      <c r="AU168" s="228">
        <v>451</v>
      </c>
      <c r="AV168" s="229">
        <v>1.8956</v>
      </c>
      <c r="AW168" s="228">
        <v>378</v>
      </c>
      <c r="AX168" s="228">
        <v>129</v>
      </c>
      <c r="AY168" s="228">
        <v>249</v>
      </c>
      <c r="AZ168" s="229">
        <v>1.9399</v>
      </c>
      <c r="BA168" s="228">
        <v>309</v>
      </c>
      <c r="BB168" s="228">
        <v>108</v>
      </c>
      <c r="BC168" s="228">
        <v>201</v>
      </c>
      <c r="BD168" s="229">
        <v>1.8617999999999999</v>
      </c>
      <c r="BE168" s="228">
        <v>3</v>
      </c>
      <c r="BF168" s="228">
        <v>2</v>
      </c>
      <c r="BG168" s="228">
        <v>1</v>
      </c>
      <c r="BH168" s="229">
        <v>0.66669999999999996</v>
      </c>
      <c r="BI168" s="230">
        <v>1215</v>
      </c>
      <c r="BJ168" s="228">
        <v>187</v>
      </c>
      <c r="BK168" s="230">
        <v>1028</v>
      </c>
      <c r="BL168" s="229">
        <v>5.4894999999999996</v>
      </c>
      <c r="BM168" s="228">
        <v>539</v>
      </c>
      <c r="BN168" s="228">
        <v>211</v>
      </c>
      <c r="BO168" s="228">
        <v>328</v>
      </c>
      <c r="BP168" s="229">
        <v>1.5565</v>
      </c>
      <c r="BQ168" s="230">
        <v>2443</v>
      </c>
      <c r="BR168" s="228">
        <v>636</v>
      </c>
      <c r="BS168" s="230">
        <v>1807</v>
      </c>
      <c r="BT168" s="229">
        <v>2.8411</v>
      </c>
      <c r="BU168" s="230">
        <v>4916795</v>
      </c>
      <c r="BV168" s="230">
        <v>1673249</v>
      </c>
      <c r="BW168" s="230">
        <v>3243546</v>
      </c>
      <c r="BX168" s="229">
        <v>1.9384999999999999</v>
      </c>
      <c r="BY168" s="228">
        <v>466</v>
      </c>
      <c r="BZ168" s="228">
        <v>444</v>
      </c>
      <c r="CA168" s="228">
        <v>21</v>
      </c>
      <c r="CB168" s="229">
        <v>4.7600000000000003E-2</v>
      </c>
      <c r="CC168" s="228">
        <v>248</v>
      </c>
      <c r="CD168" s="228">
        <v>320</v>
      </c>
      <c r="CE168" s="228">
        <v>-71</v>
      </c>
      <c r="CF168" s="229">
        <v>-0.2235</v>
      </c>
      <c r="CG168" s="228">
        <v>207</v>
      </c>
      <c r="CH168" s="228">
        <v>115</v>
      </c>
      <c r="CI168" s="228">
        <v>92</v>
      </c>
      <c r="CJ168" s="229">
        <v>0.80269999999999997</v>
      </c>
      <c r="CK168" s="228">
        <v>10</v>
      </c>
      <c r="CL168" s="228">
        <v>10</v>
      </c>
      <c r="CM168" s="228">
        <v>0</v>
      </c>
      <c r="CN168" s="229">
        <v>3.95E-2</v>
      </c>
      <c r="CO168" s="228">
        <v>364</v>
      </c>
      <c r="CP168" s="228">
        <v>310</v>
      </c>
      <c r="CQ168" s="228">
        <v>55</v>
      </c>
      <c r="CR168" s="229">
        <v>0.1762</v>
      </c>
      <c r="CS168" s="228">
        <v>192</v>
      </c>
      <c r="CT168" s="228">
        <v>188</v>
      </c>
      <c r="CU168" s="228">
        <v>4</v>
      </c>
      <c r="CV168" s="229">
        <v>0.02</v>
      </c>
      <c r="CW168" s="230">
        <v>1021</v>
      </c>
      <c r="CX168" s="228">
        <v>942</v>
      </c>
      <c r="CY168" s="228">
        <v>79</v>
      </c>
      <c r="CZ168" s="229">
        <v>8.4400000000000003E-2</v>
      </c>
      <c r="DA168" s="228">
        <v>50.87</v>
      </c>
      <c r="DB168" s="228">
        <v>52.29</v>
      </c>
      <c r="DC168" s="228">
        <v>-1.42</v>
      </c>
      <c r="DD168" s="228">
        <v>-1.42</v>
      </c>
      <c r="DE168" s="228">
        <v>45.93</v>
      </c>
      <c r="DF168" s="228">
        <v>45.74</v>
      </c>
      <c r="DG168" s="228">
        <v>4.9400000000000004</v>
      </c>
      <c r="DH168" s="228">
        <v>0.19</v>
      </c>
      <c r="DI168" s="228">
        <v>51.09</v>
      </c>
      <c r="DJ168" s="228">
        <v>53.16</v>
      </c>
      <c r="DK168" s="228">
        <v>-2.0699999999999998</v>
      </c>
      <c r="DL168" s="228">
        <v>-2.0699999999999998</v>
      </c>
      <c r="DM168" s="228">
        <v>50.05</v>
      </c>
      <c r="DN168" s="228">
        <v>51.51</v>
      </c>
      <c r="DO168" s="228">
        <v>-1.46</v>
      </c>
      <c r="DP168" s="228">
        <v>-1.46</v>
      </c>
      <c r="DQ168" s="228">
        <v>0.53</v>
      </c>
      <c r="DR168" s="228">
        <v>0.61</v>
      </c>
      <c r="DS168" s="228">
        <v>-0.08</v>
      </c>
      <c r="DT168" s="229">
        <v>-0.13109999999999999</v>
      </c>
      <c r="DU168" s="228">
        <v>800</v>
      </c>
      <c r="DV168" s="228">
        <v>700</v>
      </c>
      <c r="DW168" s="228">
        <v>0.44</v>
      </c>
      <c r="DX168" s="228">
        <v>1.1299999999999999</v>
      </c>
      <c r="DY168" s="228">
        <v>-0.69</v>
      </c>
      <c r="DZ168" s="229">
        <v>-0.61060000000000003</v>
      </c>
      <c r="EA168" s="229">
        <v>0.4667</v>
      </c>
      <c r="EB168" s="230">
        <v>1679000</v>
      </c>
      <c r="EC168" s="229">
        <v>-1.9E-3</v>
      </c>
      <c r="ED168" s="229">
        <v>0.4667</v>
      </c>
      <c r="EE168" s="228">
        <v>-5.35</v>
      </c>
      <c r="EF168" s="229">
        <v>-7.3000000000000001E-3</v>
      </c>
      <c r="EG168" s="230">
        <v>760988</v>
      </c>
      <c r="EH168" s="230">
        <v>539137</v>
      </c>
      <c r="EI168" s="229">
        <v>0.41149999999999998</v>
      </c>
      <c r="EJ168" s="229">
        <v>0.15479999999999999</v>
      </c>
      <c r="EK168" s="231">
        <v>1279.71</v>
      </c>
      <c r="EL168" s="228">
        <v>524.63</v>
      </c>
      <c r="EM168" s="228">
        <v>682.09</v>
      </c>
      <c r="EN168" s="228">
        <v>33.76</v>
      </c>
      <c r="EO168" s="231">
        <v>2486.42</v>
      </c>
      <c r="EP168" s="228">
        <v>631.25</v>
      </c>
      <c r="EQ168" s="231">
        <v>1855.17</v>
      </c>
      <c r="ER168" s="229">
        <v>2.9388999999999998</v>
      </c>
      <c r="ES168" s="228">
        <v>394.27</v>
      </c>
      <c r="ET168" s="228">
        <v>185.44</v>
      </c>
      <c r="EU168" s="228">
        <v>465.28</v>
      </c>
      <c r="EV168" s="231">
        <v>23923093</v>
      </c>
      <c r="EW168" s="231">
        <v>1044.99</v>
      </c>
      <c r="EX168" s="228">
        <v>946.19</v>
      </c>
      <c r="EY168" s="228">
        <v>98.8</v>
      </c>
      <c r="EZ168" s="229">
        <v>0.10440000000000001</v>
      </c>
      <c r="FA168" s="229">
        <v>0.57499999999999996</v>
      </c>
      <c r="FB168" s="227" t="s">
        <v>555</v>
      </c>
      <c r="FC168">
        <f t="shared" si="3"/>
        <v>0</v>
      </c>
    </row>
    <row r="169" spans="1:159" ht="17.25" thickBot="1" x14ac:dyDescent="0.3">
      <c r="A169" s="226">
        <v>46044</v>
      </c>
      <c r="B169" s="227" t="s">
        <v>206</v>
      </c>
      <c r="C169" s="227" t="s">
        <v>605</v>
      </c>
      <c r="D169" s="228">
        <v>450</v>
      </c>
      <c r="E169" s="228">
        <v>5</v>
      </c>
      <c r="F169" s="231">
        <v>1422.6</v>
      </c>
      <c r="G169" s="231">
        <v>1438.1</v>
      </c>
      <c r="H169" s="228">
        <v>-15.5</v>
      </c>
      <c r="I169" s="229">
        <v>-1.0800000000000001E-2</v>
      </c>
      <c r="J169" s="231">
        <v>1422.6</v>
      </c>
      <c r="K169" s="231">
        <v>1439.1</v>
      </c>
      <c r="L169" s="228">
        <v>-16.5</v>
      </c>
      <c r="M169" s="229">
        <v>-1.15E-2</v>
      </c>
      <c r="N169" s="231">
        <v>1422.6</v>
      </c>
      <c r="O169" s="231">
        <v>1438.1</v>
      </c>
      <c r="P169" s="228">
        <v>-15.5</v>
      </c>
      <c r="Q169" s="229">
        <v>-1.0800000000000001E-2</v>
      </c>
      <c r="R169" s="231">
        <v>1428.7</v>
      </c>
      <c r="S169" s="231">
        <v>1447</v>
      </c>
      <c r="T169" s="228">
        <v>-18.3</v>
      </c>
      <c r="U169" s="229">
        <v>-1.26E-2</v>
      </c>
      <c r="V169" s="231">
        <v>1439.8</v>
      </c>
      <c r="W169" s="231">
        <v>1449</v>
      </c>
      <c r="X169" s="228">
        <v>-9.1999999999999993</v>
      </c>
      <c r="Y169" s="229">
        <v>-6.3E-3</v>
      </c>
      <c r="Z169" s="228">
        <v>0</v>
      </c>
      <c r="AA169" s="228">
        <v>-1</v>
      </c>
      <c r="AB169" s="228">
        <v>1</v>
      </c>
      <c r="AC169" s="229">
        <v>0</v>
      </c>
      <c r="AD169" s="228">
        <v>0</v>
      </c>
      <c r="AE169" s="228">
        <v>-1</v>
      </c>
      <c r="AF169" s="228">
        <v>1</v>
      </c>
      <c r="AG169" s="229">
        <v>0</v>
      </c>
      <c r="AH169" s="228">
        <v>6.1</v>
      </c>
      <c r="AI169" s="228">
        <v>7.9</v>
      </c>
      <c r="AJ169" s="228">
        <v>-1.8</v>
      </c>
      <c r="AK169" s="229">
        <v>4.3E-3</v>
      </c>
      <c r="AL169" s="228">
        <v>17.2</v>
      </c>
      <c r="AM169" s="228">
        <v>9.9</v>
      </c>
      <c r="AN169" s="228">
        <v>7.3</v>
      </c>
      <c r="AO169" s="229">
        <v>1.21E-2</v>
      </c>
      <c r="AP169" s="231">
        <v>1424.85</v>
      </c>
      <c r="AQ169" s="231">
        <v>1431.18</v>
      </c>
      <c r="AR169" s="228">
        <v>0</v>
      </c>
      <c r="AS169" s="228">
        <v>491</v>
      </c>
      <c r="AT169" s="228">
        <v>447</v>
      </c>
      <c r="AU169" s="228">
        <v>44</v>
      </c>
      <c r="AV169" s="229">
        <v>9.74E-2</v>
      </c>
      <c r="AW169" s="228">
        <v>248</v>
      </c>
      <c r="AX169" s="228">
        <v>256</v>
      </c>
      <c r="AY169" s="228">
        <v>-8</v>
      </c>
      <c r="AZ169" s="229">
        <v>-3.0700000000000002E-2</v>
      </c>
      <c r="BA169" s="228">
        <v>242</v>
      </c>
      <c r="BB169" s="228">
        <v>188</v>
      </c>
      <c r="BC169" s="228">
        <v>54</v>
      </c>
      <c r="BD169" s="229">
        <v>0.28439999999999999</v>
      </c>
      <c r="BE169" s="228">
        <v>0</v>
      </c>
      <c r="BF169" s="228">
        <v>2</v>
      </c>
      <c r="BG169" s="228">
        <v>-2</v>
      </c>
      <c r="BH169" s="229">
        <v>-0.87180000000000002</v>
      </c>
      <c r="BI169" s="228">
        <v>358</v>
      </c>
      <c r="BJ169" s="228">
        <v>521</v>
      </c>
      <c r="BK169" s="228">
        <v>-163</v>
      </c>
      <c r="BL169" s="229">
        <v>-0.31359999999999999</v>
      </c>
      <c r="BM169" s="228">
        <v>137</v>
      </c>
      <c r="BN169" s="228">
        <v>343</v>
      </c>
      <c r="BO169" s="228">
        <v>-207</v>
      </c>
      <c r="BP169" s="229">
        <v>-0.60189999999999999</v>
      </c>
      <c r="BQ169" s="228">
        <v>985</v>
      </c>
      <c r="BR169" s="230">
        <v>1312</v>
      </c>
      <c r="BS169" s="228">
        <v>-327</v>
      </c>
      <c r="BT169" s="229">
        <v>-0.249</v>
      </c>
      <c r="BU169" s="230">
        <v>426757</v>
      </c>
      <c r="BV169" s="230">
        <v>1320295</v>
      </c>
      <c r="BW169" s="230">
        <v>-893538</v>
      </c>
      <c r="BX169" s="229">
        <v>-0.67679999999999996</v>
      </c>
      <c r="BY169" s="228">
        <v>618</v>
      </c>
      <c r="BZ169" s="228">
        <v>625</v>
      </c>
      <c r="CA169" s="228">
        <v>-7</v>
      </c>
      <c r="CB169" s="229">
        <v>-1.14E-2</v>
      </c>
      <c r="CC169" s="228">
        <v>316</v>
      </c>
      <c r="CD169" s="228">
        <v>476</v>
      </c>
      <c r="CE169" s="228">
        <v>-161</v>
      </c>
      <c r="CF169" s="229">
        <v>-0.33700000000000002</v>
      </c>
      <c r="CG169" s="228">
        <v>299</v>
      </c>
      <c r="CH169" s="228">
        <v>146</v>
      </c>
      <c r="CI169" s="228">
        <v>153</v>
      </c>
      <c r="CJ169" s="229">
        <v>1.0536000000000001</v>
      </c>
      <c r="CK169" s="228">
        <v>4</v>
      </c>
      <c r="CL169" s="228">
        <v>3</v>
      </c>
      <c r="CM169" s="228">
        <v>0</v>
      </c>
      <c r="CN169" s="229">
        <v>1.8499999999999999E-2</v>
      </c>
      <c r="CO169" s="228">
        <v>388</v>
      </c>
      <c r="CP169" s="228">
        <v>394</v>
      </c>
      <c r="CQ169" s="228">
        <v>-6</v>
      </c>
      <c r="CR169" s="229">
        <v>-1.5800000000000002E-2</v>
      </c>
      <c r="CS169" s="228">
        <v>175</v>
      </c>
      <c r="CT169" s="228">
        <v>184</v>
      </c>
      <c r="CU169" s="228">
        <v>-9</v>
      </c>
      <c r="CV169" s="229">
        <v>-4.6699999999999998E-2</v>
      </c>
      <c r="CW169" s="230">
        <v>1181</v>
      </c>
      <c r="CX169" s="230">
        <v>1203</v>
      </c>
      <c r="CY169" s="228">
        <v>-22</v>
      </c>
      <c r="CZ169" s="229">
        <v>-1.8200000000000001E-2</v>
      </c>
      <c r="DA169" s="228">
        <v>36.619999999999997</v>
      </c>
      <c r="DB169" s="228">
        <v>34.4</v>
      </c>
      <c r="DC169" s="228">
        <v>2.2200000000000002</v>
      </c>
      <c r="DD169" s="228">
        <v>2.2200000000000002</v>
      </c>
      <c r="DE169" s="228">
        <v>43.86</v>
      </c>
      <c r="DF169" s="228">
        <v>43.94</v>
      </c>
      <c r="DG169" s="228">
        <v>-7.24</v>
      </c>
      <c r="DH169" s="228">
        <v>-0.08</v>
      </c>
      <c r="DI169" s="228">
        <v>37.19</v>
      </c>
      <c r="DJ169" s="228">
        <v>34.51</v>
      </c>
      <c r="DK169" s="228">
        <v>2.68</v>
      </c>
      <c r="DL169" s="228">
        <v>2.68</v>
      </c>
      <c r="DM169" s="228">
        <v>36.19</v>
      </c>
      <c r="DN169" s="228">
        <v>34.22</v>
      </c>
      <c r="DO169" s="228">
        <v>1.97</v>
      </c>
      <c r="DP169" s="228">
        <v>1.97</v>
      </c>
      <c r="DQ169" s="228">
        <v>0.45</v>
      </c>
      <c r="DR169" s="228">
        <v>0.47</v>
      </c>
      <c r="DS169" s="228">
        <v>-0.02</v>
      </c>
      <c r="DT169" s="229">
        <v>-4.2599999999999999E-2</v>
      </c>
      <c r="DU169" s="231">
        <v>1540</v>
      </c>
      <c r="DV169" s="231">
        <v>1380</v>
      </c>
      <c r="DW169" s="228">
        <v>0.38</v>
      </c>
      <c r="DX169" s="228">
        <v>0.66</v>
      </c>
      <c r="DY169" s="228">
        <v>-0.28000000000000003</v>
      </c>
      <c r="DZ169" s="229">
        <v>-0.42420000000000002</v>
      </c>
      <c r="EA169" s="229">
        <v>0.48920000000000002</v>
      </c>
      <c r="EB169" s="230">
        <v>1047600</v>
      </c>
      <c r="EC169" s="229">
        <v>4.3E-3</v>
      </c>
      <c r="ED169" s="229">
        <v>0.48920000000000002</v>
      </c>
      <c r="EE169" s="228">
        <v>6.33</v>
      </c>
      <c r="EF169" s="229">
        <v>4.4000000000000003E-3</v>
      </c>
      <c r="EG169" s="230">
        <v>188842</v>
      </c>
      <c r="EH169" s="230">
        <v>562897</v>
      </c>
      <c r="EI169" s="229">
        <v>-0.66449999999999998</v>
      </c>
      <c r="EJ169" s="229">
        <v>0.4425</v>
      </c>
      <c r="EK169" s="228">
        <v>378.89</v>
      </c>
      <c r="EL169" s="228">
        <v>137.81</v>
      </c>
      <c r="EM169" s="228">
        <v>492.55</v>
      </c>
      <c r="EN169" s="228">
        <v>43.17</v>
      </c>
      <c r="EO169" s="231">
        <v>1009.25</v>
      </c>
      <c r="EP169" s="231">
        <v>1344.41</v>
      </c>
      <c r="EQ169" s="228">
        <v>-335.16</v>
      </c>
      <c r="ER169" s="229">
        <v>-0.24929999999999999</v>
      </c>
      <c r="ES169" s="228">
        <v>429.56</v>
      </c>
      <c r="ET169" s="228">
        <v>180.83</v>
      </c>
      <c r="EU169" s="228">
        <v>619.66</v>
      </c>
      <c r="EV169" s="231">
        <v>22697169</v>
      </c>
      <c r="EW169" s="231">
        <v>1230.05</v>
      </c>
      <c r="EX169" s="231">
        <v>1260.8499999999999</v>
      </c>
      <c r="EY169" s="228">
        <v>-30.8</v>
      </c>
      <c r="EZ169" s="229">
        <v>-2.4400000000000002E-2</v>
      </c>
      <c r="FA169" s="229">
        <v>0.36580000000000001</v>
      </c>
      <c r="FB169" s="227" t="s">
        <v>568</v>
      </c>
      <c r="FC169">
        <f t="shared" si="3"/>
        <v>0</v>
      </c>
    </row>
    <row r="170" spans="1:159" ht="17.25" thickBot="1" x14ac:dyDescent="0.3">
      <c r="A170" s="226">
        <v>46044</v>
      </c>
      <c r="B170" s="227" t="s">
        <v>172</v>
      </c>
      <c r="C170" s="227" t="s">
        <v>279</v>
      </c>
      <c r="D170" s="228">
        <v>3175</v>
      </c>
      <c r="E170" s="228">
        <v>5</v>
      </c>
      <c r="F170" s="228">
        <v>297</v>
      </c>
      <c r="G170" s="228">
        <v>297.75</v>
      </c>
      <c r="H170" s="228">
        <v>-0.75</v>
      </c>
      <c r="I170" s="229">
        <v>-2.5000000000000001E-3</v>
      </c>
      <c r="J170" s="228">
        <v>296.2</v>
      </c>
      <c r="K170" s="228">
        <v>297.5</v>
      </c>
      <c r="L170" s="228">
        <v>-1.3</v>
      </c>
      <c r="M170" s="229">
        <v>-4.4000000000000003E-3</v>
      </c>
      <c r="N170" s="228">
        <v>297</v>
      </c>
      <c r="O170" s="228">
        <v>297.75</v>
      </c>
      <c r="P170" s="228">
        <v>-0.75</v>
      </c>
      <c r="Q170" s="229">
        <v>-2.5000000000000001E-3</v>
      </c>
      <c r="R170" s="228">
        <v>298.39999999999998</v>
      </c>
      <c r="S170" s="228">
        <v>299.14999999999998</v>
      </c>
      <c r="T170" s="228">
        <v>-0.75</v>
      </c>
      <c r="U170" s="229">
        <v>-2.5000000000000001E-3</v>
      </c>
      <c r="V170" s="228">
        <v>300.60000000000002</v>
      </c>
      <c r="W170" s="228">
        <v>300.25</v>
      </c>
      <c r="X170" s="228">
        <v>0.35</v>
      </c>
      <c r="Y170" s="229">
        <v>1.1999999999999999E-3</v>
      </c>
      <c r="Z170" s="228">
        <v>0.8</v>
      </c>
      <c r="AA170" s="228">
        <v>0.25</v>
      </c>
      <c r="AB170" s="228">
        <v>0.55000000000000004</v>
      </c>
      <c r="AC170" s="229">
        <v>2.7000000000000001E-3</v>
      </c>
      <c r="AD170" s="228">
        <v>0.8</v>
      </c>
      <c r="AE170" s="228">
        <v>0.25</v>
      </c>
      <c r="AF170" s="228">
        <v>0.55000000000000004</v>
      </c>
      <c r="AG170" s="229">
        <v>2.7000000000000001E-3</v>
      </c>
      <c r="AH170" s="228">
        <v>2.2000000000000002</v>
      </c>
      <c r="AI170" s="228">
        <v>1.65</v>
      </c>
      <c r="AJ170" s="228">
        <v>0.55000000000000004</v>
      </c>
      <c r="AK170" s="229">
        <v>7.4000000000000003E-3</v>
      </c>
      <c r="AL170" s="228">
        <v>4.4000000000000004</v>
      </c>
      <c r="AM170" s="228">
        <v>2.75</v>
      </c>
      <c r="AN170" s="228">
        <v>1.65</v>
      </c>
      <c r="AO170" s="229">
        <v>1.49E-2</v>
      </c>
      <c r="AP170" s="228">
        <v>298.13</v>
      </c>
      <c r="AQ170" s="228">
        <v>299.49</v>
      </c>
      <c r="AR170" s="228">
        <v>0</v>
      </c>
      <c r="AS170" s="230">
        <v>1200</v>
      </c>
      <c r="AT170" s="230">
        <v>1798</v>
      </c>
      <c r="AU170" s="228">
        <v>-598</v>
      </c>
      <c r="AV170" s="229">
        <v>-0.3327</v>
      </c>
      <c r="AW170" s="228">
        <v>594</v>
      </c>
      <c r="AX170" s="230">
        <v>1085</v>
      </c>
      <c r="AY170" s="228">
        <v>-490</v>
      </c>
      <c r="AZ170" s="229">
        <v>-0.45200000000000001</v>
      </c>
      <c r="BA170" s="228">
        <v>604</v>
      </c>
      <c r="BB170" s="228">
        <v>711</v>
      </c>
      <c r="BC170" s="228">
        <v>-107</v>
      </c>
      <c r="BD170" s="229">
        <v>-0.15010000000000001</v>
      </c>
      <c r="BE170" s="228">
        <v>2</v>
      </c>
      <c r="BF170" s="228">
        <v>3</v>
      </c>
      <c r="BG170" s="228">
        <v>-1</v>
      </c>
      <c r="BH170" s="229">
        <v>-0.4839</v>
      </c>
      <c r="BI170" s="230">
        <v>1154</v>
      </c>
      <c r="BJ170" s="230">
        <v>2312</v>
      </c>
      <c r="BK170" s="230">
        <v>-1158</v>
      </c>
      <c r="BL170" s="229">
        <v>-0.50090000000000001</v>
      </c>
      <c r="BM170" s="228">
        <v>648</v>
      </c>
      <c r="BN170" s="230">
        <v>1189</v>
      </c>
      <c r="BO170" s="228">
        <v>-541</v>
      </c>
      <c r="BP170" s="229">
        <v>-0.4551</v>
      </c>
      <c r="BQ170" s="230">
        <v>3002</v>
      </c>
      <c r="BR170" s="230">
        <v>5299</v>
      </c>
      <c r="BS170" s="230">
        <v>-2297</v>
      </c>
      <c r="BT170" s="229">
        <v>-0.4335</v>
      </c>
      <c r="BU170" s="230">
        <v>4947019</v>
      </c>
      <c r="BV170" s="230">
        <v>15401681</v>
      </c>
      <c r="BW170" s="230">
        <v>-10454662</v>
      </c>
      <c r="BX170" s="229">
        <v>-0.67879999999999996</v>
      </c>
      <c r="BY170" s="230">
        <v>2407</v>
      </c>
      <c r="BZ170" s="230">
        <v>2438</v>
      </c>
      <c r="CA170" s="228">
        <v>-31</v>
      </c>
      <c r="CB170" s="229">
        <v>-1.2699999999999999E-2</v>
      </c>
      <c r="CC170" s="230">
        <v>1257</v>
      </c>
      <c r="CD170" s="230">
        <v>1646</v>
      </c>
      <c r="CE170" s="228">
        <v>-389</v>
      </c>
      <c r="CF170" s="229">
        <v>-0.2364</v>
      </c>
      <c r="CG170" s="230">
        <v>1143</v>
      </c>
      <c r="CH170" s="228">
        <v>785</v>
      </c>
      <c r="CI170" s="228">
        <v>358</v>
      </c>
      <c r="CJ170" s="229">
        <v>0.4556</v>
      </c>
      <c r="CK170" s="228">
        <v>8</v>
      </c>
      <c r="CL170" s="228">
        <v>8</v>
      </c>
      <c r="CM170" s="228">
        <v>0</v>
      </c>
      <c r="CN170" s="229">
        <v>6.25E-2</v>
      </c>
      <c r="CO170" s="230">
        <v>1094</v>
      </c>
      <c r="CP170" s="230">
        <v>1148</v>
      </c>
      <c r="CQ170" s="228">
        <v>-54</v>
      </c>
      <c r="CR170" s="229">
        <v>-4.7100000000000003E-2</v>
      </c>
      <c r="CS170" s="228">
        <v>665</v>
      </c>
      <c r="CT170" s="228">
        <v>700</v>
      </c>
      <c r="CU170" s="228">
        <v>-35</v>
      </c>
      <c r="CV170" s="229">
        <v>-4.9700000000000001E-2</v>
      </c>
      <c r="CW170" s="230">
        <v>4167</v>
      </c>
      <c r="CX170" s="230">
        <v>4287</v>
      </c>
      <c r="CY170" s="228">
        <v>-120</v>
      </c>
      <c r="CZ170" s="229">
        <v>-2.8000000000000001E-2</v>
      </c>
      <c r="DA170" s="228">
        <v>25.3</v>
      </c>
      <c r="DB170" s="228">
        <v>28.96</v>
      </c>
      <c r="DC170" s="228">
        <v>-3.66</v>
      </c>
      <c r="DD170" s="228">
        <v>-3.66</v>
      </c>
      <c r="DE170" s="228">
        <v>44.31</v>
      </c>
      <c r="DF170" s="228">
        <v>44.42</v>
      </c>
      <c r="DG170" s="228">
        <v>-19.010000000000002</v>
      </c>
      <c r="DH170" s="228">
        <v>-0.11</v>
      </c>
      <c r="DI170" s="228">
        <v>26.2</v>
      </c>
      <c r="DJ170" s="228">
        <v>29.3</v>
      </c>
      <c r="DK170" s="228">
        <v>-3.1</v>
      </c>
      <c r="DL170" s="228">
        <v>-3.1</v>
      </c>
      <c r="DM170" s="228">
        <v>23.71</v>
      </c>
      <c r="DN170" s="228">
        <v>28.29</v>
      </c>
      <c r="DO170" s="228">
        <v>-4.58</v>
      </c>
      <c r="DP170" s="228">
        <v>-4.58</v>
      </c>
      <c r="DQ170" s="228">
        <v>0.61</v>
      </c>
      <c r="DR170" s="228">
        <v>0.61</v>
      </c>
      <c r="DS170" s="228">
        <v>0</v>
      </c>
      <c r="DT170" s="229">
        <v>0</v>
      </c>
      <c r="DU170" s="228">
        <v>300</v>
      </c>
      <c r="DV170" s="228">
        <v>300</v>
      </c>
      <c r="DW170" s="228">
        <v>0.56000000000000005</v>
      </c>
      <c r="DX170" s="228">
        <v>0.51</v>
      </c>
      <c r="DY170" s="228">
        <v>0.05</v>
      </c>
      <c r="DZ170" s="229">
        <v>9.8000000000000004E-2</v>
      </c>
      <c r="EA170" s="229">
        <v>0.47789999999999999</v>
      </c>
      <c r="EB170" s="230">
        <v>26682700</v>
      </c>
      <c r="EC170" s="229">
        <v>4.7000000000000002E-3</v>
      </c>
      <c r="ED170" s="229">
        <v>0.47789999999999999</v>
      </c>
      <c r="EE170" s="228">
        <v>1.36</v>
      </c>
      <c r="EF170" s="229">
        <v>4.5999999999999999E-3</v>
      </c>
      <c r="EG170" s="230">
        <v>1879755</v>
      </c>
      <c r="EH170" s="230">
        <v>7778929</v>
      </c>
      <c r="EI170" s="229">
        <v>-0.75839999999999996</v>
      </c>
      <c r="EJ170" s="229">
        <v>0.38</v>
      </c>
      <c r="EK170" s="231">
        <v>1208.6400000000001</v>
      </c>
      <c r="EL170" s="228">
        <v>650.19000000000005</v>
      </c>
      <c r="EM170" s="231">
        <v>1207.49</v>
      </c>
      <c r="EN170" s="228">
        <v>167.73</v>
      </c>
      <c r="EO170" s="231">
        <v>3066.32</v>
      </c>
      <c r="EP170" s="231">
        <v>5400.75</v>
      </c>
      <c r="EQ170" s="231">
        <v>-2334.4299999999998</v>
      </c>
      <c r="ER170" s="229">
        <v>-0.43219999999999997</v>
      </c>
      <c r="ES170" s="231">
        <v>1170.8</v>
      </c>
      <c r="ET170" s="228">
        <v>663.67</v>
      </c>
      <c r="EU170" s="231">
        <v>2412.8000000000002</v>
      </c>
      <c r="EV170" s="231">
        <v>91953095</v>
      </c>
      <c r="EW170" s="231">
        <v>4247.2700000000004</v>
      </c>
      <c r="EX170" s="231">
        <v>4375.21</v>
      </c>
      <c r="EY170" s="228">
        <v>-127.94</v>
      </c>
      <c r="EZ170" s="229">
        <v>-2.92E-2</v>
      </c>
      <c r="FA170" s="229">
        <v>1.5257000000000001</v>
      </c>
      <c r="FB170" s="227" t="s">
        <v>568</v>
      </c>
      <c r="FC170">
        <f t="shared" si="3"/>
        <v>0</v>
      </c>
    </row>
    <row r="171" spans="1:159" ht="17.25" thickBot="1" x14ac:dyDescent="0.3">
      <c r="A171" s="226">
        <v>46044</v>
      </c>
      <c r="B171" s="227" t="s">
        <v>175</v>
      </c>
      <c r="C171" s="227" t="s">
        <v>280</v>
      </c>
      <c r="D171" s="228">
        <v>1400</v>
      </c>
      <c r="E171" s="228">
        <v>5</v>
      </c>
      <c r="F171" s="228">
        <v>366</v>
      </c>
      <c r="G171" s="228">
        <v>355.5</v>
      </c>
      <c r="H171" s="228">
        <v>10.5</v>
      </c>
      <c r="I171" s="229">
        <v>2.9499999999999998E-2</v>
      </c>
      <c r="J171" s="228">
        <v>366.2</v>
      </c>
      <c r="K171" s="228">
        <v>355.8</v>
      </c>
      <c r="L171" s="228">
        <v>10.4</v>
      </c>
      <c r="M171" s="229">
        <v>2.92E-2</v>
      </c>
      <c r="N171" s="228">
        <v>366</v>
      </c>
      <c r="O171" s="228">
        <v>355.5</v>
      </c>
      <c r="P171" s="228">
        <v>10.5</v>
      </c>
      <c r="Q171" s="229">
        <v>2.9499999999999998E-2</v>
      </c>
      <c r="R171" s="228">
        <v>365.35</v>
      </c>
      <c r="S171" s="228">
        <v>354.7</v>
      </c>
      <c r="T171" s="228">
        <v>10.65</v>
      </c>
      <c r="U171" s="229">
        <v>0.03</v>
      </c>
      <c r="V171" s="228">
        <v>366.4</v>
      </c>
      <c r="W171" s="228">
        <v>355.25</v>
      </c>
      <c r="X171" s="228">
        <v>11.15</v>
      </c>
      <c r="Y171" s="229">
        <v>3.1399999999999997E-2</v>
      </c>
      <c r="Z171" s="228">
        <v>-0.2</v>
      </c>
      <c r="AA171" s="228">
        <v>-0.3</v>
      </c>
      <c r="AB171" s="228">
        <v>0.1</v>
      </c>
      <c r="AC171" s="229">
        <v>-5.0000000000000001E-4</v>
      </c>
      <c r="AD171" s="228">
        <v>-0.2</v>
      </c>
      <c r="AE171" s="228">
        <v>-0.3</v>
      </c>
      <c r="AF171" s="228">
        <v>0.1</v>
      </c>
      <c r="AG171" s="229">
        <v>-5.0000000000000001E-4</v>
      </c>
      <c r="AH171" s="228">
        <v>-0.85</v>
      </c>
      <c r="AI171" s="228">
        <v>-1.1000000000000001</v>
      </c>
      <c r="AJ171" s="228">
        <v>0.25</v>
      </c>
      <c r="AK171" s="229">
        <v>-2.3E-3</v>
      </c>
      <c r="AL171" s="228">
        <v>0.2</v>
      </c>
      <c r="AM171" s="228">
        <v>-0.55000000000000004</v>
      </c>
      <c r="AN171" s="228">
        <v>0.75</v>
      </c>
      <c r="AO171" s="229">
        <v>5.0000000000000001E-4</v>
      </c>
      <c r="AP171" s="228">
        <v>365.18</v>
      </c>
      <c r="AQ171" s="228">
        <v>364.5</v>
      </c>
      <c r="AR171" s="228">
        <v>0</v>
      </c>
      <c r="AS171" s="230">
        <v>1502</v>
      </c>
      <c r="AT171" s="230">
        <v>1633</v>
      </c>
      <c r="AU171" s="228">
        <v>-131</v>
      </c>
      <c r="AV171" s="229">
        <v>-8.0199999999999994E-2</v>
      </c>
      <c r="AW171" s="228">
        <v>781</v>
      </c>
      <c r="AX171" s="228">
        <v>882</v>
      </c>
      <c r="AY171" s="228">
        <v>-102</v>
      </c>
      <c r="AZ171" s="229">
        <v>-0.11509999999999999</v>
      </c>
      <c r="BA171" s="228">
        <v>704</v>
      </c>
      <c r="BB171" s="228">
        <v>723</v>
      </c>
      <c r="BC171" s="228">
        <v>-19</v>
      </c>
      <c r="BD171" s="229">
        <v>-2.5899999999999999E-2</v>
      </c>
      <c r="BE171" s="228">
        <v>17</v>
      </c>
      <c r="BF171" s="228">
        <v>28</v>
      </c>
      <c r="BG171" s="228">
        <v>-11</v>
      </c>
      <c r="BH171" s="229">
        <v>-0.38190000000000002</v>
      </c>
      <c r="BI171" s="230">
        <v>2054</v>
      </c>
      <c r="BJ171" s="230">
        <v>2275</v>
      </c>
      <c r="BK171" s="228">
        <v>-222</v>
      </c>
      <c r="BL171" s="229">
        <v>-9.74E-2</v>
      </c>
      <c r="BM171" s="230">
        <v>1625</v>
      </c>
      <c r="BN171" s="230">
        <v>1635</v>
      </c>
      <c r="BO171" s="228">
        <v>-10</v>
      </c>
      <c r="BP171" s="229">
        <v>-6.1000000000000004E-3</v>
      </c>
      <c r="BQ171" s="230">
        <v>5181</v>
      </c>
      <c r="BR171" s="230">
        <v>5544</v>
      </c>
      <c r="BS171" s="228">
        <v>-362</v>
      </c>
      <c r="BT171" s="229">
        <v>-6.54E-2</v>
      </c>
      <c r="BU171" s="230">
        <v>9864968</v>
      </c>
      <c r="BV171" s="230">
        <v>13799508</v>
      </c>
      <c r="BW171" s="230">
        <v>-3934540</v>
      </c>
      <c r="BX171" s="229">
        <v>-0.28510000000000002</v>
      </c>
      <c r="BY171" s="230">
        <v>3264</v>
      </c>
      <c r="BZ171" s="230">
        <v>3395</v>
      </c>
      <c r="CA171" s="228">
        <v>-131</v>
      </c>
      <c r="CB171" s="229">
        <v>-3.8600000000000002E-2</v>
      </c>
      <c r="CC171" s="230">
        <v>1695</v>
      </c>
      <c r="CD171" s="230">
        <v>2200</v>
      </c>
      <c r="CE171" s="228">
        <v>-505</v>
      </c>
      <c r="CF171" s="229">
        <v>-0.22939999999999999</v>
      </c>
      <c r="CG171" s="230">
        <v>1485</v>
      </c>
      <c r="CH171" s="230">
        <v>1110</v>
      </c>
      <c r="CI171" s="228">
        <v>375</v>
      </c>
      <c r="CJ171" s="229">
        <v>0.33760000000000001</v>
      </c>
      <c r="CK171" s="228">
        <v>84</v>
      </c>
      <c r="CL171" s="228">
        <v>85</v>
      </c>
      <c r="CM171" s="228">
        <v>-1</v>
      </c>
      <c r="CN171" s="229">
        <v>-1.09E-2</v>
      </c>
      <c r="CO171" s="230">
        <v>1486</v>
      </c>
      <c r="CP171" s="230">
        <v>1599</v>
      </c>
      <c r="CQ171" s="228">
        <v>-113</v>
      </c>
      <c r="CR171" s="229">
        <v>-7.0699999999999999E-2</v>
      </c>
      <c r="CS171" s="230">
        <v>1093</v>
      </c>
      <c r="CT171" s="230">
        <v>1179</v>
      </c>
      <c r="CU171" s="228">
        <v>-86</v>
      </c>
      <c r="CV171" s="229">
        <v>-7.3099999999999998E-2</v>
      </c>
      <c r="CW171" s="230">
        <v>5843</v>
      </c>
      <c r="CX171" s="230">
        <v>6173</v>
      </c>
      <c r="CY171" s="228">
        <v>-330</v>
      </c>
      <c r="CZ171" s="229">
        <v>-5.3499999999999999E-2</v>
      </c>
      <c r="DA171" s="228">
        <v>32.54</v>
      </c>
      <c r="DB171" s="228">
        <v>31.44</v>
      </c>
      <c r="DC171" s="228">
        <v>1.1000000000000001</v>
      </c>
      <c r="DD171" s="228">
        <v>1.1000000000000001</v>
      </c>
      <c r="DE171" s="228">
        <v>41.36</v>
      </c>
      <c r="DF171" s="228">
        <v>41.28</v>
      </c>
      <c r="DG171" s="228">
        <v>-8.82</v>
      </c>
      <c r="DH171" s="228">
        <v>0.08</v>
      </c>
      <c r="DI171" s="228">
        <v>32.19</v>
      </c>
      <c r="DJ171" s="228">
        <v>31.81</v>
      </c>
      <c r="DK171" s="228">
        <v>0.38</v>
      </c>
      <c r="DL171" s="228">
        <v>0.38</v>
      </c>
      <c r="DM171" s="228">
        <v>32.99</v>
      </c>
      <c r="DN171" s="228">
        <v>30.92</v>
      </c>
      <c r="DO171" s="228">
        <v>2.0699999999999998</v>
      </c>
      <c r="DP171" s="228">
        <v>2.0699999999999998</v>
      </c>
      <c r="DQ171" s="228">
        <v>0.74</v>
      </c>
      <c r="DR171" s="228">
        <v>0.74</v>
      </c>
      <c r="DS171" s="228">
        <v>0</v>
      </c>
      <c r="DT171" s="229">
        <v>0</v>
      </c>
      <c r="DU171" s="228">
        <v>400</v>
      </c>
      <c r="DV171" s="228">
        <v>350</v>
      </c>
      <c r="DW171" s="228">
        <v>0.79</v>
      </c>
      <c r="DX171" s="228">
        <v>0.72</v>
      </c>
      <c r="DY171" s="228">
        <v>7.0000000000000007E-2</v>
      </c>
      <c r="DZ171" s="229">
        <v>9.7199999999999995E-2</v>
      </c>
      <c r="EA171" s="229">
        <v>0.48049999999999998</v>
      </c>
      <c r="EB171" s="230">
        <v>32638200</v>
      </c>
      <c r="EC171" s="229">
        <v>-1.8E-3</v>
      </c>
      <c r="ED171" s="229">
        <v>0.48049999999999998</v>
      </c>
      <c r="EE171" s="228">
        <v>-0.68</v>
      </c>
      <c r="EF171" s="229">
        <v>-1.9E-3</v>
      </c>
      <c r="EG171" s="230">
        <v>5532846</v>
      </c>
      <c r="EH171" s="230">
        <v>7066324</v>
      </c>
      <c r="EI171" s="229">
        <v>-0.217</v>
      </c>
      <c r="EJ171" s="229">
        <v>0.56089999999999995</v>
      </c>
      <c r="EK171" s="231">
        <v>2117.79</v>
      </c>
      <c r="EL171" s="231">
        <v>1615.48</v>
      </c>
      <c r="EM171" s="231">
        <v>1497.13</v>
      </c>
      <c r="EN171" s="228">
        <v>166.02</v>
      </c>
      <c r="EO171" s="231">
        <v>5230.3999999999996</v>
      </c>
      <c r="EP171" s="231">
        <v>5507.19</v>
      </c>
      <c r="EQ171" s="228">
        <v>-276.79000000000002</v>
      </c>
      <c r="ER171" s="229">
        <v>-5.0299999999999997E-2</v>
      </c>
      <c r="ES171" s="231">
        <v>1555.33</v>
      </c>
      <c r="ET171" s="231">
        <v>1077.06</v>
      </c>
      <c r="EU171" s="231">
        <v>3261.14</v>
      </c>
      <c r="EV171" s="231">
        <v>187084550</v>
      </c>
      <c r="EW171" s="231">
        <v>5893.52</v>
      </c>
      <c r="EX171" s="231">
        <v>6126.18</v>
      </c>
      <c r="EY171" s="228">
        <v>-232.66</v>
      </c>
      <c r="EZ171" s="229">
        <v>-3.7999999999999999E-2</v>
      </c>
      <c r="FA171" s="229">
        <v>0.85329999999999995</v>
      </c>
      <c r="FB171" s="227" t="s">
        <v>556</v>
      </c>
      <c r="FC171">
        <f t="shared" si="3"/>
        <v>0</v>
      </c>
    </row>
    <row r="172" spans="1:159" ht="17.25" thickBot="1" x14ac:dyDescent="0.3">
      <c r="A172" s="226">
        <v>46044</v>
      </c>
      <c r="B172" s="227" t="s">
        <v>193</v>
      </c>
      <c r="C172" s="227" t="s">
        <v>281</v>
      </c>
      <c r="D172" s="228">
        <v>500</v>
      </c>
      <c r="E172" s="228">
        <v>5</v>
      </c>
      <c r="F172" s="231">
        <v>1405.4</v>
      </c>
      <c r="G172" s="231">
        <v>1405.3</v>
      </c>
      <c r="H172" s="228">
        <v>0.1</v>
      </c>
      <c r="I172" s="229">
        <v>1E-4</v>
      </c>
      <c r="J172" s="231">
        <v>1402.5</v>
      </c>
      <c r="K172" s="231">
        <v>1404.6</v>
      </c>
      <c r="L172" s="228">
        <v>-2.1</v>
      </c>
      <c r="M172" s="229">
        <v>-1.5E-3</v>
      </c>
      <c r="N172" s="231">
        <v>1405.4</v>
      </c>
      <c r="O172" s="231">
        <v>1405.3</v>
      </c>
      <c r="P172" s="228">
        <v>0.1</v>
      </c>
      <c r="Q172" s="229">
        <v>1E-4</v>
      </c>
      <c r="R172" s="231">
        <v>1412.8</v>
      </c>
      <c r="S172" s="231">
        <v>1412.8</v>
      </c>
      <c r="T172" s="228">
        <v>0</v>
      </c>
      <c r="U172" s="229">
        <v>0</v>
      </c>
      <c r="V172" s="231">
        <v>1421.8</v>
      </c>
      <c r="W172" s="231">
        <v>1421.6</v>
      </c>
      <c r="X172" s="228">
        <v>0.2</v>
      </c>
      <c r="Y172" s="229">
        <v>1E-4</v>
      </c>
      <c r="Z172" s="228">
        <v>2.9</v>
      </c>
      <c r="AA172" s="228">
        <v>0.7</v>
      </c>
      <c r="AB172" s="228">
        <v>2.2000000000000002</v>
      </c>
      <c r="AC172" s="229">
        <v>2.0999999999999999E-3</v>
      </c>
      <c r="AD172" s="228">
        <v>2.9</v>
      </c>
      <c r="AE172" s="228">
        <v>0.7</v>
      </c>
      <c r="AF172" s="228">
        <v>2.2000000000000002</v>
      </c>
      <c r="AG172" s="229">
        <v>2.0999999999999999E-3</v>
      </c>
      <c r="AH172" s="228">
        <v>10.3</v>
      </c>
      <c r="AI172" s="228">
        <v>8.1999999999999993</v>
      </c>
      <c r="AJ172" s="228">
        <v>2.1</v>
      </c>
      <c r="AK172" s="229">
        <v>7.3000000000000001E-3</v>
      </c>
      <c r="AL172" s="228">
        <v>19.3</v>
      </c>
      <c r="AM172" s="228">
        <v>17</v>
      </c>
      <c r="AN172" s="228">
        <v>2.2999999999999998</v>
      </c>
      <c r="AO172" s="229">
        <v>1.38E-2</v>
      </c>
      <c r="AP172" s="231">
        <v>1405.97</v>
      </c>
      <c r="AQ172" s="231">
        <v>1413.1</v>
      </c>
      <c r="AR172" s="228">
        <v>0</v>
      </c>
      <c r="AS172" s="230">
        <v>9246</v>
      </c>
      <c r="AT172" s="230">
        <v>6676</v>
      </c>
      <c r="AU172" s="230">
        <v>2570</v>
      </c>
      <c r="AV172" s="229">
        <v>0.38500000000000001</v>
      </c>
      <c r="AW172" s="230">
        <v>4693</v>
      </c>
      <c r="AX172" s="230">
        <v>3747</v>
      </c>
      <c r="AY172" s="228">
        <v>947</v>
      </c>
      <c r="AZ172" s="229">
        <v>0.25259999999999999</v>
      </c>
      <c r="BA172" s="230">
        <v>4166</v>
      </c>
      <c r="BB172" s="230">
        <v>2837</v>
      </c>
      <c r="BC172" s="230">
        <v>1329</v>
      </c>
      <c r="BD172" s="229">
        <v>0.46839999999999998</v>
      </c>
      <c r="BE172" s="228">
        <v>386</v>
      </c>
      <c r="BF172" s="228">
        <v>91</v>
      </c>
      <c r="BG172" s="228">
        <v>295</v>
      </c>
      <c r="BH172" s="229">
        <v>3.2229000000000001</v>
      </c>
      <c r="BI172" s="230">
        <v>21780</v>
      </c>
      <c r="BJ172" s="230">
        <v>32250</v>
      </c>
      <c r="BK172" s="230">
        <v>-10470</v>
      </c>
      <c r="BL172" s="229">
        <v>-0.3246</v>
      </c>
      <c r="BM172" s="230">
        <v>11516</v>
      </c>
      <c r="BN172" s="230">
        <v>16050</v>
      </c>
      <c r="BO172" s="230">
        <v>-4534</v>
      </c>
      <c r="BP172" s="229">
        <v>-0.28249999999999997</v>
      </c>
      <c r="BQ172" s="230">
        <v>42542</v>
      </c>
      <c r="BR172" s="230">
        <v>54975</v>
      </c>
      <c r="BS172" s="230">
        <v>-12434</v>
      </c>
      <c r="BT172" s="229">
        <v>-0.22620000000000001</v>
      </c>
      <c r="BU172" s="230">
        <v>16434686</v>
      </c>
      <c r="BV172" s="230">
        <v>17769693</v>
      </c>
      <c r="BW172" s="230">
        <v>-1335007</v>
      </c>
      <c r="BX172" s="229">
        <v>-7.51E-2</v>
      </c>
      <c r="BY172" s="230">
        <v>16869</v>
      </c>
      <c r="BZ172" s="230">
        <v>16747</v>
      </c>
      <c r="CA172" s="228">
        <v>122</v>
      </c>
      <c r="CB172" s="229">
        <v>7.3000000000000001E-3</v>
      </c>
      <c r="CC172" s="230">
        <v>7486</v>
      </c>
      <c r="CD172" s="230">
        <v>10984</v>
      </c>
      <c r="CE172" s="230">
        <v>-3497</v>
      </c>
      <c r="CF172" s="229">
        <v>-0.31840000000000002</v>
      </c>
      <c r="CG172" s="230">
        <v>7951</v>
      </c>
      <c r="CH172" s="230">
        <v>4603</v>
      </c>
      <c r="CI172" s="230">
        <v>3347</v>
      </c>
      <c r="CJ172" s="229">
        <v>0.72709999999999997</v>
      </c>
      <c r="CK172" s="230">
        <v>1432</v>
      </c>
      <c r="CL172" s="230">
        <v>1160</v>
      </c>
      <c r="CM172" s="228">
        <v>272</v>
      </c>
      <c r="CN172" s="229">
        <v>0.23430000000000001</v>
      </c>
      <c r="CO172" s="230">
        <v>15217</v>
      </c>
      <c r="CP172" s="230">
        <v>15758</v>
      </c>
      <c r="CQ172" s="228">
        <v>-541</v>
      </c>
      <c r="CR172" s="229">
        <v>-3.44E-2</v>
      </c>
      <c r="CS172" s="230">
        <v>6451</v>
      </c>
      <c r="CT172" s="230">
        <v>6540</v>
      </c>
      <c r="CU172" s="228">
        <v>-89</v>
      </c>
      <c r="CV172" s="229">
        <v>-1.35E-2</v>
      </c>
      <c r="CW172" s="230">
        <v>38537</v>
      </c>
      <c r="CX172" s="230">
        <v>39045</v>
      </c>
      <c r="CY172" s="228">
        <v>-508</v>
      </c>
      <c r="CZ172" s="229">
        <v>-1.2999999999999999E-2</v>
      </c>
      <c r="DA172" s="228">
        <v>23.24</v>
      </c>
      <c r="DB172" s="228">
        <v>21.21</v>
      </c>
      <c r="DC172" s="228">
        <v>2.0299999999999998</v>
      </c>
      <c r="DD172" s="228">
        <v>2.0299999999999998</v>
      </c>
      <c r="DE172" s="228">
        <v>23.97</v>
      </c>
      <c r="DF172" s="228">
        <v>24.03</v>
      </c>
      <c r="DG172" s="228">
        <v>-0.73</v>
      </c>
      <c r="DH172" s="228">
        <v>-0.06</v>
      </c>
      <c r="DI172" s="228">
        <v>23.23</v>
      </c>
      <c r="DJ172" s="228">
        <v>21.36</v>
      </c>
      <c r="DK172" s="228">
        <v>1.87</v>
      </c>
      <c r="DL172" s="228">
        <v>1.87</v>
      </c>
      <c r="DM172" s="228">
        <v>23.26</v>
      </c>
      <c r="DN172" s="228">
        <v>20.92</v>
      </c>
      <c r="DO172" s="228">
        <v>2.34</v>
      </c>
      <c r="DP172" s="228">
        <v>2.34</v>
      </c>
      <c r="DQ172" s="228">
        <v>0.42</v>
      </c>
      <c r="DR172" s="228">
        <v>0.42</v>
      </c>
      <c r="DS172" s="228">
        <v>0</v>
      </c>
      <c r="DT172" s="229">
        <v>0</v>
      </c>
      <c r="DU172" s="231">
        <v>1600</v>
      </c>
      <c r="DV172" s="231">
        <v>1380</v>
      </c>
      <c r="DW172" s="228">
        <v>0.53</v>
      </c>
      <c r="DX172" s="228">
        <v>0.5</v>
      </c>
      <c r="DY172" s="228">
        <v>0.03</v>
      </c>
      <c r="DZ172" s="229">
        <v>0.06</v>
      </c>
      <c r="EA172" s="229">
        <v>0.55620000000000003</v>
      </c>
      <c r="EB172" s="230">
        <v>41010000</v>
      </c>
      <c r="EC172" s="229">
        <v>5.3E-3</v>
      </c>
      <c r="ED172" s="229">
        <v>0.55620000000000003</v>
      </c>
      <c r="EE172" s="228">
        <v>7.13</v>
      </c>
      <c r="EF172" s="229">
        <v>5.1000000000000004E-3</v>
      </c>
      <c r="EG172" s="230">
        <v>7352714</v>
      </c>
      <c r="EH172" s="230">
        <v>8567877</v>
      </c>
      <c r="EI172" s="229">
        <v>-0.14180000000000001</v>
      </c>
      <c r="EJ172" s="229">
        <v>0.44740000000000002</v>
      </c>
      <c r="EK172" s="231">
        <v>22661.8</v>
      </c>
      <c r="EL172" s="231">
        <v>11539.08</v>
      </c>
      <c r="EM172" s="231">
        <v>9274.3799999999992</v>
      </c>
      <c r="EN172" s="228">
        <v>615.03</v>
      </c>
      <c r="EO172" s="231">
        <v>43475.27</v>
      </c>
      <c r="EP172" s="231">
        <v>56096.97</v>
      </c>
      <c r="EQ172" s="231">
        <v>-12621.7</v>
      </c>
      <c r="ER172" s="229">
        <v>-0.22500000000000001</v>
      </c>
      <c r="ES172" s="231">
        <v>16446.669999999998</v>
      </c>
      <c r="ET172" s="231">
        <v>6628.75</v>
      </c>
      <c r="EU172" s="231">
        <v>16927.73</v>
      </c>
      <c r="EV172" s="231">
        <v>664266681</v>
      </c>
      <c r="EW172" s="231">
        <v>40003.15</v>
      </c>
      <c r="EX172" s="231">
        <v>40584.949999999997</v>
      </c>
      <c r="EY172" s="228">
        <v>-581.79999999999995</v>
      </c>
      <c r="EZ172" s="229">
        <v>-1.43E-2</v>
      </c>
      <c r="FA172" s="229">
        <v>0.4128</v>
      </c>
      <c r="FB172" s="227" t="s">
        <v>555</v>
      </c>
      <c r="FC172">
        <f t="shared" si="3"/>
        <v>0</v>
      </c>
    </row>
    <row r="173" spans="1:159" ht="17.25" thickBot="1" x14ac:dyDescent="0.3">
      <c r="A173" s="226">
        <v>46044</v>
      </c>
      <c r="B173" s="227" t="s">
        <v>215</v>
      </c>
      <c r="C173" s="227" t="s">
        <v>675</v>
      </c>
      <c r="D173" s="228">
        <v>1525</v>
      </c>
      <c r="E173" s="228">
        <v>5</v>
      </c>
      <c r="F173" s="228">
        <v>329.75</v>
      </c>
      <c r="G173" s="228">
        <v>317.10000000000002</v>
      </c>
      <c r="H173" s="228">
        <v>12.65</v>
      </c>
      <c r="I173" s="229">
        <v>3.9899999999999998E-2</v>
      </c>
      <c r="J173" s="228">
        <v>329</v>
      </c>
      <c r="K173" s="228">
        <v>317.10000000000002</v>
      </c>
      <c r="L173" s="228">
        <v>11.9</v>
      </c>
      <c r="M173" s="229">
        <v>3.7499999999999999E-2</v>
      </c>
      <c r="N173" s="228">
        <v>329.75</v>
      </c>
      <c r="O173" s="228">
        <v>317.10000000000002</v>
      </c>
      <c r="P173" s="228">
        <v>12.65</v>
      </c>
      <c r="Q173" s="229">
        <v>3.9899999999999998E-2</v>
      </c>
      <c r="R173" s="228">
        <v>312.3</v>
      </c>
      <c r="S173" s="228">
        <v>305.95</v>
      </c>
      <c r="T173" s="228">
        <v>6.35</v>
      </c>
      <c r="U173" s="229">
        <v>2.0799999999999999E-2</v>
      </c>
      <c r="V173" s="228">
        <v>305.45</v>
      </c>
      <c r="W173" s="228">
        <v>300.35000000000002</v>
      </c>
      <c r="X173" s="228">
        <v>5.0999999999999996</v>
      </c>
      <c r="Y173" s="229">
        <v>1.7000000000000001E-2</v>
      </c>
      <c r="Z173" s="228">
        <v>0.75</v>
      </c>
      <c r="AA173" s="228">
        <v>0</v>
      </c>
      <c r="AB173" s="228">
        <v>0.75</v>
      </c>
      <c r="AC173" s="229">
        <v>2.3E-3</v>
      </c>
      <c r="AD173" s="228">
        <v>0.75</v>
      </c>
      <c r="AE173" s="228">
        <v>0</v>
      </c>
      <c r="AF173" s="228">
        <v>0.75</v>
      </c>
      <c r="AG173" s="229">
        <v>2.3E-3</v>
      </c>
      <c r="AH173" s="228">
        <v>-16.7</v>
      </c>
      <c r="AI173" s="228">
        <v>-11.15</v>
      </c>
      <c r="AJ173" s="228">
        <v>-5.55</v>
      </c>
      <c r="AK173" s="229">
        <v>-5.0799999999999998E-2</v>
      </c>
      <c r="AL173" s="228">
        <v>-23.55</v>
      </c>
      <c r="AM173" s="228">
        <v>-16.75</v>
      </c>
      <c r="AN173" s="228">
        <v>-6.8</v>
      </c>
      <c r="AO173" s="229">
        <v>-7.1599999999999997E-2</v>
      </c>
      <c r="AP173" s="228">
        <v>323.20999999999998</v>
      </c>
      <c r="AQ173" s="228">
        <v>308.55</v>
      </c>
      <c r="AR173" s="228">
        <v>0</v>
      </c>
      <c r="AS173" s="230">
        <v>1797</v>
      </c>
      <c r="AT173" s="230">
        <v>1340</v>
      </c>
      <c r="AU173" s="228">
        <v>457</v>
      </c>
      <c r="AV173" s="229">
        <v>0.3407</v>
      </c>
      <c r="AW173" s="228">
        <v>875</v>
      </c>
      <c r="AX173" s="228">
        <v>673</v>
      </c>
      <c r="AY173" s="228">
        <v>202</v>
      </c>
      <c r="AZ173" s="229">
        <v>0.30009999999999998</v>
      </c>
      <c r="BA173" s="228">
        <v>896</v>
      </c>
      <c r="BB173" s="228">
        <v>645</v>
      </c>
      <c r="BC173" s="228">
        <v>251</v>
      </c>
      <c r="BD173" s="229">
        <v>0.38950000000000001</v>
      </c>
      <c r="BE173" s="228">
        <v>25</v>
      </c>
      <c r="BF173" s="228">
        <v>22</v>
      </c>
      <c r="BG173" s="228">
        <v>3</v>
      </c>
      <c r="BH173" s="229">
        <v>0.15190000000000001</v>
      </c>
      <c r="BI173" s="230">
        <v>2184</v>
      </c>
      <c r="BJ173" s="230">
        <v>1745</v>
      </c>
      <c r="BK173" s="228">
        <v>439</v>
      </c>
      <c r="BL173" s="229">
        <v>0.25159999999999999</v>
      </c>
      <c r="BM173" s="228">
        <v>508</v>
      </c>
      <c r="BN173" s="228">
        <v>726</v>
      </c>
      <c r="BO173" s="228">
        <v>-218</v>
      </c>
      <c r="BP173" s="229">
        <v>-0.3009</v>
      </c>
      <c r="BQ173" s="230">
        <v>4489</v>
      </c>
      <c r="BR173" s="230">
        <v>3811</v>
      </c>
      <c r="BS173" s="228">
        <v>677</v>
      </c>
      <c r="BT173" s="229">
        <v>0.1777</v>
      </c>
      <c r="BU173" s="230">
        <v>8319580</v>
      </c>
      <c r="BV173" s="230">
        <v>9107037</v>
      </c>
      <c r="BW173" s="230">
        <v>-787457</v>
      </c>
      <c r="BX173" s="229">
        <v>-8.6499999999999994E-2</v>
      </c>
      <c r="BY173" s="230">
        <v>1698</v>
      </c>
      <c r="BZ173" s="230">
        <v>1761</v>
      </c>
      <c r="CA173" s="228">
        <v>-63</v>
      </c>
      <c r="CB173" s="229">
        <v>-3.5499999999999997E-2</v>
      </c>
      <c r="CC173" s="228">
        <v>416</v>
      </c>
      <c r="CD173" s="228">
        <v>986</v>
      </c>
      <c r="CE173" s="228">
        <v>-570</v>
      </c>
      <c r="CF173" s="229">
        <v>-0.57789999999999997</v>
      </c>
      <c r="CG173" s="230">
        <v>1210</v>
      </c>
      <c r="CH173" s="228">
        <v>712</v>
      </c>
      <c r="CI173" s="228">
        <v>498</v>
      </c>
      <c r="CJ173" s="229">
        <v>0.70040000000000002</v>
      </c>
      <c r="CK173" s="228">
        <v>72</v>
      </c>
      <c r="CL173" s="228">
        <v>63</v>
      </c>
      <c r="CM173" s="228">
        <v>9</v>
      </c>
      <c r="CN173" s="229">
        <v>0.1431</v>
      </c>
      <c r="CO173" s="230">
        <v>1853</v>
      </c>
      <c r="CP173" s="230">
        <v>1935</v>
      </c>
      <c r="CQ173" s="228">
        <v>-81</v>
      </c>
      <c r="CR173" s="229">
        <v>-4.2000000000000003E-2</v>
      </c>
      <c r="CS173" s="228">
        <v>585</v>
      </c>
      <c r="CT173" s="228">
        <v>573</v>
      </c>
      <c r="CU173" s="228">
        <v>12</v>
      </c>
      <c r="CV173" s="229">
        <v>2.0199999999999999E-2</v>
      </c>
      <c r="CW173" s="230">
        <v>4137</v>
      </c>
      <c r="CX173" s="230">
        <v>4269</v>
      </c>
      <c r="CY173" s="228">
        <v>-132</v>
      </c>
      <c r="CZ173" s="229">
        <v>-3.1E-2</v>
      </c>
      <c r="DA173" s="228">
        <v>56.92</v>
      </c>
      <c r="DB173" s="228">
        <v>44.05</v>
      </c>
      <c r="DC173" s="228">
        <v>12.87</v>
      </c>
      <c r="DD173" s="228">
        <v>12.87</v>
      </c>
      <c r="DE173" s="228">
        <v>55.6</v>
      </c>
      <c r="DF173" s="228">
        <v>55.49</v>
      </c>
      <c r="DG173" s="228">
        <v>1.32</v>
      </c>
      <c r="DH173" s="228">
        <v>0.11</v>
      </c>
      <c r="DI173" s="228">
        <v>57.49</v>
      </c>
      <c r="DJ173" s="228">
        <v>46.63</v>
      </c>
      <c r="DK173" s="228">
        <v>10.86</v>
      </c>
      <c r="DL173" s="228">
        <v>10.86</v>
      </c>
      <c r="DM173" s="228">
        <v>54.84</v>
      </c>
      <c r="DN173" s="228">
        <v>37.869999999999997</v>
      </c>
      <c r="DO173" s="228">
        <v>16.97</v>
      </c>
      <c r="DP173" s="228">
        <v>16.97</v>
      </c>
      <c r="DQ173" s="228">
        <v>0.32</v>
      </c>
      <c r="DR173" s="228">
        <v>0.3</v>
      </c>
      <c r="DS173" s="228">
        <v>0.02</v>
      </c>
      <c r="DT173" s="229">
        <v>6.6699999999999995E-2</v>
      </c>
      <c r="DU173" s="228">
        <v>400</v>
      </c>
      <c r="DV173" s="228">
        <v>320</v>
      </c>
      <c r="DW173" s="228">
        <v>0.23</v>
      </c>
      <c r="DX173" s="228">
        <v>0.42</v>
      </c>
      <c r="DY173" s="228">
        <v>-0.19</v>
      </c>
      <c r="DZ173" s="229">
        <v>-0.45240000000000002</v>
      </c>
      <c r="EA173" s="229">
        <v>0.75490000000000002</v>
      </c>
      <c r="EB173" s="230">
        <v>23497200</v>
      </c>
      <c r="EC173" s="229">
        <v>-5.2900000000000003E-2</v>
      </c>
      <c r="ED173" s="229">
        <v>0.75490000000000002</v>
      </c>
      <c r="EE173" s="228">
        <v>-14.66</v>
      </c>
      <c r="EF173" s="229">
        <v>-4.5400000000000003E-2</v>
      </c>
      <c r="EG173" s="230">
        <v>2174108</v>
      </c>
      <c r="EH173" s="230">
        <v>2285124</v>
      </c>
      <c r="EI173" s="229">
        <v>-4.8599999999999997E-2</v>
      </c>
      <c r="EJ173" s="229">
        <v>0.26129999999999998</v>
      </c>
      <c r="EK173" s="231">
        <v>2311.1999999999998</v>
      </c>
      <c r="EL173" s="228">
        <v>495.07</v>
      </c>
      <c r="EM173" s="231">
        <v>1719.67</v>
      </c>
      <c r="EN173" s="228">
        <v>128.96</v>
      </c>
      <c r="EO173" s="231">
        <v>4525.9399999999996</v>
      </c>
      <c r="EP173" s="231">
        <v>3799.62</v>
      </c>
      <c r="EQ173" s="228">
        <v>726.32</v>
      </c>
      <c r="ER173" s="229">
        <v>0.19120000000000001</v>
      </c>
      <c r="ES173" s="231">
        <v>2086.92</v>
      </c>
      <c r="ET173" s="228">
        <v>577.36</v>
      </c>
      <c r="EU173" s="231">
        <v>1629.13</v>
      </c>
      <c r="EV173" s="231">
        <v>84941460</v>
      </c>
      <c r="EW173" s="231">
        <v>4293.41</v>
      </c>
      <c r="EX173" s="231">
        <v>4419.58</v>
      </c>
      <c r="EY173" s="228">
        <v>-126.17</v>
      </c>
      <c r="EZ173" s="229">
        <v>-2.8500000000000001E-2</v>
      </c>
      <c r="FA173" s="229">
        <v>1.4769000000000001</v>
      </c>
      <c r="FB173" s="227" t="s">
        <v>556</v>
      </c>
      <c r="FC173">
        <f t="shared" si="3"/>
        <v>0</v>
      </c>
    </row>
    <row r="174" spans="1:159" ht="17.25" thickBot="1" x14ac:dyDescent="0.3">
      <c r="A174" s="226">
        <v>46044</v>
      </c>
      <c r="B174" s="227" t="s">
        <v>227</v>
      </c>
      <c r="C174" s="227" t="s">
        <v>282</v>
      </c>
      <c r="D174" s="228">
        <v>4700</v>
      </c>
      <c r="E174" s="228">
        <v>5</v>
      </c>
      <c r="F174" s="228">
        <v>152.09</v>
      </c>
      <c r="G174" s="228">
        <v>146.38999999999999</v>
      </c>
      <c r="H174" s="228">
        <v>5.7</v>
      </c>
      <c r="I174" s="229">
        <v>3.8899999999999997E-2</v>
      </c>
      <c r="J174" s="228">
        <v>151.65</v>
      </c>
      <c r="K174" s="228">
        <v>146.44999999999999</v>
      </c>
      <c r="L174" s="228">
        <v>5.2</v>
      </c>
      <c r="M174" s="229">
        <v>3.5499999999999997E-2</v>
      </c>
      <c r="N174" s="228">
        <v>152.09</v>
      </c>
      <c r="O174" s="228">
        <v>146.38999999999999</v>
      </c>
      <c r="P174" s="228">
        <v>5.7</v>
      </c>
      <c r="Q174" s="229">
        <v>3.8899999999999997E-2</v>
      </c>
      <c r="R174" s="228">
        <v>152.69999999999999</v>
      </c>
      <c r="S174" s="228">
        <v>146.46</v>
      </c>
      <c r="T174" s="228">
        <v>6.24</v>
      </c>
      <c r="U174" s="229">
        <v>4.2599999999999999E-2</v>
      </c>
      <c r="V174" s="228">
        <v>153.32</v>
      </c>
      <c r="W174" s="228">
        <v>145.68</v>
      </c>
      <c r="X174" s="228">
        <v>7.64</v>
      </c>
      <c r="Y174" s="229">
        <v>5.2400000000000002E-2</v>
      </c>
      <c r="Z174" s="228">
        <v>0.44</v>
      </c>
      <c r="AA174" s="228">
        <v>-0.06</v>
      </c>
      <c r="AB174" s="228">
        <v>0.5</v>
      </c>
      <c r="AC174" s="229">
        <v>2.8999999999999998E-3</v>
      </c>
      <c r="AD174" s="228">
        <v>0.44</v>
      </c>
      <c r="AE174" s="228">
        <v>-0.06</v>
      </c>
      <c r="AF174" s="228">
        <v>0.5</v>
      </c>
      <c r="AG174" s="229">
        <v>2.8999999999999998E-3</v>
      </c>
      <c r="AH174" s="228">
        <v>1.05</v>
      </c>
      <c r="AI174" s="228">
        <v>0.01</v>
      </c>
      <c r="AJ174" s="228">
        <v>1.04</v>
      </c>
      <c r="AK174" s="229">
        <v>6.8999999999999999E-3</v>
      </c>
      <c r="AL174" s="228">
        <v>1.67</v>
      </c>
      <c r="AM174" s="228">
        <v>-0.77</v>
      </c>
      <c r="AN174" s="228">
        <v>2.44</v>
      </c>
      <c r="AO174" s="229">
        <v>1.0999999999999999E-2</v>
      </c>
      <c r="AP174" s="228">
        <v>151.35</v>
      </c>
      <c r="AQ174" s="228">
        <v>152.11000000000001</v>
      </c>
      <c r="AR174" s="228">
        <v>0</v>
      </c>
      <c r="AS174" s="230">
        <v>4746</v>
      </c>
      <c r="AT174" s="228">
        <v>217</v>
      </c>
      <c r="AU174" s="230">
        <v>4529</v>
      </c>
      <c r="AV174" s="229">
        <v>20.834900000000001</v>
      </c>
      <c r="AW174" s="230">
        <v>2329</v>
      </c>
      <c r="AX174" s="228">
        <v>139</v>
      </c>
      <c r="AY174" s="230">
        <v>2189</v>
      </c>
      <c r="AZ174" s="229">
        <v>15.697100000000001</v>
      </c>
      <c r="BA174" s="230">
        <v>2392</v>
      </c>
      <c r="BB174" s="228">
        <v>78</v>
      </c>
      <c r="BC174" s="230">
        <v>2315</v>
      </c>
      <c r="BD174" s="229">
        <v>29.705500000000001</v>
      </c>
      <c r="BE174" s="228">
        <v>25</v>
      </c>
      <c r="BF174" s="228">
        <v>0</v>
      </c>
      <c r="BG174" s="228">
        <v>25</v>
      </c>
      <c r="BH174" s="229">
        <v>0</v>
      </c>
      <c r="BI174" s="230">
        <v>1725</v>
      </c>
      <c r="BJ174" s="228">
        <v>48</v>
      </c>
      <c r="BK174" s="230">
        <v>1677</v>
      </c>
      <c r="BL174" s="229">
        <v>34.799700000000001</v>
      </c>
      <c r="BM174" s="228">
        <v>919</v>
      </c>
      <c r="BN174" s="228">
        <v>39</v>
      </c>
      <c r="BO174" s="228">
        <v>880</v>
      </c>
      <c r="BP174" s="229">
        <v>22.553100000000001</v>
      </c>
      <c r="BQ174" s="230">
        <v>7390</v>
      </c>
      <c r="BR174" s="228">
        <v>305</v>
      </c>
      <c r="BS174" s="230">
        <v>7086</v>
      </c>
      <c r="BT174" s="229">
        <v>23.263999999999999</v>
      </c>
      <c r="BU174" s="230">
        <v>46952474</v>
      </c>
      <c r="BV174" s="230">
        <v>21952464</v>
      </c>
      <c r="BW174" s="230">
        <v>25000010</v>
      </c>
      <c r="BX174" s="229">
        <v>1.1388</v>
      </c>
      <c r="BY174" s="230">
        <v>2946</v>
      </c>
      <c r="BZ174" s="230">
        <v>2668</v>
      </c>
      <c r="CA174" s="228">
        <v>279</v>
      </c>
      <c r="CB174" s="229">
        <v>0.1045</v>
      </c>
      <c r="CC174" s="228">
        <v>805</v>
      </c>
      <c r="CD174" s="230">
        <v>2518</v>
      </c>
      <c r="CE174" s="230">
        <v>-1713</v>
      </c>
      <c r="CF174" s="229">
        <v>-0.68020000000000003</v>
      </c>
      <c r="CG174" s="230">
        <v>2118</v>
      </c>
      <c r="CH174" s="228">
        <v>140</v>
      </c>
      <c r="CI174" s="230">
        <v>1978</v>
      </c>
      <c r="CJ174" s="229">
        <v>14.0809</v>
      </c>
      <c r="CK174" s="228">
        <v>23</v>
      </c>
      <c r="CL174" s="228">
        <v>9</v>
      </c>
      <c r="CM174" s="228">
        <v>14</v>
      </c>
      <c r="CN174" s="229">
        <v>1.6416999999999999</v>
      </c>
      <c r="CO174" s="228">
        <v>578</v>
      </c>
      <c r="CP174" s="228">
        <v>628</v>
      </c>
      <c r="CQ174" s="228">
        <v>-50</v>
      </c>
      <c r="CR174" s="229">
        <v>-7.9399999999999998E-2</v>
      </c>
      <c r="CS174" s="228">
        <v>451</v>
      </c>
      <c r="CT174" s="228">
        <v>497</v>
      </c>
      <c r="CU174" s="228">
        <v>-45</v>
      </c>
      <c r="CV174" s="229">
        <v>-9.1499999999999998E-2</v>
      </c>
      <c r="CW174" s="230">
        <v>3976</v>
      </c>
      <c r="CX174" s="230">
        <v>3793</v>
      </c>
      <c r="CY174" s="228">
        <v>183</v>
      </c>
      <c r="CZ174" s="229">
        <v>4.8399999999999999E-2</v>
      </c>
      <c r="DA174" s="228">
        <v>41.52</v>
      </c>
      <c r="DB174" s="228">
        <v>42.79</v>
      </c>
      <c r="DC174" s="228">
        <v>-1.27</v>
      </c>
      <c r="DD174" s="228">
        <v>-1.27</v>
      </c>
      <c r="DE174" s="228">
        <v>43.53</v>
      </c>
      <c r="DF174" s="228">
        <v>43.33</v>
      </c>
      <c r="DG174" s="228">
        <v>-2.0099999999999998</v>
      </c>
      <c r="DH174" s="228">
        <v>0.2</v>
      </c>
      <c r="DI174" s="228">
        <v>40.58</v>
      </c>
      <c r="DJ174" s="228">
        <v>42.99</v>
      </c>
      <c r="DK174" s="228">
        <v>-2.41</v>
      </c>
      <c r="DL174" s="228">
        <v>-2.41</v>
      </c>
      <c r="DM174" s="228">
        <v>42.95</v>
      </c>
      <c r="DN174" s="228">
        <v>42.54</v>
      </c>
      <c r="DO174" s="228">
        <v>0.41</v>
      </c>
      <c r="DP174" s="228">
        <v>0.41</v>
      </c>
      <c r="DQ174" s="228">
        <v>0.78</v>
      </c>
      <c r="DR174" s="228">
        <v>0.79</v>
      </c>
      <c r="DS174" s="228">
        <v>-0.01</v>
      </c>
      <c r="DT174" s="229">
        <v>-1.2699999999999999E-2</v>
      </c>
      <c r="DU174" s="228">
        <v>160</v>
      </c>
      <c r="DV174" s="228">
        <v>140</v>
      </c>
      <c r="DW174" s="228">
        <v>0.53</v>
      </c>
      <c r="DX174" s="228">
        <v>0.81</v>
      </c>
      <c r="DY174" s="228">
        <v>-0.28000000000000003</v>
      </c>
      <c r="DZ174" s="229">
        <v>-0.34570000000000001</v>
      </c>
      <c r="EA174" s="229">
        <v>0.72670000000000001</v>
      </c>
      <c r="EB174" s="230">
        <v>9799500</v>
      </c>
      <c r="EC174" s="229">
        <v>4.0000000000000001E-3</v>
      </c>
      <c r="ED174" s="229">
        <v>0.72670000000000001</v>
      </c>
      <c r="EE174" s="228">
        <v>0.76</v>
      </c>
      <c r="EF174" s="229">
        <v>5.0000000000000001E-3</v>
      </c>
      <c r="EG174" s="230">
        <v>21581856</v>
      </c>
      <c r="EH174" s="230">
        <v>7977942</v>
      </c>
      <c r="EI174" s="229">
        <v>1.7052</v>
      </c>
      <c r="EJ174" s="229">
        <v>0.4597</v>
      </c>
      <c r="EK174" s="231">
        <v>1784.24</v>
      </c>
      <c r="EL174" s="228">
        <v>868.02</v>
      </c>
      <c r="EM174" s="231">
        <v>4735.5200000000004</v>
      </c>
      <c r="EN174" s="228">
        <v>11.56</v>
      </c>
      <c r="EO174" s="231">
        <v>7387.79</v>
      </c>
      <c r="EP174" s="228">
        <v>292.45</v>
      </c>
      <c r="EQ174" s="231">
        <v>7095.34</v>
      </c>
      <c r="ER174" s="229">
        <v>24.2621</v>
      </c>
      <c r="ES174" s="228">
        <v>570.65</v>
      </c>
      <c r="ET174" s="228">
        <v>406.63</v>
      </c>
      <c r="EU174" s="231">
        <v>2954.97</v>
      </c>
      <c r="EV174" s="231">
        <v>216861410</v>
      </c>
      <c r="EW174" s="231">
        <v>3932.25</v>
      </c>
      <c r="EX174" s="231">
        <v>3621.22</v>
      </c>
      <c r="EY174" s="228">
        <v>311.02999999999997</v>
      </c>
      <c r="EZ174" s="229">
        <v>8.5900000000000004E-2</v>
      </c>
      <c r="FA174" s="229">
        <v>1.2055</v>
      </c>
      <c r="FB174" s="227" t="s">
        <v>555</v>
      </c>
      <c r="FC174">
        <f t="shared" si="3"/>
        <v>0</v>
      </c>
    </row>
    <row r="175" spans="1:159" ht="17.25" thickBot="1" x14ac:dyDescent="0.3">
      <c r="A175" s="226">
        <v>46044</v>
      </c>
      <c r="B175" s="227" t="s">
        <v>175</v>
      </c>
      <c r="C175" s="227" t="s">
        <v>686</v>
      </c>
      <c r="D175" s="228">
        <v>4300</v>
      </c>
      <c r="E175" s="228">
        <v>5</v>
      </c>
      <c r="F175" s="228">
        <v>140.81</v>
      </c>
      <c r="G175" s="228">
        <v>137.94999999999999</v>
      </c>
      <c r="H175" s="228">
        <v>2.86</v>
      </c>
      <c r="I175" s="229">
        <v>2.07E-2</v>
      </c>
      <c r="J175" s="228">
        <v>139.97</v>
      </c>
      <c r="K175" s="228">
        <v>138.08000000000001</v>
      </c>
      <c r="L175" s="228">
        <v>1.89</v>
      </c>
      <c r="M175" s="229">
        <v>1.37E-2</v>
      </c>
      <c r="N175" s="228">
        <v>140.81</v>
      </c>
      <c r="O175" s="228">
        <v>137.94999999999999</v>
      </c>
      <c r="P175" s="228">
        <v>2.86</v>
      </c>
      <c r="Q175" s="229">
        <v>2.07E-2</v>
      </c>
      <c r="R175" s="228">
        <v>141.59</v>
      </c>
      <c r="S175" s="228">
        <v>138.54</v>
      </c>
      <c r="T175" s="228">
        <v>3.05</v>
      </c>
      <c r="U175" s="229">
        <v>2.1999999999999999E-2</v>
      </c>
      <c r="V175" s="228">
        <v>141.44</v>
      </c>
      <c r="W175" s="228">
        <v>140</v>
      </c>
      <c r="X175" s="228">
        <v>1.44</v>
      </c>
      <c r="Y175" s="229">
        <v>1.03E-2</v>
      </c>
      <c r="Z175" s="228">
        <v>0.84</v>
      </c>
      <c r="AA175" s="228">
        <v>-0.13</v>
      </c>
      <c r="AB175" s="228">
        <v>0.97</v>
      </c>
      <c r="AC175" s="229">
        <v>6.0000000000000001E-3</v>
      </c>
      <c r="AD175" s="228">
        <v>0.84</v>
      </c>
      <c r="AE175" s="228">
        <v>-0.13</v>
      </c>
      <c r="AF175" s="228">
        <v>0.97</v>
      </c>
      <c r="AG175" s="229">
        <v>6.0000000000000001E-3</v>
      </c>
      <c r="AH175" s="228">
        <v>1.62</v>
      </c>
      <c r="AI175" s="228">
        <v>0.46</v>
      </c>
      <c r="AJ175" s="228">
        <v>1.1599999999999999</v>
      </c>
      <c r="AK175" s="229">
        <v>1.1599999999999999E-2</v>
      </c>
      <c r="AL175" s="228">
        <v>1.47</v>
      </c>
      <c r="AM175" s="228">
        <v>1.92</v>
      </c>
      <c r="AN175" s="228">
        <v>-0.45</v>
      </c>
      <c r="AO175" s="229">
        <v>1.0500000000000001E-2</v>
      </c>
      <c r="AP175" s="228">
        <v>139.69999999999999</v>
      </c>
      <c r="AQ175" s="228">
        <v>140.11000000000001</v>
      </c>
      <c r="AR175" s="228">
        <v>0</v>
      </c>
      <c r="AS175" s="228">
        <v>146</v>
      </c>
      <c r="AT175" s="228">
        <v>89</v>
      </c>
      <c r="AU175" s="228">
        <v>58</v>
      </c>
      <c r="AV175" s="229">
        <v>0.64759999999999995</v>
      </c>
      <c r="AW175" s="228">
        <v>91</v>
      </c>
      <c r="AX175" s="228">
        <v>63</v>
      </c>
      <c r="AY175" s="228">
        <v>28</v>
      </c>
      <c r="AZ175" s="229">
        <v>0.44719999999999999</v>
      </c>
      <c r="BA175" s="228">
        <v>55</v>
      </c>
      <c r="BB175" s="228">
        <v>26</v>
      </c>
      <c r="BC175" s="228">
        <v>29</v>
      </c>
      <c r="BD175" s="229">
        <v>1.1341000000000001</v>
      </c>
      <c r="BE175" s="228">
        <v>0</v>
      </c>
      <c r="BF175" s="228">
        <v>0</v>
      </c>
      <c r="BG175" s="228">
        <v>0</v>
      </c>
      <c r="BH175" s="229">
        <v>0</v>
      </c>
      <c r="BI175" s="228">
        <v>11</v>
      </c>
      <c r="BJ175" s="228">
        <v>13</v>
      </c>
      <c r="BK175" s="228">
        <v>-2</v>
      </c>
      <c r="BL175" s="229">
        <v>-0.16819999999999999</v>
      </c>
      <c r="BM175" s="228">
        <v>6</v>
      </c>
      <c r="BN175" s="228">
        <v>8</v>
      </c>
      <c r="BO175" s="228">
        <v>-3</v>
      </c>
      <c r="BP175" s="229">
        <v>-0.33090000000000003</v>
      </c>
      <c r="BQ175" s="228">
        <v>163</v>
      </c>
      <c r="BR175" s="228">
        <v>110</v>
      </c>
      <c r="BS175" s="228">
        <v>53</v>
      </c>
      <c r="BT175" s="229">
        <v>0.47610000000000002</v>
      </c>
      <c r="BU175" s="230">
        <v>6712020</v>
      </c>
      <c r="BV175" s="230">
        <v>8995590</v>
      </c>
      <c r="BW175" s="230">
        <v>-2283570</v>
      </c>
      <c r="BX175" s="229">
        <v>-0.25390000000000001</v>
      </c>
      <c r="BY175" s="230">
        <v>1516</v>
      </c>
      <c r="BZ175" s="230">
        <v>1562</v>
      </c>
      <c r="CA175" s="228">
        <v>-46</v>
      </c>
      <c r="CB175" s="229">
        <v>-2.93E-2</v>
      </c>
      <c r="CC175" s="230">
        <v>1373</v>
      </c>
      <c r="CD175" s="230">
        <v>1448</v>
      </c>
      <c r="CE175" s="228">
        <v>-75</v>
      </c>
      <c r="CF175" s="229">
        <v>-5.1799999999999999E-2</v>
      </c>
      <c r="CG175" s="228">
        <v>137</v>
      </c>
      <c r="CH175" s="228">
        <v>108</v>
      </c>
      <c r="CI175" s="228">
        <v>29</v>
      </c>
      <c r="CJ175" s="229">
        <v>0.26989999999999997</v>
      </c>
      <c r="CK175" s="228">
        <v>6</v>
      </c>
      <c r="CL175" s="228">
        <v>6</v>
      </c>
      <c r="CM175" s="228">
        <v>0</v>
      </c>
      <c r="CN175" s="229">
        <v>0</v>
      </c>
      <c r="CO175" s="228">
        <v>418</v>
      </c>
      <c r="CP175" s="228">
        <v>422</v>
      </c>
      <c r="CQ175" s="228">
        <v>-3</v>
      </c>
      <c r="CR175" s="229">
        <v>-7.7999999999999996E-3</v>
      </c>
      <c r="CS175" s="228">
        <v>318</v>
      </c>
      <c r="CT175" s="228">
        <v>319</v>
      </c>
      <c r="CU175" s="228">
        <v>-1</v>
      </c>
      <c r="CV175" s="229">
        <v>-3.8E-3</v>
      </c>
      <c r="CW175" s="230">
        <v>2253</v>
      </c>
      <c r="CX175" s="230">
        <v>2303</v>
      </c>
      <c r="CY175" s="228">
        <v>-50</v>
      </c>
      <c r="CZ175" s="229">
        <v>-2.18E-2</v>
      </c>
      <c r="DA175" s="228">
        <v>55.13</v>
      </c>
      <c r="DB175" s="228">
        <v>43.91</v>
      </c>
      <c r="DC175" s="228">
        <v>11.22</v>
      </c>
      <c r="DD175" s="228">
        <v>11.22</v>
      </c>
      <c r="DE175" s="228">
        <v>55.13</v>
      </c>
      <c r="DF175" s="228">
        <v>55.2</v>
      </c>
      <c r="DG175" s="228">
        <v>0</v>
      </c>
      <c r="DH175" s="228">
        <v>-7.0000000000000007E-2</v>
      </c>
      <c r="DI175" s="228">
        <v>55.13</v>
      </c>
      <c r="DJ175" s="228">
        <v>42.71</v>
      </c>
      <c r="DK175" s="228">
        <v>12.42</v>
      </c>
      <c r="DL175" s="228">
        <v>12.42</v>
      </c>
      <c r="DM175" s="228">
        <v>55.13</v>
      </c>
      <c r="DN175" s="228">
        <v>45.85</v>
      </c>
      <c r="DO175" s="228">
        <v>9.2799999999999994</v>
      </c>
      <c r="DP175" s="228">
        <v>9.2799999999999994</v>
      </c>
      <c r="DQ175" s="228">
        <v>0.76</v>
      </c>
      <c r="DR175" s="228">
        <v>0.76</v>
      </c>
      <c r="DS175" s="228">
        <v>0</v>
      </c>
      <c r="DT175" s="229">
        <v>0</v>
      </c>
      <c r="DU175" s="228">
        <v>160</v>
      </c>
      <c r="DV175" s="228">
        <v>140</v>
      </c>
      <c r="DW175" s="228">
        <v>0.5</v>
      </c>
      <c r="DX175" s="228">
        <v>0.62</v>
      </c>
      <c r="DY175" s="228">
        <v>-0.12</v>
      </c>
      <c r="DZ175" s="229">
        <v>-0.19350000000000001</v>
      </c>
      <c r="EA175" s="229">
        <v>9.4500000000000001E-2</v>
      </c>
      <c r="EB175" s="230">
        <v>8096900</v>
      </c>
      <c r="EC175" s="229">
        <v>5.4999999999999997E-3</v>
      </c>
      <c r="ED175" s="229">
        <v>9.4500000000000001E-2</v>
      </c>
      <c r="EE175" s="228">
        <v>0.41</v>
      </c>
      <c r="EF175" s="229">
        <v>2.8999999999999998E-3</v>
      </c>
      <c r="EG175" s="230">
        <v>2511527</v>
      </c>
      <c r="EH175" s="230">
        <v>4495770</v>
      </c>
      <c r="EI175" s="229">
        <v>-0.44140000000000001</v>
      </c>
      <c r="EJ175" s="229">
        <v>0.37419999999999998</v>
      </c>
      <c r="EK175" s="228">
        <v>11.89</v>
      </c>
      <c r="EL175" s="228">
        <v>5.74</v>
      </c>
      <c r="EM175" s="228">
        <v>145.35</v>
      </c>
      <c r="EN175" s="228">
        <v>6.7</v>
      </c>
      <c r="EO175" s="228">
        <v>162.99</v>
      </c>
      <c r="EP175" s="228">
        <v>110.29</v>
      </c>
      <c r="EQ175" s="228">
        <v>52.7</v>
      </c>
      <c r="ER175" s="229">
        <v>0.4778</v>
      </c>
      <c r="ES175" s="228">
        <v>466.1</v>
      </c>
      <c r="ET175" s="228">
        <v>323.87</v>
      </c>
      <c r="EU175" s="231">
        <v>1516.8</v>
      </c>
      <c r="EV175" s="231">
        <v>122326971</v>
      </c>
      <c r="EW175" s="231">
        <v>2306.7600000000002</v>
      </c>
      <c r="EX175" s="231">
        <v>2325.75</v>
      </c>
      <c r="EY175" s="228">
        <v>-18.989999999999998</v>
      </c>
      <c r="EZ175" s="229">
        <v>-8.2000000000000007E-3</v>
      </c>
      <c r="FA175" s="229">
        <v>1.3078000000000001</v>
      </c>
      <c r="FB175" s="227" t="s">
        <v>556</v>
      </c>
      <c r="FC175">
        <f t="shared" si="3"/>
        <v>0</v>
      </c>
    </row>
    <row r="176" spans="1:159" ht="17.25" thickBot="1" x14ac:dyDescent="0.3">
      <c r="A176" s="226">
        <v>46044</v>
      </c>
      <c r="B176" s="227" t="s">
        <v>175</v>
      </c>
      <c r="C176" s="227" t="s">
        <v>536</v>
      </c>
      <c r="D176" s="228">
        <v>800</v>
      </c>
      <c r="E176" s="228">
        <v>5</v>
      </c>
      <c r="F176" s="228">
        <v>792.05</v>
      </c>
      <c r="G176" s="228">
        <v>786.6</v>
      </c>
      <c r="H176" s="228">
        <v>5.45</v>
      </c>
      <c r="I176" s="229">
        <v>6.8999999999999999E-3</v>
      </c>
      <c r="J176" s="228">
        <v>789.1</v>
      </c>
      <c r="K176" s="228">
        <v>783.7</v>
      </c>
      <c r="L176" s="228">
        <v>5.4</v>
      </c>
      <c r="M176" s="229">
        <v>6.8999999999999999E-3</v>
      </c>
      <c r="N176" s="228">
        <v>792.05</v>
      </c>
      <c r="O176" s="228">
        <v>786.6</v>
      </c>
      <c r="P176" s="228">
        <v>5.45</v>
      </c>
      <c r="Q176" s="229">
        <v>6.8999999999999999E-3</v>
      </c>
      <c r="R176" s="228">
        <v>788.1</v>
      </c>
      <c r="S176" s="228">
        <v>777.85</v>
      </c>
      <c r="T176" s="228">
        <v>10.25</v>
      </c>
      <c r="U176" s="229">
        <v>1.32E-2</v>
      </c>
      <c r="V176" s="228">
        <v>785.7</v>
      </c>
      <c r="W176" s="228">
        <v>774.7</v>
      </c>
      <c r="X176" s="228">
        <v>11</v>
      </c>
      <c r="Y176" s="229">
        <v>1.4200000000000001E-2</v>
      </c>
      <c r="Z176" s="228">
        <v>2.95</v>
      </c>
      <c r="AA176" s="228">
        <v>2.9</v>
      </c>
      <c r="AB176" s="228">
        <v>0.05</v>
      </c>
      <c r="AC176" s="229">
        <v>3.7000000000000002E-3</v>
      </c>
      <c r="AD176" s="228">
        <v>2.95</v>
      </c>
      <c r="AE176" s="228">
        <v>2.9</v>
      </c>
      <c r="AF176" s="228">
        <v>0.05</v>
      </c>
      <c r="AG176" s="229">
        <v>3.7000000000000002E-3</v>
      </c>
      <c r="AH176" s="228">
        <v>-1</v>
      </c>
      <c r="AI176" s="228">
        <v>-5.85</v>
      </c>
      <c r="AJ176" s="228">
        <v>4.8499999999999996</v>
      </c>
      <c r="AK176" s="229">
        <v>-1.2999999999999999E-3</v>
      </c>
      <c r="AL176" s="228">
        <v>-3.4</v>
      </c>
      <c r="AM176" s="228">
        <v>-9</v>
      </c>
      <c r="AN176" s="228">
        <v>5.6</v>
      </c>
      <c r="AO176" s="229">
        <v>-4.3E-3</v>
      </c>
      <c r="AP176" s="228">
        <v>790.11</v>
      </c>
      <c r="AQ176" s="228">
        <v>785.55</v>
      </c>
      <c r="AR176" s="228">
        <v>0</v>
      </c>
      <c r="AS176" s="230">
        <v>1579</v>
      </c>
      <c r="AT176" s="230">
        <v>1254</v>
      </c>
      <c r="AU176" s="228">
        <v>325</v>
      </c>
      <c r="AV176" s="229">
        <v>0.25890000000000002</v>
      </c>
      <c r="AW176" s="228">
        <v>787</v>
      </c>
      <c r="AX176" s="228">
        <v>718</v>
      </c>
      <c r="AY176" s="228">
        <v>69</v>
      </c>
      <c r="AZ176" s="229">
        <v>9.6799999999999997E-2</v>
      </c>
      <c r="BA176" s="228">
        <v>787</v>
      </c>
      <c r="BB176" s="228">
        <v>533</v>
      </c>
      <c r="BC176" s="228">
        <v>254</v>
      </c>
      <c r="BD176" s="229">
        <v>0.47549999999999998</v>
      </c>
      <c r="BE176" s="228">
        <v>5</v>
      </c>
      <c r="BF176" s="228">
        <v>3</v>
      </c>
      <c r="BG176" s="228">
        <v>2</v>
      </c>
      <c r="BH176" s="229">
        <v>0.5</v>
      </c>
      <c r="BI176" s="228">
        <v>603</v>
      </c>
      <c r="BJ176" s="228">
        <v>931</v>
      </c>
      <c r="BK176" s="228">
        <v>-329</v>
      </c>
      <c r="BL176" s="229">
        <v>-0.35289999999999999</v>
      </c>
      <c r="BM176" s="228">
        <v>417</v>
      </c>
      <c r="BN176" s="228">
        <v>710</v>
      </c>
      <c r="BO176" s="228">
        <v>-293</v>
      </c>
      <c r="BP176" s="229">
        <v>-0.41270000000000001</v>
      </c>
      <c r="BQ176" s="230">
        <v>2599</v>
      </c>
      <c r="BR176" s="230">
        <v>2896</v>
      </c>
      <c r="BS176" s="228">
        <v>-297</v>
      </c>
      <c r="BT176" s="229">
        <v>-0.10249999999999999</v>
      </c>
      <c r="BU176" s="230">
        <v>1744820</v>
      </c>
      <c r="BV176" s="230">
        <v>1589730</v>
      </c>
      <c r="BW176" s="230">
        <v>155090</v>
      </c>
      <c r="BX176" s="229">
        <v>9.7600000000000006E-2</v>
      </c>
      <c r="BY176" s="230">
        <v>1448</v>
      </c>
      <c r="BZ176" s="230">
        <v>1475</v>
      </c>
      <c r="CA176" s="228">
        <v>-27</v>
      </c>
      <c r="CB176" s="229">
        <v>-1.8499999999999999E-2</v>
      </c>
      <c r="CC176" s="228">
        <v>549</v>
      </c>
      <c r="CD176" s="230">
        <v>1028</v>
      </c>
      <c r="CE176" s="228">
        <v>-479</v>
      </c>
      <c r="CF176" s="229">
        <v>-0.4657</v>
      </c>
      <c r="CG176" s="228">
        <v>880</v>
      </c>
      <c r="CH176" s="228">
        <v>431</v>
      </c>
      <c r="CI176" s="228">
        <v>449</v>
      </c>
      <c r="CJ176" s="229">
        <v>1.0410999999999999</v>
      </c>
      <c r="CK176" s="228">
        <v>19</v>
      </c>
      <c r="CL176" s="228">
        <v>16</v>
      </c>
      <c r="CM176" s="228">
        <v>2</v>
      </c>
      <c r="CN176" s="229">
        <v>0.1467</v>
      </c>
      <c r="CO176" s="228">
        <v>591</v>
      </c>
      <c r="CP176" s="228">
        <v>653</v>
      </c>
      <c r="CQ176" s="228">
        <v>-62</v>
      </c>
      <c r="CR176" s="229">
        <v>-9.4700000000000006E-2</v>
      </c>
      <c r="CS176" s="228">
        <v>415</v>
      </c>
      <c r="CT176" s="228">
        <v>409</v>
      </c>
      <c r="CU176" s="228">
        <v>6</v>
      </c>
      <c r="CV176" s="229">
        <v>1.5699999999999999E-2</v>
      </c>
      <c r="CW176" s="230">
        <v>2454</v>
      </c>
      <c r="CX176" s="230">
        <v>2537</v>
      </c>
      <c r="CY176" s="228">
        <v>-83</v>
      </c>
      <c r="CZ176" s="229">
        <v>-3.2599999999999997E-2</v>
      </c>
      <c r="DA176" s="228">
        <v>29.82</v>
      </c>
      <c r="DB176" s="228">
        <v>28.87</v>
      </c>
      <c r="DC176" s="228">
        <v>0.95</v>
      </c>
      <c r="DD176" s="228">
        <v>0.95</v>
      </c>
      <c r="DE176" s="228">
        <v>29.57</v>
      </c>
      <c r="DF176" s="228">
        <v>29.62</v>
      </c>
      <c r="DG176" s="228">
        <v>0.25</v>
      </c>
      <c r="DH176" s="228">
        <v>-0.05</v>
      </c>
      <c r="DI176" s="228">
        <v>30.45</v>
      </c>
      <c r="DJ176" s="228">
        <v>31.45</v>
      </c>
      <c r="DK176" s="228">
        <v>-1</v>
      </c>
      <c r="DL176" s="228">
        <v>-1</v>
      </c>
      <c r="DM176" s="228">
        <v>28.91</v>
      </c>
      <c r="DN176" s="228">
        <v>25.49</v>
      </c>
      <c r="DO176" s="228">
        <v>3.42</v>
      </c>
      <c r="DP176" s="228">
        <v>3.42</v>
      </c>
      <c r="DQ176" s="228">
        <v>0.7</v>
      </c>
      <c r="DR176" s="228">
        <v>0.63</v>
      </c>
      <c r="DS176" s="228">
        <v>7.0000000000000007E-2</v>
      </c>
      <c r="DT176" s="229">
        <v>0.1111</v>
      </c>
      <c r="DU176" s="228">
        <v>850</v>
      </c>
      <c r="DV176" s="228">
        <v>770</v>
      </c>
      <c r="DW176" s="228">
        <v>0.69</v>
      </c>
      <c r="DX176" s="228">
        <v>0.76</v>
      </c>
      <c r="DY176" s="228">
        <v>-7.0000000000000007E-2</v>
      </c>
      <c r="DZ176" s="229">
        <v>-9.2100000000000001E-2</v>
      </c>
      <c r="EA176" s="229">
        <v>0.62080000000000002</v>
      </c>
      <c r="EB176" s="230">
        <v>5651200</v>
      </c>
      <c r="EC176" s="229">
        <v>-5.0000000000000001E-3</v>
      </c>
      <c r="ED176" s="229">
        <v>0.62080000000000002</v>
      </c>
      <c r="EE176" s="228">
        <v>-4.5599999999999996</v>
      </c>
      <c r="EF176" s="229">
        <v>-5.7999999999999996E-3</v>
      </c>
      <c r="EG176" s="230">
        <v>1119827</v>
      </c>
      <c r="EH176" s="230">
        <v>728178</v>
      </c>
      <c r="EI176" s="229">
        <v>0.53779999999999994</v>
      </c>
      <c r="EJ176" s="229">
        <v>0.64180000000000004</v>
      </c>
      <c r="EK176" s="228">
        <v>639.52</v>
      </c>
      <c r="EL176" s="228">
        <v>423.26</v>
      </c>
      <c r="EM176" s="231">
        <v>1570.72</v>
      </c>
      <c r="EN176" s="228">
        <v>84.74</v>
      </c>
      <c r="EO176" s="231">
        <v>2633.5</v>
      </c>
      <c r="EP176" s="231">
        <v>2972.74</v>
      </c>
      <c r="EQ176" s="228">
        <v>-339.24</v>
      </c>
      <c r="ER176" s="229">
        <v>-0.11409999999999999</v>
      </c>
      <c r="ES176" s="228">
        <v>660.44</v>
      </c>
      <c r="ET176" s="228">
        <v>425.25</v>
      </c>
      <c r="EU176" s="231">
        <v>1443.39</v>
      </c>
      <c r="EV176" s="231">
        <v>44836888</v>
      </c>
      <c r="EW176" s="231">
        <v>2529.08</v>
      </c>
      <c r="EX176" s="231">
        <v>2610.89</v>
      </c>
      <c r="EY176" s="228">
        <v>-81.81</v>
      </c>
      <c r="EZ176" s="229">
        <v>-3.1300000000000001E-2</v>
      </c>
      <c r="FA176" s="229">
        <v>0.69110000000000005</v>
      </c>
      <c r="FB176" s="227" t="s">
        <v>556</v>
      </c>
      <c r="FC176">
        <f t="shared" si="3"/>
        <v>0</v>
      </c>
    </row>
    <row r="177" spans="1:159" ht="17.25" thickBot="1" x14ac:dyDescent="0.3">
      <c r="A177" s="226">
        <v>46044</v>
      </c>
      <c r="B177" s="227" t="s">
        <v>175</v>
      </c>
      <c r="C177" s="227" t="s">
        <v>462</v>
      </c>
      <c r="D177" s="228">
        <v>375</v>
      </c>
      <c r="E177" s="228">
        <v>5</v>
      </c>
      <c r="F177" s="231">
        <v>2027.2</v>
      </c>
      <c r="G177" s="231">
        <v>2053.1</v>
      </c>
      <c r="H177" s="228">
        <v>-25.9</v>
      </c>
      <c r="I177" s="229">
        <v>-1.26E-2</v>
      </c>
      <c r="J177" s="231">
        <v>2022</v>
      </c>
      <c r="K177" s="231">
        <v>2055.4</v>
      </c>
      <c r="L177" s="228">
        <v>-33.4</v>
      </c>
      <c r="M177" s="229">
        <v>-1.6199999999999999E-2</v>
      </c>
      <c r="N177" s="231">
        <v>2027.2</v>
      </c>
      <c r="O177" s="231">
        <v>2053.1</v>
      </c>
      <c r="P177" s="228">
        <v>-25.9</v>
      </c>
      <c r="Q177" s="229">
        <v>-1.26E-2</v>
      </c>
      <c r="R177" s="231">
        <v>2037.6</v>
      </c>
      <c r="S177" s="231">
        <v>2064.1999999999998</v>
      </c>
      <c r="T177" s="228">
        <v>-26.6</v>
      </c>
      <c r="U177" s="229">
        <v>-1.29E-2</v>
      </c>
      <c r="V177" s="231">
        <v>2046.1</v>
      </c>
      <c r="W177" s="231">
        <v>2076.5</v>
      </c>
      <c r="X177" s="228">
        <v>-30.4</v>
      </c>
      <c r="Y177" s="229">
        <v>-1.46E-2</v>
      </c>
      <c r="Z177" s="228">
        <v>5.2</v>
      </c>
      <c r="AA177" s="228">
        <v>-2.2999999999999998</v>
      </c>
      <c r="AB177" s="228">
        <v>7.5</v>
      </c>
      <c r="AC177" s="229">
        <v>2.5999999999999999E-3</v>
      </c>
      <c r="AD177" s="228">
        <v>5.2</v>
      </c>
      <c r="AE177" s="228">
        <v>-2.2999999999999998</v>
      </c>
      <c r="AF177" s="228">
        <v>7.5</v>
      </c>
      <c r="AG177" s="229">
        <v>2.5999999999999999E-3</v>
      </c>
      <c r="AH177" s="228">
        <v>15.6</v>
      </c>
      <c r="AI177" s="228">
        <v>8.8000000000000007</v>
      </c>
      <c r="AJ177" s="228">
        <v>6.8</v>
      </c>
      <c r="AK177" s="229">
        <v>7.7000000000000002E-3</v>
      </c>
      <c r="AL177" s="228">
        <v>24.1</v>
      </c>
      <c r="AM177" s="228">
        <v>21.1</v>
      </c>
      <c r="AN177" s="228">
        <v>3</v>
      </c>
      <c r="AO177" s="229">
        <v>1.1900000000000001E-2</v>
      </c>
      <c r="AP177" s="231">
        <v>2030.29</v>
      </c>
      <c r="AQ177" s="231">
        <v>2040.24</v>
      </c>
      <c r="AR177" s="228">
        <v>0</v>
      </c>
      <c r="AS177" s="230">
        <v>2026</v>
      </c>
      <c r="AT177" s="230">
        <v>1026</v>
      </c>
      <c r="AU177" s="228">
        <v>999</v>
      </c>
      <c r="AV177" s="229">
        <v>0.97340000000000004</v>
      </c>
      <c r="AW177" s="228">
        <v>999</v>
      </c>
      <c r="AX177" s="228">
        <v>576</v>
      </c>
      <c r="AY177" s="228">
        <v>423</v>
      </c>
      <c r="AZ177" s="229">
        <v>0.73380000000000001</v>
      </c>
      <c r="BA177" s="230">
        <v>1023</v>
      </c>
      <c r="BB177" s="228">
        <v>446</v>
      </c>
      <c r="BC177" s="228">
        <v>577</v>
      </c>
      <c r="BD177" s="229">
        <v>1.2936000000000001</v>
      </c>
      <c r="BE177" s="228">
        <v>4</v>
      </c>
      <c r="BF177" s="228">
        <v>5</v>
      </c>
      <c r="BG177" s="228">
        <v>0</v>
      </c>
      <c r="BH177" s="229">
        <v>-4.9200000000000001E-2</v>
      </c>
      <c r="BI177" s="230">
        <v>1855</v>
      </c>
      <c r="BJ177" s="230">
        <v>1966</v>
      </c>
      <c r="BK177" s="228">
        <v>-111</v>
      </c>
      <c r="BL177" s="229">
        <v>-5.6300000000000003E-2</v>
      </c>
      <c r="BM177" s="230">
        <v>1677</v>
      </c>
      <c r="BN177" s="228">
        <v>995</v>
      </c>
      <c r="BO177" s="228">
        <v>682</v>
      </c>
      <c r="BP177" s="229">
        <v>0.68579999999999997</v>
      </c>
      <c r="BQ177" s="230">
        <v>5558</v>
      </c>
      <c r="BR177" s="230">
        <v>3987</v>
      </c>
      <c r="BS177" s="230">
        <v>1571</v>
      </c>
      <c r="BT177" s="229">
        <v>0.39400000000000002</v>
      </c>
      <c r="BU177" s="230">
        <v>1998008</v>
      </c>
      <c r="BV177" s="230">
        <v>1184261</v>
      </c>
      <c r="BW177" s="230">
        <v>813747</v>
      </c>
      <c r="BX177" s="229">
        <v>0.68710000000000004</v>
      </c>
      <c r="BY177" s="230">
        <v>2072</v>
      </c>
      <c r="BZ177" s="230">
        <v>1965</v>
      </c>
      <c r="CA177" s="228">
        <v>107</v>
      </c>
      <c r="CB177" s="229">
        <v>5.4300000000000001E-2</v>
      </c>
      <c r="CC177" s="228">
        <v>795</v>
      </c>
      <c r="CD177" s="230">
        <v>1465</v>
      </c>
      <c r="CE177" s="228">
        <v>-670</v>
      </c>
      <c r="CF177" s="229">
        <v>-0.45750000000000002</v>
      </c>
      <c r="CG177" s="230">
        <v>1252</v>
      </c>
      <c r="CH177" s="228">
        <v>477</v>
      </c>
      <c r="CI177" s="228">
        <v>775</v>
      </c>
      <c r="CJ177" s="229">
        <v>1.6254999999999999</v>
      </c>
      <c r="CK177" s="228">
        <v>25</v>
      </c>
      <c r="CL177" s="228">
        <v>23</v>
      </c>
      <c r="CM177" s="228">
        <v>2</v>
      </c>
      <c r="CN177" s="229">
        <v>6.4899999999999999E-2</v>
      </c>
      <c r="CO177" s="230">
        <v>1563</v>
      </c>
      <c r="CP177" s="230">
        <v>1565</v>
      </c>
      <c r="CQ177" s="228">
        <v>-3</v>
      </c>
      <c r="CR177" s="229">
        <v>-1.6999999999999999E-3</v>
      </c>
      <c r="CS177" s="228">
        <v>477</v>
      </c>
      <c r="CT177" s="228">
        <v>445</v>
      </c>
      <c r="CU177" s="228">
        <v>32</v>
      </c>
      <c r="CV177" s="229">
        <v>7.1900000000000006E-2</v>
      </c>
      <c r="CW177" s="230">
        <v>4112</v>
      </c>
      <c r="CX177" s="230">
        <v>3975</v>
      </c>
      <c r="CY177" s="228">
        <v>136</v>
      </c>
      <c r="CZ177" s="229">
        <v>3.4299999999999997E-2</v>
      </c>
      <c r="DA177" s="228">
        <v>22.8</v>
      </c>
      <c r="DB177" s="228">
        <v>16.05</v>
      </c>
      <c r="DC177" s="228">
        <v>6.75</v>
      </c>
      <c r="DD177" s="228">
        <v>6.75</v>
      </c>
      <c r="DE177" s="228">
        <v>23.62</v>
      </c>
      <c r="DF177" s="228">
        <v>23.58</v>
      </c>
      <c r="DG177" s="228">
        <v>-0.82</v>
      </c>
      <c r="DH177" s="228">
        <v>0.04</v>
      </c>
      <c r="DI177" s="228">
        <v>22.49</v>
      </c>
      <c r="DJ177" s="228">
        <v>15.29</v>
      </c>
      <c r="DK177" s="228">
        <v>7.2</v>
      </c>
      <c r="DL177" s="228">
        <v>7.2</v>
      </c>
      <c r="DM177" s="228">
        <v>23.11</v>
      </c>
      <c r="DN177" s="228">
        <v>17.57</v>
      </c>
      <c r="DO177" s="228">
        <v>5.54</v>
      </c>
      <c r="DP177" s="228">
        <v>5.54</v>
      </c>
      <c r="DQ177" s="228">
        <v>0.31</v>
      </c>
      <c r="DR177" s="228">
        <v>0.28000000000000003</v>
      </c>
      <c r="DS177" s="228">
        <v>0.03</v>
      </c>
      <c r="DT177" s="229">
        <v>0.1071</v>
      </c>
      <c r="DU177" s="231">
        <v>2140</v>
      </c>
      <c r="DV177" s="231">
        <v>2020</v>
      </c>
      <c r="DW177" s="228">
        <v>0.9</v>
      </c>
      <c r="DX177" s="228">
        <v>0.51</v>
      </c>
      <c r="DY177" s="228">
        <v>0.39</v>
      </c>
      <c r="DZ177" s="229">
        <v>0.76470000000000005</v>
      </c>
      <c r="EA177" s="229">
        <v>0.61650000000000005</v>
      </c>
      <c r="EB177" s="230">
        <v>2468625</v>
      </c>
      <c r="EC177" s="229">
        <v>5.1000000000000004E-3</v>
      </c>
      <c r="ED177" s="229">
        <v>0.61650000000000005</v>
      </c>
      <c r="EE177" s="228">
        <v>9.9499999999999993</v>
      </c>
      <c r="EF177" s="229">
        <v>4.8999999999999998E-3</v>
      </c>
      <c r="EG177" s="230">
        <v>1327692</v>
      </c>
      <c r="EH177" s="230">
        <v>833052</v>
      </c>
      <c r="EI177" s="229">
        <v>0.59379999999999999</v>
      </c>
      <c r="EJ177" s="229">
        <v>0.66449999999999998</v>
      </c>
      <c r="EK177" s="231">
        <v>1909.46</v>
      </c>
      <c r="EL177" s="231">
        <v>1673.19</v>
      </c>
      <c r="EM177" s="231">
        <v>2033.71</v>
      </c>
      <c r="EN177" s="228">
        <v>60.34</v>
      </c>
      <c r="EO177" s="231">
        <v>5616.36</v>
      </c>
      <c r="EP177" s="231">
        <v>4091.5</v>
      </c>
      <c r="EQ177" s="231">
        <v>1524.86</v>
      </c>
      <c r="ER177" s="229">
        <v>0.37269999999999998</v>
      </c>
      <c r="ES177" s="231">
        <v>1645.52</v>
      </c>
      <c r="ET177" s="228">
        <v>469.12</v>
      </c>
      <c r="EU177" s="231">
        <v>2078.66</v>
      </c>
      <c r="EV177" s="231">
        <v>44756800</v>
      </c>
      <c r="EW177" s="231">
        <v>4193.29</v>
      </c>
      <c r="EX177" s="231">
        <v>4081.43</v>
      </c>
      <c r="EY177" s="228">
        <v>111.86</v>
      </c>
      <c r="EZ177" s="229">
        <v>2.7400000000000001E-2</v>
      </c>
      <c r="FA177" s="229">
        <v>0.45319999999999999</v>
      </c>
      <c r="FB177" s="227" t="s">
        <v>567</v>
      </c>
      <c r="FC177">
        <f t="shared" si="3"/>
        <v>0</v>
      </c>
    </row>
    <row r="178" spans="1:159" ht="17.25" thickBot="1" x14ac:dyDescent="0.3">
      <c r="A178" s="226">
        <v>46044</v>
      </c>
      <c r="B178" s="227" t="s">
        <v>172</v>
      </c>
      <c r="C178" s="227" t="s">
        <v>283</v>
      </c>
      <c r="D178" s="228">
        <v>750</v>
      </c>
      <c r="E178" s="228">
        <v>5</v>
      </c>
      <c r="F178" s="231">
        <v>1047.25</v>
      </c>
      <c r="G178" s="231">
        <v>1030.25</v>
      </c>
      <c r="H178" s="228">
        <v>17</v>
      </c>
      <c r="I178" s="229">
        <v>1.6500000000000001E-2</v>
      </c>
      <c r="J178" s="231">
        <v>1048.3499999999999</v>
      </c>
      <c r="K178" s="231">
        <v>1028.6500000000001</v>
      </c>
      <c r="L178" s="228">
        <v>19.7</v>
      </c>
      <c r="M178" s="229">
        <v>1.9199999999999998E-2</v>
      </c>
      <c r="N178" s="231">
        <v>1047.25</v>
      </c>
      <c r="O178" s="231">
        <v>1030.25</v>
      </c>
      <c r="P178" s="228">
        <v>17</v>
      </c>
      <c r="Q178" s="229">
        <v>1.6500000000000001E-2</v>
      </c>
      <c r="R178" s="231">
        <v>1053.1500000000001</v>
      </c>
      <c r="S178" s="231">
        <v>1036.05</v>
      </c>
      <c r="T178" s="228">
        <v>17.100000000000001</v>
      </c>
      <c r="U178" s="229">
        <v>1.6500000000000001E-2</v>
      </c>
      <c r="V178" s="231">
        <v>1060.4000000000001</v>
      </c>
      <c r="W178" s="231">
        <v>1042.7</v>
      </c>
      <c r="X178" s="228">
        <v>17.7</v>
      </c>
      <c r="Y178" s="229">
        <v>1.7000000000000001E-2</v>
      </c>
      <c r="Z178" s="228">
        <v>-1.1000000000000001</v>
      </c>
      <c r="AA178" s="228">
        <v>1.6</v>
      </c>
      <c r="AB178" s="228">
        <v>-2.7</v>
      </c>
      <c r="AC178" s="229">
        <v>-1E-3</v>
      </c>
      <c r="AD178" s="228">
        <v>-1.1000000000000001</v>
      </c>
      <c r="AE178" s="228">
        <v>1.6</v>
      </c>
      <c r="AF178" s="228">
        <v>-2.7</v>
      </c>
      <c r="AG178" s="229">
        <v>-1E-3</v>
      </c>
      <c r="AH178" s="228">
        <v>4.8</v>
      </c>
      <c r="AI178" s="228">
        <v>7.4</v>
      </c>
      <c r="AJ178" s="228">
        <v>-2.6</v>
      </c>
      <c r="AK178" s="229">
        <v>4.5999999999999999E-3</v>
      </c>
      <c r="AL178" s="228">
        <v>12.05</v>
      </c>
      <c r="AM178" s="228">
        <v>14.05</v>
      </c>
      <c r="AN178" s="228">
        <v>-2</v>
      </c>
      <c r="AO178" s="229">
        <v>1.15E-2</v>
      </c>
      <c r="AP178" s="231">
        <v>1045.78</v>
      </c>
      <c r="AQ178" s="231">
        <v>1051.27</v>
      </c>
      <c r="AR178" s="228">
        <v>0</v>
      </c>
      <c r="AS178" s="230">
        <v>5910</v>
      </c>
      <c r="AT178" s="230">
        <v>4957</v>
      </c>
      <c r="AU178" s="228">
        <v>953</v>
      </c>
      <c r="AV178" s="229">
        <v>0.1923</v>
      </c>
      <c r="AW178" s="230">
        <v>3112</v>
      </c>
      <c r="AX178" s="230">
        <v>2737</v>
      </c>
      <c r="AY178" s="228">
        <v>375</v>
      </c>
      <c r="AZ178" s="229">
        <v>0.1371</v>
      </c>
      <c r="BA178" s="230">
        <v>2762</v>
      </c>
      <c r="BB178" s="230">
        <v>2177</v>
      </c>
      <c r="BC178" s="228">
        <v>584</v>
      </c>
      <c r="BD178" s="229">
        <v>0.26840000000000003</v>
      </c>
      <c r="BE178" s="228">
        <v>37</v>
      </c>
      <c r="BF178" s="228">
        <v>43</v>
      </c>
      <c r="BG178" s="228">
        <v>-6</v>
      </c>
      <c r="BH178" s="229">
        <v>-0.14080000000000001</v>
      </c>
      <c r="BI178" s="230">
        <v>15272</v>
      </c>
      <c r="BJ178" s="230">
        <v>14203</v>
      </c>
      <c r="BK178" s="230">
        <v>1069</v>
      </c>
      <c r="BL178" s="229">
        <v>7.5200000000000003E-2</v>
      </c>
      <c r="BM178" s="230">
        <v>10651</v>
      </c>
      <c r="BN178" s="230">
        <v>11820</v>
      </c>
      <c r="BO178" s="230">
        <v>-1169</v>
      </c>
      <c r="BP178" s="229">
        <v>-9.8900000000000002E-2</v>
      </c>
      <c r="BQ178" s="230">
        <v>31833</v>
      </c>
      <c r="BR178" s="230">
        <v>30980</v>
      </c>
      <c r="BS178" s="228">
        <v>853</v>
      </c>
      <c r="BT178" s="229">
        <v>2.75E-2</v>
      </c>
      <c r="BU178" s="230">
        <v>12764251</v>
      </c>
      <c r="BV178" s="230">
        <v>7955233</v>
      </c>
      <c r="BW178" s="230">
        <v>4809018</v>
      </c>
      <c r="BX178" s="229">
        <v>0.60450000000000004</v>
      </c>
      <c r="BY178" s="230">
        <v>7797</v>
      </c>
      <c r="BZ178" s="230">
        <v>7719</v>
      </c>
      <c r="CA178" s="228">
        <v>78</v>
      </c>
      <c r="CB178" s="229">
        <v>1.01E-2</v>
      </c>
      <c r="CC178" s="230">
        <v>3041</v>
      </c>
      <c r="CD178" s="230">
        <v>4983</v>
      </c>
      <c r="CE178" s="230">
        <v>-1942</v>
      </c>
      <c r="CF178" s="229">
        <v>-0.38969999999999999</v>
      </c>
      <c r="CG178" s="230">
        <v>4513</v>
      </c>
      <c r="CH178" s="230">
        <v>2506</v>
      </c>
      <c r="CI178" s="230">
        <v>2007</v>
      </c>
      <c r="CJ178" s="229">
        <v>0.80069999999999997</v>
      </c>
      <c r="CK178" s="228">
        <v>243</v>
      </c>
      <c r="CL178" s="228">
        <v>230</v>
      </c>
      <c r="CM178" s="228">
        <v>13</v>
      </c>
      <c r="CN178" s="229">
        <v>5.8500000000000003E-2</v>
      </c>
      <c r="CO178" s="230">
        <v>4682</v>
      </c>
      <c r="CP178" s="230">
        <v>4942</v>
      </c>
      <c r="CQ178" s="228">
        <v>-260</v>
      </c>
      <c r="CR178" s="229">
        <v>-5.2600000000000001E-2</v>
      </c>
      <c r="CS178" s="230">
        <v>4481</v>
      </c>
      <c r="CT178" s="230">
        <v>4319</v>
      </c>
      <c r="CU178" s="228">
        <v>162</v>
      </c>
      <c r="CV178" s="229">
        <v>3.7499999999999999E-2</v>
      </c>
      <c r="CW178" s="230">
        <v>16960</v>
      </c>
      <c r="CX178" s="230">
        <v>16980</v>
      </c>
      <c r="CY178" s="228">
        <v>-20</v>
      </c>
      <c r="CZ178" s="229">
        <v>-1.1999999999999999E-3</v>
      </c>
      <c r="DA178" s="228">
        <v>23.83</v>
      </c>
      <c r="DB178" s="228">
        <v>16.84</v>
      </c>
      <c r="DC178" s="228">
        <v>6.99</v>
      </c>
      <c r="DD178" s="228">
        <v>6.99</v>
      </c>
      <c r="DE178" s="228">
        <v>24.07</v>
      </c>
      <c r="DF178" s="228">
        <v>23.99</v>
      </c>
      <c r="DG178" s="228">
        <v>-0.24</v>
      </c>
      <c r="DH178" s="228">
        <v>0.08</v>
      </c>
      <c r="DI178" s="228">
        <v>23.57</v>
      </c>
      <c r="DJ178" s="228">
        <v>15.92</v>
      </c>
      <c r="DK178" s="228">
        <v>7.65</v>
      </c>
      <c r="DL178" s="228">
        <v>7.65</v>
      </c>
      <c r="DM178" s="228">
        <v>24.12</v>
      </c>
      <c r="DN178" s="228">
        <v>17.95</v>
      </c>
      <c r="DO178" s="228">
        <v>6.17</v>
      </c>
      <c r="DP178" s="228">
        <v>6.17</v>
      </c>
      <c r="DQ178" s="228">
        <v>0.96</v>
      </c>
      <c r="DR178" s="228">
        <v>0.87</v>
      </c>
      <c r="DS178" s="228">
        <v>0.09</v>
      </c>
      <c r="DT178" s="229">
        <v>0.10340000000000001</v>
      </c>
      <c r="DU178" s="231">
        <v>1030</v>
      </c>
      <c r="DV178" s="231">
        <v>1000</v>
      </c>
      <c r="DW178" s="228">
        <v>0.7</v>
      </c>
      <c r="DX178" s="228">
        <v>0.83</v>
      </c>
      <c r="DY178" s="228">
        <v>-0.13</v>
      </c>
      <c r="DZ178" s="229">
        <v>-0.15659999999999999</v>
      </c>
      <c r="EA178" s="229">
        <v>0.61</v>
      </c>
      <c r="EB178" s="230">
        <v>26124000</v>
      </c>
      <c r="EC178" s="229">
        <v>5.5999999999999999E-3</v>
      </c>
      <c r="ED178" s="229">
        <v>0.61</v>
      </c>
      <c r="EE178" s="228">
        <v>5.49</v>
      </c>
      <c r="EF178" s="229">
        <v>5.1999999999999998E-3</v>
      </c>
      <c r="EG178" s="230">
        <v>7639683</v>
      </c>
      <c r="EH178" s="230">
        <v>4685742</v>
      </c>
      <c r="EI178" s="229">
        <v>0.63039999999999996</v>
      </c>
      <c r="EJ178" s="229">
        <v>0.59850000000000003</v>
      </c>
      <c r="EK178" s="231">
        <v>15511.5</v>
      </c>
      <c r="EL178" s="231">
        <v>10508.55</v>
      </c>
      <c r="EM178" s="231">
        <v>5916.75</v>
      </c>
      <c r="EN178" s="228">
        <v>324.05</v>
      </c>
      <c r="EO178" s="231">
        <v>31936.799999999999</v>
      </c>
      <c r="EP178" s="231">
        <v>30678.09</v>
      </c>
      <c r="EQ178" s="231">
        <v>1258.71</v>
      </c>
      <c r="ER178" s="229">
        <v>4.1000000000000002E-2</v>
      </c>
      <c r="ES178" s="231">
        <v>4650.82</v>
      </c>
      <c r="ET178" s="231">
        <v>4267.3599999999997</v>
      </c>
      <c r="EU178" s="231">
        <v>7825.59</v>
      </c>
      <c r="EV178" s="231">
        <v>436949195</v>
      </c>
      <c r="EW178" s="231">
        <v>16743.77</v>
      </c>
      <c r="EX178" s="231">
        <v>16612.71</v>
      </c>
      <c r="EY178" s="228">
        <v>131.06</v>
      </c>
      <c r="EZ178" s="229">
        <v>7.9000000000000008E-3</v>
      </c>
      <c r="FA178" s="229">
        <v>0.37059999999999998</v>
      </c>
      <c r="FB178" s="227" t="s">
        <v>555</v>
      </c>
      <c r="FC178">
        <f t="shared" si="3"/>
        <v>0</v>
      </c>
    </row>
    <row r="179" spans="1:159" ht="17.25" thickBot="1" x14ac:dyDescent="0.3">
      <c r="A179" s="226">
        <v>46044</v>
      </c>
      <c r="B179" s="227" t="s">
        <v>157</v>
      </c>
      <c r="C179" s="227" t="s">
        <v>284</v>
      </c>
      <c r="D179" s="228">
        <v>25</v>
      </c>
      <c r="E179" s="228">
        <v>5</v>
      </c>
      <c r="F179" s="231">
        <v>27525</v>
      </c>
      <c r="G179" s="231">
        <v>27440</v>
      </c>
      <c r="H179" s="228">
        <v>85</v>
      </c>
      <c r="I179" s="229">
        <v>3.0999999999999999E-3</v>
      </c>
      <c r="J179" s="231">
        <v>27430</v>
      </c>
      <c r="K179" s="231">
        <v>27370</v>
      </c>
      <c r="L179" s="228">
        <v>60</v>
      </c>
      <c r="M179" s="229">
        <v>2.2000000000000001E-3</v>
      </c>
      <c r="N179" s="231">
        <v>27525</v>
      </c>
      <c r="O179" s="231">
        <v>27440</v>
      </c>
      <c r="P179" s="228">
        <v>85</v>
      </c>
      <c r="Q179" s="229">
        <v>3.0999999999999999E-3</v>
      </c>
      <c r="R179" s="231">
        <v>27560</v>
      </c>
      <c r="S179" s="231">
        <v>27460</v>
      </c>
      <c r="T179" s="228">
        <v>100</v>
      </c>
      <c r="U179" s="229">
        <v>3.5999999999999999E-3</v>
      </c>
      <c r="V179" s="231">
        <v>27630</v>
      </c>
      <c r="W179" s="231">
        <v>27610</v>
      </c>
      <c r="X179" s="228">
        <v>20</v>
      </c>
      <c r="Y179" s="229">
        <v>6.9999999999999999E-4</v>
      </c>
      <c r="Z179" s="228">
        <v>95</v>
      </c>
      <c r="AA179" s="228">
        <v>70</v>
      </c>
      <c r="AB179" s="228">
        <v>25</v>
      </c>
      <c r="AC179" s="229">
        <v>3.5000000000000001E-3</v>
      </c>
      <c r="AD179" s="228">
        <v>95</v>
      </c>
      <c r="AE179" s="228">
        <v>70</v>
      </c>
      <c r="AF179" s="228">
        <v>25</v>
      </c>
      <c r="AG179" s="229">
        <v>3.5000000000000001E-3</v>
      </c>
      <c r="AH179" s="228">
        <v>130</v>
      </c>
      <c r="AI179" s="228">
        <v>90</v>
      </c>
      <c r="AJ179" s="228">
        <v>40</v>
      </c>
      <c r="AK179" s="229">
        <v>4.7000000000000002E-3</v>
      </c>
      <c r="AL179" s="228">
        <v>200</v>
      </c>
      <c r="AM179" s="228">
        <v>240</v>
      </c>
      <c r="AN179" s="228">
        <v>-40</v>
      </c>
      <c r="AO179" s="229">
        <v>7.3000000000000001E-3</v>
      </c>
      <c r="AP179" s="231">
        <v>27520.71</v>
      </c>
      <c r="AQ179" s="231">
        <v>27572.41</v>
      </c>
      <c r="AR179" s="228">
        <v>0</v>
      </c>
      <c r="AS179" s="228">
        <v>626</v>
      </c>
      <c r="AT179" s="228">
        <v>522</v>
      </c>
      <c r="AU179" s="228">
        <v>104</v>
      </c>
      <c r="AV179" s="229">
        <v>0.19900000000000001</v>
      </c>
      <c r="AW179" s="228">
        <v>320</v>
      </c>
      <c r="AX179" s="228">
        <v>280</v>
      </c>
      <c r="AY179" s="228">
        <v>40</v>
      </c>
      <c r="AZ179" s="229">
        <v>0.1429</v>
      </c>
      <c r="BA179" s="228">
        <v>306</v>
      </c>
      <c r="BB179" s="228">
        <v>242</v>
      </c>
      <c r="BC179" s="228">
        <v>64</v>
      </c>
      <c r="BD179" s="229">
        <v>0.2646</v>
      </c>
      <c r="BE179" s="228">
        <v>0</v>
      </c>
      <c r="BF179" s="228">
        <v>0</v>
      </c>
      <c r="BG179" s="228">
        <v>0</v>
      </c>
      <c r="BH179" s="229">
        <v>0</v>
      </c>
      <c r="BI179" s="228">
        <v>289</v>
      </c>
      <c r="BJ179" s="228">
        <v>493</v>
      </c>
      <c r="BK179" s="228">
        <v>-205</v>
      </c>
      <c r="BL179" s="229">
        <v>-0.4148</v>
      </c>
      <c r="BM179" s="228">
        <v>156</v>
      </c>
      <c r="BN179" s="228">
        <v>255</v>
      </c>
      <c r="BO179" s="228">
        <v>-99</v>
      </c>
      <c r="BP179" s="229">
        <v>-0.38929999999999998</v>
      </c>
      <c r="BQ179" s="230">
        <v>1071</v>
      </c>
      <c r="BR179" s="230">
        <v>1271</v>
      </c>
      <c r="BS179" s="228">
        <v>-200</v>
      </c>
      <c r="BT179" s="229">
        <v>-0.1573</v>
      </c>
      <c r="BU179" s="230">
        <v>14891</v>
      </c>
      <c r="BV179" s="230">
        <v>25324</v>
      </c>
      <c r="BW179" s="230">
        <v>-10433</v>
      </c>
      <c r="BX179" s="229">
        <v>-0.41199999999999998</v>
      </c>
      <c r="BY179" s="228">
        <v>717</v>
      </c>
      <c r="BZ179" s="228">
        <v>709</v>
      </c>
      <c r="CA179" s="228">
        <v>8</v>
      </c>
      <c r="CB179" s="229">
        <v>1.15E-2</v>
      </c>
      <c r="CC179" s="228">
        <v>289</v>
      </c>
      <c r="CD179" s="228">
        <v>523</v>
      </c>
      <c r="CE179" s="228">
        <v>-234</v>
      </c>
      <c r="CF179" s="229">
        <v>-0.44819999999999999</v>
      </c>
      <c r="CG179" s="228">
        <v>427</v>
      </c>
      <c r="CH179" s="228">
        <v>184</v>
      </c>
      <c r="CI179" s="228">
        <v>243</v>
      </c>
      <c r="CJ179" s="229">
        <v>1.3188</v>
      </c>
      <c r="CK179" s="228">
        <v>2</v>
      </c>
      <c r="CL179" s="228">
        <v>2</v>
      </c>
      <c r="CM179" s="228">
        <v>0</v>
      </c>
      <c r="CN179" s="229">
        <v>-0.1333</v>
      </c>
      <c r="CO179" s="228">
        <v>182</v>
      </c>
      <c r="CP179" s="228">
        <v>210</v>
      </c>
      <c r="CQ179" s="228">
        <v>-28</v>
      </c>
      <c r="CR179" s="229">
        <v>-0.1323</v>
      </c>
      <c r="CS179" s="228">
        <v>134</v>
      </c>
      <c r="CT179" s="228">
        <v>159</v>
      </c>
      <c r="CU179" s="228">
        <v>-25</v>
      </c>
      <c r="CV179" s="229">
        <v>-0.1578</v>
      </c>
      <c r="CW179" s="230">
        <v>1033</v>
      </c>
      <c r="CX179" s="230">
        <v>1078</v>
      </c>
      <c r="CY179" s="228">
        <v>-45</v>
      </c>
      <c r="CZ179" s="229">
        <v>-4.1399999999999999E-2</v>
      </c>
      <c r="DA179" s="228">
        <v>25.45</v>
      </c>
      <c r="DB179" s="228">
        <v>25.17</v>
      </c>
      <c r="DC179" s="228">
        <v>0.28000000000000003</v>
      </c>
      <c r="DD179" s="228">
        <v>0.28000000000000003</v>
      </c>
      <c r="DE179" s="228">
        <v>24.11</v>
      </c>
      <c r="DF179" s="228">
        <v>24.17</v>
      </c>
      <c r="DG179" s="228">
        <v>1.34</v>
      </c>
      <c r="DH179" s="228">
        <v>-0.06</v>
      </c>
      <c r="DI179" s="228">
        <v>25.15</v>
      </c>
      <c r="DJ179" s="228">
        <v>23.97</v>
      </c>
      <c r="DK179" s="228">
        <v>1.18</v>
      </c>
      <c r="DL179" s="228">
        <v>1.18</v>
      </c>
      <c r="DM179" s="228">
        <v>25.74</v>
      </c>
      <c r="DN179" s="228">
        <v>27.51</v>
      </c>
      <c r="DO179" s="228">
        <v>-1.77</v>
      </c>
      <c r="DP179" s="228">
        <v>-1.77</v>
      </c>
      <c r="DQ179" s="228">
        <v>0.73</v>
      </c>
      <c r="DR179" s="228">
        <v>0.76</v>
      </c>
      <c r="DS179" s="228">
        <v>-0.03</v>
      </c>
      <c r="DT179" s="229">
        <v>-3.95E-2</v>
      </c>
      <c r="DU179" s="231">
        <v>28000</v>
      </c>
      <c r="DV179" s="231">
        <v>26500</v>
      </c>
      <c r="DW179" s="228">
        <v>0.54</v>
      </c>
      <c r="DX179" s="228">
        <v>0.52</v>
      </c>
      <c r="DY179" s="228">
        <v>0.02</v>
      </c>
      <c r="DZ179" s="229">
        <v>3.85E-2</v>
      </c>
      <c r="EA179" s="229">
        <v>0.5978</v>
      </c>
      <c r="EB179" s="230">
        <v>67650</v>
      </c>
      <c r="EC179" s="229">
        <v>1.2999999999999999E-3</v>
      </c>
      <c r="ED179" s="229">
        <v>0.5978</v>
      </c>
      <c r="EE179" s="228">
        <v>51.7</v>
      </c>
      <c r="EF179" s="229">
        <v>1.9E-3</v>
      </c>
      <c r="EG179" s="230">
        <v>9380</v>
      </c>
      <c r="EH179" s="230">
        <v>13209</v>
      </c>
      <c r="EI179" s="229">
        <v>-0.28989999999999999</v>
      </c>
      <c r="EJ179" s="229">
        <v>0.62990000000000002</v>
      </c>
      <c r="EK179" s="228">
        <v>302.06</v>
      </c>
      <c r="EL179" s="228">
        <v>146.31</v>
      </c>
      <c r="EM179" s="228">
        <v>626.88</v>
      </c>
      <c r="EN179" s="228">
        <v>31.88</v>
      </c>
      <c r="EO179" s="231">
        <v>1075.25</v>
      </c>
      <c r="EP179" s="231">
        <v>1271.1300000000001</v>
      </c>
      <c r="EQ179" s="228">
        <v>-195.89</v>
      </c>
      <c r="ER179" s="229">
        <v>-0.15409999999999999</v>
      </c>
      <c r="ES179" s="228">
        <v>189.23</v>
      </c>
      <c r="ET179" s="228">
        <v>128.4</v>
      </c>
      <c r="EU179" s="228">
        <v>717.85</v>
      </c>
      <c r="EV179" s="231">
        <v>1568093</v>
      </c>
      <c r="EW179" s="231">
        <v>1035.47</v>
      </c>
      <c r="EX179" s="231">
        <v>1077.47</v>
      </c>
      <c r="EY179" s="228">
        <v>-42</v>
      </c>
      <c r="EZ179" s="229">
        <v>-3.9E-2</v>
      </c>
      <c r="FA179" s="229">
        <v>0.2394</v>
      </c>
      <c r="FB179" s="227" t="s">
        <v>555</v>
      </c>
      <c r="FC179">
        <f t="shared" si="3"/>
        <v>0</v>
      </c>
    </row>
    <row r="180" spans="1:159" ht="17.25" thickBot="1" x14ac:dyDescent="0.3">
      <c r="A180" s="226">
        <v>46044</v>
      </c>
      <c r="B180" s="227" t="s">
        <v>175</v>
      </c>
      <c r="C180" s="227" t="s">
        <v>562</v>
      </c>
      <c r="D180" s="228">
        <v>825</v>
      </c>
      <c r="E180" s="228">
        <v>5</v>
      </c>
      <c r="F180" s="231">
        <v>1005.15</v>
      </c>
      <c r="G180" s="228">
        <v>985.7</v>
      </c>
      <c r="H180" s="228">
        <v>19.45</v>
      </c>
      <c r="I180" s="229">
        <v>1.9699999999999999E-2</v>
      </c>
      <c r="J180" s="231">
        <v>1005.5</v>
      </c>
      <c r="K180" s="228">
        <v>986</v>
      </c>
      <c r="L180" s="228">
        <v>19.5</v>
      </c>
      <c r="M180" s="229">
        <v>1.9800000000000002E-2</v>
      </c>
      <c r="N180" s="231">
        <v>1005.15</v>
      </c>
      <c r="O180" s="228">
        <v>985.7</v>
      </c>
      <c r="P180" s="228">
        <v>19.45</v>
      </c>
      <c r="Q180" s="229">
        <v>1.9699999999999999E-2</v>
      </c>
      <c r="R180" s="231">
        <v>1010.05</v>
      </c>
      <c r="S180" s="228">
        <v>990.6</v>
      </c>
      <c r="T180" s="228">
        <v>19.45</v>
      </c>
      <c r="U180" s="229">
        <v>1.9599999999999999E-2</v>
      </c>
      <c r="V180" s="231">
        <v>1018.35</v>
      </c>
      <c r="W180" s="228">
        <v>997.8</v>
      </c>
      <c r="X180" s="228">
        <v>20.55</v>
      </c>
      <c r="Y180" s="229">
        <v>2.06E-2</v>
      </c>
      <c r="Z180" s="228">
        <v>-0.35</v>
      </c>
      <c r="AA180" s="228">
        <v>-0.3</v>
      </c>
      <c r="AB180" s="228">
        <v>-0.05</v>
      </c>
      <c r="AC180" s="229">
        <v>-2.9999999999999997E-4</v>
      </c>
      <c r="AD180" s="228">
        <v>-0.35</v>
      </c>
      <c r="AE180" s="228">
        <v>-0.3</v>
      </c>
      <c r="AF180" s="228">
        <v>-0.05</v>
      </c>
      <c r="AG180" s="229">
        <v>-2.9999999999999997E-4</v>
      </c>
      <c r="AH180" s="228">
        <v>4.55</v>
      </c>
      <c r="AI180" s="228">
        <v>4.5999999999999996</v>
      </c>
      <c r="AJ180" s="228">
        <v>-0.05</v>
      </c>
      <c r="AK180" s="229">
        <v>4.4999999999999997E-3</v>
      </c>
      <c r="AL180" s="228">
        <v>12.85</v>
      </c>
      <c r="AM180" s="228">
        <v>11.8</v>
      </c>
      <c r="AN180" s="228">
        <v>1.05</v>
      </c>
      <c r="AO180" s="229">
        <v>1.2800000000000001E-2</v>
      </c>
      <c r="AP180" s="228">
        <v>998.8</v>
      </c>
      <c r="AQ180" s="231">
        <v>1003.47</v>
      </c>
      <c r="AR180" s="228">
        <v>0</v>
      </c>
      <c r="AS180" s="230">
        <v>3463</v>
      </c>
      <c r="AT180" s="230">
        <v>2271</v>
      </c>
      <c r="AU180" s="230">
        <v>1192</v>
      </c>
      <c r="AV180" s="229">
        <v>0.52510000000000001</v>
      </c>
      <c r="AW180" s="230">
        <v>1798</v>
      </c>
      <c r="AX180" s="230">
        <v>1249</v>
      </c>
      <c r="AY180" s="228">
        <v>549</v>
      </c>
      <c r="AZ180" s="229">
        <v>0.43969999999999998</v>
      </c>
      <c r="BA180" s="230">
        <v>1657</v>
      </c>
      <c r="BB180" s="230">
        <v>1013</v>
      </c>
      <c r="BC180" s="228">
        <v>644</v>
      </c>
      <c r="BD180" s="229">
        <v>0.63549999999999995</v>
      </c>
      <c r="BE180" s="228">
        <v>8</v>
      </c>
      <c r="BF180" s="228">
        <v>9</v>
      </c>
      <c r="BG180" s="228">
        <v>-1</v>
      </c>
      <c r="BH180" s="229">
        <v>-6.54E-2</v>
      </c>
      <c r="BI180" s="230">
        <v>2916</v>
      </c>
      <c r="BJ180" s="230">
        <v>2239</v>
      </c>
      <c r="BK180" s="228">
        <v>676</v>
      </c>
      <c r="BL180" s="229">
        <v>0.3019</v>
      </c>
      <c r="BM180" s="230">
        <v>1374</v>
      </c>
      <c r="BN180" s="230">
        <v>1210</v>
      </c>
      <c r="BO180" s="228">
        <v>164</v>
      </c>
      <c r="BP180" s="229">
        <v>0.13550000000000001</v>
      </c>
      <c r="BQ180" s="230">
        <v>7752</v>
      </c>
      <c r="BR180" s="230">
        <v>5720</v>
      </c>
      <c r="BS180" s="230">
        <v>2032</v>
      </c>
      <c r="BT180" s="229">
        <v>0.3553</v>
      </c>
      <c r="BU180" s="230">
        <v>7357990</v>
      </c>
      <c r="BV180" s="230">
        <v>7591774</v>
      </c>
      <c r="BW180" s="230">
        <v>-233784</v>
      </c>
      <c r="BX180" s="229">
        <v>-3.0800000000000001E-2</v>
      </c>
      <c r="BY180" s="230">
        <v>4674</v>
      </c>
      <c r="BZ180" s="230">
        <v>4725</v>
      </c>
      <c r="CA180" s="228">
        <v>-51</v>
      </c>
      <c r="CB180" s="229">
        <v>-1.0800000000000001E-2</v>
      </c>
      <c r="CC180" s="230">
        <v>1898</v>
      </c>
      <c r="CD180" s="230">
        <v>3300</v>
      </c>
      <c r="CE180" s="230">
        <v>-1403</v>
      </c>
      <c r="CF180" s="229">
        <v>-0.42499999999999999</v>
      </c>
      <c r="CG180" s="230">
        <v>2731</v>
      </c>
      <c r="CH180" s="230">
        <v>1380</v>
      </c>
      <c r="CI180" s="230">
        <v>1351</v>
      </c>
      <c r="CJ180" s="229">
        <v>0.97840000000000005</v>
      </c>
      <c r="CK180" s="228">
        <v>45</v>
      </c>
      <c r="CL180" s="228">
        <v>44</v>
      </c>
      <c r="CM180" s="228">
        <v>1</v>
      </c>
      <c r="CN180" s="229">
        <v>2.0799999999999999E-2</v>
      </c>
      <c r="CO180" s="230">
        <v>1471</v>
      </c>
      <c r="CP180" s="230">
        <v>1568</v>
      </c>
      <c r="CQ180" s="228">
        <v>-97</v>
      </c>
      <c r="CR180" s="229">
        <v>-6.1800000000000001E-2</v>
      </c>
      <c r="CS180" s="230">
        <v>1199</v>
      </c>
      <c r="CT180" s="230">
        <v>1149</v>
      </c>
      <c r="CU180" s="228">
        <v>50</v>
      </c>
      <c r="CV180" s="229">
        <v>4.3700000000000003E-2</v>
      </c>
      <c r="CW180" s="230">
        <v>7344</v>
      </c>
      <c r="CX180" s="230">
        <v>7442</v>
      </c>
      <c r="CY180" s="228">
        <v>-98</v>
      </c>
      <c r="CZ180" s="229">
        <v>-1.3100000000000001E-2</v>
      </c>
      <c r="DA180" s="228">
        <v>36.35</v>
      </c>
      <c r="DB180" s="228">
        <v>39.76</v>
      </c>
      <c r="DC180" s="228">
        <v>-3.41</v>
      </c>
      <c r="DD180" s="228">
        <v>-3.41</v>
      </c>
      <c r="DE180" s="228">
        <v>38.44</v>
      </c>
      <c r="DF180" s="228">
        <v>38.450000000000003</v>
      </c>
      <c r="DG180" s="228">
        <v>-2.09</v>
      </c>
      <c r="DH180" s="228">
        <v>-0.01</v>
      </c>
      <c r="DI180" s="228">
        <v>36.33</v>
      </c>
      <c r="DJ180" s="228">
        <v>39.78</v>
      </c>
      <c r="DK180" s="228">
        <v>-3.45</v>
      </c>
      <c r="DL180" s="228">
        <v>-3.45</v>
      </c>
      <c r="DM180" s="228">
        <v>36.39</v>
      </c>
      <c r="DN180" s="228">
        <v>39.72</v>
      </c>
      <c r="DO180" s="228">
        <v>-3.33</v>
      </c>
      <c r="DP180" s="228">
        <v>-3.33</v>
      </c>
      <c r="DQ180" s="228">
        <v>0.82</v>
      </c>
      <c r="DR180" s="228">
        <v>0.73</v>
      </c>
      <c r="DS180" s="228">
        <v>0.09</v>
      </c>
      <c r="DT180" s="229">
        <v>0.12330000000000001</v>
      </c>
      <c r="DU180" s="231">
        <v>1000</v>
      </c>
      <c r="DV180" s="228">
        <v>980</v>
      </c>
      <c r="DW180" s="228">
        <v>0.47</v>
      </c>
      <c r="DX180" s="228">
        <v>0.54</v>
      </c>
      <c r="DY180" s="228">
        <v>-7.0000000000000007E-2</v>
      </c>
      <c r="DZ180" s="229">
        <v>-0.12959999999999999</v>
      </c>
      <c r="EA180" s="229">
        <v>0.59389999999999998</v>
      </c>
      <c r="EB180" s="230">
        <v>14169375</v>
      </c>
      <c r="EC180" s="229">
        <v>4.8999999999999998E-3</v>
      </c>
      <c r="ED180" s="229">
        <v>0.59389999999999998</v>
      </c>
      <c r="EE180" s="228">
        <v>4.67</v>
      </c>
      <c r="EF180" s="229">
        <v>4.7000000000000002E-3</v>
      </c>
      <c r="EG180" s="230">
        <v>4791353</v>
      </c>
      <c r="EH180" s="230">
        <v>4340332</v>
      </c>
      <c r="EI180" s="229">
        <v>0.10390000000000001</v>
      </c>
      <c r="EJ180" s="229">
        <v>0.6512</v>
      </c>
      <c r="EK180" s="231">
        <v>3014.28</v>
      </c>
      <c r="EL180" s="231">
        <v>1343.62</v>
      </c>
      <c r="EM180" s="231">
        <v>3449.1</v>
      </c>
      <c r="EN180" s="228">
        <v>153.58000000000001</v>
      </c>
      <c r="EO180" s="231">
        <v>7806.99</v>
      </c>
      <c r="EP180" s="231">
        <v>5698.85</v>
      </c>
      <c r="EQ180" s="231">
        <v>2108.14</v>
      </c>
      <c r="ER180" s="229">
        <v>0.36990000000000001</v>
      </c>
      <c r="ES180" s="231">
        <v>1492.85</v>
      </c>
      <c r="ET180" s="231">
        <v>1129.18</v>
      </c>
      <c r="EU180" s="231">
        <v>4687.46</v>
      </c>
      <c r="EV180" s="231">
        <v>210513975</v>
      </c>
      <c r="EW180" s="231">
        <v>7309.49</v>
      </c>
      <c r="EX180" s="231">
        <v>7307.6</v>
      </c>
      <c r="EY180" s="228">
        <v>1.89</v>
      </c>
      <c r="EZ180" s="229">
        <v>2.9999999999999997E-4</v>
      </c>
      <c r="FA180" s="229">
        <v>0.34710000000000002</v>
      </c>
      <c r="FB180" s="227" t="s">
        <v>556</v>
      </c>
      <c r="FC180">
        <f t="shared" si="3"/>
        <v>0</v>
      </c>
    </row>
    <row r="181" spans="1:159" ht="17.25" thickBot="1" x14ac:dyDescent="0.3">
      <c r="A181" s="226">
        <v>46044</v>
      </c>
      <c r="B181" s="227" t="s">
        <v>184</v>
      </c>
      <c r="C181" s="227" t="s">
        <v>285</v>
      </c>
      <c r="D181" s="228">
        <v>175</v>
      </c>
      <c r="E181" s="228">
        <v>5</v>
      </c>
      <c r="F181" s="231">
        <v>2931.2</v>
      </c>
      <c r="G181" s="231">
        <v>2885</v>
      </c>
      <c r="H181" s="228">
        <v>46.2</v>
      </c>
      <c r="I181" s="229">
        <v>1.6E-2</v>
      </c>
      <c r="J181" s="231">
        <v>2928.2</v>
      </c>
      <c r="K181" s="231">
        <v>2884.5</v>
      </c>
      <c r="L181" s="228">
        <v>43.7</v>
      </c>
      <c r="M181" s="229">
        <v>1.5100000000000001E-2</v>
      </c>
      <c r="N181" s="231">
        <v>2931.2</v>
      </c>
      <c r="O181" s="231">
        <v>2885</v>
      </c>
      <c r="P181" s="228">
        <v>46.2</v>
      </c>
      <c r="Q181" s="229">
        <v>1.6E-2</v>
      </c>
      <c r="R181" s="231">
        <v>2936.2</v>
      </c>
      <c r="S181" s="231">
        <v>2881.8</v>
      </c>
      <c r="T181" s="228">
        <v>54.4</v>
      </c>
      <c r="U181" s="229">
        <v>1.89E-2</v>
      </c>
      <c r="V181" s="231">
        <v>2944</v>
      </c>
      <c r="W181" s="231">
        <v>2898.2</v>
      </c>
      <c r="X181" s="228">
        <v>45.8</v>
      </c>
      <c r="Y181" s="229">
        <v>1.5800000000000002E-2</v>
      </c>
      <c r="Z181" s="228">
        <v>3</v>
      </c>
      <c r="AA181" s="228">
        <v>0.5</v>
      </c>
      <c r="AB181" s="228">
        <v>2.5</v>
      </c>
      <c r="AC181" s="229">
        <v>1E-3</v>
      </c>
      <c r="AD181" s="228">
        <v>3</v>
      </c>
      <c r="AE181" s="228">
        <v>0.5</v>
      </c>
      <c r="AF181" s="228">
        <v>2.5</v>
      </c>
      <c r="AG181" s="229">
        <v>1E-3</v>
      </c>
      <c r="AH181" s="228">
        <v>8</v>
      </c>
      <c r="AI181" s="228">
        <v>-2.7</v>
      </c>
      <c r="AJ181" s="228">
        <v>10.7</v>
      </c>
      <c r="AK181" s="229">
        <v>2.7000000000000001E-3</v>
      </c>
      <c r="AL181" s="228">
        <v>15.8</v>
      </c>
      <c r="AM181" s="228">
        <v>13.7</v>
      </c>
      <c r="AN181" s="228">
        <v>2.1</v>
      </c>
      <c r="AO181" s="229">
        <v>5.4000000000000003E-3</v>
      </c>
      <c r="AP181" s="231">
        <v>2905.02</v>
      </c>
      <c r="AQ181" s="231">
        <v>2908.27</v>
      </c>
      <c r="AR181" s="228">
        <v>0</v>
      </c>
      <c r="AS181" s="228">
        <v>411</v>
      </c>
      <c r="AT181" s="228">
        <v>647</v>
      </c>
      <c r="AU181" s="228">
        <v>-236</v>
      </c>
      <c r="AV181" s="229">
        <v>-0.3644</v>
      </c>
      <c r="AW181" s="228">
        <v>211</v>
      </c>
      <c r="AX181" s="228">
        <v>351</v>
      </c>
      <c r="AY181" s="228">
        <v>-140</v>
      </c>
      <c r="AZ181" s="229">
        <v>-0.3987</v>
      </c>
      <c r="BA181" s="228">
        <v>199</v>
      </c>
      <c r="BB181" s="228">
        <v>294</v>
      </c>
      <c r="BC181" s="228">
        <v>-95</v>
      </c>
      <c r="BD181" s="229">
        <v>-0.3226</v>
      </c>
      <c r="BE181" s="228">
        <v>1</v>
      </c>
      <c r="BF181" s="228">
        <v>2</v>
      </c>
      <c r="BG181" s="228">
        <v>-1</v>
      </c>
      <c r="BH181" s="229">
        <v>-0.4773</v>
      </c>
      <c r="BI181" s="228">
        <v>626</v>
      </c>
      <c r="BJ181" s="228">
        <v>596</v>
      </c>
      <c r="BK181" s="228">
        <v>30</v>
      </c>
      <c r="BL181" s="229">
        <v>4.99E-2</v>
      </c>
      <c r="BM181" s="228">
        <v>248</v>
      </c>
      <c r="BN181" s="228">
        <v>260</v>
      </c>
      <c r="BO181" s="228">
        <v>-13</v>
      </c>
      <c r="BP181" s="229">
        <v>-4.87E-2</v>
      </c>
      <c r="BQ181" s="230">
        <v>1285</v>
      </c>
      <c r="BR181" s="230">
        <v>1503</v>
      </c>
      <c r="BS181" s="228">
        <v>-219</v>
      </c>
      <c r="BT181" s="229">
        <v>-0.14549999999999999</v>
      </c>
      <c r="BU181" s="230">
        <v>250862</v>
      </c>
      <c r="BV181" s="230">
        <v>308342</v>
      </c>
      <c r="BW181" s="230">
        <v>-57480</v>
      </c>
      <c r="BX181" s="229">
        <v>-0.18640000000000001</v>
      </c>
      <c r="BY181" s="228">
        <v>734</v>
      </c>
      <c r="BZ181" s="228">
        <v>750</v>
      </c>
      <c r="CA181" s="228">
        <v>-17</v>
      </c>
      <c r="CB181" s="229">
        <v>-2.2100000000000002E-2</v>
      </c>
      <c r="CC181" s="228">
        <v>380</v>
      </c>
      <c r="CD181" s="228">
        <v>504</v>
      </c>
      <c r="CE181" s="228">
        <v>-125</v>
      </c>
      <c r="CF181" s="229">
        <v>-0.24729999999999999</v>
      </c>
      <c r="CG181" s="228">
        <v>347</v>
      </c>
      <c r="CH181" s="228">
        <v>240</v>
      </c>
      <c r="CI181" s="228">
        <v>108</v>
      </c>
      <c r="CJ181" s="229">
        <v>0.4501</v>
      </c>
      <c r="CK181" s="228">
        <v>7</v>
      </c>
      <c r="CL181" s="228">
        <v>6</v>
      </c>
      <c r="CM181" s="228">
        <v>0</v>
      </c>
      <c r="CN181" s="229">
        <v>4.8000000000000001E-2</v>
      </c>
      <c r="CO181" s="228">
        <v>391</v>
      </c>
      <c r="CP181" s="228">
        <v>424</v>
      </c>
      <c r="CQ181" s="228">
        <v>-33</v>
      </c>
      <c r="CR181" s="229">
        <v>-7.7499999999999999E-2</v>
      </c>
      <c r="CS181" s="228">
        <v>217</v>
      </c>
      <c r="CT181" s="228">
        <v>243</v>
      </c>
      <c r="CU181" s="228">
        <v>-26</v>
      </c>
      <c r="CV181" s="229">
        <v>-0.10780000000000001</v>
      </c>
      <c r="CW181" s="230">
        <v>1342</v>
      </c>
      <c r="CX181" s="230">
        <v>1417</v>
      </c>
      <c r="CY181" s="228">
        <v>-76</v>
      </c>
      <c r="CZ181" s="229">
        <v>-5.3400000000000003E-2</v>
      </c>
      <c r="DA181" s="228">
        <v>31.28</v>
      </c>
      <c r="DB181" s="228">
        <v>29.14</v>
      </c>
      <c r="DC181" s="228">
        <v>2.14</v>
      </c>
      <c r="DD181" s="228">
        <v>2.14</v>
      </c>
      <c r="DE181" s="228">
        <v>37.04</v>
      </c>
      <c r="DF181" s="228">
        <v>37.07</v>
      </c>
      <c r="DG181" s="228">
        <v>-5.76</v>
      </c>
      <c r="DH181" s="228">
        <v>-0.03</v>
      </c>
      <c r="DI181" s="228">
        <v>30.65</v>
      </c>
      <c r="DJ181" s="228">
        <v>29.57</v>
      </c>
      <c r="DK181" s="228">
        <v>1.08</v>
      </c>
      <c r="DL181" s="228">
        <v>1.08</v>
      </c>
      <c r="DM181" s="228">
        <v>33.06</v>
      </c>
      <c r="DN181" s="228">
        <v>28.16</v>
      </c>
      <c r="DO181" s="228">
        <v>4.9000000000000004</v>
      </c>
      <c r="DP181" s="228">
        <v>4.9000000000000004</v>
      </c>
      <c r="DQ181" s="228">
        <v>0.55000000000000004</v>
      </c>
      <c r="DR181" s="228">
        <v>0.56999999999999995</v>
      </c>
      <c r="DS181" s="228">
        <v>-0.02</v>
      </c>
      <c r="DT181" s="229">
        <v>-3.5099999999999999E-2</v>
      </c>
      <c r="DU181" s="231">
        <v>3100</v>
      </c>
      <c r="DV181" s="231">
        <v>2800</v>
      </c>
      <c r="DW181" s="228">
        <v>0.4</v>
      </c>
      <c r="DX181" s="228">
        <v>0.44</v>
      </c>
      <c r="DY181" s="228">
        <v>-0.04</v>
      </c>
      <c r="DZ181" s="229">
        <v>-9.0899999999999995E-2</v>
      </c>
      <c r="EA181" s="229">
        <v>0.48259999999999997</v>
      </c>
      <c r="EB181" s="230">
        <v>839125</v>
      </c>
      <c r="EC181" s="229">
        <v>1.6999999999999999E-3</v>
      </c>
      <c r="ED181" s="229">
        <v>0.48259999999999997</v>
      </c>
      <c r="EE181" s="228">
        <v>3.25</v>
      </c>
      <c r="EF181" s="229">
        <v>1.1000000000000001E-3</v>
      </c>
      <c r="EG181" s="230">
        <v>129585</v>
      </c>
      <c r="EH181" s="230">
        <v>127724</v>
      </c>
      <c r="EI181" s="229">
        <v>1.46E-2</v>
      </c>
      <c r="EJ181" s="229">
        <v>0.51659999999999995</v>
      </c>
      <c r="EK181" s="228">
        <v>651.84</v>
      </c>
      <c r="EL181" s="228">
        <v>243.93</v>
      </c>
      <c r="EM181" s="228">
        <v>407.8</v>
      </c>
      <c r="EN181" s="228">
        <v>53.58</v>
      </c>
      <c r="EO181" s="231">
        <v>1303.57</v>
      </c>
      <c r="EP181" s="231">
        <v>1501.89</v>
      </c>
      <c r="EQ181" s="228">
        <v>-198.33</v>
      </c>
      <c r="ER181" s="229">
        <v>-0.1321</v>
      </c>
      <c r="ES181" s="228">
        <v>420.61</v>
      </c>
      <c r="ET181" s="228">
        <v>215.63</v>
      </c>
      <c r="EU181" s="228">
        <v>734.36</v>
      </c>
      <c r="EV181" s="231">
        <v>13354588</v>
      </c>
      <c r="EW181" s="231">
        <v>1370.6</v>
      </c>
      <c r="EX181" s="231">
        <v>1434.62</v>
      </c>
      <c r="EY181" s="228">
        <v>-64.02</v>
      </c>
      <c r="EZ181" s="229">
        <v>-4.4600000000000001E-2</v>
      </c>
      <c r="FA181" s="229">
        <v>0.3427</v>
      </c>
      <c r="FB181" s="227" t="s">
        <v>556</v>
      </c>
      <c r="FC181">
        <f t="shared" si="3"/>
        <v>0</v>
      </c>
    </row>
    <row r="182" spans="1:159" ht="17.25" thickBot="1" x14ac:dyDescent="0.3">
      <c r="A182" s="226">
        <v>46044</v>
      </c>
      <c r="B182" s="227" t="s">
        <v>498</v>
      </c>
      <c r="C182" s="227" t="s">
        <v>646</v>
      </c>
      <c r="D182" s="228">
        <v>50</v>
      </c>
      <c r="E182" s="228">
        <v>5</v>
      </c>
      <c r="F182" s="231">
        <v>12886</v>
      </c>
      <c r="G182" s="231">
        <v>12532</v>
      </c>
      <c r="H182" s="228">
        <v>354</v>
      </c>
      <c r="I182" s="229">
        <v>2.8199999999999999E-2</v>
      </c>
      <c r="J182" s="231">
        <v>12901</v>
      </c>
      <c r="K182" s="231">
        <v>12539</v>
      </c>
      <c r="L182" s="228">
        <v>362</v>
      </c>
      <c r="M182" s="229">
        <v>2.8899999999999999E-2</v>
      </c>
      <c r="N182" s="231">
        <v>12886</v>
      </c>
      <c r="O182" s="231">
        <v>12532</v>
      </c>
      <c r="P182" s="228">
        <v>354</v>
      </c>
      <c r="Q182" s="229">
        <v>2.8199999999999999E-2</v>
      </c>
      <c r="R182" s="231">
        <v>12942</v>
      </c>
      <c r="S182" s="231">
        <v>12601</v>
      </c>
      <c r="T182" s="228">
        <v>341</v>
      </c>
      <c r="U182" s="229">
        <v>2.7099999999999999E-2</v>
      </c>
      <c r="V182" s="231">
        <v>13014</v>
      </c>
      <c r="W182" s="231">
        <v>12687</v>
      </c>
      <c r="X182" s="228">
        <v>327</v>
      </c>
      <c r="Y182" s="229">
        <v>2.58E-2</v>
      </c>
      <c r="Z182" s="228">
        <v>-15</v>
      </c>
      <c r="AA182" s="228">
        <v>-7</v>
      </c>
      <c r="AB182" s="228">
        <v>-8</v>
      </c>
      <c r="AC182" s="229">
        <v>-1.1999999999999999E-3</v>
      </c>
      <c r="AD182" s="228">
        <v>-15</v>
      </c>
      <c r="AE182" s="228">
        <v>-7</v>
      </c>
      <c r="AF182" s="228">
        <v>-8</v>
      </c>
      <c r="AG182" s="229">
        <v>-1.1999999999999999E-3</v>
      </c>
      <c r="AH182" s="228">
        <v>41</v>
      </c>
      <c r="AI182" s="228">
        <v>62</v>
      </c>
      <c r="AJ182" s="228">
        <v>-21</v>
      </c>
      <c r="AK182" s="229">
        <v>3.2000000000000002E-3</v>
      </c>
      <c r="AL182" s="228">
        <v>113</v>
      </c>
      <c r="AM182" s="228">
        <v>148</v>
      </c>
      <c r="AN182" s="228">
        <v>-35</v>
      </c>
      <c r="AO182" s="229">
        <v>8.8000000000000005E-3</v>
      </c>
      <c r="AP182" s="231">
        <v>12765.31</v>
      </c>
      <c r="AQ182" s="231">
        <v>12828.44</v>
      </c>
      <c r="AR182" s="228">
        <v>0</v>
      </c>
      <c r="AS182" s="228">
        <v>733</v>
      </c>
      <c r="AT182" s="228">
        <v>499</v>
      </c>
      <c r="AU182" s="228">
        <v>234</v>
      </c>
      <c r="AV182" s="229">
        <v>0.46870000000000001</v>
      </c>
      <c r="AW182" s="228">
        <v>395</v>
      </c>
      <c r="AX182" s="228">
        <v>266</v>
      </c>
      <c r="AY182" s="228">
        <v>129</v>
      </c>
      <c r="AZ182" s="229">
        <v>0.48359999999999997</v>
      </c>
      <c r="BA182" s="228">
        <v>333</v>
      </c>
      <c r="BB182" s="228">
        <v>227</v>
      </c>
      <c r="BC182" s="228">
        <v>106</v>
      </c>
      <c r="BD182" s="229">
        <v>0.46899999999999997</v>
      </c>
      <c r="BE182" s="228">
        <v>4</v>
      </c>
      <c r="BF182" s="228">
        <v>6</v>
      </c>
      <c r="BG182" s="228">
        <v>-1</v>
      </c>
      <c r="BH182" s="229">
        <v>-0.23860000000000001</v>
      </c>
      <c r="BI182" s="228">
        <v>848</v>
      </c>
      <c r="BJ182" s="228">
        <v>675</v>
      </c>
      <c r="BK182" s="228">
        <v>173</v>
      </c>
      <c r="BL182" s="229">
        <v>0.25590000000000002</v>
      </c>
      <c r="BM182" s="228">
        <v>393</v>
      </c>
      <c r="BN182" s="228">
        <v>219</v>
      </c>
      <c r="BO182" s="228">
        <v>174</v>
      </c>
      <c r="BP182" s="229">
        <v>0.79720000000000002</v>
      </c>
      <c r="BQ182" s="230">
        <v>1973</v>
      </c>
      <c r="BR182" s="230">
        <v>1392</v>
      </c>
      <c r="BS182" s="228">
        <v>581</v>
      </c>
      <c r="BT182" s="229">
        <v>0.41710000000000003</v>
      </c>
      <c r="BU182" s="230">
        <v>139835</v>
      </c>
      <c r="BV182" s="230">
        <v>106626</v>
      </c>
      <c r="BW182" s="230">
        <v>33209</v>
      </c>
      <c r="BX182" s="229">
        <v>0.3115</v>
      </c>
      <c r="BY182" s="230">
        <v>1356</v>
      </c>
      <c r="BZ182" s="230">
        <v>1411</v>
      </c>
      <c r="CA182" s="228">
        <v>-55</v>
      </c>
      <c r="CB182" s="229">
        <v>-3.9100000000000003E-2</v>
      </c>
      <c r="CC182" s="228">
        <v>771</v>
      </c>
      <c r="CD182" s="230">
        <v>1077</v>
      </c>
      <c r="CE182" s="228">
        <v>-306</v>
      </c>
      <c r="CF182" s="229">
        <v>-0.28420000000000001</v>
      </c>
      <c r="CG182" s="228">
        <v>544</v>
      </c>
      <c r="CH182" s="228">
        <v>294</v>
      </c>
      <c r="CI182" s="228">
        <v>250</v>
      </c>
      <c r="CJ182" s="229">
        <v>0.8518</v>
      </c>
      <c r="CK182" s="228">
        <v>40</v>
      </c>
      <c r="CL182" s="228">
        <v>40</v>
      </c>
      <c r="CM182" s="228">
        <v>1</v>
      </c>
      <c r="CN182" s="229">
        <v>1.78E-2</v>
      </c>
      <c r="CO182" s="228">
        <v>577</v>
      </c>
      <c r="CP182" s="228">
        <v>662</v>
      </c>
      <c r="CQ182" s="228">
        <v>-85</v>
      </c>
      <c r="CR182" s="229">
        <v>-0.12909999999999999</v>
      </c>
      <c r="CS182" s="228">
        <v>401</v>
      </c>
      <c r="CT182" s="228">
        <v>420</v>
      </c>
      <c r="CU182" s="228">
        <v>-18</v>
      </c>
      <c r="CV182" s="229">
        <v>-4.3799999999999999E-2</v>
      </c>
      <c r="CW182" s="230">
        <v>2334</v>
      </c>
      <c r="CX182" s="230">
        <v>2493</v>
      </c>
      <c r="CY182" s="228">
        <v>-159</v>
      </c>
      <c r="CZ182" s="229">
        <v>-6.3799999999999996E-2</v>
      </c>
      <c r="DA182" s="228">
        <v>35.869999999999997</v>
      </c>
      <c r="DB182" s="228">
        <v>35.65</v>
      </c>
      <c r="DC182" s="228">
        <v>0.22</v>
      </c>
      <c r="DD182" s="228">
        <v>0.22</v>
      </c>
      <c r="DE182" s="228">
        <v>39.340000000000003</v>
      </c>
      <c r="DF182" s="228">
        <v>39.26</v>
      </c>
      <c r="DG182" s="228">
        <v>-3.47</v>
      </c>
      <c r="DH182" s="228">
        <v>0.08</v>
      </c>
      <c r="DI182" s="228">
        <v>35.729999999999997</v>
      </c>
      <c r="DJ182" s="228">
        <v>35.6</v>
      </c>
      <c r="DK182" s="228">
        <v>0.13</v>
      </c>
      <c r="DL182" s="228">
        <v>0.13</v>
      </c>
      <c r="DM182" s="228">
        <v>36.06</v>
      </c>
      <c r="DN182" s="228">
        <v>35.79</v>
      </c>
      <c r="DO182" s="228">
        <v>0.27</v>
      </c>
      <c r="DP182" s="228">
        <v>0.27</v>
      </c>
      <c r="DQ182" s="228">
        <v>0.7</v>
      </c>
      <c r="DR182" s="228">
        <v>0.63</v>
      </c>
      <c r="DS182" s="228">
        <v>7.0000000000000007E-2</v>
      </c>
      <c r="DT182" s="229">
        <v>0.1111</v>
      </c>
      <c r="DU182" s="231">
        <v>13500</v>
      </c>
      <c r="DV182" s="231">
        <v>12000</v>
      </c>
      <c r="DW182" s="228">
        <v>0.46</v>
      </c>
      <c r="DX182" s="228">
        <v>0.32</v>
      </c>
      <c r="DY182" s="228">
        <v>0.14000000000000001</v>
      </c>
      <c r="DZ182" s="229">
        <v>0.4375</v>
      </c>
      <c r="EA182" s="229">
        <v>0.43130000000000002</v>
      </c>
      <c r="EB182" s="230">
        <v>258900</v>
      </c>
      <c r="EC182" s="229">
        <v>4.3E-3</v>
      </c>
      <c r="ED182" s="229">
        <v>0.43130000000000002</v>
      </c>
      <c r="EE182" s="228">
        <v>63.13</v>
      </c>
      <c r="EF182" s="229">
        <v>4.8999999999999998E-3</v>
      </c>
      <c r="EG182" s="230">
        <v>73452</v>
      </c>
      <c r="EH182" s="230">
        <v>38136</v>
      </c>
      <c r="EI182" s="229">
        <v>0.92610000000000003</v>
      </c>
      <c r="EJ182" s="229">
        <v>0.52529999999999999</v>
      </c>
      <c r="EK182" s="228">
        <v>879.31</v>
      </c>
      <c r="EL182" s="228">
        <v>374.48</v>
      </c>
      <c r="EM182" s="228">
        <v>727.47</v>
      </c>
      <c r="EN182" s="228">
        <v>45.45</v>
      </c>
      <c r="EO182" s="231">
        <v>1981.26</v>
      </c>
      <c r="EP182" s="231">
        <v>1394.64</v>
      </c>
      <c r="EQ182" s="228">
        <v>586.61</v>
      </c>
      <c r="ER182" s="229">
        <v>0.42059999999999997</v>
      </c>
      <c r="ES182" s="228">
        <v>607.61</v>
      </c>
      <c r="ET182" s="228">
        <v>390.93</v>
      </c>
      <c r="EU182" s="231">
        <v>1358.44</v>
      </c>
      <c r="EV182" s="231">
        <v>3644817</v>
      </c>
      <c r="EW182" s="231">
        <v>2356.98</v>
      </c>
      <c r="EX182" s="231">
        <v>2479.27</v>
      </c>
      <c r="EY182" s="228">
        <v>-122.29</v>
      </c>
      <c r="EZ182" s="229">
        <v>-4.9299999999999997E-2</v>
      </c>
      <c r="FA182" s="229">
        <v>0.49690000000000001</v>
      </c>
      <c r="FB182" s="227" t="s">
        <v>556</v>
      </c>
      <c r="FC182">
        <f t="shared" si="3"/>
        <v>0</v>
      </c>
    </row>
    <row r="183" spans="1:159" ht="17.25" thickBot="1" x14ac:dyDescent="0.3">
      <c r="A183" s="226">
        <v>46044</v>
      </c>
      <c r="B183" s="227" t="s">
        <v>162</v>
      </c>
      <c r="C183" s="227" t="s">
        <v>614</v>
      </c>
      <c r="D183" s="228">
        <v>1225</v>
      </c>
      <c r="E183" s="228">
        <v>5</v>
      </c>
      <c r="F183" s="228">
        <v>469.75</v>
      </c>
      <c r="G183" s="228">
        <v>443.95</v>
      </c>
      <c r="H183" s="228">
        <v>25.8</v>
      </c>
      <c r="I183" s="229">
        <v>5.8099999999999999E-2</v>
      </c>
      <c r="J183" s="228">
        <v>469.1</v>
      </c>
      <c r="K183" s="228">
        <v>444.45</v>
      </c>
      <c r="L183" s="228">
        <v>24.65</v>
      </c>
      <c r="M183" s="229">
        <v>5.5500000000000001E-2</v>
      </c>
      <c r="N183" s="228">
        <v>469.75</v>
      </c>
      <c r="O183" s="228">
        <v>443.95</v>
      </c>
      <c r="P183" s="228">
        <v>25.8</v>
      </c>
      <c r="Q183" s="229">
        <v>5.8099999999999999E-2</v>
      </c>
      <c r="R183" s="228">
        <v>470.75</v>
      </c>
      <c r="S183" s="228">
        <v>444.8</v>
      </c>
      <c r="T183" s="228">
        <v>25.95</v>
      </c>
      <c r="U183" s="229">
        <v>5.8299999999999998E-2</v>
      </c>
      <c r="V183" s="228">
        <v>472.6</v>
      </c>
      <c r="W183" s="228">
        <v>447</v>
      </c>
      <c r="X183" s="228">
        <v>25.6</v>
      </c>
      <c r="Y183" s="229">
        <v>5.7299999999999997E-2</v>
      </c>
      <c r="Z183" s="228">
        <v>0.65</v>
      </c>
      <c r="AA183" s="228">
        <v>-0.5</v>
      </c>
      <c r="AB183" s="228">
        <v>1.1499999999999999</v>
      </c>
      <c r="AC183" s="229">
        <v>1.4E-3</v>
      </c>
      <c r="AD183" s="228">
        <v>0.65</v>
      </c>
      <c r="AE183" s="228">
        <v>-0.5</v>
      </c>
      <c r="AF183" s="228">
        <v>1.1499999999999999</v>
      </c>
      <c r="AG183" s="229">
        <v>1.4E-3</v>
      </c>
      <c r="AH183" s="228">
        <v>1.65</v>
      </c>
      <c r="AI183" s="228">
        <v>0.35</v>
      </c>
      <c r="AJ183" s="228">
        <v>1.3</v>
      </c>
      <c r="AK183" s="229">
        <v>3.5000000000000001E-3</v>
      </c>
      <c r="AL183" s="228">
        <v>3.5</v>
      </c>
      <c r="AM183" s="228">
        <v>2.5499999999999998</v>
      </c>
      <c r="AN183" s="228">
        <v>0.95</v>
      </c>
      <c r="AO183" s="229">
        <v>7.4999999999999997E-3</v>
      </c>
      <c r="AP183" s="228">
        <v>461.43</v>
      </c>
      <c r="AQ183" s="228">
        <v>462.77</v>
      </c>
      <c r="AR183" s="228">
        <v>0</v>
      </c>
      <c r="AS183" s="228">
        <v>732</v>
      </c>
      <c r="AT183" s="228">
        <v>486</v>
      </c>
      <c r="AU183" s="228">
        <v>246</v>
      </c>
      <c r="AV183" s="229">
        <v>0.50529999999999997</v>
      </c>
      <c r="AW183" s="228">
        <v>371</v>
      </c>
      <c r="AX183" s="228">
        <v>258</v>
      </c>
      <c r="AY183" s="228">
        <v>113</v>
      </c>
      <c r="AZ183" s="229">
        <v>0.43890000000000001</v>
      </c>
      <c r="BA183" s="228">
        <v>359</v>
      </c>
      <c r="BB183" s="228">
        <v>226</v>
      </c>
      <c r="BC183" s="228">
        <v>133</v>
      </c>
      <c r="BD183" s="229">
        <v>0.58760000000000001</v>
      </c>
      <c r="BE183" s="228">
        <v>2</v>
      </c>
      <c r="BF183" s="228">
        <v>2</v>
      </c>
      <c r="BG183" s="228">
        <v>0</v>
      </c>
      <c r="BH183" s="229">
        <v>-0.1163</v>
      </c>
      <c r="BI183" s="228">
        <v>780</v>
      </c>
      <c r="BJ183" s="228">
        <v>172</v>
      </c>
      <c r="BK183" s="228">
        <v>607</v>
      </c>
      <c r="BL183" s="229">
        <v>3.5247000000000002</v>
      </c>
      <c r="BM183" s="228">
        <v>351</v>
      </c>
      <c r="BN183" s="228">
        <v>86</v>
      </c>
      <c r="BO183" s="228">
        <v>265</v>
      </c>
      <c r="BP183" s="229">
        <v>3.0823</v>
      </c>
      <c r="BQ183" s="230">
        <v>1863</v>
      </c>
      <c r="BR183" s="228">
        <v>745</v>
      </c>
      <c r="BS183" s="230">
        <v>1118</v>
      </c>
      <c r="BT183" s="229">
        <v>1.5014000000000001</v>
      </c>
      <c r="BU183" s="230">
        <v>2852704</v>
      </c>
      <c r="BV183" s="230">
        <v>1093489</v>
      </c>
      <c r="BW183" s="230">
        <v>1759215</v>
      </c>
      <c r="BX183" s="229">
        <v>1.6088</v>
      </c>
      <c r="BY183" s="228">
        <v>765</v>
      </c>
      <c r="BZ183" s="228">
        <v>731</v>
      </c>
      <c r="CA183" s="228">
        <v>34</v>
      </c>
      <c r="CB183" s="229">
        <v>4.5999999999999999E-2</v>
      </c>
      <c r="CC183" s="228">
        <v>330</v>
      </c>
      <c r="CD183" s="228">
        <v>535</v>
      </c>
      <c r="CE183" s="228">
        <v>-206</v>
      </c>
      <c r="CF183" s="229">
        <v>-0.38390000000000002</v>
      </c>
      <c r="CG183" s="228">
        <v>431</v>
      </c>
      <c r="CH183" s="228">
        <v>191</v>
      </c>
      <c r="CI183" s="228">
        <v>240</v>
      </c>
      <c r="CJ183" s="229">
        <v>1.2529999999999999</v>
      </c>
      <c r="CK183" s="228">
        <v>4</v>
      </c>
      <c r="CL183" s="228">
        <v>4</v>
      </c>
      <c r="CM183" s="228">
        <v>-1</v>
      </c>
      <c r="CN183" s="229">
        <v>-0.1216</v>
      </c>
      <c r="CO183" s="228">
        <v>280</v>
      </c>
      <c r="CP183" s="228">
        <v>325</v>
      </c>
      <c r="CQ183" s="228">
        <v>-45</v>
      </c>
      <c r="CR183" s="229">
        <v>-0.13900000000000001</v>
      </c>
      <c r="CS183" s="228">
        <v>191</v>
      </c>
      <c r="CT183" s="228">
        <v>188</v>
      </c>
      <c r="CU183" s="228">
        <v>2</v>
      </c>
      <c r="CV183" s="229">
        <v>1.2800000000000001E-2</v>
      </c>
      <c r="CW183" s="230">
        <v>1235</v>
      </c>
      <c r="CX183" s="230">
        <v>1244</v>
      </c>
      <c r="CY183" s="228">
        <v>-9</v>
      </c>
      <c r="CZ183" s="229">
        <v>-7.4000000000000003E-3</v>
      </c>
      <c r="DA183" s="228">
        <v>37.19</v>
      </c>
      <c r="DB183" s="228">
        <v>39.159999999999997</v>
      </c>
      <c r="DC183" s="228">
        <v>-1.97</v>
      </c>
      <c r="DD183" s="228">
        <v>-1.97</v>
      </c>
      <c r="DE183" s="228">
        <v>38.24</v>
      </c>
      <c r="DF183" s="228">
        <v>37.61</v>
      </c>
      <c r="DG183" s="228">
        <v>-1.05</v>
      </c>
      <c r="DH183" s="228">
        <v>0.63</v>
      </c>
      <c r="DI183" s="228">
        <v>36.32</v>
      </c>
      <c r="DJ183" s="228">
        <v>39.57</v>
      </c>
      <c r="DK183" s="228">
        <v>-3.25</v>
      </c>
      <c r="DL183" s="228">
        <v>-3.25</v>
      </c>
      <c r="DM183" s="228">
        <v>38.19</v>
      </c>
      <c r="DN183" s="228">
        <v>38.33</v>
      </c>
      <c r="DO183" s="228">
        <v>-0.14000000000000001</v>
      </c>
      <c r="DP183" s="228">
        <v>-0.14000000000000001</v>
      </c>
      <c r="DQ183" s="228">
        <v>0.68</v>
      </c>
      <c r="DR183" s="228">
        <v>0.57999999999999996</v>
      </c>
      <c r="DS183" s="228">
        <v>0.1</v>
      </c>
      <c r="DT183" s="229">
        <v>0.1724</v>
      </c>
      <c r="DU183" s="228">
        <v>460</v>
      </c>
      <c r="DV183" s="228">
        <v>460</v>
      </c>
      <c r="DW183" s="228">
        <v>0.45</v>
      </c>
      <c r="DX183" s="228">
        <v>0.5</v>
      </c>
      <c r="DY183" s="228">
        <v>-0.05</v>
      </c>
      <c r="DZ183" s="229">
        <v>-0.1</v>
      </c>
      <c r="EA183" s="229">
        <v>0.56850000000000001</v>
      </c>
      <c r="EB183" s="230">
        <v>4162550</v>
      </c>
      <c r="EC183" s="229">
        <v>2.0999999999999999E-3</v>
      </c>
      <c r="ED183" s="229">
        <v>0.56850000000000001</v>
      </c>
      <c r="EE183" s="228">
        <v>1.34</v>
      </c>
      <c r="EF183" s="229">
        <v>2.8999999999999998E-3</v>
      </c>
      <c r="EG183" s="230">
        <v>1285102</v>
      </c>
      <c r="EH183" s="230">
        <v>579682</v>
      </c>
      <c r="EI183" s="229">
        <v>1.2169000000000001</v>
      </c>
      <c r="EJ183" s="229">
        <v>0.45050000000000001</v>
      </c>
      <c r="EK183" s="228">
        <v>803.65</v>
      </c>
      <c r="EL183" s="228">
        <v>340.32</v>
      </c>
      <c r="EM183" s="228">
        <v>720.27</v>
      </c>
      <c r="EN183" s="228">
        <v>36.299999999999997</v>
      </c>
      <c r="EO183" s="231">
        <v>1864.23</v>
      </c>
      <c r="EP183" s="228">
        <v>713.56</v>
      </c>
      <c r="EQ183" s="231">
        <v>1150.67</v>
      </c>
      <c r="ER183" s="229">
        <v>1.6126</v>
      </c>
      <c r="ES183" s="228">
        <v>289.67</v>
      </c>
      <c r="ET183" s="228">
        <v>182.49</v>
      </c>
      <c r="EU183" s="228">
        <v>765.53</v>
      </c>
      <c r="EV183" s="231">
        <v>67126548</v>
      </c>
      <c r="EW183" s="231">
        <v>1237.69</v>
      </c>
      <c r="EX183" s="231">
        <v>1205.3399999999999</v>
      </c>
      <c r="EY183" s="228">
        <v>32.35</v>
      </c>
      <c r="EZ183" s="229">
        <v>2.6800000000000001E-2</v>
      </c>
      <c r="FA183" s="229">
        <v>0.3916</v>
      </c>
      <c r="FB183" s="227" t="s">
        <v>555</v>
      </c>
      <c r="FC183">
        <f t="shared" si="3"/>
        <v>0</v>
      </c>
    </row>
    <row r="184" spans="1:159" ht="17.25" thickBot="1" x14ac:dyDescent="0.3">
      <c r="A184" s="226">
        <v>46044</v>
      </c>
      <c r="B184" s="227" t="s">
        <v>197</v>
      </c>
      <c r="C184" s="227" t="s">
        <v>286</v>
      </c>
      <c r="D184" s="228">
        <v>200</v>
      </c>
      <c r="E184" s="228">
        <v>5</v>
      </c>
      <c r="F184" s="231">
        <v>2729.6</v>
      </c>
      <c r="G184" s="231">
        <v>2680.3</v>
      </c>
      <c r="H184" s="228">
        <v>49.3</v>
      </c>
      <c r="I184" s="229">
        <v>1.84E-2</v>
      </c>
      <c r="J184" s="231">
        <v>2735.9</v>
      </c>
      <c r="K184" s="231">
        <v>2676.9</v>
      </c>
      <c r="L184" s="228">
        <v>59</v>
      </c>
      <c r="M184" s="229">
        <v>2.1999999999999999E-2</v>
      </c>
      <c r="N184" s="231">
        <v>2729.6</v>
      </c>
      <c r="O184" s="231">
        <v>2680.3</v>
      </c>
      <c r="P184" s="228">
        <v>49.3</v>
      </c>
      <c r="Q184" s="229">
        <v>1.84E-2</v>
      </c>
      <c r="R184" s="231">
        <v>2738.4</v>
      </c>
      <c r="S184" s="231">
        <v>2690.3</v>
      </c>
      <c r="T184" s="228">
        <v>48.1</v>
      </c>
      <c r="U184" s="229">
        <v>1.7899999999999999E-2</v>
      </c>
      <c r="V184" s="231">
        <v>2752.2</v>
      </c>
      <c r="W184" s="231">
        <v>2706.6</v>
      </c>
      <c r="X184" s="228">
        <v>45.6</v>
      </c>
      <c r="Y184" s="229">
        <v>1.6799999999999999E-2</v>
      </c>
      <c r="Z184" s="228">
        <v>-6.3</v>
      </c>
      <c r="AA184" s="228">
        <v>3.4</v>
      </c>
      <c r="AB184" s="228">
        <v>-9.6999999999999993</v>
      </c>
      <c r="AC184" s="229">
        <v>-2.3E-3</v>
      </c>
      <c r="AD184" s="228">
        <v>-6.3</v>
      </c>
      <c r="AE184" s="228">
        <v>3.4</v>
      </c>
      <c r="AF184" s="228">
        <v>-9.6999999999999993</v>
      </c>
      <c r="AG184" s="229">
        <v>-2.3E-3</v>
      </c>
      <c r="AH184" s="228">
        <v>2.5</v>
      </c>
      <c r="AI184" s="228">
        <v>13.4</v>
      </c>
      <c r="AJ184" s="228">
        <v>-10.9</v>
      </c>
      <c r="AK184" s="229">
        <v>8.9999999999999998E-4</v>
      </c>
      <c r="AL184" s="228">
        <v>16.3</v>
      </c>
      <c r="AM184" s="228">
        <v>29.7</v>
      </c>
      <c r="AN184" s="228">
        <v>-13.4</v>
      </c>
      <c r="AO184" s="229">
        <v>6.0000000000000001E-3</v>
      </c>
      <c r="AP184" s="231">
        <v>2718.83</v>
      </c>
      <c r="AQ184" s="231">
        <v>2728.47</v>
      </c>
      <c r="AR184" s="228">
        <v>0</v>
      </c>
      <c r="AS184" s="228">
        <v>764</v>
      </c>
      <c r="AT184" s="230">
        <v>1283</v>
      </c>
      <c r="AU184" s="228">
        <v>-519</v>
      </c>
      <c r="AV184" s="229">
        <v>-0.40479999999999999</v>
      </c>
      <c r="AW184" s="228">
        <v>400</v>
      </c>
      <c r="AX184" s="228">
        <v>807</v>
      </c>
      <c r="AY184" s="228">
        <v>-407</v>
      </c>
      <c r="AZ184" s="229">
        <v>-0.50390000000000001</v>
      </c>
      <c r="BA184" s="228">
        <v>362</v>
      </c>
      <c r="BB184" s="228">
        <v>472</v>
      </c>
      <c r="BC184" s="228">
        <v>-110</v>
      </c>
      <c r="BD184" s="229">
        <v>-0.23380000000000001</v>
      </c>
      <c r="BE184" s="228">
        <v>2</v>
      </c>
      <c r="BF184" s="228">
        <v>4</v>
      </c>
      <c r="BG184" s="228">
        <v>-2</v>
      </c>
      <c r="BH184" s="229">
        <v>-0.56940000000000002</v>
      </c>
      <c r="BI184" s="230">
        <v>1653</v>
      </c>
      <c r="BJ184" s="230">
        <v>5163</v>
      </c>
      <c r="BK184" s="230">
        <v>-3510</v>
      </c>
      <c r="BL184" s="229">
        <v>-0.67989999999999995</v>
      </c>
      <c r="BM184" s="228">
        <v>892</v>
      </c>
      <c r="BN184" s="230">
        <v>5687</v>
      </c>
      <c r="BO184" s="230">
        <v>-4795</v>
      </c>
      <c r="BP184" s="229">
        <v>-0.84309999999999996</v>
      </c>
      <c r="BQ184" s="230">
        <v>3309</v>
      </c>
      <c r="BR184" s="230">
        <v>12133</v>
      </c>
      <c r="BS184" s="230">
        <v>-8824</v>
      </c>
      <c r="BT184" s="229">
        <v>-0.72729999999999995</v>
      </c>
      <c r="BU184" s="230">
        <v>760865</v>
      </c>
      <c r="BV184" s="230">
        <v>2013449</v>
      </c>
      <c r="BW184" s="230">
        <v>-1252584</v>
      </c>
      <c r="BX184" s="229">
        <v>-0.62209999999999999</v>
      </c>
      <c r="BY184" s="230">
        <v>1002</v>
      </c>
      <c r="BZ184" s="230">
        <v>1031</v>
      </c>
      <c r="CA184" s="228">
        <v>-29</v>
      </c>
      <c r="CB184" s="229">
        <v>-2.8000000000000001E-2</v>
      </c>
      <c r="CC184" s="228">
        <v>534</v>
      </c>
      <c r="CD184" s="228">
        <v>731</v>
      </c>
      <c r="CE184" s="228">
        <v>-198</v>
      </c>
      <c r="CF184" s="229">
        <v>-0.27050000000000002</v>
      </c>
      <c r="CG184" s="228">
        <v>464</v>
      </c>
      <c r="CH184" s="228">
        <v>296</v>
      </c>
      <c r="CI184" s="228">
        <v>169</v>
      </c>
      <c r="CJ184" s="229">
        <v>0.56989999999999996</v>
      </c>
      <c r="CK184" s="228">
        <v>4</v>
      </c>
      <c r="CL184" s="228">
        <v>4</v>
      </c>
      <c r="CM184" s="228">
        <v>0</v>
      </c>
      <c r="CN184" s="229">
        <v>0.1159</v>
      </c>
      <c r="CO184" s="228">
        <v>804</v>
      </c>
      <c r="CP184" s="230">
        <v>1057</v>
      </c>
      <c r="CQ184" s="228">
        <v>-253</v>
      </c>
      <c r="CR184" s="229">
        <v>-0.2397</v>
      </c>
      <c r="CS184" s="228">
        <v>405</v>
      </c>
      <c r="CT184" s="228">
        <v>479</v>
      </c>
      <c r="CU184" s="228">
        <v>-74</v>
      </c>
      <c r="CV184" s="229">
        <v>-0.15359999999999999</v>
      </c>
      <c r="CW184" s="230">
        <v>2211</v>
      </c>
      <c r="CX184" s="230">
        <v>2567</v>
      </c>
      <c r="CY184" s="228">
        <v>-356</v>
      </c>
      <c r="CZ184" s="229">
        <v>-0.1386</v>
      </c>
      <c r="DA184" s="228">
        <v>26.74</v>
      </c>
      <c r="DB184" s="228">
        <v>30.94</v>
      </c>
      <c r="DC184" s="228">
        <v>-4.2</v>
      </c>
      <c r="DD184" s="228">
        <v>-4.2</v>
      </c>
      <c r="DE184" s="228">
        <v>31.8</v>
      </c>
      <c r="DF184" s="228">
        <v>31.75</v>
      </c>
      <c r="DG184" s="228">
        <v>-5.0599999999999996</v>
      </c>
      <c r="DH184" s="228">
        <v>0.05</v>
      </c>
      <c r="DI184" s="228">
        <v>26.72</v>
      </c>
      <c r="DJ184" s="228">
        <v>34.18</v>
      </c>
      <c r="DK184" s="228">
        <v>-7.46</v>
      </c>
      <c r="DL184" s="228">
        <v>-7.46</v>
      </c>
      <c r="DM184" s="228">
        <v>26.81</v>
      </c>
      <c r="DN184" s="228">
        <v>28</v>
      </c>
      <c r="DO184" s="228">
        <v>-1.19</v>
      </c>
      <c r="DP184" s="228">
        <v>-1.19</v>
      </c>
      <c r="DQ184" s="228">
        <v>0.5</v>
      </c>
      <c r="DR184" s="228">
        <v>0.45</v>
      </c>
      <c r="DS184" s="228">
        <v>0.05</v>
      </c>
      <c r="DT184" s="229">
        <v>0.1111</v>
      </c>
      <c r="DU184" s="231">
        <v>3000</v>
      </c>
      <c r="DV184" s="231">
        <v>2700</v>
      </c>
      <c r="DW184" s="228">
        <v>0.54</v>
      </c>
      <c r="DX184" s="228">
        <v>1.1000000000000001</v>
      </c>
      <c r="DY184" s="228">
        <v>-0.56000000000000005</v>
      </c>
      <c r="DZ184" s="229">
        <v>-0.5091</v>
      </c>
      <c r="EA184" s="229">
        <v>0.46750000000000003</v>
      </c>
      <c r="EB184" s="230">
        <v>1097200</v>
      </c>
      <c r="EC184" s="229">
        <v>3.2000000000000002E-3</v>
      </c>
      <c r="ED184" s="229">
        <v>0.46750000000000003</v>
      </c>
      <c r="EE184" s="228">
        <v>9.64</v>
      </c>
      <c r="EF184" s="229">
        <v>3.5000000000000001E-3</v>
      </c>
      <c r="EG184" s="230">
        <v>398128</v>
      </c>
      <c r="EH184" s="230">
        <v>659850</v>
      </c>
      <c r="EI184" s="229">
        <v>-0.39660000000000001</v>
      </c>
      <c r="EJ184" s="229">
        <v>0.52329999999999999</v>
      </c>
      <c r="EK184" s="231">
        <v>1728.29</v>
      </c>
      <c r="EL184" s="228">
        <v>879.52</v>
      </c>
      <c r="EM184" s="228">
        <v>761.96</v>
      </c>
      <c r="EN184" s="228">
        <v>118.52</v>
      </c>
      <c r="EO184" s="231">
        <v>3369.77</v>
      </c>
      <c r="EP184" s="231">
        <v>12513.69</v>
      </c>
      <c r="EQ184" s="231">
        <v>-9143.92</v>
      </c>
      <c r="ER184" s="229">
        <v>-0.73070000000000002</v>
      </c>
      <c r="ES184" s="228">
        <v>877.72</v>
      </c>
      <c r="ET184" s="228">
        <v>421.92</v>
      </c>
      <c r="EU184" s="231">
        <v>1003.57</v>
      </c>
      <c r="EV184" s="231">
        <v>18529108</v>
      </c>
      <c r="EW184" s="231">
        <v>2303.21</v>
      </c>
      <c r="EX184" s="231">
        <v>2654.99</v>
      </c>
      <c r="EY184" s="228">
        <v>-351.78</v>
      </c>
      <c r="EZ184" s="229">
        <v>-0.13250000000000001</v>
      </c>
      <c r="FA184" s="229">
        <v>0.43709999999999999</v>
      </c>
      <c r="FB184" s="227" t="s">
        <v>556</v>
      </c>
      <c r="FC184">
        <f t="shared" si="3"/>
        <v>0</v>
      </c>
    </row>
    <row r="185" spans="1:159" ht="17.25" thickBot="1" x14ac:dyDescent="0.3">
      <c r="A185" s="226">
        <v>46044</v>
      </c>
      <c r="B185" s="227" t="s">
        <v>170</v>
      </c>
      <c r="C185" s="227" t="s">
        <v>288</v>
      </c>
      <c r="D185" s="228">
        <v>350</v>
      </c>
      <c r="E185" s="228">
        <v>5</v>
      </c>
      <c r="F185" s="231">
        <v>1635.4</v>
      </c>
      <c r="G185" s="231">
        <v>1616.4</v>
      </c>
      <c r="H185" s="228">
        <v>19</v>
      </c>
      <c r="I185" s="229">
        <v>1.18E-2</v>
      </c>
      <c r="J185" s="231">
        <v>1634.2</v>
      </c>
      <c r="K185" s="231">
        <v>1612.9</v>
      </c>
      <c r="L185" s="228">
        <v>21.3</v>
      </c>
      <c r="M185" s="229">
        <v>1.32E-2</v>
      </c>
      <c r="N185" s="231">
        <v>1635.4</v>
      </c>
      <c r="O185" s="231">
        <v>1616.4</v>
      </c>
      <c r="P185" s="228">
        <v>19</v>
      </c>
      <c r="Q185" s="229">
        <v>1.18E-2</v>
      </c>
      <c r="R185" s="231">
        <v>1633.5</v>
      </c>
      <c r="S185" s="231">
        <v>1614.3</v>
      </c>
      <c r="T185" s="228">
        <v>19.2</v>
      </c>
      <c r="U185" s="229">
        <v>1.1900000000000001E-2</v>
      </c>
      <c r="V185" s="231">
        <v>1645.2</v>
      </c>
      <c r="W185" s="231">
        <v>1625.2</v>
      </c>
      <c r="X185" s="228">
        <v>20</v>
      </c>
      <c r="Y185" s="229">
        <v>1.23E-2</v>
      </c>
      <c r="Z185" s="228">
        <v>1.2</v>
      </c>
      <c r="AA185" s="228">
        <v>3.5</v>
      </c>
      <c r="AB185" s="228">
        <v>-2.2999999999999998</v>
      </c>
      <c r="AC185" s="229">
        <v>6.9999999999999999E-4</v>
      </c>
      <c r="AD185" s="228">
        <v>1.2</v>
      </c>
      <c r="AE185" s="228">
        <v>3.5</v>
      </c>
      <c r="AF185" s="228">
        <v>-2.2999999999999998</v>
      </c>
      <c r="AG185" s="229">
        <v>6.9999999999999999E-4</v>
      </c>
      <c r="AH185" s="228">
        <v>-0.7</v>
      </c>
      <c r="AI185" s="228">
        <v>1.4</v>
      </c>
      <c r="AJ185" s="228">
        <v>-2.1</v>
      </c>
      <c r="AK185" s="229">
        <v>-4.0000000000000002E-4</v>
      </c>
      <c r="AL185" s="228">
        <v>11</v>
      </c>
      <c r="AM185" s="228">
        <v>12.3</v>
      </c>
      <c r="AN185" s="228">
        <v>-1.3</v>
      </c>
      <c r="AO185" s="229">
        <v>6.7000000000000002E-3</v>
      </c>
      <c r="AP185" s="231">
        <v>1632</v>
      </c>
      <c r="AQ185" s="231">
        <v>1629.56</v>
      </c>
      <c r="AR185" s="228">
        <v>0</v>
      </c>
      <c r="AS185" s="230">
        <v>2329</v>
      </c>
      <c r="AT185" s="230">
        <v>1450</v>
      </c>
      <c r="AU185" s="228">
        <v>879</v>
      </c>
      <c r="AV185" s="229">
        <v>0.60580000000000001</v>
      </c>
      <c r="AW185" s="230">
        <v>1188</v>
      </c>
      <c r="AX185" s="228">
        <v>731</v>
      </c>
      <c r="AY185" s="228">
        <v>456</v>
      </c>
      <c r="AZ185" s="229">
        <v>0.62409999999999999</v>
      </c>
      <c r="BA185" s="230">
        <v>1138</v>
      </c>
      <c r="BB185" s="228">
        <v>713</v>
      </c>
      <c r="BC185" s="228">
        <v>425</v>
      </c>
      <c r="BD185" s="229">
        <v>0.59550000000000003</v>
      </c>
      <c r="BE185" s="228">
        <v>4</v>
      </c>
      <c r="BF185" s="228">
        <v>6</v>
      </c>
      <c r="BG185" s="228">
        <v>-2</v>
      </c>
      <c r="BH185" s="229">
        <v>-0.39050000000000001</v>
      </c>
      <c r="BI185" s="230">
        <v>1550</v>
      </c>
      <c r="BJ185" s="230">
        <v>2620</v>
      </c>
      <c r="BK185" s="230">
        <v>-1071</v>
      </c>
      <c r="BL185" s="229">
        <v>-0.40860000000000002</v>
      </c>
      <c r="BM185" s="230">
        <v>1378</v>
      </c>
      <c r="BN185" s="230">
        <v>1472</v>
      </c>
      <c r="BO185" s="228">
        <v>-94</v>
      </c>
      <c r="BP185" s="229">
        <v>-6.3799999999999996E-2</v>
      </c>
      <c r="BQ185" s="230">
        <v>5257</v>
      </c>
      <c r="BR185" s="230">
        <v>5543</v>
      </c>
      <c r="BS185" s="228">
        <v>-286</v>
      </c>
      <c r="BT185" s="229">
        <v>-5.16E-2</v>
      </c>
      <c r="BU185" s="230">
        <v>2396164</v>
      </c>
      <c r="BV185" s="230">
        <v>4079568</v>
      </c>
      <c r="BW185" s="230">
        <v>-1683404</v>
      </c>
      <c r="BX185" s="229">
        <v>-0.41260000000000002</v>
      </c>
      <c r="BY185" s="230">
        <v>3484</v>
      </c>
      <c r="BZ185" s="230">
        <v>3450</v>
      </c>
      <c r="CA185" s="228">
        <v>34</v>
      </c>
      <c r="CB185" s="229">
        <v>9.7000000000000003E-3</v>
      </c>
      <c r="CC185" s="230">
        <v>1681</v>
      </c>
      <c r="CD185" s="230">
        <v>2606</v>
      </c>
      <c r="CE185" s="228">
        <v>-924</v>
      </c>
      <c r="CF185" s="229">
        <v>-0.35470000000000002</v>
      </c>
      <c r="CG185" s="230">
        <v>1774</v>
      </c>
      <c r="CH185" s="228">
        <v>817</v>
      </c>
      <c r="CI185" s="228">
        <v>957</v>
      </c>
      <c r="CJ185" s="229">
        <v>1.1722999999999999</v>
      </c>
      <c r="CK185" s="228">
        <v>28</v>
      </c>
      <c r="CL185" s="228">
        <v>28</v>
      </c>
      <c r="CM185" s="228">
        <v>0</v>
      </c>
      <c r="CN185" s="229">
        <v>1.43E-2</v>
      </c>
      <c r="CO185" s="230">
        <v>1927</v>
      </c>
      <c r="CP185" s="230">
        <v>1974</v>
      </c>
      <c r="CQ185" s="228">
        <v>-47</v>
      </c>
      <c r="CR185" s="229">
        <v>-2.4E-2</v>
      </c>
      <c r="CS185" s="228">
        <v>771</v>
      </c>
      <c r="CT185" s="228">
        <v>842</v>
      </c>
      <c r="CU185" s="228">
        <v>-71</v>
      </c>
      <c r="CV185" s="229">
        <v>-8.48E-2</v>
      </c>
      <c r="CW185" s="230">
        <v>6181</v>
      </c>
      <c r="CX185" s="230">
        <v>6267</v>
      </c>
      <c r="CY185" s="228">
        <v>-85</v>
      </c>
      <c r="CZ185" s="229">
        <v>-1.3599999999999999E-2</v>
      </c>
      <c r="DA185" s="228">
        <v>24.28</v>
      </c>
      <c r="DB185" s="228">
        <v>21.4</v>
      </c>
      <c r="DC185" s="228">
        <v>2.88</v>
      </c>
      <c r="DD185" s="228">
        <v>2.88</v>
      </c>
      <c r="DE185" s="228">
        <v>22.95</v>
      </c>
      <c r="DF185" s="228">
        <v>22.94</v>
      </c>
      <c r="DG185" s="228">
        <v>1.33</v>
      </c>
      <c r="DH185" s="228">
        <v>0.01</v>
      </c>
      <c r="DI185" s="228">
        <v>24.12</v>
      </c>
      <c r="DJ185" s="228">
        <v>21.04</v>
      </c>
      <c r="DK185" s="228">
        <v>3.08</v>
      </c>
      <c r="DL185" s="228">
        <v>3.08</v>
      </c>
      <c r="DM185" s="228">
        <v>24.57</v>
      </c>
      <c r="DN185" s="228">
        <v>22.04</v>
      </c>
      <c r="DO185" s="228">
        <v>2.5299999999999998</v>
      </c>
      <c r="DP185" s="228">
        <v>2.5299999999999998</v>
      </c>
      <c r="DQ185" s="228">
        <v>0.4</v>
      </c>
      <c r="DR185" s="228">
        <v>0.43</v>
      </c>
      <c r="DS185" s="228">
        <v>-0.03</v>
      </c>
      <c r="DT185" s="229">
        <v>-6.9800000000000001E-2</v>
      </c>
      <c r="DU185" s="231">
        <v>1800</v>
      </c>
      <c r="DV185" s="231">
        <v>1620</v>
      </c>
      <c r="DW185" s="228">
        <v>0.89</v>
      </c>
      <c r="DX185" s="228">
        <v>0.56000000000000005</v>
      </c>
      <c r="DY185" s="228">
        <v>0.33</v>
      </c>
      <c r="DZ185" s="229">
        <v>0.58930000000000005</v>
      </c>
      <c r="EA185" s="229">
        <v>0.51739999999999997</v>
      </c>
      <c r="EB185" s="230">
        <v>5165300</v>
      </c>
      <c r="EC185" s="229">
        <v>-1.1999999999999999E-3</v>
      </c>
      <c r="ED185" s="229">
        <v>0.51739999999999997</v>
      </c>
      <c r="EE185" s="228">
        <v>-2.44</v>
      </c>
      <c r="EF185" s="229">
        <v>-1.5E-3</v>
      </c>
      <c r="EG185" s="230">
        <v>1473571</v>
      </c>
      <c r="EH185" s="230">
        <v>2698886</v>
      </c>
      <c r="EI185" s="229">
        <v>-0.45400000000000001</v>
      </c>
      <c r="EJ185" s="229">
        <v>0.61499999999999999</v>
      </c>
      <c r="EK185" s="231">
        <v>1590.07</v>
      </c>
      <c r="EL185" s="231">
        <v>1367.18</v>
      </c>
      <c r="EM185" s="231">
        <v>2322.64</v>
      </c>
      <c r="EN185" s="228">
        <v>158.5</v>
      </c>
      <c r="EO185" s="231">
        <v>5279.89</v>
      </c>
      <c r="EP185" s="231">
        <v>5587.52</v>
      </c>
      <c r="EQ185" s="228">
        <v>-307.63</v>
      </c>
      <c r="ER185" s="229">
        <v>-5.5100000000000003E-2</v>
      </c>
      <c r="ES185" s="231">
        <v>2064.9</v>
      </c>
      <c r="ET185" s="228">
        <v>784.51</v>
      </c>
      <c r="EU185" s="231">
        <v>3482.02</v>
      </c>
      <c r="EV185" s="231">
        <v>109220043</v>
      </c>
      <c r="EW185" s="231">
        <v>6331.42</v>
      </c>
      <c r="EX185" s="231">
        <v>6379.45</v>
      </c>
      <c r="EY185" s="228">
        <v>-48.03</v>
      </c>
      <c r="EZ185" s="229">
        <v>-7.4999999999999997E-3</v>
      </c>
      <c r="FA185" s="229">
        <v>0.34610000000000002</v>
      </c>
      <c r="FB185" s="227" t="s">
        <v>555</v>
      </c>
      <c r="FC185">
        <f t="shared" si="3"/>
        <v>0</v>
      </c>
    </row>
    <row r="186" spans="1:159" ht="17.25" thickBot="1" x14ac:dyDescent="0.3">
      <c r="A186" s="226">
        <v>46044</v>
      </c>
      <c r="B186" s="227" t="s">
        <v>184</v>
      </c>
      <c r="C186" s="227" t="s">
        <v>574</v>
      </c>
      <c r="D186" s="228">
        <v>175</v>
      </c>
      <c r="E186" s="228">
        <v>5</v>
      </c>
      <c r="F186" s="231">
        <v>3487.1</v>
      </c>
      <c r="G186" s="231">
        <v>3349.8</v>
      </c>
      <c r="H186" s="228">
        <v>137.30000000000001</v>
      </c>
      <c r="I186" s="229">
        <v>4.1000000000000002E-2</v>
      </c>
      <c r="J186" s="231">
        <v>3487.8</v>
      </c>
      <c r="K186" s="231">
        <v>3348.7</v>
      </c>
      <c r="L186" s="228">
        <v>139.1</v>
      </c>
      <c r="M186" s="229">
        <v>4.1500000000000002E-2</v>
      </c>
      <c r="N186" s="231">
        <v>3487.1</v>
      </c>
      <c r="O186" s="231">
        <v>3349.8</v>
      </c>
      <c r="P186" s="228">
        <v>137.30000000000001</v>
      </c>
      <c r="Q186" s="229">
        <v>4.1000000000000002E-2</v>
      </c>
      <c r="R186" s="231">
        <v>3490</v>
      </c>
      <c r="S186" s="231">
        <v>3342.1</v>
      </c>
      <c r="T186" s="228">
        <v>147.9</v>
      </c>
      <c r="U186" s="229">
        <v>4.4299999999999999E-2</v>
      </c>
      <c r="V186" s="231">
        <v>3506.2</v>
      </c>
      <c r="W186" s="231">
        <v>3331.9</v>
      </c>
      <c r="X186" s="228">
        <v>174.3</v>
      </c>
      <c r="Y186" s="229">
        <v>5.2299999999999999E-2</v>
      </c>
      <c r="Z186" s="228">
        <v>-0.7</v>
      </c>
      <c r="AA186" s="228">
        <v>1.1000000000000001</v>
      </c>
      <c r="AB186" s="228">
        <v>-1.8</v>
      </c>
      <c r="AC186" s="229">
        <v>-2.0000000000000001E-4</v>
      </c>
      <c r="AD186" s="228">
        <v>-0.7</v>
      </c>
      <c r="AE186" s="228">
        <v>1.1000000000000001</v>
      </c>
      <c r="AF186" s="228">
        <v>-1.8</v>
      </c>
      <c r="AG186" s="229">
        <v>-2.0000000000000001E-4</v>
      </c>
      <c r="AH186" s="228">
        <v>2.2000000000000002</v>
      </c>
      <c r="AI186" s="228">
        <v>-6.6</v>
      </c>
      <c r="AJ186" s="228">
        <v>8.8000000000000007</v>
      </c>
      <c r="AK186" s="229">
        <v>5.9999999999999995E-4</v>
      </c>
      <c r="AL186" s="228">
        <v>18.399999999999999</v>
      </c>
      <c r="AM186" s="228">
        <v>-16.8</v>
      </c>
      <c r="AN186" s="228">
        <v>35.200000000000003</v>
      </c>
      <c r="AO186" s="229">
        <v>5.3E-3</v>
      </c>
      <c r="AP186" s="231">
        <v>3461</v>
      </c>
      <c r="AQ186" s="231">
        <v>3460.25</v>
      </c>
      <c r="AR186" s="228">
        <v>0</v>
      </c>
      <c r="AS186" s="228">
        <v>727</v>
      </c>
      <c r="AT186" s="230">
        <v>1061</v>
      </c>
      <c r="AU186" s="228">
        <v>-334</v>
      </c>
      <c r="AV186" s="229">
        <v>-0.3145</v>
      </c>
      <c r="AW186" s="228">
        <v>395</v>
      </c>
      <c r="AX186" s="228">
        <v>674</v>
      </c>
      <c r="AY186" s="228">
        <v>-279</v>
      </c>
      <c r="AZ186" s="229">
        <v>-0.4138</v>
      </c>
      <c r="BA186" s="228">
        <v>332</v>
      </c>
      <c r="BB186" s="228">
        <v>386</v>
      </c>
      <c r="BC186" s="228">
        <v>-54</v>
      </c>
      <c r="BD186" s="229">
        <v>-0.1404</v>
      </c>
      <c r="BE186" s="228">
        <v>0</v>
      </c>
      <c r="BF186" s="228">
        <v>1</v>
      </c>
      <c r="BG186" s="228">
        <v>-1</v>
      </c>
      <c r="BH186" s="229">
        <v>-0.6</v>
      </c>
      <c r="BI186" s="230">
        <v>1457</v>
      </c>
      <c r="BJ186" s="230">
        <v>2189</v>
      </c>
      <c r="BK186" s="228">
        <v>-732</v>
      </c>
      <c r="BL186" s="229">
        <v>-0.33460000000000001</v>
      </c>
      <c r="BM186" s="228">
        <v>845</v>
      </c>
      <c r="BN186" s="230">
        <v>1775</v>
      </c>
      <c r="BO186" s="228">
        <v>-930</v>
      </c>
      <c r="BP186" s="229">
        <v>-0.52400000000000002</v>
      </c>
      <c r="BQ186" s="230">
        <v>3029</v>
      </c>
      <c r="BR186" s="230">
        <v>5025</v>
      </c>
      <c r="BS186" s="230">
        <v>-1996</v>
      </c>
      <c r="BT186" s="229">
        <v>-0.3972</v>
      </c>
      <c r="BU186" s="230">
        <v>547217</v>
      </c>
      <c r="BV186" s="230">
        <v>826343</v>
      </c>
      <c r="BW186" s="230">
        <v>-279126</v>
      </c>
      <c r="BX186" s="229">
        <v>-0.33779999999999999</v>
      </c>
      <c r="BY186" s="228">
        <v>796</v>
      </c>
      <c r="BZ186" s="228">
        <v>839</v>
      </c>
      <c r="CA186" s="228">
        <v>-43</v>
      </c>
      <c r="CB186" s="229">
        <v>-5.0900000000000001E-2</v>
      </c>
      <c r="CC186" s="228">
        <v>387</v>
      </c>
      <c r="CD186" s="228">
        <v>599</v>
      </c>
      <c r="CE186" s="228">
        <v>-212</v>
      </c>
      <c r="CF186" s="229">
        <v>-0.35389999999999999</v>
      </c>
      <c r="CG186" s="228">
        <v>406</v>
      </c>
      <c r="CH186" s="228">
        <v>237</v>
      </c>
      <c r="CI186" s="228">
        <v>169</v>
      </c>
      <c r="CJ186" s="229">
        <v>0.71379999999999999</v>
      </c>
      <c r="CK186" s="228">
        <v>3</v>
      </c>
      <c r="CL186" s="228">
        <v>2</v>
      </c>
      <c r="CM186" s="228">
        <v>0</v>
      </c>
      <c r="CN186" s="229">
        <v>7.8899999999999998E-2</v>
      </c>
      <c r="CO186" s="228">
        <v>258</v>
      </c>
      <c r="CP186" s="228">
        <v>321</v>
      </c>
      <c r="CQ186" s="228">
        <v>-63</v>
      </c>
      <c r="CR186" s="229">
        <v>-0.1961</v>
      </c>
      <c r="CS186" s="228">
        <v>254</v>
      </c>
      <c r="CT186" s="228">
        <v>302</v>
      </c>
      <c r="CU186" s="228">
        <v>-48</v>
      </c>
      <c r="CV186" s="229">
        <v>-0.1593</v>
      </c>
      <c r="CW186" s="230">
        <v>1308</v>
      </c>
      <c r="CX186" s="230">
        <v>1462</v>
      </c>
      <c r="CY186" s="228">
        <v>-154</v>
      </c>
      <c r="CZ186" s="229">
        <v>-0.1052</v>
      </c>
      <c r="DA186" s="228">
        <v>31.62</v>
      </c>
      <c r="DB186" s="228">
        <v>35.78</v>
      </c>
      <c r="DC186" s="228">
        <v>-4.16</v>
      </c>
      <c r="DD186" s="228">
        <v>-4.16</v>
      </c>
      <c r="DE186" s="228">
        <v>39.020000000000003</v>
      </c>
      <c r="DF186" s="228">
        <v>38.74</v>
      </c>
      <c r="DG186" s="228">
        <v>-7.4</v>
      </c>
      <c r="DH186" s="228">
        <v>0.28000000000000003</v>
      </c>
      <c r="DI186" s="228">
        <v>30.62</v>
      </c>
      <c r="DJ186" s="228">
        <v>34.24</v>
      </c>
      <c r="DK186" s="228">
        <v>-3.62</v>
      </c>
      <c r="DL186" s="228">
        <v>-3.62</v>
      </c>
      <c r="DM186" s="228">
        <v>32.68</v>
      </c>
      <c r="DN186" s="228">
        <v>37.68</v>
      </c>
      <c r="DO186" s="228">
        <v>-5</v>
      </c>
      <c r="DP186" s="228">
        <v>-5</v>
      </c>
      <c r="DQ186" s="228">
        <v>0.98</v>
      </c>
      <c r="DR186" s="228">
        <v>0.94</v>
      </c>
      <c r="DS186" s="228">
        <v>0.04</v>
      </c>
      <c r="DT186" s="229">
        <v>4.2599999999999999E-2</v>
      </c>
      <c r="DU186" s="231">
        <v>3550</v>
      </c>
      <c r="DV186" s="231">
        <v>3300</v>
      </c>
      <c r="DW186" s="228">
        <v>0.57999999999999996</v>
      </c>
      <c r="DX186" s="228">
        <v>0.81</v>
      </c>
      <c r="DY186" s="228">
        <v>-0.23</v>
      </c>
      <c r="DZ186" s="229">
        <v>-0.28399999999999997</v>
      </c>
      <c r="EA186" s="229">
        <v>0.51349999999999996</v>
      </c>
      <c r="EB186" s="230">
        <v>686525</v>
      </c>
      <c r="EC186" s="229">
        <v>8.0000000000000004E-4</v>
      </c>
      <c r="ED186" s="229">
        <v>0.51349999999999996</v>
      </c>
      <c r="EE186" s="228">
        <v>-0.75</v>
      </c>
      <c r="EF186" s="229">
        <v>-2.0000000000000001E-4</v>
      </c>
      <c r="EG186" s="230">
        <v>262469</v>
      </c>
      <c r="EH186" s="230">
        <v>249174</v>
      </c>
      <c r="EI186" s="229">
        <v>5.3400000000000003E-2</v>
      </c>
      <c r="EJ186" s="229">
        <v>0.47960000000000003</v>
      </c>
      <c r="EK186" s="231">
        <v>1495.44</v>
      </c>
      <c r="EL186" s="228">
        <v>806.48</v>
      </c>
      <c r="EM186" s="228">
        <v>721.71</v>
      </c>
      <c r="EN186" s="228">
        <v>64.680000000000007</v>
      </c>
      <c r="EO186" s="231">
        <v>3023.63</v>
      </c>
      <c r="EP186" s="231">
        <v>4876.4799999999996</v>
      </c>
      <c r="EQ186" s="231">
        <v>-1852.85</v>
      </c>
      <c r="ER186" s="229">
        <v>-0.38</v>
      </c>
      <c r="ES186" s="228">
        <v>266.54000000000002</v>
      </c>
      <c r="ET186" s="228">
        <v>241.45</v>
      </c>
      <c r="EU186" s="228">
        <v>796.47</v>
      </c>
      <c r="EV186" s="231">
        <v>9736357</v>
      </c>
      <c r="EW186" s="231">
        <v>1304.47</v>
      </c>
      <c r="EX186" s="231">
        <v>1419.05</v>
      </c>
      <c r="EY186" s="228">
        <v>-114.58</v>
      </c>
      <c r="EZ186" s="229">
        <v>-8.0699999999999994E-2</v>
      </c>
      <c r="FA186" s="229">
        <v>0.38529999999999998</v>
      </c>
      <c r="FB186" s="227" t="s">
        <v>556</v>
      </c>
      <c r="FC186">
        <f t="shared" si="3"/>
        <v>0</v>
      </c>
    </row>
    <row r="187" spans="1:159" ht="17.25" thickBot="1" x14ac:dyDescent="0.3">
      <c r="A187" s="226">
        <v>46044</v>
      </c>
      <c r="B187" s="227" t="s">
        <v>161</v>
      </c>
      <c r="C187" s="227" t="s">
        <v>684</v>
      </c>
      <c r="D187" s="228">
        <v>9025</v>
      </c>
      <c r="E187" s="228">
        <v>5</v>
      </c>
      <c r="F187" s="228">
        <v>47.01</v>
      </c>
      <c r="G187" s="228">
        <v>45.65</v>
      </c>
      <c r="H187" s="228">
        <v>1.36</v>
      </c>
      <c r="I187" s="229">
        <v>2.98E-2</v>
      </c>
      <c r="J187" s="228">
        <v>46.99</v>
      </c>
      <c r="K187" s="228">
        <v>45.53</v>
      </c>
      <c r="L187" s="228">
        <v>1.46</v>
      </c>
      <c r="M187" s="229">
        <v>3.2099999999999997E-2</v>
      </c>
      <c r="N187" s="228">
        <v>47.01</v>
      </c>
      <c r="O187" s="228">
        <v>45.65</v>
      </c>
      <c r="P187" s="228">
        <v>1.36</v>
      </c>
      <c r="Q187" s="229">
        <v>2.98E-2</v>
      </c>
      <c r="R187" s="228">
        <v>47.21</v>
      </c>
      <c r="S187" s="228">
        <v>45.85</v>
      </c>
      <c r="T187" s="228">
        <v>1.36</v>
      </c>
      <c r="U187" s="229">
        <v>2.9700000000000001E-2</v>
      </c>
      <c r="V187" s="228">
        <v>47.57</v>
      </c>
      <c r="W187" s="228">
        <v>46.15</v>
      </c>
      <c r="X187" s="228">
        <v>1.42</v>
      </c>
      <c r="Y187" s="229">
        <v>3.0800000000000001E-2</v>
      </c>
      <c r="Z187" s="228">
        <v>0.02</v>
      </c>
      <c r="AA187" s="228">
        <v>0.12</v>
      </c>
      <c r="AB187" s="228">
        <v>-0.1</v>
      </c>
      <c r="AC187" s="229">
        <v>4.0000000000000002E-4</v>
      </c>
      <c r="AD187" s="228">
        <v>0.02</v>
      </c>
      <c r="AE187" s="228">
        <v>0.12</v>
      </c>
      <c r="AF187" s="228">
        <v>-0.1</v>
      </c>
      <c r="AG187" s="229">
        <v>4.0000000000000002E-4</v>
      </c>
      <c r="AH187" s="228">
        <v>0.22</v>
      </c>
      <c r="AI187" s="228">
        <v>0.32</v>
      </c>
      <c r="AJ187" s="228">
        <v>-0.1</v>
      </c>
      <c r="AK187" s="229">
        <v>4.7000000000000002E-3</v>
      </c>
      <c r="AL187" s="228">
        <v>0.57999999999999996</v>
      </c>
      <c r="AM187" s="228">
        <v>0.62</v>
      </c>
      <c r="AN187" s="228">
        <v>-0.04</v>
      </c>
      <c r="AO187" s="229">
        <v>1.23E-2</v>
      </c>
      <c r="AP187" s="228">
        <v>46.37</v>
      </c>
      <c r="AQ187" s="228">
        <v>46.56</v>
      </c>
      <c r="AR187" s="228">
        <v>0</v>
      </c>
      <c r="AS187" s="228">
        <v>801</v>
      </c>
      <c r="AT187" s="228">
        <v>780</v>
      </c>
      <c r="AU187" s="228">
        <v>20</v>
      </c>
      <c r="AV187" s="229">
        <v>2.6200000000000001E-2</v>
      </c>
      <c r="AW187" s="228">
        <v>404</v>
      </c>
      <c r="AX187" s="228">
        <v>423</v>
      </c>
      <c r="AY187" s="228">
        <v>-19</v>
      </c>
      <c r="AZ187" s="229">
        <v>-4.4699999999999997E-2</v>
      </c>
      <c r="BA187" s="228">
        <v>386</v>
      </c>
      <c r="BB187" s="228">
        <v>350</v>
      </c>
      <c r="BC187" s="228">
        <v>37</v>
      </c>
      <c r="BD187" s="229">
        <v>0.1047</v>
      </c>
      <c r="BE187" s="228">
        <v>10</v>
      </c>
      <c r="BF187" s="228">
        <v>8</v>
      </c>
      <c r="BG187" s="228">
        <v>3</v>
      </c>
      <c r="BH187" s="229">
        <v>0.36520000000000002</v>
      </c>
      <c r="BI187" s="228">
        <v>744</v>
      </c>
      <c r="BJ187" s="228">
        <v>876</v>
      </c>
      <c r="BK187" s="228">
        <v>-133</v>
      </c>
      <c r="BL187" s="229">
        <v>-0.15129999999999999</v>
      </c>
      <c r="BM187" s="228">
        <v>268</v>
      </c>
      <c r="BN187" s="228">
        <v>547</v>
      </c>
      <c r="BO187" s="228">
        <v>-279</v>
      </c>
      <c r="BP187" s="229">
        <v>-0.50990000000000002</v>
      </c>
      <c r="BQ187" s="230">
        <v>1813</v>
      </c>
      <c r="BR187" s="230">
        <v>2204</v>
      </c>
      <c r="BS187" s="228">
        <v>-391</v>
      </c>
      <c r="BT187" s="229">
        <v>-0.17749999999999999</v>
      </c>
      <c r="BU187" s="230">
        <v>64338190</v>
      </c>
      <c r="BV187" s="230">
        <v>91420171</v>
      </c>
      <c r="BW187" s="230">
        <v>-27081981</v>
      </c>
      <c r="BX187" s="229">
        <v>-0.29620000000000002</v>
      </c>
      <c r="BY187" s="230">
        <v>1650</v>
      </c>
      <c r="BZ187" s="230">
        <v>1694</v>
      </c>
      <c r="CA187" s="228">
        <v>-44</v>
      </c>
      <c r="CB187" s="229">
        <v>-2.6200000000000001E-2</v>
      </c>
      <c r="CC187" s="228">
        <v>906</v>
      </c>
      <c r="CD187" s="230">
        <v>1153</v>
      </c>
      <c r="CE187" s="228">
        <v>-247</v>
      </c>
      <c r="CF187" s="229">
        <v>-0.2145</v>
      </c>
      <c r="CG187" s="228">
        <v>713</v>
      </c>
      <c r="CH187" s="228">
        <v>517</v>
      </c>
      <c r="CI187" s="228">
        <v>197</v>
      </c>
      <c r="CJ187" s="229">
        <v>0.3805</v>
      </c>
      <c r="CK187" s="228">
        <v>31</v>
      </c>
      <c r="CL187" s="228">
        <v>24</v>
      </c>
      <c r="CM187" s="228">
        <v>6</v>
      </c>
      <c r="CN187" s="229">
        <v>0.2626</v>
      </c>
      <c r="CO187" s="230">
        <v>1022</v>
      </c>
      <c r="CP187" s="230">
        <v>1087</v>
      </c>
      <c r="CQ187" s="228">
        <v>-65</v>
      </c>
      <c r="CR187" s="229">
        <v>-5.9700000000000003E-2</v>
      </c>
      <c r="CS187" s="228">
        <v>456</v>
      </c>
      <c r="CT187" s="228">
        <v>446</v>
      </c>
      <c r="CU187" s="228">
        <v>11</v>
      </c>
      <c r="CV187" s="229">
        <v>2.41E-2</v>
      </c>
      <c r="CW187" s="230">
        <v>3128</v>
      </c>
      <c r="CX187" s="230">
        <v>3226</v>
      </c>
      <c r="CY187" s="228">
        <v>-99</v>
      </c>
      <c r="CZ187" s="229">
        <v>-3.0499999999999999E-2</v>
      </c>
      <c r="DA187" s="228">
        <v>43.33</v>
      </c>
      <c r="DB187" s="228">
        <v>40.94</v>
      </c>
      <c r="DC187" s="228">
        <v>2.39</v>
      </c>
      <c r="DD187" s="228">
        <v>2.39</v>
      </c>
      <c r="DE187" s="228">
        <v>46.37</v>
      </c>
      <c r="DF187" s="228">
        <v>46.32</v>
      </c>
      <c r="DG187" s="228">
        <v>-3.04</v>
      </c>
      <c r="DH187" s="228">
        <v>0.05</v>
      </c>
      <c r="DI187" s="228">
        <v>43.43</v>
      </c>
      <c r="DJ187" s="228">
        <v>42.92</v>
      </c>
      <c r="DK187" s="228">
        <v>0.51</v>
      </c>
      <c r="DL187" s="228">
        <v>0.51</v>
      </c>
      <c r="DM187" s="228">
        <v>43.11</v>
      </c>
      <c r="DN187" s="228">
        <v>37.770000000000003</v>
      </c>
      <c r="DO187" s="228">
        <v>5.34</v>
      </c>
      <c r="DP187" s="228">
        <v>5.34</v>
      </c>
      <c r="DQ187" s="228">
        <v>0.45</v>
      </c>
      <c r="DR187" s="228">
        <v>0.41</v>
      </c>
      <c r="DS187" s="228">
        <v>0.04</v>
      </c>
      <c r="DT187" s="229">
        <v>9.7600000000000006E-2</v>
      </c>
      <c r="DU187" s="228">
        <v>54</v>
      </c>
      <c r="DV187" s="228">
        <v>54</v>
      </c>
      <c r="DW187" s="228">
        <v>0.36</v>
      </c>
      <c r="DX187" s="228">
        <v>0.62</v>
      </c>
      <c r="DY187" s="228">
        <v>-0.26</v>
      </c>
      <c r="DZ187" s="229">
        <v>-0.4194</v>
      </c>
      <c r="EA187" s="229">
        <v>0.45090000000000002</v>
      </c>
      <c r="EB187" s="230">
        <v>115077775</v>
      </c>
      <c r="EC187" s="229">
        <v>4.3E-3</v>
      </c>
      <c r="ED187" s="229">
        <v>0.45090000000000002</v>
      </c>
      <c r="EE187" s="228">
        <v>0.19</v>
      </c>
      <c r="EF187" s="229">
        <v>4.1000000000000003E-3</v>
      </c>
      <c r="EG187" s="230">
        <v>26823411</v>
      </c>
      <c r="EH187" s="230">
        <v>35456919</v>
      </c>
      <c r="EI187" s="229">
        <v>-0.24349999999999999</v>
      </c>
      <c r="EJ187" s="229">
        <v>0.41689999999999999</v>
      </c>
      <c r="EK187" s="228">
        <v>804.91</v>
      </c>
      <c r="EL187" s="228">
        <v>271.55</v>
      </c>
      <c r="EM187" s="228">
        <v>791.73</v>
      </c>
      <c r="EN187" s="228">
        <v>100.05</v>
      </c>
      <c r="EO187" s="231">
        <v>1868.19</v>
      </c>
      <c r="EP187" s="231">
        <v>2253.3000000000002</v>
      </c>
      <c r="EQ187" s="228">
        <v>-385.11</v>
      </c>
      <c r="ER187" s="229">
        <v>-0.1709</v>
      </c>
      <c r="ES187" s="231">
        <v>1168.6600000000001</v>
      </c>
      <c r="ET187" s="228">
        <v>489.24</v>
      </c>
      <c r="EU187" s="231">
        <v>1653.33</v>
      </c>
      <c r="EV187" s="231">
        <v>1814982173</v>
      </c>
      <c r="EW187" s="231">
        <v>3311.23</v>
      </c>
      <c r="EX187" s="231">
        <v>3375.05</v>
      </c>
      <c r="EY187" s="228">
        <v>-63.82</v>
      </c>
      <c r="EZ187" s="229">
        <v>-1.89E-2</v>
      </c>
      <c r="FA187" s="229">
        <v>0.36659999999999998</v>
      </c>
      <c r="FB187" s="227" t="s">
        <v>556</v>
      </c>
      <c r="FC187">
        <f t="shared" si="3"/>
        <v>0</v>
      </c>
    </row>
    <row r="188" spans="1:159" ht="17.25" thickBot="1" x14ac:dyDescent="0.3">
      <c r="A188" s="226">
        <v>46044</v>
      </c>
      <c r="B188" s="227" t="s">
        <v>615</v>
      </c>
      <c r="C188" s="227" t="s">
        <v>693</v>
      </c>
      <c r="D188" s="228">
        <v>1300</v>
      </c>
      <c r="E188" s="228">
        <v>5</v>
      </c>
      <c r="F188" s="228">
        <v>319.8</v>
      </c>
      <c r="G188" s="228">
        <v>336.25</v>
      </c>
      <c r="H188" s="228">
        <v>-16.45</v>
      </c>
      <c r="I188" s="229">
        <v>-4.8899999999999999E-2</v>
      </c>
      <c r="J188" s="228">
        <v>320.3</v>
      </c>
      <c r="K188" s="228">
        <v>334.55</v>
      </c>
      <c r="L188" s="228">
        <v>-14.25</v>
      </c>
      <c r="M188" s="229">
        <v>-4.2599999999999999E-2</v>
      </c>
      <c r="N188" s="228">
        <v>319.8</v>
      </c>
      <c r="O188" s="228">
        <v>336.25</v>
      </c>
      <c r="P188" s="228">
        <v>-16.45</v>
      </c>
      <c r="Q188" s="229">
        <v>-4.8899999999999999E-2</v>
      </c>
      <c r="R188" s="228">
        <v>320.25</v>
      </c>
      <c r="S188" s="228">
        <v>336.1</v>
      </c>
      <c r="T188" s="228">
        <v>-15.85</v>
      </c>
      <c r="U188" s="229">
        <v>-4.7199999999999999E-2</v>
      </c>
      <c r="V188" s="228">
        <v>319.3</v>
      </c>
      <c r="W188" s="228">
        <v>336.45</v>
      </c>
      <c r="X188" s="228">
        <v>-17.149999999999999</v>
      </c>
      <c r="Y188" s="229">
        <v>-5.0999999999999997E-2</v>
      </c>
      <c r="Z188" s="228">
        <v>-0.5</v>
      </c>
      <c r="AA188" s="228">
        <v>1.7</v>
      </c>
      <c r="AB188" s="228">
        <v>-2.2000000000000002</v>
      </c>
      <c r="AC188" s="229">
        <v>-1.6000000000000001E-3</v>
      </c>
      <c r="AD188" s="228">
        <v>-0.5</v>
      </c>
      <c r="AE188" s="228">
        <v>1.7</v>
      </c>
      <c r="AF188" s="228">
        <v>-2.2000000000000002</v>
      </c>
      <c r="AG188" s="229">
        <v>-1.6000000000000001E-3</v>
      </c>
      <c r="AH188" s="228">
        <v>-0.05</v>
      </c>
      <c r="AI188" s="228">
        <v>1.55</v>
      </c>
      <c r="AJ188" s="228">
        <v>-1.6</v>
      </c>
      <c r="AK188" s="229">
        <v>-2.0000000000000001E-4</v>
      </c>
      <c r="AL188" s="228">
        <v>-1</v>
      </c>
      <c r="AM188" s="228">
        <v>1.9</v>
      </c>
      <c r="AN188" s="228">
        <v>-2.9</v>
      </c>
      <c r="AO188" s="229">
        <v>-3.0999999999999999E-3</v>
      </c>
      <c r="AP188" s="228">
        <v>328.22</v>
      </c>
      <c r="AQ188" s="228">
        <v>327.11</v>
      </c>
      <c r="AR188" s="228">
        <v>0</v>
      </c>
      <c r="AS188" s="230">
        <v>1664</v>
      </c>
      <c r="AT188" s="230">
        <v>1089</v>
      </c>
      <c r="AU188" s="228">
        <v>575</v>
      </c>
      <c r="AV188" s="229">
        <v>0.52749999999999997</v>
      </c>
      <c r="AW188" s="228">
        <v>891</v>
      </c>
      <c r="AX188" s="228">
        <v>567</v>
      </c>
      <c r="AY188" s="228">
        <v>324</v>
      </c>
      <c r="AZ188" s="229">
        <v>0.5706</v>
      </c>
      <c r="BA188" s="228">
        <v>767</v>
      </c>
      <c r="BB188" s="228">
        <v>519</v>
      </c>
      <c r="BC188" s="228">
        <v>248</v>
      </c>
      <c r="BD188" s="229">
        <v>0.47699999999999998</v>
      </c>
      <c r="BE188" s="228">
        <v>6</v>
      </c>
      <c r="BF188" s="228">
        <v>3</v>
      </c>
      <c r="BG188" s="228">
        <v>3</v>
      </c>
      <c r="BH188" s="229">
        <v>1.1095999999999999</v>
      </c>
      <c r="BI188" s="228">
        <v>647</v>
      </c>
      <c r="BJ188" s="228">
        <v>613</v>
      </c>
      <c r="BK188" s="228">
        <v>34</v>
      </c>
      <c r="BL188" s="229">
        <v>5.6000000000000001E-2</v>
      </c>
      <c r="BM188" s="228">
        <v>513</v>
      </c>
      <c r="BN188" s="228">
        <v>275</v>
      </c>
      <c r="BO188" s="228">
        <v>238</v>
      </c>
      <c r="BP188" s="229">
        <v>0.86299999999999999</v>
      </c>
      <c r="BQ188" s="230">
        <v>2824</v>
      </c>
      <c r="BR188" s="230">
        <v>1977</v>
      </c>
      <c r="BS188" s="228">
        <v>846</v>
      </c>
      <c r="BT188" s="229">
        <v>0.42799999999999999</v>
      </c>
      <c r="BU188" s="230">
        <v>26797175</v>
      </c>
      <c r="BV188" s="230">
        <v>18958128</v>
      </c>
      <c r="BW188" s="230">
        <v>7839047</v>
      </c>
      <c r="BX188" s="229">
        <v>0.41349999999999998</v>
      </c>
      <c r="BY188" s="230">
        <v>1094</v>
      </c>
      <c r="BZ188" s="230">
        <v>1154</v>
      </c>
      <c r="CA188" s="228">
        <v>-60</v>
      </c>
      <c r="CB188" s="229">
        <v>-5.1700000000000003E-2</v>
      </c>
      <c r="CC188" s="228">
        <v>453</v>
      </c>
      <c r="CD188" s="228">
        <v>820</v>
      </c>
      <c r="CE188" s="228">
        <v>-368</v>
      </c>
      <c r="CF188" s="229">
        <v>-0.44829999999999998</v>
      </c>
      <c r="CG188" s="228">
        <v>630</v>
      </c>
      <c r="CH188" s="228">
        <v>324</v>
      </c>
      <c r="CI188" s="228">
        <v>306</v>
      </c>
      <c r="CJ188" s="229">
        <v>0.94279999999999997</v>
      </c>
      <c r="CK188" s="228">
        <v>11</v>
      </c>
      <c r="CL188" s="228">
        <v>9</v>
      </c>
      <c r="CM188" s="228">
        <v>2</v>
      </c>
      <c r="CN188" s="229">
        <v>0.23180000000000001</v>
      </c>
      <c r="CO188" s="228">
        <v>285</v>
      </c>
      <c r="CP188" s="228">
        <v>265</v>
      </c>
      <c r="CQ188" s="228">
        <v>21</v>
      </c>
      <c r="CR188" s="229">
        <v>7.7600000000000002E-2</v>
      </c>
      <c r="CS188" s="228">
        <v>179</v>
      </c>
      <c r="CT188" s="228">
        <v>158</v>
      </c>
      <c r="CU188" s="228">
        <v>21</v>
      </c>
      <c r="CV188" s="229">
        <v>0.13150000000000001</v>
      </c>
      <c r="CW188" s="230">
        <v>1558</v>
      </c>
      <c r="CX188" s="230">
        <v>1577</v>
      </c>
      <c r="CY188" s="228">
        <v>-18</v>
      </c>
      <c r="CZ188" s="229">
        <v>-1.17E-2</v>
      </c>
      <c r="DA188" s="228">
        <v>45.28</v>
      </c>
      <c r="DB188" s="228">
        <v>45.03</v>
      </c>
      <c r="DC188" s="228">
        <v>0.25</v>
      </c>
      <c r="DD188" s="228">
        <v>0.25</v>
      </c>
      <c r="DE188" s="228">
        <v>44.36</v>
      </c>
      <c r="DF188" s="228">
        <v>43.95</v>
      </c>
      <c r="DG188" s="228">
        <v>0.92</v>
      </c>
      <c r="DH188" s="228">
        <v>0.41</v>
      </c>
      <c r="DI188" s="228">
        <v>46.09</v>
      </c>
      <c r="DJ188" s="228">
        <v>45.37</v>
      </c>
      <c r="DK188" s="228">
        <v>0.72</v>
      </c>
      <c r="DL188" s="228">
        <v>0.72</v>
      </c>
      <c r="DM188" s="228">
        <v>44.45</v>
      </c>
      <c r="DN188" s="228">
        <v>44.27</v>
      </c>
      <c r="DO188" s="228">
        <v>0.18</v>
      </c>
      <c r="DP188" s="228">
        <v>0.18</v>
      </c>
      <c r="DQ188" s="228">
        <v>0.63</v>
      </c>
      <c r="DR188" s="228">
        <v>0.6</v>
      </c>
      <c r="DS188" s="228">
        <v>0.03</v>
      </c>
      <c r="DT188" s="229">
        <v>0.05</v>
      </c>
      <c r="DU188" s="228">
        <v>360</v>
      </c>
      <c r="DV188" s="228">
        <v>325</v>
      </c>
      <c r="DW188" s="228">
        <v>0.79</v>
      </c>
      <c r="DX188" s="228">
        <v>0.45</v>
      </c>
      <c r="DY188" s="228">
        <v>0.34</v>
      </c>
      <c r="DZ188" s="229">
        <v>0.75560000000000005</v>
      </c>
      <c r="EA188" s="229">
        <v>0.58640000000000003</v>
      </c>
      <c r="EB188" s="230">
        <v>10431200</v>
      </c>
      <c r="EC188" s="229">
        <v>1.4E-3</v>
      </c>
      <c r="ED188" s="229">
        <v>0.58640000000000003</v>
      </c>
      <c r="EE188" s="228">
        <v>-1.1100000000000001</v>
      </c>
      <c r="EF188" s="229">
        <v>-3.3999999999999998E-3</v>
      </c>
      <c r="EG188" s="230">
        <v>12588449</v>
      </c>
      <c r="EH188" s="230">
        <v>10028015</v>
      </c>
      <c r="EI188" s="229">
        <v>0.25530000000000003</v>
      </c>
      <c r="EJ188" s="229">
        <v>0.4698</v>
      </c>
      <c r="EK188" s="228">
        <v>704.05</v>
      </c>
      <c r="EL188" s="228">
        <v>540.99</v>
      </c>
      <c r="EM188" s="231">
        <v>1704.82</v>
      </c>
      <c r="EN188" s="228">
        <v>101.45</v>
      </c>
      <c r="EO188" s="231">
        <v>2949.87</v>
      </c>
      <c r="EP188" s="231">
        <v>2085.04</v>
      </c>
      <c r="EQ188" s="228">
        <v>864.82</v>
      </c>
      <c r="ER188" s="229">
        <v>0.4148</v>
      </c>
      <c r="ES188" s="228">
        <v>325.91000000000003</v>
      </c>
      <c r="ET188" s="228">
        <v>189.21</v>
      </c>
      <c r="EU188" s="231">
        <v>1095.01</v>
      </c>
      <c r="EV188" s="231">
        <v>375529891</v>
      </c>
      <c r="EW188" s="231">
        <v>1610.13</v>
      </c>
      <c r="EX188" s="231">
        <v>1688.64</v>
      </c>
      <c r="EY188" s="228">
        <v>-78.510000000000005</v>
      </c>
      <c r="EZ188" s="229">
        <v>-4.65E-2</v>
      </c>
      <c r="FA188" s="229">
        <v>0.1298</v>
      </c>
      <c r="FB188" s="227" t="s">
        <v>568</v>
      </c>
      <c r="FC188">
        <f t="shared" si="3"/>
        <v>0</v>
      </c>
    </row>
    <row r="189" spans="1:159" ht="17.25" thickBot="1" x14ac:dyDescent="0.3">
      <c r="A189" s="226">
        <v>46044</v>
      </c>
      <c r="B189" s="227" t="s">
        <v>170</v>
      </c>
      <c r="C189" s="227" t="s">
        <v>520</v>
      </c>
      <c r="D189" s="228">
        <v>1000</v>
      </c>
      <c r="E189" s="228">
        <v>5</v>
      </c>
      <c r="F189" s="228">
        <v>591.35</v>
      </c>
      <c r="G189" s="228">
        <v>601.54999999999995</v>
      </c>
      <c r="H189" s="228">
        <v>-10.199999999999999</v>
      </c>
      <c r="I189" s="229">
        <v>-1.7000000000000001E-2</v>
      </c>
      <c r="J189" s="228">
        <v>592.6</v>
      </c>
      <c r="K189" s="228">
        <v>600.85</v>
      </c>
      <c r="L189" s="228">
        <v>-8.25</v>
      </c>
      <c r="M189" s="229">
        <v>-1.37E-2</v>
      </c>
      <c r="N189" s="228">
        <v>591.35</v>
      </c>
      <c r="O189" s="228">
        <v>601.54999999999995</v>
      </c>
      <c r="P189" s="228">
        <v>-10.199999999999999</v>
      </c>
      <c r="Q189" s="229">
        <v>-1.7000000000000001E-2</v>
      </c>
      <c r="R189" s="228">
        <v>594.25</v>
      </c>
      <c r="S189" s="228">
        <v>604.75</v>
      </c>
      <c r="T189" s="228">
        <v>-10.5</v>
      </c>
      <c r="U189" s="229">
        <v>-1.7399999999999999E-2</v>
      </c>
      <c r="V189" s="228">
        <v>598.5</v>
      </c>
      <c r="W189" s="228">
        <v>608.75</v>
      </c>
      <c r="X189" s="228">
        <v>-10.25</v>
      </c>
      <c r="Y189" s="229">
        <v>-1.6799999999999999E-2</v>
      </c>
      <c r="Z189" s="228">
        <v>-1.25</v>
      </c>
      <c r="AA189" s="228">
        <v>0.7</v>
      </c>
      <c r="AB189" s="228">
        <v>-1.95</v>
      </c>
      <c r="AC189" s="229">
        <v>-2.0999999999999999E-3</v>
      </c>
      <c r="AD189" s="228">
        <v>-1.25</v>
      </c>
      <c r="AE189" s="228">
        <v>0.7</v>
      </c>
      <c r="AF189" s="228">
        <v>-1.95</v>
      </c>
      <c r="AG189" s="229">
        <v>-2.0999999999999999E-3</v>
      </c>
      <c r="AH189" s="228">
        <v>1.65</v>
      </c>
      <c r="AI189" s="228">
        <v>3.9</v>
      </c>
      <c r="AJ189" s="228">
        <v>-2.25</v>
      </c>
      <c r="AK189" s="229">
        <v>2.8E-3</v>
      </c>
      <c r="AL189" s="228">
        <v>5.9</v>
      </c>
      <c r="AM189" s="228">
        <v>7.9</v>
      </c>
      <c r="AN189" s="228">
        <v>-2</v>
      </c>
      <c r="AO189" s="229">
        <v>0.01</v>
      </c>
      <c r="AP189" s="228">
        <v>597.58000000000004</v>
      </c>
      <c r="AQ189" s="228">
        <v>600.73</v>
      </c>
      <c r="AR189" s="228">
        <v>0</v>
      </c>
      <c r="AS189" s="228">
        <v>601</v>
      </c>
      <c r="AT189" s="228">
        <v>298</v>
      </c>
      <c r="AU189" s="228">
        <v>303</v>
      </c>
      <c r="AV189" s="229">
        <v>1.0183</v>
      </c>
      <c r="AW189" s="228">
        <v>306</v>
      </c>
      <c r="AX189" s="228">
        <v>170</v>
      </c>
      <c r="AY189" s="228">
        <v>136</v>
      </c>
      <c r="AZ189" s="229">
        <v>0.80130000000000001</v>
      </c>
      <c r="BA189" s="228">
        <v>292</v>
      </c>
      <c r="BB189" s="228">
        <v>125</v>
      </c>
      <c r="BC189" s="228">
        <v>167</v>
      </c>
      <c r="BD189" s="229">
        <v>1.3341000000000001</v>
      </c>
      <c r="BE189" s="228">
        <v>3</v>
      </c>
      <c r="BF189" s="228">
        <v>3</v>
      </c>
      <c r="BG189" s="228">
        <v>0</v>
      </c>
      <c r="BH189" s="229">
        <v>2.1700000000000001E-2</v>
      </c>
      <c r="BI189" s="228">
        <v>374</v>
      </c>
      <c r="BJ189" s="228">
        <v>252</v>
      </c>
      <c r="BK189" s="228">
        <v>122</v>
      </c>
      <c r="BL189" s="229">
        <v>0.48299999999999998</v>
      </c>
      <c r="BM189" s="228">
        <v>451</v>
      </c>
      <c r="BN189" s="228">
        <v>149</v>
      </c>
      <c r="BO189" s="228">
        <v>302</v>
      </c>
      <c r="BP189" s="229">
        <v>2.0270000000000001</v>
      </c>
      <c r="BQ189" s="230">
        <v>1427</v>
      </c>
      <c r="BR189" s="228">
        <v>699</v>
      </c>
      <c r="BS189" s="228">
        <v>727</v>
      </c>
      <c r="BT189" s="229">
        <v>1.0403</v>
      </c>
      <c r="BU189" s="230">
        <v>996391</v>
      </c>
      <c r="BV189" s="230">
        <v>597683</v>
      </c>
      <c r="BW189" s="230">
        <v>398708</v>
      </c>
      <c r="BX189" s="229">
        <v>0.66710000000000003</v>
      </c>
      <c r="BY189" s="228">
        <v>512</v>
      </c>
      <c r="BZ189" s="228">
        <v>487</v>
      </c>
      <c r="CA189" s="228">
        <v>26</v>
      </c>
      <c r="CB189" s="229">
        <v>5.2699999999999997E-2</v>
      </c>
      <c r="CC189" s="228">
        <v>202</v>
      </c>
      <c r="CD189" s="228">
        <v>362</v>
      </c>
      <c r="CE189" s="228">
        <v>-160</v>
      </c>
      <c r="CF189" s="229">
        <v>-0.44259999999999999</v>
      </c>
      <c r="CG189" s="228">
        <v>302</v>
      </c>
      <c r="CH189" s="228">
        <v>117</v>
      </c>
      <c r="CI189" s="228">
        <v>185</v>
      </c>
      <c r="CJ189" s="229">
        <v>1.5769</v>
      </c>
      <c r="CK189" s="228">
        <v>8</v>
      </c>
      <c r="CL189" s="228">
        <v>7</v>
      </c>
      <c r="CM189" s="228">
        <v>1</v>
      </c>
      <c r="CN189" s="229">
        <v>0.16950000000000001</v>
      </c>
      <c r="CO189" s="228">
        <v>348</v>
      </c>
      <c r="CP189" s="228">
        <v>367</v>
      </c>
      <c r="CQ189" s="228">
        <v>-19</v>
      </c>
      <c r="CR189" s="229">
        <v>-5.1999999999999998E-2</v>
      </c>
      <c r="CS189" s="228">
        <v>231</v>
      </c>
      <c r="CT189" s="228">
        <v>206</v>
      </c>
      <c r="CU189" s="228">
        <v>25</v>
      </c>
      <c r="CV189" s="229">
        <v>0.1221</v>
      </c>
      <c r="CW189" s="230">
        <v>1092</v>
      </c>
      <c r="CX189" s="230">
        <v>1060</v>
      </c>
      <c r="CY189" s="228">
        <v>32</v>
      </c>
      <c r="CZ189" s="229">
        <v>2.9899999999999999E-2</v>
      </c>
      <c r="DA189" s="228">
        <v>32.75</v>
      </c>
      <c r="DB189" s="228">
        <v>40.1</v>
      </c>
      <c r="DC189" s="228">
        <v>-7.35</v>
      </c>
      <c r="DD189" s="228">
        <v>-7.35</v>
      </c>
      <c r="DE189" s="228">
        <v>31.68</v>
      </c>
      <c r="DF189" s="228">
        <v>31.68</v>
      </c>
      <c r="DG189" s="228">
        <v>1.07</v>
      </c>
      <c r="DH189" s="228">
        <v>0</v>
      </c>
      <c r="DI189" s="228">
        <v>33.93</v>
      </c>
      <c r="DJ189" s="228">
        <v>41.25</v>
      </c>
      <c r="DK189" s="228">
        <v>-7.32</v>
      </c>
      <c r="DL189" s="228">
        <v>-7.32</v>
      </c>
      <c r="DM189" s="228">
        <v>32.22</v>
      </c>
      <c r="DN189" s="228">
        <v>38.15</v>
      </c>
      <c r="DO189" s="228">
        <v>-5.93</v>
      </c>
      <c r="DP189" s="228">
        <v>-5.93</v>
      </c>
      <c r="DQ189" s="228">
        <v>0.66</v>
      </c>
      <c r="DR189" s="228">
        <v>0.56000000000000005</v>
      </c>
      <c r="DS189" s="228">
        <v>0.1</v>
      </c>
      <c r="DT189" s="229">
        <v>0.17860000000000001</v>
      </c>
      <c r="DU189" s="228">
        <v>680</v>
      </c>
      <c r="DV189" s="228">
        <v>570</v>
      </c>
      <c r="DW189" s="228">
        <v>1.21</v>
      </c>
      <c r="DX189" s="228">
        <v>0.59</v>
      </c>
      <c r="DY189" s="228">
        <v>0.62</v>
      </c>
      <c r="DZ189" s="229">
        <v>1.0508</v>
      </c>
      <c r="EA189" s="229">
        <v>0.60570000000000002</v>
      </c>
      <c r="EB189" s="230">
        <v>2101000</v>
      </c>
      <c r="EC189" s="229">
        <v>4.8999999999999998E-3</v>
      </c>
      <c r="ED189" s="229">
        <v>0.60570000000000002</v>
      </c>
      <c r="EE189" s="228">
        <v>3.15</v>
      </c>
      <c r="EF189" s="229">
        <v>5.3E-3</v>
      </c>
      <c r="EG189" s="230">
        <v>519536</v>
      </c>
      <c r="EH189" s="230">
        <v>261041</v>
      </c>
      <c r="EI189" s="229">
        <v>0.99019999999999997</v>
      </c>
      <c r="EJ189" s="229">
        <v>0.52139999999999997</v>
      </c>
      <c r="EK189" s="228">
        <v>411.49</v>
      </c>
      <c r="EL189" s="228">
        <v>453.25</v>
      </c>
      <c r="EM189" s="228">
        <v>609.33000000000004</v>
      </c>
      <c r="EN189" s="228">
        <v>26.94</v>
      </c>
      <c r="EO189" s="231">
        <v>1474.07</v>
      </c>
      <c r="EP189" s="228">
        <v>731.38</v>
      </c>
      <c r="EQ189" s="228">
        <v>742.69</v>
      </c>
      <c r="ER189" s="229">
        <v>1.0155000000000001</v>
      </c>
      <c r="ES189" s="228">
        <v>392.46</v>
      </c>
      <c r="ET189" s="228">
        <v>238.2</v>
      </c>
      <c r="EU189" s="228">
        <v>513.99</v>
      </c>
      <c r="EV189" s="231">
        <v>24733183</v>
      </c>
      <c r="EW189" s="231">
        <v>1144.6400000000001</v>
      </c>
      <c r="EX189" s="231">
        <v>1130.82</v>
      </c>
      <c r="EY189" s="228">
        <v>13.82</v>
      </c>
      <c r="EZ189" s="229">
        <v>1.2200000000000001E-2</v>
      </c>
      <c r="FA189" s="229">
        <v>0.74639999999999995</v>
      </c>
      <c r="FB189" s="227" t="s">
        <v>567</v>
      </c>
      <c r="FC189">
        <f t="shared" si="3"/>
        <v>0</v>
      </c>
    </row>
    <row r="190" spans="1:159" ht="17.25" thickBot="1" x14ac:dyDescent="0.3">
      <c r="A190" s="226">
        <v>46044</v>
      </c>
      <c r="B190" s="227" t="s">
        <v>168</v>
      </c>
      <c r="C190" s="227" t="s">
        <v>291</v>
      </c>
      <c r="D190" s="228">
        <v>550</v>
      </c>
      <c r="E190" s="228">
        <v>5</v>
      </c>
      <c r="F190" s="231">
        <v>1177.8</v>
      </c>
      <c r="G190" s="231">
        <v>1164.5999999999999</v>
      </c>
      <c r="H190" s="228">
        <v>13.2</v>
      </c>
      <c r="I190" s="229">
        <v>1.1299999999999999E-2</v>
      </c>
      <c r="J190" s="231">
        <v>1175.2</v>
      </c>
      <c r="K190" s="231">
        <v>1163.5999999999999</v>
      </c>
      <c r="L190" s="228">
        <v>11.6</v>
      </c>
      <c r="M190" s="229">
        <v>0.01</v>
      </c>
      <c r="N190" s="231">
        <v>1177.8</v>
      </c>
      <c r="O190" s="231">
        <v>1164.5999999999999</v>
      </c>
      <c r="P190" s="228">
        <v>13.2</v>
      </c>
      <c r="Q190" s="229">
        <v>1.1299999999999999E-2</v>
      </c>
      <c r="R190" s="231">
        <v>1183.8</v>
      </c>
      <c r="S190" s="231">
        <v>1170.9000000000001</v>
      </c>
      <c r="T190" s="228">
        <v>12.9</v>
      </c>
      <c r="U190" s="229">
        <v>1.0999999999999999E-2</v>
      </c>
      <c r="V190" s="231">
        <v>1194.3</v>
      </c>
      <c r="W190" s="231">
        <v>1177.5999999999999</v>
      </c>
      <c r="X190" s="228">
        <v>16.7</v>
      </c>
      <c r="Y190" s="229">
        <v>1.4200000000000001E-2</v>
      </c>
      <c r="Z190" s="228">
        <v>2.6</v>
      </c>
      <c r="AA190" s="228">
        <v>1</v>
      </c>
      <c r="AB190" s="228">
        <v>1.6</v>
      </c>
      <c r="AC190" s="229">
        <v>2.2000000000000001E-3</v>
      </c>
      <c r="AD190" s="228">
        <v>2.6</v>
      </c>
      <c r="AE190" s="228">
        <v>1</v>
      </c>
      <c r="AF190" s="228">
        <v>1.6</v>
      </c>
      <c r="AG190" s="229">
        <v>2.2000000000000001E-3</v>
      </c>
      <c r="AH190" s="228">
        <v>8.6</v>
      </c>
      <c r="AI190" s="228">
        <v>7.3</v>
      </c>
      <c r="AJ190" s="228">
        <v>1.3</v>
      </c>
      <c r="AK190" s="229">
        <v>7.3000000000000001E-3</v>
      </c>
      <c r="AL190" s="228">
        <v>19.100000000000001</v>
      </c>
      <c r="AM190" s="228">
        <v>14</v>
      </c>
      <c r="AN190" s="228">
        <v>5.0999999999999996</v>
      </c>
      <c r="AO190" s="229">
        <v>1.6299999999999999E-2</v>
      </c>
      <c r="AP190" s="231">
        <v>1179.76</v>
      </c>
      <c r="AQ190" s="231">
        <v>1186</v>
      </c>
      <c r="AR190" s="228">
        <v>0</v>
      </c>
      <c r="AS190" s="230">
        <v>1174</v>
      </c>
      <c r="AT190" s="228">
        <v>905</v>
      </c>
      <c r="AU190" s="228">
        <v>269</v>
      </c>
      <c r="AV190" s="229">
        <v>0.29709999999999998</v>
      </c>
      <c r="AW190" s="228">
        <v>568</v>
      </c>
      <c r="AX190" s="228">
        <v>477</v>
      </c>
      <c r="AY190" s="228">
        <v>91</v>
      </c>
      <c r="AZ190" s="229">
        <v>0.18990000000000001</v>
      </c>
      <c r="BA190" s="228">
        <v>602</v>
      </c>
      <c r="BB190" s="228">
        <v>425</v>
      </c>
      <c r="BC190" s="228">
        <v>177</v>
      </c>
      <c r="BD190" s="229">
        <v>0.41560000000000002</v>
      </c>
      <c r="BE190" s="228">
        <v>4</v>
      </c>
      <c r="BF190" s="228">
        <v>3</v>
      </c>
      <c r="BG190" s="228">
        <v>2</v>
      </c>
      <c r="BH190" s="229">
        <v>0.61539999999999995</v>
      </c>
      <c r="BI190" s="228">
        <v>698</v>
      </c>
      <c r="BJ190" s="228">
        <v>909</v>
      </c>
      <c r="BK190" s="228">
        <v>-210</v>
      </c>
      <c r="BL190" s="229">
        <v>-0.23150000000000001</v>
      </c>
      <c r="BM190" s="228">
        <v>432</v>
      </c>
      <c r="BN190" s="228">
        <v>427</v>
      </c>
      <c r="BO190" s="228">
        <v>6</v>
      </c>
      <c r="BP190" s="229">
        <v>1.32E-2</v>
      </c>
      <c r="BQ190" s="230">
        <v>2305</v>
      </c>
      <c r="BR190" s="230">
        <v>2241</v>
      </c>
      <c r="BS190" s="228">
        <v>64</v>
      </c>
      <c r="BT190" s="229">
        <v>2.87E-2</v>
      </c>
      <c r="BU190" s="230">
        <v>1507585</v>
      </c>
      <c r="BV190" s="230">
        <v>981893</v>
      </c>
      <c r="BW190" s="230">
        <v>525692</v>
      </c>
      <c r="BX190" s="229">
        <v>0.53539999999999999</v>
      </c>
      <c r="BY190" s="230">
        <v>1363</v>
      </c>
      <c r="BZ190" s="230">
        <v>1368</v>
      </c>
      <c r="CA190" s="228">
        <v>-5</v>
      </c>
      <c r="CB190" s="229">
        <v>-3.7000000000000002E-3</v>
      </c>
      <c r="CC190" s="228">
        <v>453</v>
      </c>
      <c r="CD190" s="228">
        <v>917</v>
      </c>
      <c r="CE190" s="228">
        <v>-465</v>
      </c>
      <c r="CF190" s="229">
        <v>-0.50639999999999996</v>
      </c>
      <c r="CG190" s="228">
        <v>896</v>
      </c>
      <c r="CH190" s="228">
        <v>439</v>
      </c>
      <c r="CI190" s="228">
        <v>457</v>
      </c>
      <c r="CJ190" s="229">
        <v>1.0412999999999999</v>
      </c>
      <c r="CK190" s="228">
        <v>14</v>
      </c>
      <c r="CL190" s="228">
        <v>11</v>
      </c>
      <c r="CM190" s="228">
        <v>2</v>
      </c>
      <c r="CN190" s="229">
        <v>0.21260000000000001</v>
      </c>
      <c r="CO190" s="228">
        <v>474</v>
      </c>
      <c r="CP190" s="228">
        <v>528</v>
      </c>
      <c r="CQ190" s="228">
        <v>-54</v>
      </c>
      <c r="CR190" s="229">
        <v>-0.1024</v>
      </c>
      <c r="CS190" s="228">
        <v>341</v>
      </c>
      <c r="CT190" s="228">
        <v>362</v>
      </c>
      <c r="CU190" s="228">
        <v>-21</v>
      </c>
      <c r="CV190" s="229">
        <v>-5.6899999999999999E-2</v>
      </c>
      <c r="CW190" s="230">
        <v>2178</v>
      </c>
      <c r="CX190" s="230">
        <v>2258</v>
      </c>
      <c r="CY190" s="228">
        <v>-80</v>
      </c>
      <c r="CZ190" s="229">
        <v>-3.5299999999999998E-2</v>
      </c>
      <c r="DA190" s="228">
        <v>26.26</v>
      </c>
      <c r="DB190" s="228">
        <v>23.5</v>
      </c>
      <c r="DC190" s="228">
        <v>2.76</v>
      </c>
      <c r="DD190" s="228">
        <v>2.76</v>
      </c>
      <c r="DE190" s="228">
        <v>25.61</v>
      </c>
      <c r="DF190" s="228">
        <v>25.64</v>
      </c>
      <c r="DG190" s="228">
        <v>0.65</v>
      </c>
      <c r="DH190" s="228">
        <v>-0.03</v>
      </c>
      <c r="DI190" s="228">
        <v>26.21</v>
      </c>
      <c r="DJ190" s="228">
        <v>23.83</v>
      </c>
      <c r="DK190" s="228">
        <v>2.38</v>
      </c>
      <c r="DL190" s="228">
        <v>2.38</v>
      </c>
      <c r="DM190" s="228">
        <v>26.34</v>
      </c>
      <c r="DN190" s="228">
        <v>22.81</v>
      </c>
      <c r="DO190" s="228">
        <v>3.53</v>
      </c>
      <c r="DP190" s="228">
        <v>3.53</v>
      </c>
      <c r="DQ190" s="228">
        <v>0.72</v>
      </c>
      <c r="DR190" s="228">
        <v>0.69</v>
      </c>
      <c r="DS190" s="228">
        <v>0.03</v>
      </c>
      <c r="DT190" s="229">
        <v>4.3499999999999997E-2</v>
      </c>
      <c r="DU190" s="231">
        <v>1220</v>
      </c>
      <c r="DV190" s="231">
        <v>1080</v>
      </c>
      <c r="DW190" s="228">
        <v>0.62</v>
      </c>
      <c r="DX190" s="228">
        <v>0.47</v>
      </c>
      <c r="DY190" s="228">
        <v>0.15</v>
      </c>
      <c r="DZ190" s="229">
        <v>0.31909999999999999</v>
      </c>
      <c r="EA190" s="229">
        <v>0.66769999999999996</v>
      </c>
      <c r="EB190" s="230">
        <v>3823050</v>
      </c>
      <c r="EC190" s="229">
        <v>5.1000000000000004E-3</v>
      </c>
      <c r="ED190" s="229">
        <v>0.66769999999999996</v>
      </c>
      <c r="EE190" s="228">
        <v>6.24</v>
      </c>
      <c r="EF190" s="229">
        <v>5.3E-3</v>
      </c>
      <c r="EG190" s="230">
        <v>956398</v>
      </c>
      <c r="EH190" s="230">
        <v>456212</v>
      </c>
      <c r="EI190" s="229">
        <v>1.0964</v>
      </c>
      <c r="EJ190" s="229">
        <v>0.63439999999999996</v>
      </c>
      <c r="EK190" s="228">
        <v>721.63</v>
      </c>
      <c r="EL190" s="228">
        <v>428.63</v>
      </c>
      <c r="EM190" s="231">
        <v>1179.17</v>
      </c>
      <c r="EN190" s="228">
        <v>68.510000000000005</v>
      </c>
      <c r="EO190" s="231">
        <v>2329.4299999999998</v>
      </c>
      <c r="EP190" s="231">
        <v>2263.59</v>
      </c>
      <c r="EQ190" s="228">
        <v>65.849999999999994</v>
      </c>
      <c r="ER190" s="229">
        <v>2.9100000000000001E-2</v>
      </c>
      <c r="ES190" s="228">
        <v>499.84</v>
      </c>
      <c r="ET190" s="228">
        <v>324.27</v>
      </c>
      <c r="EU190" s="231">
        <v>1367.38</v>
      </c>
      <c r="EV190" s="231">
        <v>65472326</v>
      </c>
      <c r="EW190" s="231">
        <v>2191.4899999999998</v>
      </c>
      <c r="EX190" s="231">
        <v>2253.73</v>
      </c>
      <c r="EY190" s="228">
        <v>-62.24</v>
      </c>
      <c r="EZ190" s="229">
        <v>-2.76E-2</v>
      </c>
      <c r="FA190" s="229">
        <v>0.28239999999999998</v>
      </c>
      <c r="FB190" s="227" t="s">
        <v>556</v>
      </c>
      <c r="FC190">
        <f t="shared" si="3"/>
        <v>0</v>
      </c>
    </row>
    <row r="191" spans="1:159" ht="17.25" thickBot="1" x14ac:dyDescent="0.3">
      <c r="A191" s="226">
        <v>46044</v>
      </c>
      <c r="B191" s="227" t="s">
        <v>221</v>
      </c>
      <c r="C191" s="227" t="s">
        <v>604</v>
      </c>
      <c r="D191" s="228">
        <v>100</v>
      </c>
      <c r="E191" s="228">
        <v>5</v>
      </c>
      <c r="F191" s="231">
        <v>5462</v>
      </c>
      <c r="G191" s="231">
        <v>5342</v>
      </c>
      <c r="H191" s="228">
        <v>120</v>
      </c>
      <c r="I191" s="229">
        <v>2.2499999999999999E-2</v>
      </c>
      <c r="J191" s="231">
        <v>5464</v>
      </c>
      <c r="K191" s="231">
        <v>5347.5</v>
      </c>
      <c r="L191" s="228">
        <v>116.5</v>
      </c>
      <c r="M191" s="229">
        <v>2.18E-2</v>
      </c>
      <c r="N191" s="231">
        <v>5462</v>
      </c>
      <c r="O191" s="231">
        <v>5342</v>
      </c>
      <c r="P191" s="228">
        <v>120</v>
      </c>
      <c r="Q191" s="229">
        <v>2.2499999999999999E-2</v>
      </c>
      <c r="R191" s="231">
        <v>5488</v>
      </c>
      <c r="S191" s="231">
        <v>5366.5</v>
      </c>
      <c r="T191" s="228">
        <v>121.5</v>
      </c>
      <c r="U191" s="229">
        <v>2.2599999999999999E-2</v>
      </c>
      <c r="V191" s="231">
        <v>5505.5</v>
      </c>
      <c r="W191" s="231">
        <v>5383.5</v>
      </c>
      <c r="X191" s="228">
        <v>122</v>
      </c>
      <c r="Y191" s="229">
        <v>2.2700000000000001E-2</v>
      </c>
      <c r="Z191" s="228">
        <v>-2</v>
      </c>
      <c r="AA191" s="228">
        <v>-5.5</v>
      </c>
      <c r="AB191" s="228">
        <v>3.5</v>
      </c>
      <c r="AC191" s="229">
        <v>-4.0000000000000002E-4</v>
      </c>
      <c r="AD191" s="228">
        <v>-2</v>
      </c>
      <c r="AE191" s="228">
        <v>-5.5</v>
      </c>
      <c r="AF191" s="228">
        <v>3.5</v>
      </c>
      <c r="AG191" s="229">
        <v>-4.0000000000000002E-4</v>
      </c>
      <c r="AH191" s="228">
        <v>24</v>
      </c>
      <c r="AI191" s="228">
        <v>19</v>
      </c>
      <c r="AJ191" s="228">
        <v>5</v>
      </c>
      <c r="AK191" s="229">
        <v>4.4000000000000003E-3</v>
      </c>
      <c r="AL191" s="228">
        <v>41.5</v>
      </c>
      <c r="AM191" s="228">
        <v>36</v>
      </c>
      <c r="AN191" s="228">
        <v>5.5</v>
      </c>
      <c r="AO191" s="229">
        <v>7.6E-3</v>
      </c>
      <c r="AP191" s="231">
        <v>5441.48</v>
      </c>
      <c r="AQ191" s="231">
        <v>5463.26</v>
      </c>
      <c r="AR191" s="228">
        <v>0</v>
      </c>
      <c r="AS191" s="228">
        <v>849</v>
      </c>
      <c r="AT191" s="228">
        <v>672</v>
      </c>
      <c r="AU191" s="228">
        <v>177</v>
      </c>
      <c r="AV191" s="229">
        <v>0.26340000000000002</v>
      </c>
      <c r="AW191" s="228">
        <v>463</v>
      </c>
      <c r="AX191" s="228">
        <v>399</v>
      </c>
      <c r="AY191" s="228">
        <v>64</v>
      </c>
      <c r="AZ191" s="229">
        <v>0.16070000000000001</v>
      </c>
      <c r="BA191" s="228">
        <v>384</v>
      </c>
      <c r="BB191" s="228">
        <v>270</v>
      </c>
      <c r="BC191" s="228">
        <v>113</v>
      </c>
      <c r="BD191" s="229">
        <v>0.41959999999999997</v>
      </c>
      <c r="BE191" s="228">
        <v>1</v>
      </c>
      <c r="BF191" s="228">
        <v>2</v>
      </c>
      <c r="BG191" s="228">
        <v>-1</v>
      </c>
      <c r="BH191" s="229">
        <v>-0.30769999999999997</v>
      </c>
      <c r="BI191" s="230">
        <v>2274</v>
      </c>
      <c r="BJ191" s="230">
        <v>1858</v>
      </c>
      <c r="BK191" s="228">
        <v>416</v>
      </c>
      <c r="BL191" s="229">
        <v>0.22420000000000001</v>
      </c>
      <c r="BM191" s="230">
        <v>1082</v>
      </c>
      <c r="BN191" s="230">
        <v>1118</v>
      </c>
      <c r="BO191" s="228">
        <v>-36</v>
      </c>
      <c r="BP191" s="229">
        <v>-3.2099999999999997E-2</v>
      </c>
      <c r="BQ191" s="230">
        <v>4205</v>
      </c>
      <c r="BR191" s="230">
        <v>3647</v>
      </c>
      <c r="BS191" s="228">
        <v>557</v>
      </c>
      <c r="BT191" s="229">
        <v>0.15279999999999999</v>
      </c>
      <c r="BU191" s="230">
        <v>387033</v>
      </c>
      <c r="BV191" s="230">
        <v>415912</v>
      </c>
      <c r="BW191" s="230">
        <v>-28879</v>
      </c>
      <c r="BX191" s="229">
        <v>-6.9400000000000003E-2</v>
      </c>
      <c r="BY191" s="228">
        <v>779</v>
      </c>
      <c r="BZ191" s="228">
        <v>815</v>
      </c>
      <c r="CA191" s="228">
        <v>-37</v>
      </c>
      <c r="CB191" s="229">
        <v>-4.48E-2</v>
      </c>
      <c r="CC191" s="228">
        <v>328</v>
      </c>
      <c r="CD191" s="228">
        <v>580</v>
      </c>
      <c r="CE191" s="228">
        <v>-252</v>
      </c>
      <c r="CF191" s="229">
        <v>-0.43419999999999997</v>
      </c>
      <c r="CG191" s="228">
        <v>443</v>
      </c>
      <c r="CH191" s="228">
        <v>228</v>
      </c>
      <c r="CI191" s="228">
        <v>215</v>
      </c>
      <c r="CJ191" s="229">
        <v>0.94020000000000004</v>
      </c>
      <c r="CK191" s="228">
        <v>8</v>
      </c>
      <c r="CL191" s="228">
        <v>7</v>
      </c>
      <c r="CM191" s="228">
        <v>0</v>
      </c>
      <c r="CN191" s="229">
        <v>5.9700000000000003E-2</v>
      </c>
      <c r="CO191" s="230">
        <v>1012</v>
      </c>
      <c r="CP191" s="230">
        <v>1124</v>
      </c>
      <c r="CQ191" s="228">
        <v>-112</v>
      </c>
      <c r="CR191" s="229">
        <v>-9.9599999999999994E-2</v>
      </c>
      <c r="CS191" s="228">
        <v>539</v>
      </c>
      <c r="CT191" s="228">
        <v>609</v>
      </c>
      <c r="CU191" s="228">
        <v>-69</v>
      </c>
      <c r="CV191" s="229">
        <v>-0.1142</v>
      </c>
      <c r="CW191" s="230">
        <v>2330</v>
      </c>
      <c r="CX191" s="230">
        <v>2548</v>
      </c>
      <c r="CY191" s="228">
        <v>-218</v>
      </c>
      <c r="CZ191" s="229">
        <v>-8.5599999999999996E-2</v>
      </c>
      <c r="DA191" s="228">
        <v>31.17</v>
      </c>
      <c r="DB191" s="228">
        <v>29.76</v>
      </c>
      <c r="DC191" s="228">
        <v>1.41</v>
      </c>
      <c r="DD191" s="228">
        <v>1.41</v>
      </c>
      <c r="DE191" s="228">
        <v>38.020000000000003</v>
      </c>
      <c r="DF191" s="228">
        <v>37.99</v>
      </c>
      <c r="DG191" s="228">
        <v>-6.85</v>
      </c>
      <c r="DH191" s="228">
        <v>0.03</v>
      </c>
      <c r="DI191" s="228">
        <v>30.7</v>
      </c>
      <c r="DJ191" s="228">
        <v>31.92</v>
      </c>
      <c r="DK191" s="228">
        <v>-1.22</v>
      </c>
      <c r="DL191" s="228">
        <v>-1.22</v>
      </c>
      <c r="DM191" s="228">
        <v>31.87</v>
      </c>
      <c r="DN191" s="228">
        <v>26.17</v>
      </c>
      <c r="DO191" s="228">
        <v>5.7</v>
      </c>
      <c r="DP191" s="228">
        <v>5.7</v>
      </c>
      <c r="DQ191" s="228">
        <v>0.53</v>
      </c>
      <c r="DR191" s="228">
        <v>0.54</v>
      </c>
      <c r="DS191" s="228">
        <v>-0.01</v>
      </c>
      <c r="DT191" s="229">
        <v>-1.8499999999999999E-2</v>
      </c>
      <c r="DU191" s="231">
        <v>5800</v>
      </c>
      <c r="DV191" s="231">
        <v>5300</v>
      </c>
      <c r="DW191" s="228">
        <v>0.48</v>
      </c>
      <c r="DX191" s="228">
        <v>0.6</v>
      </c>
      <c r="DY191" s="228">
        <v>-0.12</v>
      </c>
      <c r="DZ191" s="229">
        <v>-0.2</v>
      </c>
      <c r="EA191" s="229">
        <v>0.57889999999999997</v>
      </c>
      <c r="EB191" s="230">
        <v>431400</v>
      </c>
      <c r="EC191" s="229">
        <v>4.7999999999999996E-3</v>
      </c>
      <c r="ED191" s="229">
        <v>0.57889999999999997</v>
      </c>
      <c r="EE191" s="228">
        <v>21.78</v>
      </c>
      <c r="EF191" s="229">
        <v>4.0000000000000001E-3</v>
      </c>
      <c r="EG191" s="230">
        <v>145463</v>
      </c>
      <c r="EH191" s="230">
        <v>148745</v>
      </c>
      <c r="EI191" s="229">
        <v>-2.2100000000000002E-2</v>
      </c>
      <c r="EJ191" s="229">
        <v>0.37580000000000002</v>
      </c>
      <c r="EK191" s="231">
        <v>2367.9</v>
      </c>
      <c r="EL191" s="231">
        <v>1061.1300000000001</v>
      </c>
      <c r="EM191" s="228">
        <v>846.88</v>
      </c>
      <c r="EN191" s="228">
        <v>79.92</v>
      </c>
      <c r="EO191" s="231">
        <v>4275.91</v>
      </c>
      <c r="EP191" s="231">
        <v>3671.12</v>
      </c>
      <c r="EQ191" s="228">
        <v>604.79</v>
      </c>
      <c r="ER191" s="229">
        <v>0.16470000000000001</v>
      </c>
      <c r="ES191" s="231">
        <v>1084.8499999999999</v>
      </c>
      <c r="ET191" s="228">
        <v>531.6</v>
      </c>
      <c r="EU191" s="228">
        <v>780.78</v>
      </c>
      <c r="EV191" s="231">
        <v>5241546</v>
      </c>
      <c r="EW191" s="231">
        <v>2397.23</v>
      </c>
      <c r="EX191" s="231">
        <v>2599.19</v>
      </c>
      <c r="EY191" s="228">
        <v>-201.96</v>
      </c>
      <c r="EZ191" s="229">
        <v>-7.7700000000000005E-2</v>
      </c>
      <c r="FA191" s="229">
        <v>0.81389999999999996</v>
      </c>
      <c r="FB191" s="227" t="s">
        <v>556</v>
      </c>
      <c r="FC191">
        <f t="shared" si="3"/>
        <v>0</v>
      </c>
    </row>
    <row r="192" spans="1:159" ht="17.25" thickBot="1" x14ac:dyDescent="0.3">
      <c r="A192" s="226">
        <v>46044</v>
      </c>
      <c r="B192" s="227" t="s">
        <v>161</v>
      </c>
      <c r="C192" s="227" t="s">
        <v>293</v>
      </c>
      <c r="D192" s="228">
        <v>1450</v>
      </c>
      <c r="E192" s="228">
        <v>5</v>
      </c>
      <c r="F192" s="228">
        <v>353.5</v>
      </c>
      <c r="G192" s="228">
        <v>350.15</v>
      </c>
      <c r="H192" s="228">
        <v>3.35</v>
      </c>
      <c r="I192" s="229">
        <v>9.5999999999999992E-3</v>
      </c>
      <c r="J192" s="228">
        <v>353.3</v>
      </c>
      <c r="K192" s="228">
        <v>349.35</v>
      </c>
      <c r="L192" s="228">
        <v>3.95</v>
      </c>
      <c r="M192" s="229">
        <v>1.1299999999999999E-2</v>
      </c>
      <c r="N192" s="228">
        <v>353.5</v>
      </c>
      <c r="O192" s="228">
        <v>350.15</v>
      </c>
      <c r="P192" s="228">
        <v>3.35</v>
      </c>
      <c r="Q192" s="229">
        <v>9.5999999999999992E-3</v>
      </c>
      <c r="R192" s="228">
        <v>355.3</v>
      </c>
      <c r="S192" s="228">
        <v>351.75</v>
      </c>
      <c r="T192" s="228">
        <v>3.55</v>
      </c>
      <c r="U192" s="229">
        <v>1.01E-2</v>
      </c>
      <c r="V192" s="228">
        <v>357.65</v>
      </c>
      <c r="W192" s="228">
        <v>354.2</v>
      </c>
      <c r="X192" s="228">
        <v>3.45</v>
      </c>
      <c r="Y192" s="229">
        <v>9.7000000000000003E-3</v>
      </c>
      <c r="Z192" s="228">
        <v>0.2</v>
      </c>
      <c r="AA192" s="228">
        <v>0.8</v>
      </c>
      <c r="AB192" s="228">
        <v>-0.6</v>
      </c>
      <c r="AC192" s="229">
        <v>5.9999999999999995E-4</v>
      </c>
      <c r="AD192" s="228">
        <v>0.2</v>
      </c>
      <c r="AE192" s="228">
        <v>0.8</v>
      </c>
      <c r="AF192" s="228">
        <v>-0.6</v>
      </c>
      <c r="AG192" s="229">
        <v>5.9999999999999995E-4</v>
      </c>
      <c r="AH192" s="228">
        <v>2</v>
      </c>
      <c r="AI192" s="228">
        <v>2.4</v>
      </c>
      <c r="AJ192" s="228">
        <v>-0.4</v>
      </c>
      <c r="AK192" s="229">
        <v>5.7000000000000002E-3</v>
      </c>
      <c r="AL192" s="228">
        <v>4.3499999999999996</v>
      </c>
      <c r="AM192" s="228">
        <v>4.8499999999999996</v>
      </c>
      <c r="AN192" s="228">
        <v>-0.5</v>
      </c>
      <c r="AO192" s="229">
        <v>1.23E-2</v>
      </c>
      <c r="AP192" s="228">
        <v>352.29</v>
      </c>
      <c r="AQ192" s="228">
        <v>354.01</v>
      </c>
      <c r="AR192" s="228">
        <v>0</v>
      </c>
      <c r="AS192" s="230">
        <v>1246</v>
      </c>
      <c r="AT192" s="230">
        <v>1088</v>
      </c>
      <c r="AU192" s="228">
        <v>159</v>
      </c>
      <c r="AV192" s="229">
        <v>0.14599999999999999</v>
      </c>
      <c r="AW192" s="228">
        <v>632</v>
      </c>
      <c r="AX192" s="228">
        <v>579</v>
      </c>
      <c r="AY192" s="228">
        <v>53</v>
      </c>
      <c r="AZ192" s="229">
        <v>9.1499999999999998E-2</v>
      </c>
      <c r="BA192" s="228">
        <v>607</v>
      </c>
      <c r="BB192" s="228">
        <v>498</v>
      </c>
      <c r="BC192" s="228">
        <v>110</v>
      </c>
      <c r="BD192" s="229">
        <v>0.2205</v>
      </c>
      <c r="BE192" s="228">
        <v>7</v>
      </c>
      <c r="BF192" s="228">
        <v>11</v>
      </c>
      <c r="BG192" s="228">
        <v>-4</v>
      </c>
      <c r="BH192" s="229">
        <v>-0.34089999999999998</v>
      </c>
      <c r="BI192" s="230">
        <v>1265</v>
      </c>
      <c r="BJ192" s="230">
        <v>1546</v>
      </c>
      <c r="BK192" s="228">
        <v>-281</v>
      </c>
      <c r="BL192" s="229">
        <v>-0.18160000000000001</v>
      </c>
      <c r="BM192" s="228">
        <v>715</v>
      </c>
      <c r="BN192" s="228">
        <v>894</v>
      </c>
      <c r="BO192" s="228">
        <v>-180</v>
      </c>
      <c r="BP192" s="229">
        <v>-0.20080000000000001</v>
      </c>
      <c r="BQ192" s="230">
        <v>3226</v>
      </c>
      <c r="BR192" s="230">
        <v>3528</v>
      </c>
      <c r="BS192" s="228">
        <v>-302</v>
      </c>
      <c r="BT192" s="229">
        <v>-8.5500000000000007E-2</v>
      </c>
      <c r="BU192" s="230">
        <v>4102043</v>
      </c>
      <c r="BV192" s="230">
        <v>4727012</v>
      </c>
      <c r="BW192" s="230">
        <v>-624969</v>
      </c>
      <c r="BX192" s="229">
        <v>-0.13220000000000001</v>
      </c>
      <c r="BY192" s="230">
        <v>2168</v>
      </c>
      <c r="BZ192" s="230">
        <v>2087</v>
      </c>
      <c r="CA192" s="228">
        <v>81</v>
      </c>
      <c r="CB192" s="229">
        <v>3.8800000000000001E-2</v>
      </c>
      <c r="CC192" s="230">
        <v>1161</v>
      </c>
      <c r="CD192" s="230">
        <v>1507</v>
      </c>
      <c r="CE192" s="228">
        <v>-346</v>
      </c>
      <c r="CF192" s="229">
        <v>-0.2298</v>
      </c>
      <c r="CG192" s="228">
        <v>972</v>
      </c>
      <c r="CH192" s="228">
        <v>549</v>
      </c>
      <c r="CI192" s="228">
        <v>423</v>
      </c>
      <c r="CJ192" s="229">
        <v>0.77049999999999996</v>
      </c>
      <c r="CK192" s="228">
        <v>35</v>
      </c>
      <c r="CL192" s="228">
        <v>31</v>
      </c>
      <c r="CM192" s="228">
        <v>4</v>
      </c>
      <c r="CN192" s="229">
        <v>0.13339999999999999</v>
      </c>
      <c r="CO192" s="230">
        <v>1427</v>
      </c>
      <c r="CP192" s="230">
        <v>1432</v>
      </c>
      <c r="CQ192" s="228">
        <v>-4</v>
      </c>
      <c r="CR192" s="229">
        <v>-3.0999999999999999E-3</v>
      </c>
      <c r="CS192" s="230">
        <v>1147</v>
      </c>
      <c r="CT192" s="230">
        <v>1086</v>
      </c>
      <c r="CU192" s="228">
        <v>61</v>
      </c>
      <c r="CV192" s="229">
        <v>5.6399999999999999E-2</v>
      </c>
      <c r="CW192" s="230">
        <v>4742</v>
      </c>
      <c r="CX192" s="230">
        <v>4605</v>
      </c>
      <c r="CY192" s="228">
        <v>138</v>
      </c>
      <c r="CZ192" s="229">
        <v>2.9899999999999999E-2</v>
      </c>
      <c r="DA192" s="228">
        <v>26.44</v>
      </c>
      <c r="DB192" s="228">
        <v>25.25</v>
      </c>
      <c r="DC192" s="228">
        <v>1.19</v>
      </c>
      <c r="DD192" s="228">
        <v>1.19</v>
      </c>
      <c r="DE192" s="228">
        <v>30.88</v>
      </c>
      <c r="DF192" s="228">
        <v>30.93</v>
      </c>
      <c r="DG192" s="228">
        <v>-4.4400000000000004</v>
      </c>
      <c r="DH192" s="228">
        <v>-0.05</v>
      </c>
      <c r="DI192" s="228">
        <v>26.4</v>
      </c>
      <c r="DJ192" s="228">
        <v>26.06</v>
      </c>
      <c r="DK192" s="228">
        <v>0.34</v>
      </c>
      <c r="DL192" s="228">
        <v>0.34</v>
      </c>
      <c r="DM192" s="228">
        <v>26.48</v>
      </c>
      <c r="DN192" s="228">
        <v>23.87</v>
      </c>
      <c r="DO192" s="228">
        <v>2.61</v>
      </c>
      <c r="DP192" s="228">
        <v>2.61</v>
      </c>
      <c r="DQ192" s="228">
        <v>0.8</v>
      </c>
      <c r="DR192" s="228">
        <v>0.76</v>
      </c>
      <c r="DS192" s="228">
        <v>0.04</v>
      </c>
      <c r="DT192" s="229">
        <v>5.2600000000000001E-2</v>
      </c>
      <c r="DU192" s="228">
        <v>400</v>
      </c>
      <c r="DV192" s="228">
        <v>380</v>
      </c>
      <c r="DW192" s="228">
        <v>0.56000000000000005</v>
      </c>
      <c r="DX192" s="228">
        <v>0.57999999999999996</v>
      </c>
      <c r="DY192" s="228">
        <v>-0.02</v>
      </c>
      <c r="DZ192" s="229">
        <v>-3.4500000000000003E-2</v>
      </c>
      <c r="EA192" s="229">
        <v>0.46460000000000001</v>
      </c>
      <c r="EB192" s="230">
        <v>16409650</v>
      </c>
      <c r="EC192" s="229">
        <v>5.1000000000000004E-3</v>
      </c>
      <c r="ED192" s="229">
        <v>0.46460000000000001</v>
      </c>
      <c r="EE192" s="228">
        <v>1.72</v>
      </c>
      <c r="EF192" s="229">
        <v>4.8999999999999998E-3</v>
      </c>
      <c r="EG192" s="230">
        <v>2116307</v>
      </c>
      <c r="EH192" s="230">
        <v>1871217</v>
      </c>
      <c r="EI192" s="229">
        <v>0.13100000000000001</v>
      </c>
      <c r="EJ192" s="229">
        <v>0.51590000000000003</v>
      </c>
      <c r="EK192" s="231">
        <v>1334.03</v>
      </c>
      <c r="EL192" s="228">
        <v>778.94</v>
      </c>
      <c r="EM192" s="231">
        <v>1245.1600000000001</v>
      </c>
      <c r="EN192" s="228">
        <v>93.04</v>
      </c>
      <c r="EO192" s="231">
        <v>3358.13</v>
      </c>
      <c r="EP192" s="231">
        <v>3629.94</v>
      </c>
      <c r="EQ192" s="228">
        <v>-271.81</v>
      </c>
      <c r="ER192" s="229">
        <v>-7.4899999999999994E-2</v>
      </c>
      <c r="ES192" s="231">
        <v>1549.02</v>
      </c>
      <c r="ET192" s="231">
        <v>1230.78</v>
      </c>
      <c r="EU192" s="231">
        <v>2173.09</v>
      </c>
      <c r="EV192" s="231">
        <v>202215001</v>
      </c>
      <c r="EW192" s="231">
        <v>4952.8999999999996</v>
      </c>
      <c r="EX192" s="231">
        <v>4798.3900000000003</v>
      </c>
      <c r="EY192" s="228">
        <v>154.51</v>
      </c>
      <c r="EZ192" s="229">
        <v>3.2199999999999999E-2</v>
      </c>
      <c r="FA192" s="229">
        <v>0.66339999999999999</v>
      </c>
      <c r="FB192" s="227" t="s">
        <v>555</v>
      </c>
      <c r="FC192">
        <f t="shared" si="3"/>
        <v>0</v>
      </c>
    </row>
    <row r="193" spans="1:159" ht="17.25" thickBot="1" x14ac:dyDescent="0.3">
      <c r="A193" s="226">
        <v>46044</v>
      </c>
      <c r="B193" s="227" t="s">
        <v>227</v>
      </c>
      <c r="C193" s="227" t="s">
        <v>294</v>
      </c>
      <c r="D193" s="228">
        <v>5500</v>
      </c>
      <c r="E193" s="228">
        <v>5</v>
      </c>
      <c r="F193" s="228">
        <v>189.15</v>
      </c>
      <c r="G193" s="228">
        <v>184.56</v>
      </c>
      <c r="H193" s="228">
        <v>4.59</v>
      </c>
      <c r="I193" s="229">
        <v>2.4899999999999999E-2</v>
      </c>
      <c r="J193" s="228">
        <v>189.1</v>
      </c>
      <c r="K193" s="228">
        <v>184.41</v>
      </c>
      <c r="L193" s="228">
        <v>4.6900000000000004</v>
      </c>
      <c r="M193" s="229">
        <v>2.5399999999999999E-2</v>
      </c>
      <c r="N193" s="228">
        <v>189.15</v>
      </c>
      <c r="O193" s="228">
        <v>184.56</v>
      </c>
      <c r="P193" s="228">
        <v>4.59</v>
      </c>
      <c r="Q193" s="229">
        <v>2.4899999999999999E-2</v>
      </c>
      <c r="R193" s="228">
        <v>190.16</v>
      </c>
      <c r="S193" s="228">
        <v>185.57</v>
      </c>
      <c r="T193" s="228">
        <v>4.59</v>
      </c>
      <c r="U193" s="229">
        <v>2.47E-2</v>
      </c>
      <c r="V193" s="228">
        <v>191.44</v>
      </c>
      <c r="W193" s="228">
        <v>186.85</v>
      </c>
      <c r="X193" s="228">
        <v>4.59</v>
      </c>
      <c r="Y193" s="229">
        <v>2.46E-2</v>
      </c>
      <c r="Z193" s="228">
        <v>0.05</v>
      </c>
      <c r="AA193" s="228">
        <v>0.15</v>
      </c>
      <c r="AB193" s="228">
        <v>-0.1</v>
      </c>
      <c r="AC193" s="229">
        <v>2.9999999999999997E-4</v>
      </c>
      <c r="AD193" s="228">
        <v>0.05</v>
      </c>
      <c r="AE193" s="228">
        <v>0.15</v>
      </c>
      <c r="AF193" s="228">
        <v>-0.1</v>
      </c>
      <c r="AG193" s="229">
        <v>2.9999999999999997E-4</v>
      </c>
      <c r="AH193" s="228">
        <v>1.06</v>
      </c>
      <c r="AI193" s="228">
        <v>1.1599999999999999</v>
      </c>
      <c r="AJ193" s="228">
        <v>-0.1</v>
      </c>
      <c r="AK193" s="229">
        <v>5.5999999999999999E-3</v>
      </c>
      <c r="AL193" s="228">
        <v>2.34</v>
      </c>
      <c r="AM193" s="228">
        <v>2.44</v>
      </c>
      <c r="AN193" s="228">
        <v>-0.1</v>
      </c>
      <c r="AO193" s="229">
        <v>1.24E-2</v>
      </c>
      <c r="AP193" s="228">
        <v>188.26</v>
      </c>
      <c r="AQ193" s="228">
        <v>189.25</v>
      </c>
      <c r="AR193" s="228">
        <v>0</v>
      </c>
      <c r="AS193" s="230">
        <v>3794</v>
      </c>
      <c r="AT193" s="230">
        <v>2685</v>
      </c>
      <c r="AU193" s="230">
        <v>1108</v>
      </c>
      <c r="AV193" s="229">
        <v>0.4128</v>
      </c>
      <c r="AW193" s="230">
        <v>1973</v>
      </c>
      <c r="AX193" s="230">
        <v>1462</v>
      </c>
      <c r="AY193" s="228">
        <v>511</v>
      </c>
      <c r="AZ193" s="229">
        <v>0.34960000000000002</v>
      </c>
      <c r="BA193" s="230">
        <v>1789</v>
      </c>
      <c r="BB193" s="230">
        <v>1203</v>
      </c>
      <c r="BC193" s="228">
        <v>586</v>
      </c>
      <c r="BD193" s="229">
        <v>0.48659999999999998</v>
      </c>
      <c r="BE193" s="228">
        <v>32</v>
      </c>
      <c r="BF193" s="228">
        <v>20</v>
      </c>
      <c r="BG193" s="228">
        <v>12</v>
      </c>
      <c r="BH193" s="229">
        <v>0.58460000000000001</v>
      </c>
      <c r="BI193" s="230">
        <v>6363</v>
      </c>
      <c r="BJ193" s="230">
        <v>4653</v>
      </c>
      <c r="BK193" s="230">
        <v>1710</v>
      </c>
      <c r="BL193" s="229">
        <v>0.3674</v>
      </c>
      <c r="BM193" s="230">
        <v>3626</v>
      </c>
      <c r="BN193" s="230">
        <v>2648</v>
      </c>
      <c r="BO193" s="228">
        <v>978</v>
      </c>
      <c r="BP193" s="229">
        <v>0.3695</v>
      </c>
      <c r="BQ193" s="230">
        <v>13783</v>
      </c>
      <c r="BR193" s="230">
        <v>9987</v>
      </c>
      <c r="BS193" s="230">
        <v>3796</v>
      </c>
      <c r="BT193" s="229">
        <v>0.38009999999999999</v>
      </c>
      <c r="BU193" s="230">
        <v>38505626</v>
      </c>
      <c r="BV193" s="230">
        <v>36158045</v>
      </c>
      <c r="BW193" s="230">
        <v>2347581</v>
      </c>
      <c r="BX193" s="229">
        <v>6.4899999999999999E-2</v>
      </c>
      <c r="BY193" s="230">
        <v>5079</v>
      </c>
      <c r="BZ193" s="230">
        <v>4945</v>
      </c>
      <c r="CA193" s="228">
        <v>133</v>
      </c>
      <c r="CB193" s="229">
        <v>2.69E-2</v>
      </c>
      <c r="CC193" s="230">
        <v>2114</v>
      </c>
      <c r="CD193" s="230">
        <v>3360</v>
      </c>
      <c r="CE193" s="230">
        <v>-1246</v>
      </c>
      <c r="CF193" s="229">
        <v>-0.37090000000000001</v>
      </c>
      <c r="CG193" s="230">
        <v>2733</v>
      </c>
      <c r="CH193" s="230">
        <v>1365</v>
      </c>
      <c r="CI193" s="230">
        <v>1368</v>
      </c>
      <c r="CJ193" s="229">
        <v>1.0016</v>
      </c>
      <c r="CK193" s="228">
        <v>232</v>
      </c>
      <c r="CL193" s="228">
        <v>220</v>
      </c>
      <c r="CM193" s="228">
        <v>12</v>
      </c>
      <c r="CN193" s="229">
        <v>5.5E-2</v>
      </c>
      <c r="CO193" s="230">
        <v>2571</v>
      </c>
      <c r="CP193" s="230">
        <v>2747</v>
      </c>
      <c r="CQ193" s="228">
        <v>-177</v>
      </c>
      <c r="CR193" s="229">
        <v>-6.4299999999999996E-2</v>
      </c>
      <c r="CS193" s="230">
        <v>2118</v>
      </c>
      <c r="CT193" s="230">
        <v>1922</v>
      </c>
      <c r="CU193" s="228">
        <v>196</v>
      </c>
      <c r="CV193" s="229">
        <v>0.1022</v>
      </c>
      <c r="CW193" s="230">
        <v>9767</v>
      </c>
      <c r="CX193" s="230">
        <v>9614</v>
      </c>
      <c r="CY193" s="228">
        <v>153</v>
      </c>
      <c r="CZ193" s="229">
        <v>1.5900000000000001E-2</v>
      </c>
      <c r="DA193" s="228">
        <v>28.83</v>
      </c>
      <c r="DB193" s="228">
        <v>26.8</v>
      </c>
      <c r="DC193" s="228">
        <v>2.0299999999999998</v>
      </c>
      <c r="DD193" s="228">
        <v>2.0299999999999998</v>
      </c>
      <c r="DE193" s="228">
        <v>32.590000000000003</v>
      </c>
      <c r="DF193" s="228">
        <v>32.5</v>
      </c>
      <c r="DG193" s="228">
        <v>-3.76</v>
      </c>
      <c r="DH193" s="228">
        <v>0.09</v>
      </c>
      <c r="DI193" s="228">
        <v>28.82</v>
      </c>
      <c r="DJ193" s="228">
        <v>26.92</v>
      </c>
      <c r="DK193" s="228">
        <v>1.9</v>
      </c>
      <c r="DL193" s="228">
        <v>1.9</v>
      </c>
      <c r="DM193" s="228">
        <v>28.85</v>
      </c>
      <c r="DN193" s="228">
        <v>26.59</v>
      </c>
      <c r="DO193" s="228">
        <v>2.2599999999999998</v>
      </c>
      <c r="DP193" s="228">
        <v>2.2599999999999998</v>
      </c>
      <c r="DQ193" s="228">
        <v>0.82</v>
      </c>
      <c r="DR193" s="228">
        <v>0.7</v>
      </c>
      <c r="DS193" s="228">
        <v>0.12</v>
      </c>
      <c r="DT193" s="229">
        <v>0.1714</v>
      </c>
      <c r="DU193" s="228">
        <v>200</v>
      </c>
      <c r="DV193" s="228">
        <v>180</v>
      </c>
      <c r="DW193" s="228">
        <v>0.56999999999999995</v>
      </c>
      <c r="DX193" s="228">
        <v>0.56999999999999995</v>
      </c>
      <c r="DY193" s="228">
        <v>0</v>
      </c>
      <c r="DZ193" s="229">
        <v>0</v>
      </c>
      <c r="EA193" s="229">
        <v>0.58379999999999999</v>
      </c>
      <c r="EB193" s="230">
        <v>83798000</v>
      </c>
      <c r="EC193" s="229">
        <v>5.3E-3</v>
      </c>
      <c r="ED193" s="229">
        <v>0.58379999999999999</v>
      </c>
      <c r="EE193" s="228">
        <v>0.99</v>
      </c>
      <c r="EF193" s="229">
        <v>5.3E-3</v>
      </c>
      <c r="EG193" s="230">
        <v>17511982</v>
      </c>
      <c r="EH193" s="230">
        <v>16826677</v>
      </c>
      <c r="EI193" s="229">
        <v>4.07E-2</v>
      </c>
      <c r="EJ193" s="229">
        <v>0.45479999999999998</v>
      </c>
      <c r="EK193" s="231">
        <v>6504.87</v>
      </c>
      <c r="EL193" s="231">
        <v>3541.33</v>
      </c>
      <c r="EM193" s="231">
        <v>3785.86</v>
      </c>
      <c r="EN193" s="228">
        <v>132.12</v>
      </c>
      <c r="EO193" s="231">
        <v>13832.07</v>
      </c>
      <c r="EP193" s="231">
        <v>9851.61</v>
      </c>
      <c r="EQ193" s="231">
        <v>3980.46</v>
      </c>
      <c r="ER193" s="229">
        <v>0.40400000000000003</v>
      </c>
      <c r="ES193" s="231">
        <v>2600.86</v>
      </c>
      <c r="ET193" s="231">
        <v>1994.79</v>
      </c>
      <c r="EU193" s="231">
        <v>5096.0600000000004</v>
      </c>
      <c r="EV193" s="231">
        <v>872935214</v>
      </c>
      <c r="EW193" s="231">
        <v>9691.7099999999991</v>
      </c>
      <c r="EX193" s="231">
        <v>9404.36</v>
      </c>
      <c r="EY193" s="228">
        <v>287.35000000000002</v>
      </c>
      <c r="EZ193" s="229">
        <v>3.0599999999999999E-2</v>
      </c>
      <c r="FA193" s="229">
        <v>0.59150000000000003</v>
      </c>
      <c r="FB193" s="227" t="s">
        <v>555</v>
      </c>
      <c r="FC193">
        <f t="shared" si="3"/>
        <v>0</v>
      </c>
    </row>
    <row r="194" spans="1:159" ht="17.25" thickBot="1" x14ac:dyDescent="0.3">
      <c r="A194" s="226">
        <v>46044</v>
      </c>
      <c r="B194" s="227" t="s">
        <v>221</v>
      </c>
      <c r="C194" s="227" t="s">
        <v>663</v>
      </c>
      <c r="D194" s="228">
        <v>800</v>
      </c>
      <c r="E194" s="228">
        <v>5</v>
      </c>
      <c r="F194" s="228">
        <v>654.20000000000005</v>
      </c>
      <c r="G194" s="228">
        <v>646</v>
      </c>
      <c r="H194" s="228">
        <v>8.1999999999999993</v>
      </c>
      <c r="I194" s="229">
        <v>1.2699999999999999E-2</v>
      </c>
      <c r="J194" s="228">
        <v>652.15</v>
      </c>
      <c r="K194" s="228">
        <v>643.75</v>
      </c>
      <c r="L194" s="228">
        <v>8.4</v>
      </c>
      <c r="M194" s="229">
        <v>1.2999999999999999E-2</v>
      </c>
      <c r="N194" s="228">
        <v>654.20000000000005</v>
      </c>
      <c r="O194" s="228">
        <v>646</v>
      </c>
      <c r="P194" s="228">
        <v>8.1999999999999993</v>
      </c>
      <c r="Q194" s="229">
        <v>1.2699999999999999E-2</v>
      </c>
      <c r="R194" s="228">
        <v>655.15</v>
      </c>
      <c r="S194" s="228">
        <v>647.45000000000005</v>
      </c>
      <c r="T194" s="228">
        <v>7.7</v>
      </c>
      <c r="U194" s="229">
        <v>1.1900000000000001E-2</v>
      </c>
      <c r="V194" s="228">
        <v>658.65</v>
      </c>
      <c r="W194" s="228">
        <v>646</v>
      </c>
      <c r="X194" s="228">
        <v>12.65</v>
      </c>
      <c r="Y194" s="229">
        <v>1.9599999999999999E-2</v>
      </c>
      <c r="Z194" s="228">
        <v>2.0499999999999998</v>
      </c>
      <c r="AA194" s="228">
        <v>2.25</v>
      </c>
      <c r="AB194" s="228">
        <v>-0.2</v>
      </c>
      <c r="AC194" s="229">
        <v>3.0999999999999999E-3</v>
      </c>
      <c r="AD194" s="228">
        <v>2.0499999999999998</v>
      </c>
      <c r="AE194" s="228">
        <v>2.25</v>
      </c>
      <c r="AF194" s="228">
        <v>-0.2</v>
      </c>
      <c r="AG194" s="229">
        <v>3.0999999999999999E-3</v>
      </c>
      <c r="AH194" s="228">
        <v>3</v>
      </c>
      <c r="AI194" s="228">
        <v>3.7</v>
      </c>
      <c r="AJ194" s="228">
        <v>-0.7</v>
      </c>
      <c r="AK194" s="229">
        <v>4.5999999999999999E-3</v>
      </c>
      <c r="AL194" s="228">
        <v>6.5</v>
      </c>
      <c r="AM194" s="228">
        <v>2.25</v>
      </c>
      <c r="AN194" s="228">
        <v>4.25</v>
      </c>
      <c r="AO194" s="229">
        <v>0.01</v>
      </c>
      <c r="AP194" s="228">
        <v>658.29</v>
      </c>
      <c r="AQ194" s="228">
        <v>659.25</v>
      </c>
      <c r="AR194" s="228">
        <v>0</v>
      </c>
      <c r="AS194" s="228">
        <v>658</v>
      </c>
      <c r="AT194" s="228">
        <v>335</v>
      </c>
      <c r="AU194" s="228">
        <v>323</v>
      </c>
      <c r="AV194" s="229">
        <v>0.96360000000000001</v>
      </c>
      <c r="AW194" s="228">
        <v>320</v>
      </c>
      <c r="AX194" s="228">
        <v>182</v>
      </c>
      <c r="AY194" s="228">
        <v>137</v>
      </c>
      <c r="AZ194" s="229">
        <v>0.75419999999999998</v>
      </c>
      <c r="BA194" s="228">
        <v>335</v>
      </c>
      <c r="BB194" s="228">
        <v>149</v>
      </c>
      <c r="BC194" s="228">
        <v>186</v>
      </c>
      <c r="BD194" s="229">
        <v>1.2468999999999999</v>
      </c>
      <c r="BE194" s="228">
        <v>3</v>
      </c>
      <c r="BF194" s="228">
        <v>4</v>
      </c>
      <c r="BG194" s="228">
        <v>0</v>
      </c>
      <c r="BH194" s="229">
        <v>-0.1096</v>
      </c>
      <c r="BI194" s="228">
        <v>467</v>
      </c>
      <c r="BJ194" s="228">
        <v>789</v>
      </c>
      <c r="BK194" s="228">
        <v>-321</v>
      </c>
      <c r="BL194" s="229">
        <v>-0.40739999999999998</v>
      </c>
      <c r="BM194" s="228">
        <v>304</v>
      </c>
      <c r="BN194" s="228">
        <v>584</v>
      </c>
      <c r="BO194" s="228">
        <v>-280</v>
      </c>
      <c r="BP194" s="229">
        <v>-0.47970000000000002</v>
      </c>
      <c r="BQ194" s="230">
        <v>1430</v>
      </c>
      <c r="BR194" s="230">
        <v>1708</v>
      </c>
      <c r="BS194" s="228">
        <v>-278</v>
      </c>
      <c r="BT194" s="229">
        <v>-0.16300000000000001</v>
      </c>
      <c r="BU194" s="230">
        <v>878239</v>
      </c>
      <c r="BV194" s="230">
        <v>1354001</v>
      </c>
      <c r="BW194" s="230">
        <v>-475762</v>
      </c>
      <c r="BX194" s="229">
        <v>-0.35139999999999999</v>
      </c>
      <c r="BY194" s="228">
        <v>751</v>
      </c>
      <c r="BZ194" s="228">
        <v>766</v>
      </c>
      <c r="CA194" s="228">
        <v>-15</v>
      </c>
      <c r="CB194" s="229">
        <v>-1.9599999999999999E-2</v>
      </c>
      <c r="CC194" s="228">
        <v>351</v>
      </c>
      <c r="CD194" s="228">
        <v>533</v>
      </c>
      <c r="CE194" s="228">
        <v>-181</v>
      </c>
      <c r="CF194" s="229">
        <v>-0.34029999999999999</v>
      </c>
      <c r="CG194" s="228">
        <v>386</v>
      </c>
      <c r="CH194" s="228">
        <v>221</v>
      </c>
      <c r="CI194" s="228">
        <v>165</v>
      </c>
      <c r="CJ194" s="229">
        <v>0.74490000000000001</v>
      </c>
      <c r="CK194" s="228">
        <v>13</v>
      </c>
      <c r="CL194" s="228">
        <v>12</v>
      </c>
      <c r="CM194" s="228">
        <v>1</v>
      </c>
      <c r="CN194" s="229">
        <v>0.11609999999999999</v>
      </c>
      <c r="CO194" s="228">
        <v>511</v>
      </c>
      <c r="CP194" s="228">
        <v>511</v>
      </c>
      <c r="CQ194" s="228">
        <v>1</v>
      </c>
      <c r="CR194" s="229">
        <v>1.1000000000000001E-3</v>
      </c>
      <c r="CS194" s="228">
        <v>315</v>
      </c>
      <c r="CT194" s="228">
        <v>329</v>
      </c>
      <c r="CU194" s="228">
        <v>-14</v>
      </c>
      <c r="CV194" s="229">
        <v>-4.1700000000000001E-2</v>
      </c>
      <c r="CW194" s="230">
        <v>1577</v>
      </c>
      <c r="CX194" s="230">
        <v>1605</v>
      </c>
      <c r="CY194" s="228">
        <v>-28</v>
      </c>
      <c r="CZ194" s="229">
        <v>-1.7500000000000002E-2</v>
      </c>
      <c r="DA194" s="228">
        <v>25.29</v>
      </c>
      <c r="DB194" s="228">
        <v>24.1</v>
      </c>
      <c r="DC194" s="228">
        <v>1.19</v>
      </c>
      <c r="DD194" s="228">
        <v>1.19</v>
      </c>
      <c r="DE194" s="228">
        <v>30.53</v>
      </c>
      <c r="DF194" s="228">
        <v>30.56</v>
      </c>
      <c r="DG194" s="228">
        <v>-5.24</v>
      </c>
      <c r="DH194" s="228">
        <v>-0.03</v>
      </c>
      <c r="DI194" s="228">
        <v>25.7</v>
      </c>
      <c r="DJ194" s="228">
        <v>26.05</v>
      </c>
      <c r="DK194" s="228">
        <v>-0.35</v>
      </c>
      <c r="DL194" s="228">
        <v>-0.35</v>
      </c>
      <c r="DM194" s="228">
        <v>24.76</v>
      </c>
      <c r="DN194" s="228">
        <v>21.46</v>
      </c>
      <c r="DO194" s="228">
        <v>3.3</v>
      </c>
      <c r="DP194" s="228">
        <v>3.3</v>
      </c>
      <c r="DQ194" s="228">
        <v>0.62</v>
      </c>
      <c r="DR194" s="228">
        <v>0.64</v>
      </c>
      <c r="DS194" s="228">
        <v>-0.02</v>
      </c>
      <c r="DT194" s="229">
        <v>-3.1300000000000001E-2</v>
      </c>
      <c r="DU194" s="228">
        <v>700</v>
      </c>
      <c r="DV194" s="228">
        <v>620</v>
      </c>
      <c r="DW194" s="228">
        <v>0.65</v>
      </c>
      <c r="DX194" s="228">
        <v>0.74</v>
      </c>
      <c r="DY194" s="228">
        <v>-0.09</v>
      </c>
      <c r="DZ194" s="229">
        <v>-0.1216</v>
      </c>
      <c r="EA194" s="229">
        <v>0.53190000000000004</v>
      </c>
      <c r="EB194" s="230">
        <v>3562400</v>
      </c>
      <c r="EC194" s="229">
        <v>1.5E-3</v>
      </c>
      <c r="ED194" s="229">
        <v>0.53190000000000004</v>
      </c>
      <c r="EE194" s="228">
        <v>0.96</v>
      </c>
      <c r="EF194" s="229">
        <v>1.5E-3</v>
      </c>
      <c r="EG194" s="230">
        <v>376301</v>
      </c>
      <c r="EH194" s="230">
        <v>462963</v>
      </c>
      <c r="EI194" s="229">
        <v>-0.18720000000000001</v>
      </c>
      <c r="EJ194" s="229">
        <v>0.42849999999999999</v>
      </c>
      <c r="EK194" s="228">
        <v>488.33</v>
      </c>
      <c r="EL194" s="228">
        <v>302.39</v>
      </c>
      <c r="EM194" s="228">
        <v>663.07</v>
      </c>
      <c r="EN194" s="228">
        <v>72.48</v>
      </c>
      <c r="EO194" s="231">
        <v>1453.78</v>
      </c>
      <c r="EP194" s="231">
        <v>1710.59</v>
      </c>
      <c r="EQ194" s="228">
        <v>-256.81</v>
      </c>
      <c r="ER194" s="229">
        <v>-0.15010000000000001</v>
      </c>
      <c r="ES194" s="228">
        <v>545.77</v>
      </c>
      <c r="ET194" s="228">
        <v>311.39</v>
      </c>
      <c r="EU194" s="228">
        <v>751.31</v>
      </c>
      <c r="EV194" s="231">
        <v>25116370</v>
      </c>
      <c r="EW194" s="231">
        <v>1608.47</v>
      </c>
      <c r="EX194" s="231">
        <v>1626.16</v>
      </c>
      <c r="EY194" s="228">
        <v>-17.690000000000001</v>
      </c>
      <c r="EZ194" s="229">
        <v>-1.09E-2</v>
      </c>
      <c r="FA194" s="229">
        <v>0.95979999999999999</v>
      </c>
      <c r="FB194" s="227" t="s">
        <v>556</v>
      </c>
      <c r="FC194">
        <f t="shared" si="3"/>
        <v>0</v>
      </c>
    </row>
    <row r="195" spans="1:159" ht="17.25" thickBot="1" x14ac:dyDescent="0.3">
      <c r="A195" s="226">
        <v>46044</v>
      </c>
      <c r="B195" s="227" t="s">
        <v>221</v>
      </c>
      <c r="C195" s="227" t="s">
        <v>295</v>
      </c>
      <c r="D195" s="228">
        <v>175</v>
      </c>
      <c r="E195" s="228">
        <v>5</v>
      </c>
      <c r="F195" s="231">
        <v>3152.7</v>
      </c>
      <c r="G195" s="231">
        <v>3125.2</v>
      </c>
      <c r="H195" s="228">
        <v>27.5</v>
      </c>
      <c r="I195" s="229">
        <v>8.8000000000000005E-3</v>
      </c>
      <c r="J195" s="231">
        <v>3150.4</v>
      </c>
      <c r="K195" s="231">
        <v>3122.6</v>
      </c>
      <c r="L195" s="228">
        <v>27.8</v>
      </c>
      <c r="M195" s="229">
        <v>8.8999999999999999E-3</v>
      </c>
      <c r="N195" s="231">
        <v>3152.7</v>
      </c>
      <c r="O195" s="231">
        <v>3125.2</v>
      </c>
      <c r="P195" s="228">
        <v>27.5</v>
      </c>
      <c r="Q195" s="229">
        <v>8.8000000000000005E-3</v>
      </c>
      <c r="R195" s="231">
        <v>3161.8</v>
      </c>
      <c r="S195" s="231">
        <v>3134.8</v>
      </c>
      <c r="T195" s="228">
        <v>27</v>
      </c>
      <c r="U195" s="229">
        <v>8.6E-3</v>
      </c>
      <c r="V195" s="231">
        <v>3188.8</v>
      </c>
      <c r="W195" s="231">
        <v>3155.5</v>
      </c>
      <c r="X195" s="228">
        <v>33.299999999999997</v>
      </c>
      <c r="Y195" s="229">
        <v>1.06E-2</v>
      </c>
      <c r="Z195" s="228">
        <v>2.2999999999999998</v>
      </c>
      <c r="AA195" s="228">
        <v>2.6</v>
      </c>
      <c r="AB195" s="228">
        <v>-0.3</v>
      </c>
      <c r="AC195" s="229">
        <v>6.9999999999999999E-4</v>
      </c>
      <c r="AD195" s="228">
        <v>2.2999999999999998</v>
      </c>
      <c r="AE195" s="228">
        <v>2.6</v>
      </c>
      <c r="AF195" s="228">
        <v>-0.3</v>
      </c>
      <c r="AG195" s="229">
        <v>6.9999999999999999E-4</v>
      </c>
      <c r="AH195" s="228">
        <v>11.4</v>
      </c>
      <c r="AI195" s="228">
        <v>12.2</v>
      </c>
      <c r="AJ195" s="228">
        <v>-0.8</v>
      </c>
      <c r="AK195" s="229">
        <v>3.5999999999999999E-3</v>
      </c>
      <c r="AL195" s="228">
        <v>38.4</v>
      </c>
      <c r="AM195" s="228">
        <v>32.9</v>
      </c>
      <c r="AN195" s="228">
        <v>5.5</v>
      </c>
      <c r="AO195" s="229">
        <v>1.2200000000000001E-2</v>
      </c>
      <c r="AP195" s="231">
        <v>3147.75</v>
      </c>
      <c r="AQ195" s="231">
        <v>3156.26</v>
      </c>
      <c r="AR195" s="228">
        <v>0</v>
      </c>
      <c r="AS195" s="230">
        <v>3737</v>
      </c>
      <c r="AT195" s="230">
        <v>6464</v>
      </c>
      <c r="AU195" s="230">
        <v>-2727</v>
      </c>
      <c r="AV195" s="229">
        <v>-0.42180000000000001</v>
      </c>
      <c r="AW195" s="230">
        <v>1858</v>
      </c>
      <c r="AX195" s="230">
        <v>3386</v>
      </c>
      <c r="AY195" s="230">
        <v>-1528</v>
      </c>
      <c r="AZ195" s="229">
        <v>-0.45129999999999998</v>
      </c>
      <c r="BA195" s="230">
        <v>1846</v>
      </c>
      <c r="BB195" s="230">
        <v>3053</v>
      </c>
      <c r="BC195" s="230">
        <v>-1207</v>
      </c>
      <c r="BD195" s="229">
        <v>-0.3952</v>
      </c>
      <c r="BE195" s="228">
        <v>33</v>
      </c>
      <c r="BF195" s="228">
        <v>24</v>
      </c>
      <c r="BG195" s="228">
        <v>8</v>
      </c>
      <c r="BH195" s="229">
        <v>0.34689999999999999</v>
      </c>
      <c r="BI195" s="230">
        <v>5711</v>
      </c>
      <c r="BJ195" s="230">
        <v>7305</v>
      </c>
      <c r="BK195" s="230">
        <v>-1595</v>
      </c>
      <c r="BL195" s="229">
        <v>-0.21829999999999999</v>
      </c>
      <c r="BM195" s="230">
        <v>3403</v>
      </c>
      <c r="BN195" s="230">
        <v>4768</v>
      </c>
      <c r="BO195" s="230">
        <v>-1365</v>
      </c>
      <c r="BP195" s="229">
        <v>-0.28620000000000001</v>
      </c>
      <c r="BQ195" s="230">
        <v>12851</v>
      </c>
      <c r="BR195" s="230">
        <v>18537</v>
      </c>
      <c r="BS195" s="230">
        <v>-5686</v>
      </c>
      <c r="BT195" s="229">
        <v>-0.30669999999999997</v>
      </c>
      <c r="BU195" s="230">
        <v>2420453</v>
      </c>
      <c r="BV195" s="230">
        <v>2198590</v>
      </c>
      <c r="BW195" s="230">
        <v>221863</v>
      </c>
      <c r="BX195" s="229">
        <v>0.1009</v>
      </c>
      <c r="BY195" s="230">
        <v>6909</v>
      </c>
      <c r="BZ195" s="230">
        <v>7048</v>
      </c>
      <c r="CA195" s="228">
        <v>-140</v>
      </c>
      <c r="CB195" s="229">
        <v>-1.9800000000000002E-2</v>
      </c>
      <c r="CC195" s="230">
        <v>2138</v>
      </c>
      <c r="CD195" s="230">
        <v>3439</v>
      </c>
      <c r="CE195" s="230">
        <v>-1301</v>
      </c>
      <c r="CF195" s="229">
        <v>-0.37819999999999998</v>
      </c>
      <c r="CG195" s="230">
        <v>4570</v>
      </c>
      <c r="CH195" s="230">
        <v>3419</v>
      </c>
      <c r="CI195" s="230">
        <v>1151</v>
      </c>
      <c r="CJ195" s="229">
        <v>0.3367</v>
      </c>
      <c r="CK195" s="228">
        <v>200</v>
      </c>
      <c r="CL195" s="228">
        <v>191</v>
      </c>
      <c r="CM195" s="228">
        <v>10</v>
      </c>
      <c r="CN195" s="229">
        <v>5.1799999999999999E-2</v>
      </c>
      <c r="CO195" s="230">
        <v>4514</v>
      </c>
      <c r="CP195" s="230">
        <v>4787</v>
      </c>
      <c r="CQ195" s="228">
        <v>-273</v>
      </c>
      <c r="CR195" s="229">
        <v>-5.7000000000000002E-2</v>
      </c>
      <c r="CS195" s="230">
        <v>2340</v>
      </c>
      <c r="CT195" s="230">
        <v>2390</v>
      </c>
      <c r="CU195" s="228">
        <v>-50</v>
      </c>
      <c r="CV195" s="229">
        <v>-2.0899999999999998E-2</v>
      </c>
      <c r="CW195" s="230">
        <v>13763</v>
      </c>
      <c r="CX195" s="230">
        <v>14225</v>
      </c>
      <c r="CY195" s="228">
        <v>-462</v>
      </c>
      <c r="CZ195" s="229">
        <v>-3.2500000000000001E-2</v>
      </c>
      <c r="DA195" s="228">
        <v>19.190000000000001</v>
      </c>
      <c r="DB195" s="228">
        <v>18.309999999999999</v>
      </c>
      <c r="DC195" s="228">
        <v>0.88</v>
      </c>
      <c r="DD195" s="228">
        <v>0.88</v>
      </c>
      <c r="DE195" s="228">
        <v>23.66</v>
      </c>
      <c r="DF195" s="228">
        <v>23.69</v>
      </c>
      <c r="DG195" s="228">
        <v>-4.47</v>
      </c>
      <c r="DH195" s="228">
        <v>-0.03</v>
      </c>
      <c r="DI195" s="228">
        <v>19.29</v>
      </c>
      <c r="DJ195" s="228">
        <v>17.71</v>
      </c>
      <c r="DK195" s="228">
        <v>1.58</v>
      </c>
      <c r="DL195" s="228">
        <v>1.58</v>
      </c>
      <c r="DM195" s="228">
        <v>19.059999999999999</v>
      </c>
      <c r="DN195" s="228">
        <v>19.239999999999998</v>
      </c>
      <c r="DO195" s="228">
        <v>-0.18</v>
      </c>
      <c r="DP195" s="228">
        <v>-0.18</v>
      </c>
      <c r="DQ195" s="228">
        <v>0.52</v>
      </c>
      <c r="DR195" s="228">
        <v>0.5</v>
      </c>
      <c r="DS195" s="228">
        <v>0.02</v>
      </c>
      <c r="DT195" s="229">
        <v>0.04</v>
      </c>
      <c r="DU195" s="231">
        <v>3300</v>
      </c>
      <c r="DV195" s="231">
        <v>3000</v>
      </c>
      <c r="DW195" s="228">
        <v>0.6</v>
      </c>
      <c r="DX195" s="228">
        <v>0.65</v>
      </c>
      <c r="DY195" s="228">
        <v>-0.05</v>
      </c>
      <c r="DZ195" s="229">
        <v>-7.6899999999999996E-2</v>
      </c>
      <c r="EA195" s="229">
        <v>0.6905</v>
      </c>
      <c r="EB195" s="230">
        <v>11449025</v>
      </c>
      <c r="EC195" s="229">
        <v>2.8999999999999998E-3</v>
      </c>
      <c r="ED195" s="229">
        <v>0.6905</v>
      </c>
      <c r="EE195" s="228">
        <v>8.51</v>
      </c>
      <c r="EF195" s="229">
        <v>2.7000000000000001E-3</v>
      </c>
      <c r="EG195" s="230">
        <v>1257331</v>
      </c>
      <c r="EH195" s="230">
        <v>1129510</v>
      </c>
      <c r="EI195" s="229">
        <v>0.1132</v>
      </c>
      <c r="EJ195" s="229">
        <v>0.51949999999999996</v>
      </c>
      <c r="EK195" s="231">
        <v>5858.94</v>
      </c>
      <c r="EL195" s="231">
        <v>3393.92</v>
      </c>
      <c r="EM195" s="231">
        <v>3736.61</v>
      </c>
      <c r="EN195" s="228">
        <v>470.29</v>
      </c>
      <c r="EO195" s="231">
        <v>12989.47</v>
      </c>
      <c r="EP195" s="231">
        <v>18521.77</v>
      </c>
      <c r="EQ195" s="231">
        <v>-5532.3</v>
      </c>
      <c r="ER195" s="229">
        <v>-0.29870000000000002</v>
      </c>
      <c r="ES195" s="231">
        <v>4736.75</v>
      </c>
      <c r="ET195" s="231">
        <v>2339.75</v>
      </c>
      <c r="EU195" s="231">
        <v>6924.05</v>
      </c>
      <c r="EV195" s="231">
        <v>126444612</v>
      </c>
      <c r="EW195" s="231">
        <v>14000.54</v>
      </c>
      <c r="EX195" s="231">
        <v>14406.59</v>
      </c>
      <c r="EY195" s="228">
        <v>-406.05</v>
      </c>
      <c r="EZ195" s="229">
        <v>-2.8199999999999999E-2</v>
      </c>
      <c r="FA195" s="229">
        <v>0.34520000000000001</v>
      </c>
      <c r="FB195" s="227" t="s">
        <v>556</v>
      </c>
      <c r="FC195">
        <f t="shared" ref="FC195:FC258" si="4">BY261-CC261</f>
        <v>0</v>
      </c>
    </row>
    <row r="196" spans="1:159" ht="17.25" thickBot="1" x14ac:dyDescent="0.3">
      <c r="A196" s="226">
        <v>46044</v>
      </c>
      <c r="B196" s="227" t="s">
        <v>221</v>
      </c>
      <c r="C196" s="227" t="s">
        <v>296</v>
      </c>
      <c r="D196" s="228">
        <v>600</v>
      </c>
      <c r="E196" s="228">
        <v>5</v>
      </c>
      <c r="F196" s="231">
        <v>1690.4</v>
      </c>
      <c r="G196" s="231">
        <v>1687.7</v>
      </c>
      <c r="H196" s="228">
        <v>2.7</v>
      </c>
      <c r="I196" s="229">
        <v>1.6000000000000001E-3</v>
      </c>
      <c r="J196" s="231">
        <v>1687.4</v>
      </c>
      <c r="K196" s="231">
        <v>1686.7</v>
      </c>
      <c r="L196" s="228">
        <v>0.7</v>
      </c>
      <c r="M196" s="229">
        <v>4.0000000000000002E-4</v>
      </c>
      <c r="N196" s="231">
        <v>1690.4</v>
      </c>
      <c r="O196" s="231">
        <v>1687.7</v>
      </c>
      <c r="P196" s="228">
        <v>2.7</v>
      </c>
      <c r="Q196" s="229">
        <v>1.6000000000000001E-3</v>
      </c>
      <c r="R196" s="231">
        <v>1699.5</v>
      </c>
      <c r="S196" s="231">
        <v>1696.8</v>
      </c>
      <c r="T196" s="228">
        <v>2.7</v>
      </c>
      <c r="U196" s="229">
        <v>1.6000000000000001E-3</v>
      </c>
      <c r="V196" s="231">
        <v>1712.9</v>
      </c>
      <c r="W196" s="231">
        <v>1707.1</v>
      </c>
      <c r="X196" s="228">
        <v>5.8</v>
      </c>
      <c r="Y196" s="229">
        <v>3.3999999999999998E-3</v>
      </c>
      <c r="Z196" s="228">
        <v>3</v>
      </c>
      <c r="AA196" s="228">
        <v>1</v>
      </c>
      <c r="AB196" s="228">
        <v>2</v>
      </c>
      <c r="AC196" s="229">
        <v>1.8E-3</v>
      </c>
      <c r="AD196" s="228">
        <v>3</v>
      </c>
      <c r="AE196" s="228">
        <v>1</v>
      </c>
      <c r="AF196" s="228">
        <v>2</v>
      </c>
      <c r="AG196" s="229">
        <v>1.8E-3</v>
      </c>
      <c r="AH196" s="228">
        <v>12.1</v>
      </c>
      <c r="AI196" s="228">
        <v>10.1</v>
      </c>
      <c r="AJ196" s="228">
        <v>2</v>
      </c>
      <c r="AK196" s="229">
        <v>7.1999999999999998E-3</v>
      </c>
      <c r="AL196" s="228">
        <v>25.5</v>
      </c>
      <c r="AM196" s="228">
        <v>20.399999999999999</v>
      </c>
      <c r="AN196" s="228">
        <v>5.0999999999999996</v>
      </c>
      <c r="AO196" s="229">
        <v>1.5100000000000001E-2</v>
      </c>
      <c r="AP196" s="231">
        <v>1698.25</v>
      </c>
      <c r="AQ196" s="231">
        <v>1706.43</v>
      </c>
      <c r="AR196" s="228">
        <v>0</v>
      </c>
      <c r="AS196" s="230">
        <v>3101</v>
      </c>
      <c r="AT196" s="230">
        <v>1718</v>
      </c>
      <c r="AU196" s="230">
        <v>1383</v>
      </c>
      <c r="AV196" s="229">
        <v>0.8054</v>
      </c>
      <c r="AW196" s="230">
        <v>1579</v>
      </c>
      <c r="AX196" s="228">
        <v>988</v>
      </c>
      <c r="AY196" s="228">
        <v>590</v>
      </c>
      <c r="AZ196" s="229">
        <v>0.59730000000000005</v>
      </c>
      <c r="BA196" s="230">
        <v>1506</v>
      </c>
      <c r="BB196" s="228">
        <v>724</v>
      </c>
      <c r="BC196" s="228">
        <v>783</v>
      </c>
      <c r="BD196" s="229">
        <v>1.0813999999999999</v>
      </c>
      <c r="BE196" s="228">
        <v>16</v>
      </c>
      <c r="BF196" s="228">
        <v>5</v>
      </c>
      <c r="BG196" s="228">
        <v>10</v>
      </c>
      <c r="BH196" s="229">
        <v>1.9074</v>
      </c>
      <c r="BI196" s="230">
        <v>2869</v>
      </c>
      <c r="BJ196" s="230">
        <v>1982</v>
      </c>
      <c r="BK196" s="228">
        <v>888</v>
      </c>
      <c r="BL196" s="229">
        <v>0.44790000000000002</v>
      </c>
      <c r="BM196" s="230">
        <v>1504</v>
      </c>
      <c r="BN196" s="230">
        <v>1471</v>
      </c>
      <c r="BO196" s="228">
        <v>32</v>
      </c>
      <c r="BP196" s="229">
        <v>2.1999999999999999E-2</v>
      </c>
      <c r="BQ196" s="230">
        <v>7474</v>
      </c>
      <c r="BR196" s="230">
        <v>5170</v>
      </c>
      <c r="BS196" s="230">
        <v>2303</v>
      </c>
      <c r="BT196" s="229">
        <v>0.44550000000000001</v>
      </c>
      <c r="BU196" s="230">
        <v>3206122</v>
      </c>
      <c r="BV196" s="230">
        <v>1816019</v>
      </c>
      <c r="BW196" s="230">
        <v>1390103</v>
      </c>
      <c r="BX196" s="229">
        <v>0.76549999999999996</v>
      </c>
      <c r="BY196" s="230">
        <v>3523</v>
      </c>
      <c r="BZ196" s="230">
        <v>3417</v>
      </c>
      <c r="CA196" s="228">
        <v>106</v>
      </c>
      <c r="CB196" s="229">
        <v>3.09E-2</v>
      </c>
      <c r="CC196" s="230">
        <v>1458</v>
      </c>
      <c r="CD196" s="230">
        <v>2591</v>
      </c>
      <c r="CE196" s="230">
        <v>-1133</v>
      </c>
      <c r="CF196" s="229">
        <v>-0.43740000000000001</v>
      </c>
      <c r="CG196" s="230">
        <v>2035</v>
      </c>
      <c r="CH196" s="228">
        <v>803</v>
      </c>
      <c r="CI196" s="230">
        <v>1232</v>
      </c>
      <c r="CJ196" s="229">
        <v>1.5345</v>
      </c>
      <c r="CK196" s="228">
        <v>30</v>
      </c>
      <c r="CL196" s="228">
        <v>23</v>
      </c>
      <c r="CM196" s="228">
        <v>6</v>
      </c>
      <c r="CN196" s="229">
        <v>0.27950000000000003</v>
      </c>
      <c r="CO196" s="230">
        <v>1072</v>
      </c>
      <c r="CP196" s="230">
        <v>1112</v>
      </c>
      <c r="CQ196" s="228">
        <v>-40</v>
      </c>
      <c r="CR196" s="229">
        <v>-3.5900000000000001E-2</v>
      </c>
      <c r="CS196" s="228">
        <v>785</v>
      </c>
      <c r="CT196" s="228">
        <v>843</v>
      </c>
      <c r="CU196" s="228">
        <v>-59</v>
      </c>
      <c r="CV196" s="229">
        <v>-6.9599999999999995E-2</v>
      </c>
      <c r="CW196" s="230">
        <v>5379</v>
      </c>
      <c r="CX196" s="230">
        <v>5373</v>
      </c>
      <c r="CY196" s="228">
        <v>7</v>
      </c>
      <c r="CZ196" s="229">
        <v>1.2999999999999999E-3</v>
      </c>
      <c r="DA196" s="228">
        <v>24.35</v>
      </c>
      <c r="DB196" s="228">
        <v>21.31</v>
      </c>
      <c r="DC196" s="228">
        <v>3.04</v>
      </c>
      <c r="DD196" s="228">
        <v>3.04</v>
      </c>
      <c r="DE196" s="228">
        <v>29.02</v>
      </c>
      <c r="DF196" s="228">
        <v>29.1</v>
      </c>
      <c r="DG196" s="228">
        <v>-4.67</v>
      </c>
      <c r="DH196" s="228">
        <v>-0.08</v>
      </c>
      <c r="DI196" s="228">
        <v>24.44</v>
      </c>
      <c r="DJ196" s="228">
        <v>20.65</v>
      </c>
      <c r="DK196" s="228">
        <v>3.79</v>
      </c>
      <c r="DL196" s="228">
        <v>3.79</v>
      </c>
      <c r="DM196" s="228">
        <v>24.16</v>
      </c>
      <c r="DN196" s="228">
        <v>22.19</v>
      </c>
      <c r="DO196" s="228">
        <v>1.97</v>
      </c>
      <c r="DP196" s="228">
        <v>1.97</v>
      </c>
      <c r="DQ196" s="228">
        <v>0.73</v>
      </c>
      <c r="DR196" s="228">
        <v>0.76</v>
      </c>
      <c r="DS196" s="228">
        <v>-0.03</v>
      </c>
      <c r="DT196" s="229">
        <v>-3.95E-2</v>
      </c>
      <c r="DU196" s="231">
        <v>1740</v>
      </c>
      <c r="DV196" s="231">
        <v>1640</v>
      </c>
      <c r="DW196" s="228">
        <v>0.52</v>
      </c>
      <c r="DX196" s="228">
        <v>0.74</v>
      </c>
      <c r="DY196" s="228">
        <v>-0.22</v>
      </c>
      <c r="DZ196" s="229">
        <v>-0.29730000000000001</v>
      </c>
      <c r="EA196" s="229">
        <v>0.58620000000000005</v>
      </c>
      <c r="EB196" s="230">
        <v>4888200</v>
      </c>
      <c r="EC196" s="229">
        <v>5.4000000000000003E-3</v>
      </c>
      <c r="ED196" s="229">
        <v>0.58620000000000005</v>
      </c>
      <c r="EE196" s="228">
        <v>8.18</v>
      </c>
      <c r="EF196" s="229">
        <v>4.7999999999999996E-3</v>
      </c>
      <c r="EG196" s="230">
        <v>1927373</v>
      </c>
      <c r="EH196" s="230">
        <v>898115</v>
      </c>
      <c r="EI196" s="229">
        <v>1.1459999999999999</v>
      </c>
      <c r="EJ196" s="229">
        <v>0.60119999999999996</v>
      </c>
      <c r="EK196" s="231">
        <v>2952.1</v>
      </c>
      <c r="EL196" s="231">
        <v>1498.47</v>
      </c>
      <c r="EM196" s="231">
        <v>3122.93</v>
      </c>
      <c r="EN196" s="228">
        <v>135.41</v>
      </c>
      <c r="EO196" s="231">
        <v>7573.5</v>
      </c>
      <c r="EP196" s="231">
        <v>5176.47</v>
      </c>
      <c r="EQ196" s="231">
        <v>2397.04</v>
      </c>
      <c r="ER196" s="229">
        <v>0.46310000000000001</v>
      </c>
      <c r="ES196" s="231">
        <v>1093.6199999999999</v>
      </c>
      <c r="ET196" s="228">
        <v>739.77</v>
      </c>
      <c r="EU196" s="231">
        <v>3534.21</v>
      </c>
      <c r="EV196" s="231">
        <v>80031540</v>
      </c>
      <c r="EW196" s="231">
        <v>5367.6</v>
      </c>
      <c r="EX196" s="231">
        <v>5346.13</v>
      </c>
      <c r="EY196" s="228">
        <v>21.47</v>
      </c>
      <c r="EZ196" s="229">
        <v>4.0000000000000001E-3</v>
      </c>
      <c r="FA196" s="229">
        <v>0.39760000000000001</v>
      </c>
      <c r="FB196" s="227" t="s">
        <v>555</v>
      </c>
      <c r="FC196">
        <f t="shared" si="4"/>
        <v>0</v>
      </c>
    </row>
    <row r="197" spans="1:159" ht="17.25" thickBot="1" x14ac:dyDescent="0.3">
      <c r="A197" s="226">
        <v>46044</v>
      </c>
      <c r="B197" s="227" t="s">
        <v>184</v>
      </c>
      <c r="C197" s="227" t="s">
        <v>595</v>
      </c>
      <c r="D197" s="228">
        <v>200</v>
      </c>
      <c r="E197" s="228">
        <v>5</v>
      </c>
      <c r="F197" s="231">
        <v>2302.1999999999998</v>
      </c>
      <c r="G197" s="231">
        <v>2274</v>
      </c>
      <c r="H197" s="228">
        <v>28.2</v>
      </c>
      <c r="I197" s="229">
        <v>1.24E-2</v>
      </c>
      <c r="J197" s="231">
        <v>2296.8000000000002</v>
      </c>
      <c r="K197" s="231">
        <v>2272.9</v>
      </c>
      <c r="L197" s="228">
        <v>23.9</v>
      </c>
      <c r="M197" s="229">
        <v>1.0500000000000001E-2</v>
      </c>
      <c r="N197" s="231">
        <v>2302.1999999999998</v>
      </c>
      <c r="O197" s="231">
        <v>2274</v>
      </c>
      <c r="P197" s="228">
        <v>28.2</v>
      </c>
      <c r="Q197" s="229">
        <v>1.24E-2</v>
      </c>
      <c r="R197" s="231">
        <v>2313.8000000000002</v>
      </c>
      <c r="S197" s="231">
        <v>2286</v>
      </c>
      <c r="T197" s="228">
        <v>27.8</v>
      </c>
      <c r="U197" s="229">
        <v>1.2200000000000001E-2</v>
      </c>
      <c r="V197" s="231">
        <v>2326.4</v>
      </c>
      <c r="W197" s="231">
        <v>2302</v>
      </c>
      <c r="X197" s="228">
        <v>24.4</v>
      </c>
      <c r="Y197" s="229">
        <v>1.06E-2</v>
      </c>
      <c r="Z197" s="228">
        <v>5.4</v>
      </c>
      <c r="AA197" s="228">
        <v>1.1000000000000001</v>
      </c>
      <c r="AB197" s="228">
        <v>4.3</v>
      </c>
      <c r="AC197" s="229">
        <v>2.3999999999999998E-3</v>
      </c>
      <c r="AD197" s="228">
        <v>5.4</v>
      </c>
      <c r="AE197" s="228">
        <v>1.1000000000000001</v>
      </c>
      <c r="AF197" s="228">
        <v>4.3</v>
      </c>
      <c r="AG197" s="229">
        <v>2.3999999999999998E-3</v>
      </c>
      <c r="AH197" s="228">
        <v>17</v>
      </c>
      <c r="AI197" s="228">
        <v>13.1</v>
      </c>
      <c r="AJ197" s="228">
        <v>3.9</v>
      </c>
      <c r="AK197" s="229">
        <v>7.4000000000000003E-3</v>
      </c>
      <c r="AL197" s="228">
        <v>29.6</v>
      </c>
      <c r="AM197" s="228">
        <v>29.1</v>
      </c>
      <c r="AN197" s="228">
        <v>0.5</v>
      </c>
      <c r="AO197" s="229">
        <v>1.29E-2</v>
      </c>
      <c r="AP197" s="231">
        <v>2285.63</v>
      </c>
      <c r="AQ197" s="231">
        <v>2296.7800000000002</v>
      </c>
      <c r="AR197" s="228">
        <v>0</v>
      </c>
      <c r="AS197" s="228">
        <v>611</v>
      </c>
      <c r="AT197" s="228">
        <v>485</v>
      </c>
      <c r="AU197" s="228">
        <v>126</v>
      </c>
      <c r="AV197" s="229">
        <v>0.26029999999999998</v>
      </c>
      <c r="AW197" s="228">
        <v>296</v>
      </c>
      <c r="AX197" s="228">
        <v>255</v>
      </c>
      <c r="AY197" s="228">
        <v>41</v>
      </c>
      <c r="AZ197" s="229">
        <v>0.15920000000000001</v>
      </c>
      <c r="BA197" s="228">
        <v>314</v>
      </c>
      <c r="BB197" s="228">
        <v>228</v>
      </c>
      <c r="BC197" s="228">
        <v>86</v>
      </c>
      <c r="BD197" s="229">
        <v>0.37709999999999999</v>
      </c>
      <c r="BE197" s="228">
        <v>2</v>
      </c>
      <c r="BF197" s="228">
        <v>2</v>
      </c>
      <c r="BG197" s="228">
        <v>0</v>
      </c>
      <c r="BH197" s="229">
        <v>-0.1333</v>
      </c>
      <c r="BI197" s="228">
        <v>180</v>
      </c>
      <c r="BJ197" s="228">
        <v>275</v>
      </c>
      <c r="BK197" s="228">
        <v>-95</v>
      </c>
      <c r="BL197" s="229">
        <v>-0.34489999999999998</v>
      </c>
      <c r="BM197" s="228">
        <v>89</v>
      </c>
      <c r="BN197" s="228">
        <v>181</v>
      </c>
      <c r="BO197" s="228">
        <v>-92</v>
      </c>
      <c r="BP197" s="229">
        <v>-0.50839999999999996</v>
      </c>
      <c r="BQ197" s="228">
        <v>881</v>
      </c>
      <c r="BR197" s="228">
        <v>942</v>
      </c>
      <c r="BS197" s="228">
        <v>-61</v>
      </c>
      <c r="BT197" s="229">
        <v>-6.4600000000000005E-2</v>
      </c>
      <c r="BU197" s="230">
        <v>295215</v>
      </c>
      <c r="BV197" s="230">
        <v>478908</v>
      </c>
      <c r="BW197" s="230">
        <v>-183693</v>
      </c>
      <c r="BX197" s="229">
        <v>-0.3836</v>
      </c>
      <c r="BY197" s="228">
        <v>886</v>
      </c>
      <c r="BZ197" s="228">
        <v>875</v>
      </c>
      <c r="CA197" s="228">
        <v>11</v>
      </c>
      <c r="CB197" s="229">
        <v>1.23E-2</v>
      </c>
      <c r="CC197" s="228">
        <v>406</v>
      </c>
      <c r="CD197" s="228">
        <v>658</v>
      </c>
      <c r="CE197" s="228">
        <v>-253</v>
      </c>
      <c r="CF197" s="229">
        <v>-0.38400000000000001</v>
      </c>
      <c r="CG197" s="228">
        <v>475</v>
      </c>
      <c r="CH197" s="228">
        <v>212</v>
      </c>
      <c r="CI197" s="228">
        <v>263</v>
      </c>
      <c r="CJ197" s="229">
        <v>1.2375</v>
      </c>
      <c r="CK197" s="228">
        <v>5</v>
      </c>
      <c r="CL197" s="228">
        <v>4</v>
      </c>
      <c r="CM197" s="228">
        <v>1</v>
      </c>
      <c r="CN197" s="229">
        <v>0.13639999999999999</v>
      </c>
      <c r="CO197" s="228">
        <v>241</v>
      </c>
      <c r="CP197" s="228">
        <v>265</v>
      </c>
      <c r="CQ197" s="228">
        <v>-24</v>
      </c>
      <c r="CR197" s="229">
        <v>-9.1300000000000006E-2</v>
      </c>
      <c r="CS197" s="228">
        <v>200</v>
      </c>
      <c r="CT197" s="228">
        <v>209</v>
      </c>
      <c r="CU197" s="228">
        <v>-9</v>
      </c>
      <c r="CV197" s="229">
        <v>-4.3200000000000002E-2</v>
      </c>
      <c r="CW197" s="230">
        <v>1326</v>
      </c>
      <c r="CX197" s="230">
        <v>1348</v>
      </c>
      <c r="CY197" s="228">
        <v>-22</v>
      </c>
      <c r="CZ197" s="229">
        <v>-1.66E-2</v>
      </c>
      <c r="DA197" s="228">
        <v>33.619999999999997</v>
      </c>
      <c r="DB197" s="228">
        <v>33.590000000000003</v>
      </c>
      <c r="DC197" s="228">
        <v>0.03</v>
      </c>
      <c r="DD197" s="228">
        <v>0.03</v>
      </c>
      <c r="DE197" s="228">
        <v>39.5</v>
      </c>
      <c r="DF197" s="228">
        <v>39.57</v>
      </c>
      <c r="DG197" s="228">
        <v>-5.88</v>
      </c>
      <c r="DH197" s="228">
        <v>-7.0000000000000007E-2</v>
      </c>
      <c r="DI197" s="228">
        <v>33</v>
      </c>
      <c r="DJ197" s="228">
        <v>35.549999999999997</v>
      </c>
      <c r="DK197" s="228">
        <v>-2.5499999999999998</v>
      </c>
      <c r="DL197" s="228">
        <v>-2.5499999999999998</v>
      </c>
      <c r="DM197" s="228">
        <v>34.270000000000003</v>
      </c>
      <c r="DN197" s="228">
        <v>30.61</v>
      </c>
      <c r="DO197" s="228">
        <v>3.66</v>
      </c>
      <c r="DP197" s="228">
        <v>3.66</v>
      </c>
      <c r="DQ197" s="228">
        <v>0.83</v>
      </c>
      <c r="DR197" s="228">
        <v>0.79</v>
      </c>
      <c r="DS197" s="228">
        <v>0.04</v>
      </c>
      <c r="DT197" s="229">
        <v>5.0599999999999999E-2</v>
      </c>
      <c r="DU197" s="231">
        <v>2600</v>
      </c>
      <c r="DV197" s="231">
        <v>2400</v>
      </c>
      <c r="DW197" s="228">
        <v>0.49</v>
      </c>
      <c r="DX197" s="228">
        <v>0.66</v>
      </c>
      <c r="DY197" s="228">
        <v>-0.17</v>
      </c>
      <c r="DZ197" s="229">
        <v>-0.2576</v>
      </c>
      <c r="EA197" s="229">
        <v>0.54210000000000003</v>
      </c>
      <c r="EB197" s="230">
        <v>940600</v>
      </c>
      <c r="EC197" s="229">
        <v>5.0000000000000001E-3</v>
      </c>
      <c r="ED197" s="229">
        <v>0.54210000000000003</v>
      </c>
      <c r="EE197" s="228">
        <v>11.15</v>
      </c>
      <c r="EF197" s="229">
        <v>4.8999999999999998E-3</v>
      </c>
      <c r="EG197" s="230">
        <v>155602</v>
      </c>
      <c r="EH197" s="230">
        <v>250358</v>
      </c>
      <c r="EI197" s="229">
        <v>-0.3785</v>
      </c>
      <c r="EJ197" s="229">
        <v>0.52710000000000001</v>
      </c>
      <c r="EK197" s="228">
        <v>190.44</v>
      </c>
      <c r="EL197" s="228">
        <v>91.79</v>
      </c>
      <c r="EM197" s="228">
        <v>608.51</v>
      </c>
      <c r="EN197" s="228">
        <v>44.52</v>
      </c>
      <c r="EO197" s="228">
        <v>890.74</v>
      </c>
      <c r="EP197" s="228">
        <v>956.28</v>
      </c>
      <c r="EQ197" s="228">
        <v>-65.55</v>
      </c>
      <c r="ER197" s="229">
        <v>-6.8500000000000005E-2</v>
      </c>
      <c r="ES197" s="228">
        <v>267.44</v>
      </c>
      <c r="ET197" s="228">
        <v>210.81</v>
      </c>
      <c r="EU197" s="228">
        <v>888.01</v>
      </c>
      <c r="EV197" s="231">
        <v>15879795</v>
      </c>
      <c r="EW197" s="231">
        <v>1366.27</v>
      </c>
      <c r="EX197" s="231">
        <v>1380.32</v>
      </c>
      <c r="EY197" s="228">
        <v>-14.05</v>
      </c>
      <c r="EZ197" s="229">
        <v>-1.0200000000000001E-2</v>
      </c>
      <c r="FA197" s="229">
        <v>0.36270000000000002</v>
      </c>
      <c r="FB197" s="227" t="s">
        <v>555</v>
      </c>
      <c r="FC197">
        <f t="shared" si="4"/>
        <v>0</v>
      </c>
    </row>
    <row r="198" spans="1:159" ht="17.25" thickBot="1" x14ac:dyDescent="0.3">
      <c r="A198" s="226">
        <v>46044</v>
      </c>
      <c r="B198" s="227" t="s">
        <v>168</v>
      </c>
      <c r="C198" s="227" t="s">
        <v>297</v>
      </c>
      <c r="D198" s="228">
        <v>175</v>
      </c>
      <c r="E198" s="228">
        <v>5</v>
      </c>
      <c r="F198" s="231">
        <v>4015.9</v>
      </c>
      <c r="G198" s="231">
        <v>4076</v>
      </c>
      <c r="H198" s="228">
        <v>-60.1</v>
      </c>
      <c r="I198" s="229">
        <v>-1.47E-2</v>
      </c>
      <c r="J198" s="231">
        <v>4018.6</v>
      </c>
      <c r="K198" s="231">
        <v>4079.2</v>
      </c>
      <c r="L198" s="228">
        <v>-60.6</v>
      </c>
      <c r="M198" s="229">
        <v>-1.49E-2</v>
      </c>
      <c r="N198" s="231">
        <v>4015.9</v>
      </c>
      <c r="O198" s="231">
        <v>4076</v>
      </c>
      <c r="P198" s="228">
        <v>-60.1</v>
      </c>
      <c r="Q198" s="229">
        <v>-1.47E-2</v>
      </c>
      <c r="R198" s="231">
        <v>4038.4</v>
      </c>
      <c r="S198" s="231">
        <v>4098</v>
      </c>
      <c r="T198" s="228">
        <v>-59.6</v>
      </c>
      <c r="U198" s="229">
        <v>-1.4500000000000001E-2</v>
      </c>
      <c r="V198" s="231">
        <v>4071</v>
      </c>
      <c r="W198" s="231">
        <v>4127.3999999999996</v>
      </c>
      <c r="X198" s="228">
        <v>-56.4</v>
      </c>
      <c r="Y198" s="229">
        <v>-1.37E-2</v>
      </c>
      <c r="Z198" s="228">
        <v>-2.7</v>
      </c>
      <c r="AA198" s="228">
        <v>-3.2</v>
      </c>
      <c r="AB198" s="228">
        <v>0.5</v>
      </c>
      <c r="AC198" s="229">
        <v>-6.9999999999999999E-4</v>
      </c>
      <c r="AD198" s="228">
        <v>-2.7</v>
      </c>
      <c r="AE198" s="228">
        <v>-3.2</v>
      </c>
      <c r="AF198" s="228">
        <v>0.5</v>
      </c>
      <c r="AG198" s="229">
        <v>-6.9999999999999999E-4</v>
      </c>
      <c r="AH198" s="228">
        <v>19.8</v>
      </c>
      <c r="AI198" s="228">
        <v>18.8</v>
      </c>
      <c r="AJ198" s="228">
        <v>1</v>
      </c>
      <c r="AK198" s="229">
        <v>4.8999999999999998E-3</v>
      </c>
      <c r="AL198" s="228">
        <v>52.4</v>
      </c>
      <c r="AM198" s="228">
        <v>48.2</v>
      </c>
      <c r="AN198" s="228">
        <v>4.2</v>
      </c>
      <c r="AO198" s="229">
        <v>1.2999999999999999E-2</v>
      </c>
      <c r="AP198" s="231">
        <v>4038.54</v>
      </c>
      <c r="AQ198" s="231">
        <v>4061.42</v>
      </c>
      <c r="AR198" s="228">
        <v>0</v>
      </c>
      <c r="AS198" s="230">
        <v>2693</v>
      </c>
      <c r="AT198" s="230">
        <v>1953</v>
      </c>
      <c r="AU198" s="228">
        <v>740</v>
      </c>
      <c r="AV198" s="229">
        <v>0.37859999999999999</v>
      </c>
      <c r="AW198" s="230">
        <v>1431</v>
      </c>
      <c r="AX198" s="230">
        <v>1059</v>
      </c>
      <c r="AY198" s="228">
        <v>372</v>
      </c>
      <c r="AZ198" s="229">
        <v>0.35120000000000001</v>
      </c>
      <c r="BA198" s="230">
        <v>1255</v>
      </c>
      <c r="BB198" s="228">
        <v>889</v>
      </c>
      <c r="BC198" s="228">
        <v>366</v>
      </c>
      <c r="BD198" s="229">
        <v>0.41199999999999998</v>
      </c>
      <c r="BE198" s="228">
        <v>6</v>
      </c>
      <c r="BF198" s="228">
        <v>5</v>
      </c>
      <c r="BG198" s="228">
        <v>1</v>
      </c>
      <c r="BH198" s="229">
        <v>0.26390000000000002</v>
      </c>
      <c r="BI198" s="230">
        <v>4519</v>
      </c>
      <c r="BJ198" s="230">
        <v>2337</v>
      </c>
      <c r="BK198" s="230">
        <v>2182</v>
      </c>
      <c r="BL198" s="229">
        <v>0.93400000000000005</v>
      </c>
      <c r="BM198" s="230">
        <v>3365</v>
      </c>
      <c r="BN198" s="230">
        <v>1830</v>
      </c>
      <c r="BO198" s="230">
        <v>1535</v>
      </c>
      <c r="BP198" s="229">
        <v>0.83899999999999997</v>
      </c>
      <c r="BQ198" s="230">
        <v>10576</v>
      </c>
      <c r="BR198" s="230">
        <v>6119</v>
      </c>
      <c r="BS198" s="230">
        <v>4457</v>
      </c>
      <c r="BT198" s="229">
        <v>0.72829999999999995</v>
      </c>
      <c r="BU198" s="230">
        <v>837055</v>
      </c>
      <c r="BV198" s="230">
        <v>563189</v>
      </c>
      <c r="BW198" s="230">
        <v>273866</v>
      </c>
      <c r="BX198" s="229">
        <v>0.48630000000000001</v>
      </c>
      <c r="BY198" s="230">
        <v>3621</v>
      </c>
      <c r="BZ198" s="230">
        <v>3670</v>
      </c>
      <c r="CA198" s="228">
        <v>-50</v>
      </c>
      <c r="CB198" s="229">
        <v>-1.35E-2</v>
      </c>
      <c r="CC198" s="230">
        <v>1520</v>
      </c>
      <c r="CD198" s="230">
        <v>2528</v>
      </c>
      <c r="CE198" s="230">
        <v>-1008</v>
      </c>
      <c r="CF198" s="229">
        <v>-0.39860000000000001</v>
      </c>
      <c r="CG198" s="230">
        <v>1967</v>
      </c>
      <c r="CH198" s="230">
        <v>1009</v>
      </c>
      <c r="CI198" s="228">
        <v>957</v>
      </c>
      <c r="CJ198" s="229">
        <v>0.94850000000000001</v>
      </c>
      <c r="CK198" s="228">
        <v>134</v>
      </c>
      <c r="CL198" s="228">
        <v>133</v>
      </c>
      <c r="CM198" s="228">
        <v>1</v>
      </c>
      <c r="CN198" s="229">
        <v>6.8999999999999999E-3</v>
      </c>
      <c r="CO198" s="230">
        <v>2325</v>
      </c>
      <c r="CP198" s="230">
        <v>2097</v>
      </c>
      <c r="CQ198" s="228">
        <v>229</v>
      </c>
      <c r="CR198" s="229">
        <v>0.109</v>
      </c>
      <c r="CS198" s="230">
        <v>1317</v>
      </c>
      <c r="CT198" s="230">
        <v>1316</v>
      </c>
      <c r="CU198" s="228">
        <v>1</v>
      </c>
      <c r="CV198" s="229">
        <v>6.9999999999999999E-4</v>
      </c>
      <c r="CW198" s="230">
        <v>7263</v>
      </c>
      <c r="CX198" s="230">
        <v>7083</v>
      </c>
      <c r="CY198" s="228">
        <v>180</v>
      </c>
      <c r="CZ198" s="229">
        <v>2.5399999999999999E-2</v>
      </c>
      <c r="DA198" s="228">
        <v>26.26</v>
      </c>
      <c r="DB198" s="228">
        <v>17.82</v>
      </c>
      <c r="DC198" s="228">
        <v>8.44</v>
      </c>
      <c r="DD198" s="228">
        <v>8.44</v>
      </c>
      <c r="DE198" s="228">
        <v>24.58</v>
      </c>
      <c r="DF198" s="228">
        <v>24.56</v>
      </c>
      <c r="DG198" s="228">
        <v>1.68</v>
      </c>
      <c r="DH198" s="228">
        <v>0.02</v>
      </c>
      <c r="DI198" s="228">
        <v>25.21</v>
      </c>
      <c r="DJ198" s="228">
        <v>18.64</v>
      </c>
      <c r="DK198" s="228">
        <v>6.57</v>
      </c>
      <c r="DL198" s="228">
        <v>6.57</v>
      </c>
      <c r="DM198" s="228">
        <v>27.72</v>
      </c>
      <c r="DN198" s="228">
        <v>16.78</v>
      </c>
      <c r="DO198" s="228">
        <v>10.94</v>
      </c>
      <c r="DP198" s="228">
        <v>10.94</v>
      </c>
      <c r="DQ198" s="228">
        <v>0.56999999999999995</v>
      </c>
      <c r="DR198" s="228">
        <v>0.63</v>
      </c>
      <c r="DS198" s="228">
        <v>-0.06</v>
      </c>
      <c r="DT198" s="229">
        <v>-9.5200000000000007E-2</v>
      </c>
      <c r="DU198" s="231">
        <v>4200</v>
      </c>
      <c r="DV198" s="231">
        <v>4000</v>
      </c>
      <c r="DW198" s="228">
        <v>0.74</v>
      </c>
      <c r="DX198" s="228">
        <v>0.78</v>
      </c>
      <c r="DY198" s="228">
        <v>-0.04</v>
      </c>
      <c r="DZ198" s="229">
        <v>-5.1299999999999998E-2</v>
      </c>
      <c r="EA198" s="229">
        <v>0.58009999999999995</v>
      </c>
      <c r="EB198" s="230">
        <v>2843925</v>
      </c>
      <c r="EC198" s="229">
        <v>5.5999999999999999E-3</v>
      </c>
      <c r="ED198" s="229">
        <v>0.58009999999999995</v>
      </c>
      <c r="EE198" s="228">
        <v>22.88</v>
      </c>
      <c r="EF198" s="229">
        <v>5.7000000000000002E-3</v>
      </c>
      <c r="EG198" s="230">
        <v>488617</v>
      </c>
      <c r="EH198" s="230">
        <v>306515</v>
      </c>
      <c r="EI198" s="229">
        <v>0.59409999999999996</v>
      </c>
      <c r="EJ198" s="229">
        <v>0.5837</v>
      </c>
      <c r="EK198" s="231">
        <v>4685.22</v>
      </c>
      <c r="EL198" s="231">
        <v>3366.91</v>
      </c>
      <c r="EM198" s="231">
        <v>2715.04</v>
      </c>
      <c r="EN198" s="228">
        <v>114.34</v>
      </c>
      <c r="EO198" s="231">
        <v>10767.16</v>
      </c>
      <c r="EP198" s="231">
        <v>6281.97</v>
      </c>
      <c r="EQ198" s="231">
        <v>4485.1899999999996</v>
      </c>
      <c r="ER198" s="229">
        <v>0.71399999999999997</v>
      </c>
      <c r="ES198" s="231">
        <v>2455.31</v>
      </c>
      <c r="ET198" s="231">
        <v>1315.88</v>
      </c>
      <c r="EU198" s="231">
        <v>3633.59</v>
      </c>
      <c r="EV198" s="231">
        <v>45680146</v>
      </c>
      <c r="EW198" s="231">
        <v>7404.78</v>
      </c>
      <c r="EX198" s="231">
        <v>7272.82</v>
      </c>
      <c r="EY198" s="228">
        <v>131.96</v>
      </c>
      <c r="EZ198" s="229">
        <v>1.8100000000000002E-2</v>
      </c>
      <c r="FA198" s="229">
        <v>0.39589999999999997</v>
      </c>
      <c r="FB198" s="227" t="s">
        <v>568</v>
      </c>
      <c r="FC198">
        <f t="shared" si="4"/>
        <v>0</v>
      </c>
    </row>
    <row r="199" spans="1:159" ht="17.25" thickBot="1" x14ac:dyDescent="0.3">
      <c r="A199" s="226">
        <v>46044</v>
      </c>
      <c r="B199" s="227" t="s">
        <v>162</v>
      </c>
      <c r="C199" s="227" t="s">
        <v>689</v>
      </c>
      <c r="D199" s="228">
        <v>800</v>
      </c>
      <c r="E199" s="228">
        <v>5</v>
      </c>
      <c r="F199" s="228">
        <v>348.3</v>
      </c>
      <c r="G199" s="228">
        <v>339.1</v>
      </c>
      <c r="H199" s="228">
        <v>9.1999999999999993</v>
      </c>
      <c r="I199" s="229">
        <v>2.7099999999999999E-2</v>
      </c>
      <c r="J199" s="228">
        <v>347.3</v>
      </c>
      <c r="K199" s="228">
        <v>339.25</v>
      </c>
      <c r="L199" s="228">
        <v>8.0500000000000007</v>
      </c>
      <c r="M199" s="229">
        <v>2.3699999999999999E-2</v>
      </c>
      <c r="N199" s="228">
        <v>348.3</v>
      </c>
      <c r="O199" s="228">
        <v>339.1</v>
      </c>
      <c r="P199" s="228">
        <v>9.1999999999999993</v>
      </c>
      <c r="Q199" s="229">
        <v>2.7099999999999999E-2</v>
      </c>
      <c r="R199" s="228">
        <v>349.15</v>
      </c>
      <c r="S199" s="228">
        <v>340.45</v>
      </c>
      <c r="T199" s="228">
        <v>8.6999999999999993</v>
      </c>
      <c r="U199" s="229">
        <v>2.5600000000000001E-2</v>
      </c>
      <c r="V199" s="228">
        <v>351.35</v>
      </c>
      <c r="W199" s="228">
        <v>342.7</v>
      </c>
      <c r="X199" s="228">
        <v>8.65</v>
      </c>
      <c r="Y199" s="229">
        <v>2.52E-2</v>
      </c>
      <c r="Z199" s="228">
        <v>1</v>
      </c>
      <c r="AA199" s="228">
        <v>-0.15</v>
      </c>
      <c r="AB199" s="228">
        <v>1.1499999999999999</v>
      </c>
      <c r="AC199" s="229">
        <v>2.8999999999999998E-3</v>
      </c>
      <c r="AD199" s="228">
        <v>1</v>
      </c>
      <c r="AE199" s="228">
        <v>-0.15</v>
      </c>
      <c r="AF199" s="228">
        <v>1.1499999999999999</v>
      </c>
      <c r="AG199" s="229">
        <v>2.8999999999999998E-3</v>
      </c>
      <c r="AH199" s="228">
        <v>1.85</v>
      </c>
      <c r="AI199" s="228">
        <v>1.2</v>
      </c>
      <c r="AJ199" s="228">
        <v>0.65</v>
      </c>
      <c r="AK199" s="229">
        <v>5.3E-3</v>
      </c>
      <c r="AL199" s="228">
        <v>4.05</v>
      </c>
      <c r="AM199" s="228">
        <v>3.45</v>
      </c>
      <c r="AN199" s="228">
        <v>0.6</v>
      </c>
      <c r="AO199" s="229">
        <v>1.17E-2</v>
      </c>
      <c r="AP199" s="228">
        <v>348.32</v>
      </c>
      <c r="AQ199" s="228">
        <v>349.47</v>
      </c>
      <c r="AR199" s="228">
        <v>0</v>
      </c>
      <c r="AS199" s="230">
        <v>2607</v>
      </c>
      <c r="AT199" s="230">
        <v>2113</v>
      </c>
      <c r="AU199" s="228">
        <v>493</v>
      </c>
      <c r="AV199" s="229">
        <v>0.2334</v>
      </c>
      <c r="AW199" s="230">
        <v>1342</v>
      </c>
      <c r="AX199" s="230">
        <v>1163</v>
      </c>
      <c r="AY199" s="228">
        <v>179</v>
      </c>
      <c r="AZ199" s="229">
        <v>0.1542</v>
      </c>
      <c r="BA199" s="230">
        <v>1242</v>
      </c>
      <c r="BB199" s="228">
        <v>932</v>
      </c>
      <c r="BC199" s="228">
        <v>311</v>
      </c>
      <c r="BD199" s="229">
        <v>0.33350000000000002</v>
      </c>
      <c r="BE199" s="228">
        <v>22</v>
      </c>
      <c r="BF199" s="228">
        <v>19</v>
      </c>
      <c r="BG199" s="228">
        <v>3</v>
      </c>
      <c r="BH199" s="229">
        <v>0.16739999999999999</v>
      </c>
      <c r="BI199" s="230">
        <v>3394</v>
      </c>
      <c r="BJ199" s="230">
        <v>2463</v>
      </c>
      <c r="BK199" s="228">
        <v>931</v>
      </c>
      <c r="BL199" s="229">
        <v>0.37809999999999999</v>
      </c>
      <c r="BM199" s="230">
        <v>1610</v>
      </c>
      <c r="BN199" s="230">
        <v>1500</v>
      </c>
      <c r="BO199" s="228">
        <v>111</v>
      </c>
      <c r="BP199" s="229">
        <v>7.3700000000000002E-2</v>
      </c>
      <c r="BQ199" s="230">
        <v>7611</v>
      </c>
      <c r="BR199" s="230">
        <v>6076</v>
      </c>
      <c r="BS199" s="230">
        <v>1535</v>
      </c>
      <c r="BT199" s="229">
        <v>0.25259999999999999</v>
      </c>
      <c r="BU199" s="230">
        <v>10714263</v>
      </c>
      <c r="BV199" s="230">
        <v>9873473</v>
      </c>
      <c r="BW199" s="230">
        <v>840790</v>
      </c>
      <c r="BX199" s="229">
        <v>8.5199999999999998E-2</v>
      </c>
      <c r="BY199" s="230">
        <v>2985</v>
      </c>
      <c r="BZ199" s="230">
        <v>3082</v>
      </c>
      <c r="CA199" s="228">
        <v>-97</v>
      </c>
      <c r="CB199" s="229">
        <v>-3.15E-2</v>
      </c>
      <c r="CC199" s="230">
        <v>1048</v>
      </c>
      <c r="CD199" s="230">
        <v>1949</v>
      </c>
      <c r="CE199" s="228">
        <v>-902</v>
      </c>
      <c r="CF199" s="229">
        <v>-0.46250000000000002</v>
      </c>
      <c r="CG199" s="230">
        <v>1843</v>
      </c>
      <c r="CH199" s="230">
        <v>1042</v>
      </c>
      <c r="CI199" s="228">
        <v>802</v>
      </c>
      <c r="CJ199" s="229">
        <v>0.76949999999999996</v>
      </c>
      <c r="CK199" s="228">
        <v>94</v>
      </c>
      <c r="CL199" s="228">
        <v>91</v>
      </c>
      <c r="CM199" s="228">
        <v>3</v>
      </c>
      <c r="CN199" s="229">
        <v>3.0800000000000001E-2</v>
      </c>
      <c r="CO199" s="230">
        <v>1863</v>
      </c>
      <c r="CP199" s="230">
        <v>1956</v>
      </c>
      <c r="CQ199" s="228">
        <v>-93</v>
      </c>
      <c r="CR199" s="229">
        <v>-4.7300000000000002E-2</v>
      </c>
      <c r="CS199" s="230">
        <v>1047</v>
      </c>
      <c r="CT199" s="230">
        <v>1006</v>
      </c>
      <c r="CU199" s="228">
        <v>40</v>
      </c>
      <c r="CV199" s="229">
        <v>4.02E-2</v>
      </c>
      <c r="CW199" s="230">
        <v>5895</v>
      </c>
      <c r="CX199" s="230">
        <v>6045</v>
      </c>
      <c r="CY199" s="228">
        <v>-149</v>
      </c>
      <c r="CZ199" s="229">
        <v>-2.47E-2</v>
      </c>
      <c r="DA199" s="228">
        <v>33.880000000000003</v>
      </c>
      <c r="DB199" s="228">
        <v>28.99</v>
      </c>
      <c r="DC199" s="228">
        <v>4.8899999999999997</v>
      </c>
      <c r="DD199" s="228">
        <v>4.8899999999999997</v>
      </c>
      <c r="DE199" s="228">
        <v>33.28</v>
      </c>
      <c r="DF199" s="228">
        <v>33.17</v>
      </c>
      <c r="DG199" s="228">
        <v>0.6</v>
      </c>
      <c r="DH199" s="228">
        <v>0.11</v>
      </c>
      <c r="DI199" s="228">
        <v>34</v>
      </c>
      <c r="DJ199" s="228">
        <v>29.79</v>
      </c>
      <c r="DK199" s="228">
        <v>4.21</v>
      </c>
      <c r="DL199" s="228">
        <v>4.21</v>
      </c>
      <c r="DM199" s="228">
        <v>33.69</v>
      </c>
      <c r="DN199" s="228">
        <v>27.68</v>
      </c>
      <c r="DO199" s="228">
        <v>6.01</v>
      </c>
      <c r="DP199" s="228">
        <v>6.01</v>
      </c>
      <c r="DQ199" s="228">
        <v>0.56000000000000005</v>
      </c>
      <c r="DR199" s="228">
        <v>0.51</v>
      </c>
      <c r="DS199" s="228">
        <v>0.05</v>
      </c>
      <c r="DT199" s="229">
        <v>9.8000000000000004E-2</v>
      </c>
      <c r="DU199" s="228">
        <v>370</v>
      </c>
      <c r="DV199" s="228">
        <v>340</v>
      </c>
      <c r="DW199" s="228">
        <v>0.47</v>
      </c>
      <c r="DX199" s="228">
        <v>0.61</v>
      </c>
      <c r="DY199" s="228">
        <v>-0.14000000000000001</v>
      </c>
      <c r="DZ199" s="229">
        <v>-0.22950000000000001</v>
      </c>
      <c r="EA199" s="229">
        <v>0.64910000000000001</v>
      </c>
      <c r="EB199" s="230">
        <v>32531200</v>
      </c>
      <c r="EC199" s="229">
        <v>2.3999999999999998E-3</v>
      </c>
      <c r="ED199" s="229">
        <v>0.64910000000000001</v>
      </c>
      <c r="EE199" s="228">
        <v>1.1499999999999999</v>
      </c>
      <c r="EF199" s="229">
        <v>3.3E-3</v>
      </c>
      <c r="EG199" s="230">
        <v>5412045</v>
      </c>
      <c r="EH199" s="230">
        <v>5202593</v>
      </c>
      <c r="EI199" s="229">
        <v>4.0300000000000002E-2</v>
      </c>
      <c r="EJ199" s="229">
        <v>0.50509999999999999</v>
      </c>
      <c r="EK199" s="231">
        <v>3550.32</v>
      </c>
      <c r="EL199" s="231">
        <v>1604.89</v>
      </c>
      <c r="EM199" s="231">
        <v>2611.02</v>
      </c>
      <c r="EN199" s="228">
        <v>406.41</v>
      </c>
      <c r="EO199" s="231">
        <v>7766.23</v>
      </c>
      <c r="EP199" s="231">
        <v>6059.59</v>
      </c>
      <c r="EQ199" s="231">
        <v>1706.64</v>
      </c>
      <c r="ER199" s="229">
        <v>0.28160000000000002</v>
      </c>
      <c r="ES199" s="231">
        <v>2013.97</v>
      </c>
      <c r="ET199" s="231">
        <v>1053.22</v>
      </c>
      <c r="EU199" s="231">
        <v>2990.48</v>
      </c>
      <c r="EV199" s="231">
        <v>317235726</v>
      </c>
      <c r="EW199" s="231">
        <v>6057.66</v>
      </c>
      <c r="EX199" s="231">
        <v>6127.87</v>
      </c>
      <c r="EY199" s="228">
        <v>-70.209999999999994</v>
      </c>
      <c r="EZ199" s="229">
        <v>-1.15E-2</v>
      </c>
      <c r="FA199" s="229">
        <v>0.53359999999999996</v>
      </c>
      <c r="FB199" s="227" t="s">
        <v>556</v>
      </c>
      <c r="FC199">
        <f t="shared" si="4"/>
        <v>0</v>
      </c>
    </row>
    <row r="200" spans="1:159" ht="17.25" thickBot="1" x14ac:dyDescent="0.3">
      <c r="A200" s="226">
        <v>46044</v>
      </c>
      <c r="B200" s="227" t="s">
        <v>170</v>
      </c>
      <c r="C200" s="227" t="s">
        <v>298</v>
      </c>
      <c r="D200" s="228">
        <v>250</v>
      </c>
      <c r="E200" s="228">
        <v>5</v>
      </c>
      <c r="F200" s="231">
        <v>4019.7</v>
      </c>
      <c r="G200" s="231">
        <v>3977.3</v>
      </c>
      <c r="H200" s="228">
        <v>42.4</v>
      </c>
      <c r="I200" s="229">
        <v>1.0699999999999999E-2</v>
      </c>
      <c r="J200" s="231">
        <v>4020.5</v>
      </c>
      <c r="K200" s="231">
        <v>3981.8</v>
      </c>
      <c r="L200" s="228">
        <v>38.700000000000003</v>
      </c>
      <c r="M200" s="229">
        <v>9.7000000000000003E-3</v>
      </c>
      <c r="N200" s="231">
        <v>4019.7</v>
      </c>
      <c r="O200" s="231">
        <v>3977.3</v>
      </c>
      <c r="P200" s="228">
        <v>42.4</v>
      </c>
      <c r="Q200" s="229">
        <v>1.0699999999999999E-2</v>
      </c>
      <c r="R200" s="231">
        <v>4015.8</v>
      </c>
      <c r="S200" s="231">
        <v>3963.6</v>
      </c>
      <c r="T200" s="228">
        <v>52.2</v>
      </c>
      <c r="U200" s="229">
        <v>1.32E-2</v>
      </c>
      <c r="V200" s="231">
        <v>4027.2</v>
      </c>
      <c r="W200" s="231">
        <v>3958.4</v>
      </c>
      <c r="X200" s="228">
        <v>68.8</v>
      </c>
      <c r="Y200" s="229">
        <v>1.7399999999999999E-2</v>
      </c>
      <c r="Z200" s="228">
        <v>-0.8</v>
      </c>
      <c r="AA200" s="228">
        <v>-4.5</v>
      </c>
      <c r="AB200" s="228">
        <v>3.7</v>
      </c>
      <c r="AC200" s="229">
        <v>-2.0000000000000001E-4</v>
      </c>
      <c r="AD200" s="228">
        <v>-0.8</v>
      </c>
      <c r="AE200" s="228">
        <v>-4.5</v>
      </c>
      <c r="AF200" s="228">
        <v>3.7</v>
      </c>
      <c r="AG200" s="229">
        <v>-2.0000000000000001E-4</v>
      </c>
      <c r="AH200" s="228">
        <v>-4.7</v>
      </c>
      <c r="AI200" s="228">
        <v>-18.2</v>
      </c>
      <c r="AJ200" s="228">
        <v>13.5</v>
      </c>
      <c r="AK200" s="229">
        <v>-1.1999999999999999E-3</v>
      </c>
      <c r="AL200" s="228">
        <v>6.7</v>
      </c>
      <c r="AM200" s="228">
        <v>-23.4</v>
      </c>
      <c r="AN200" s="228">
        <v>30.1</v>
      </c>
      <c r="AO200" s="229">
        <v>1.6999999999999999E-3</v>
      </c>
      <c r="AP200" s="231">
        <v>4008.47</v>
      </c>
      <c r="AQ200" s="231">
        <v>4002.67</v>
      </c>
      <c r="AR200" s="228">
        <v>0</v>
      </c>
      <c r="AS200" s="228">
        <v>735</v>
      </c>
      <c r="AT200" s="228">
        <v>770</v>
      </c>
      <c r="AU200" s="228">
        <v>-35</v>
      </c>
      <c r="AV200" s="229">
        <v>-4.5699999999999998E-2</v>
      </c>
      <c r="AW200" s="228">
        <v>378</v>
      </c>
      <c r="AX200" s="228">
        <v>409</v>
      </c>
      <c r="AY200" s="228">
        <v>-31</v>
      </c>
      <c r="AZ200" s="229">
        <v>-7.5700000000000003E-2</v>
      </c>
      <c r="BA200" s="228">
        <v>355</v>
      </c>
      <c r="BB200" s="228">
        <v>359</v>
      </c>
      <c r="BC200" s="228">
        <v>-4</v>
      </c>
      <c r="BD200" s="229">
        <v>-1.12E-2</v>
      </c>
      <c r="BE200" s="228">
        <v>1</v>
      </c>
      <c r="BF200" s="228">
        <v>1</v>
      </c>
      <c r="BG200" s="228">
        <v>0</v>
      </c>
      <c r="BH200" s="229">
        <v>-0.15379999999999999</v>
      </c>
      <c r="BI200" s="228">
        <v>230</v>
      </c>
      <c r="BJ200" s="228">
        <v>323</v>
      </c>
      <c r="BK200" s="228">
        <v>-93</v>
      </c>
      <c r="BL200" s="229">
        <v>-0.28820000000000001</v>
      </c>
      <c r="BM200" s="228">
        <v>177</v>
      </c>
      <c r="BN200" s="228">
        <v>181</v>
      </c>
      <c r="BO200" s="228">
        <v>-4</v>
      </c>
      <c r="BP200" s="229">
        <v>-2.06E-2</v>
      </c>
      <c r="BQ200" s="230">
        <v>1142</v>
      </c>
      <c r="BR200" s="230">
        <v>1274</v>
      </c>
      <c r="BS200" s="228">
        <v>-132</v>
      </c>
      <c r="BT200" s="229">
        <v>-0.1037</v>
      </c>
      <c r="BU200" s="230">
        <v>169107</v>
      </c>
      <c r="BV200" s="230">
        <v>369460</v>
      </c>
      <c r="BW200" s="230">
        <v>-200353</v>
      </c>
      <c r="BX200" s="229">
        <v>-0.5423</v>
      </c>
      <c r="BY200" s="230">
        <v>1026</v>
      </c>
      <c r="BZ200" s="228">
        <v>979</v>
      </c>
      <c r="CA200" s="228">
        <v>48</v>
      </c>
      <c r="CB200" s="229">
        <v>4.87E-2</v>
      </c>
      <c r="CC200" s="228">
        <v>445</v>
      </c>
      <c r="CD200" s="228">
        <v>645</v>
      </c>
      <c r="CE200" s="228">
        <v>-200</v>
      </c>
      <c r="CF200" s="229">
        <v>-0.31040000000000001</v>
      </c>
      <c r="CG200" s="228">
        <v>579</v>
      </c>
      <c r="CH200" s="228">
        <v>332</v>
      </c>
      <c r="CI200" s="228">
        <v>247</v>
      </c>
      <c r="CJ200" s="229">
        <v>0.74480000000000002</v>
      </c>
      <c r="CK200" s="228">
        <v>2</v>
      </c>
      <c r="CL200" s="228">
        <v>2</v>
      </c>
      <c r="CM200" s="228">
        <v>1</v>
      </c>
      <c r="CN200" s="229">
        <v>0.4667</v>
      </c>
      <c r="CO200" s="228">
        <v>216</v>
      </c>
      <c r="CP200" s="228">
        <v>237</v>
      </c>
      <c r="CQ200" s="228">
        <v>-22</v>
      </c>
      <c r="CR200" s="229">
        <v>-9.1399999999999995E-2</v>
      </c>
      <c r="CS200" s="228">
        <v>181</v>
      </c>
      <c r="CT200" s="228">
        <v>180</v>
      </c>
      <c r="CU200" s="228">
        <v>1</v>
      </c>
      <c r="CV200" s="229">
        <v>6.7000000000000002E-3</v>
      </c>
      <c r="CW200" s="230">
        <v>1423</v>
      </c>
      <c r="CX200" s="230">
        <v>1396</v>
      </c>
      <c r="CY200" s="228">
        <v>27</v>
      </c>
      <c r="CZ200" s="229">
        <v>1.9400000000000001E-2</v>
      </c>
      <c r="DA200" s="228">
        <v>25.48</v>
      </c>
      <c r="DB200" s="228">
        <v>23.29</v>
      </c>
      <c r="DC200" s="228">
        <v>2.19</v>
      </c>
      <c r="DD200" s="228">
        <v>2.19</v>
      </c>
      <c r="DE200" s="228">
        <v>25.34</v>
      </c>
      <c r="DF200" s="228">
        <v>25.37</v>
      </c>
      <c r="DG200" s="228">
        <v>0.14000000000000001</v>
      </c>
      <c r="DH200" s="228">
        <v>-0.03</v>
      </c>
      <c r="DI200" s="228">
        <v>22.77</v>
      </c>
      <c r="DJ200" s="228">
        <v>22.33</v>
      </c>
      <c r="DK200" s="228">
        <v>0.44</v>
      </c>
      <c r="DL200" s="228">
        <v>0.44</v>
      </c>
      <c r="DM200" s="228">
        <v>29.1</v>
      </c>
      <c r="DN200" s="228">
        <v>25.01</v>
      </c>
      <c r="DO200" s="228">
        <v>4.09</v>
      </c>
      <c r="DP200" s="228">
        <v>4.09</v>
      </c>
      <c r="DQ200" s="228">
        <v>0.84</v>
      </c>
      <c r="DR200" s="228">
        <v>0.76</v>
      </c>
      <c r="DS200" s="228">
        <v>0.08</v>
      </c>
      <c r="DT200" s="229">
        <v>0.1053</v>
      </c>
      <c r="DU200" s="231">
        <v>4200</v>
      </c>
      <c r="DV200" s="231">
        <v>3800</v>
      </c>
      <c r="DW200" s="228">
        <v>0.77</v>
      </c>
      <c r="DX200" s="228">
        <v>0.56000000000000005</v>
      </c>
      <c r="DY200" s="228">
        <v>0.21</v>
      </c>
      <c r="DZ200" s="229">
        <v>0.375</v>
      </c>
      <c r="EA200" s="229">
        <v>0.56640000000000001</v>
      </c>
      <c r="EB200" s="230">
        <v>829500</v>
      </c>
      <c r="EC200" s="229">
        <v>-1E-3</v>
      </c>
      <c r="ED200" s="229">
        <v>0.56640000000000001</v>
      </c>
      <c r="EE200" s="228">
        <v>-5.8</v>
      </c>
      <c r="EF200" s="229">
        <v>-1.4E-3</v>
      </c>
      <c r="EG200" s="230">
        <v>88786</v>
      </c>
      <c r="EH200" s="230">
        <v>218927</v>
      </c>
      <c r="EI200" s="229">
        <v>-0.59440000000000004</v>
      </c>
      <c r="EJ200" s="229">
        <v>0.52500000000000002</v>
      </c>
      <c r="EK200" s="228">
        <v>234.67</v>
      </c>
      <c r="EL200" s="228">
        <v>169.87</v>
      </c>
      <c r="EM200" s="228">
        <v>732.04</v>
      </c>
      <c r="EN200" s="228">
        <v>35.01</v>
      </c>
      <c r="EO200" s="231">
        <v>1136.58</v>
      </c>
      <c r="EP200" s="231">
        <v>1262.9000000000001</v>
      </c>
      <c r="EQ200" s="228">
        <v>-126.32</v>
      </c>
      <c r="ER200" s="229">
        <v>-0.1</v>
      </c>
      <c r="ES200" s="228">
        <v>219.29</v>
      </c>
      <c r="ET200" s="228">
        <v>173.58</v>
      </c>
      <c r="EU200" s="231">
        <v>1025.77</v>
      </c>
      <c r="EV200" s="231">
        <v>10726004</v>
      </c>
      <c r="EW200" s="231">
        <v>1418.65</v>
      </c>
      <c r="EX200" s="231">
        <v>1381.61</v>
      </c>
      <c r="EY200" s="228">
        <v>37.04</v>
      </c>
      <c r="EZ200" s="229">
        <v>2.6800000000000001E-2</v>
      </c>
      <c r="FA200" s="229">
        <v>0.3301</v>
      </c>
      <c r="FB200" s="227" t="s">
        <v>555</v>
      </c>
      <c r="FC200">
        <f t="shared" si="4"/>
        <v>0</v>
      </c>
    </row>
    <row r="201" spans="1:159" ht="17.25" thickBot="1" x14ac:dyDescent="0.3">
      <c r="A201" s="226">
        <v>46044</v>
      </c>
      <c r="B201" s="227" t="s">
        <v>161</v>
      </c>
      <c r="C201" s="227" t="s">
        <v>299</v>
      </c>
      <c r="D201" s="228">
        <v>425</v>
      </c>
      <c r="E201" s="228">
        <v>5</v>
      </c>
      <c r="F201" s="231">
        <v>1322.1</v>
      </c>
      <c r="G201" s="231">
        <v>1303.3</v>
      </c>
      <c r="H201" s="228">
        <v>18.8</v>
      </c>
      <c r="I201" s="229">
        <v>1.44E-2</v>
      </c>
      <c r="J201" s="231">
        <v>1321.4</v>
      </c>
      <c r="K201" s="231">
        <v>1300.2</v>
      </c>
      <c r="L201" s="228">
        <v>21.2</v>
      </c>
      <c r="M201" s="229">
        <v>1.6299999999999999E-2</v>
      </c>
      <c r="N201" s="231">
        <v>1322.1</v>
      </c>
      <c r="O201" s="231">
        <v>1303.3</v>
      </c>
      <c r="P201" s="228">
        <v>18.8</v>
      </c>
      <c r="Q201" s="229">
        <v>1.44E-2</v>
      </c>
      <c r="R201" s="231">
        <v>1314.7</v>
      </c>
      <c r="S201" s="231">
        <v>1293.5</v>
      </c>
      <c r="T201" s="228">
        <v>21.2</v>
      </c>
      <c r="U201" s="229">
        <v>1.6400000000000001E-2</v>
      </c>
      <c r="V201" s="231">
        <v>1313.9</v>
      </c>
      <c r="W201" s="231">
        <v>1303</v>
      </c>
      <c r="X201" s="228">
        <v>10.9</v>
      </c>
      <c r="Y201" s="229">
        <v>8.3999999999999995E-3</v>
      </c>
      <c r="Z201" s="228">
        <v>0.7</v>
      </c>
      <c r="AA201" s="228">
        <v>3.1</v>
      </c>
      <c r="AB201" s="228">
        <v>-2.4</v>
      </c>
      <c r="AC201" s="229">
        <v>5.0000000000000001E-4</v>
      </c>
      <c r="AD201" s="228">
        <v>0.7</v>
      </c>
      <c r="AE201" s="228">
        <v>3.1</v>
      </c>
      <c r="AF201" s="228">
        <v>-2.4</v>
      </c>
      <c r="AG201" s="229">
        <v>5.0000000000000001E-4</v>
      </c>
      <c r="AH201" s="228">
        <v>-6.7</v>
      </c>
      <c r="AI201" s="228">
        <v>-6.7</v>
      </c>
      <c r="AJ201" s="228">
        <v>0</v>
      </c>
      <c r="AK201" s="229">
        <v>-5.1000000000000004E-3</v>
      </c>
      <c r="AL201" s="228">
        <v>-7.5</v>
      </c>
      <c r="AM201" s="228">
        <v>2.8</v>
      </c>
      <c r="AN201" s="228">
        <v>-10.3</v>
      </c>
      <c r="AO201" s="229">
        <v>-5.7000000000000002E-3</v>
      </c>
      <c r="AP201" s="231">
        <v>1312.89</v>
      </c>
      <c r="AQ201" s="231">
        <v>1305.94</v>
      </c>
      <c r="AR201" s="228">
        <v>0</v>
      </c>
      <c r="AS201" s="228">
        <v>391</v>
      </c>
      <c r="AT201" s="228">
        <v>426</v>
      </c>
      <c r="AU201" s="228">
        <v>-35</v>
      </c>
      <c r="AV201" s="229">
        <v>-8.2900000000000001E-2</v>
      </c>
      <c r="AW201" s="228">
        <v>188</v>
      </c>
      <c r="AX201" s="228">
        <v>215</v>
      </c>
      <c r="AY201" s="228">
        <v>-27</v>
      </c>
      <c r="AZ201" s="229">
        <v>-0.1265</v>
      </c>
      <c r="BA201" s="228">
        <v>203</v>
      </c>
      <c r="BB201" s="228">
        <v>209</v>
      </c>
      <c r="BC201" s="228">
        <v>-6</v>
      </c>
      <c r="BD201" s="229">
        <v>-3.04E-2</v>
      </c>
      <c r="BE201" s="228">
        <v>1</v>
      </c>
      <c r="BF201" s="228">
        <v>2</v>
      </c>
      <c r="BG201" s="228">
        <v>-2</v>
      </c>
      <c r="BH201" s="229">
        <v>-0.76190000000000002</v>
      </c>
      <c r="BI201" s="228">
        <v>107</v>
      </c>
      <c r="BJ201" s="228">
        <v>166</v>
      </c>
      <c r="BK201" s="228">
        <v>-59</v>
      </c>
      <c r="BL201" s="229">
        <v>-0.35510000000000003</v>
      </c>
      <c r="BM201" s="228">
        <v>42</v>
      </c>
      <c r="BN201" s="228">
        <v>146</v>
      </c>
      <c r="BO201" s="228">
        <v>-104</v>
      </c>
      <c r="BP201" s="229">
        <v>-0.71440000000000003</v>
      </c>
      <c r="BQ201" s="228">
        <v>539</v>
      </c>
      <c r="BR201" s="228">
        <v>737</v>
      </c>
      <c r="BS201" s="228">
        <v>-198</v>
      </c>
      <c r="BT201" s="229">
        <v>-0.26860000000000001</v>
      </c>
      <c r="BU201" s="230">
        <v>164589</v>
      </c>
      <c r="BV201" s="230">
        <v>352827</v>
      </c>
      <c r="BW201" s="230">
        <v>-188238</v>
      </c>
      <c r="BX201" s="229">
        <v>-0.53349999999999997</v>
      </c>
      <c r="BY201" s="228">
        <v>409</v>
      </c>
      <c r="BZ201" s="228">
        <v>405</v>
      </c>
      <c r="CA201" s="228">
        <v>4</v>
      </c>
      <c r="CB201" s="229">
        <v>1.0500000000000001E-2</v>
      </c>
      <c r="CC201" s="228">
        <v>152</v>
      </c>
      <c r="CD201" s="228">
        <v>272</v>
      </c>
      <c r="CE201" s="228">
        <v>-120</v>
      </c>
      <c r="CF201" s="229">
        <v>-0.44030000000000002</v>
      </c>
      <c r="CG201" s="228">
        <v>254</v>
      </c>
      <c r="CH201" s="228">
        <v>131</v>
      </c>
      <c r="CI201" s="228">
        <v>124</v>
      </c>
      <c r="CJ201" s="229">
        <v>0.94630000000000003</v>
      </c>
      <c r="CK201" s="228">
        <v>3</v>
      </c>
      <c r="CL201" s="228">
        <v>3</v>
      </c>
      <c r="CM201" s="228">
        <v>0</v>
      </c>
      <c r="CN201" s="229">
        <v>4.0800000000000003E-2</v>
      </c>
      <c r="CO201" s="228">
        <v>195</v>
      </c>
      <c r="CP201" s="228">
        <v>216</v>
      </c>
      <c r="CQ201" s="228">
        <v>-21</v>
      </c>
      <c r="CR201" s="229">
        <v>-9.7000000000000003E-2</v>
      </c>
      <c r="CS201" s="228">
        <v>143</v>
      </c>
      <c r="CT201" s="228">
        <v>150</v>
      </c>
      <c r="CU201" s="228">
        <v>-6</v>
      </c>
      <c r="CV201" s="229">
        <v>-4.2799999999999998E-2</v>
      </c>
      <c r="CW201" s="228">
        <v>748</v>
      </c>
      <c r="CX201" s="228">
        <v>771</v>
      </c>
      <c r="CY201" s="228">
        <v>-23</v>
      </c>
      <c r="CZ201" s="229">
        <v>-0.03</v>
      </c>
      <c r="DA201" s="228">
        <v>29.72</v>
      </c>
      <c r="DB201" s="228">
        <v>28.8</v>
      </c>
      <c r="DC201" s="228">
        <v>0.92</v>
      </c>
      <c r="DD201" s="228">
        <v>0.92</v>
      </c>
      <c r="DE201" s="228">
        <v>39.340000000000003</v>
      </c>
      <c r="DF201" s="228">
        <v>39.380000000000003</v>
      </c>
      <c r="DG201" s="228">
        <v>-9.6199999999999992</v>
      </c>
      <c r="DH201" s="228">
        <v>-0.04</v>
      </c>
      <c r="DI201" s="228">
        <v>28.28</v>
      </c>
      <c r="DJ201" s="228">
        <v>29.81</v>
      </c>
      <c r="DK201" s="228">
        <v>-1.53</v>
      </c>
      <c r="DL201" s="228">
        <v>-1.53</v>
      </c>
      <c r="DM201" s="228">
        <v>31.45</v>
      </c>
      <c r="DN201" s="228">
        <v>27.65</v>
      </c>
      <c r="DO201" s="228">
        <v>3.8</v>
      </c>
      <c r="DP201" s="228">
        <v>3.8</v>
      </c>
      <c r="DQ201" s="228">
        <v>0.73</v>
      </c>
      <c r="DR201" s="228">
        <v>0.69</v>
      </c>
      <c r="DS201" s="228">
        <v>0.04</v>
      </c>
      <c r="DT201" s="229">
        <v>5.8000000000000003E-2</v>
      </c>
      <c r="DU201" s="231">
        <v>1400</v>
      </c>
      <c r="DV201" s="231">
        <v>1260</v>
      </c>
      <c r="DW201" s="228">
        <v>0.39</v>
      </c>
      <c r="DX201" s="228">
        <v>0.88</v>
      </c>
      <c r="DY201" s="228">
        <v>-0.49</v>
      </c>
      <c r="DZ201" s="229">
        <v>-0.55679999999999996</v>
      </c>
      <c r="EA201" s="229">
        <v>0.62870000000000004</v>
      </c>
      <c r="EB201" s="230">
        <v>1009800</v>
      </c>
      <c r="EC201" s="229">
        <v>-5.5999999999999999E-3</v>
      </c>
      <c r="ED201" s="229">
        <v>0.62870000000000004</v>
      </c>
      <c r="EE201" s="228">
        <v>-6.95</v>
      </c>
      <c r="EF201" s="229">
        <v>-5.3E-3</v>
      </c>
      <c r="EG201" s="230">
        <v>70424</v>
      </c>
      <c r="EH201" s="230">
        <v>152755</v>
      </c>
      <c r="EI201" s="229">
        <v>-0.53900000000000003</v>
      </c>
      <c r="EJ201" s="229">
        <v>0.4279</v>
      </c>
      <c r="EK201" s="228">
        <v>111.83</v>
      </c>
      <c r="EL201" s="228">
        <v>41.01</v>
      </c>
      <c r="EM201" s="228">
        <v>387.23</v>
      </c>
      <c r="EN201" s="228">
        <v>29.21</v>
      </c>
      <c r="EO201" s="228">
        <v>540.07000000000005</v>
      </c>
      <c r="EP201" s="228">
        <v>735.2</v>
      </c>
      <c r="EQ201" s="228">
        <v>-195.13</v>
      </c>
      <c r="ER201" s="229">
        <v>-0.26540000000000002</v>
      </c>
      <c r="ES201" s="228">
        <v>208.91</v>
      </c>
      <c r="ET201" s="228">
        <v>140.97999999999999</v>
      </c>
      <c r="EU201" s="228">
        <v>407.9</v>
      </c>
      <c r="EV201" s="231">
        <v>24646022</v>
      </c>
      <c r="EW201" s="228">
        <v>757.79</v>
      </c>
      <c r="EX201" s="228">
        <v>776.98</v>
      </c>
      <c r="EY201" s="228">
        <v>-19.190000000000001</v>
      </c>
      <c r="EZ201" s="229">
        <v>-2.47E-2</v>
      </c>
      <c r="FA201" s="229">
        <v>0.22939999999999999</v>
      </c>
      <c r="FB201" s="227" t="s">
        <v>555</v>
      </c>
      <c r="FC201">
        <f t="shared" si="4"/>
        <v>0</v>
      </c>
    </row>
    <row r="202" spans="1:159" ht="17.25" thickBot="1" x14ac:dyDescent="0.3">
      <c r="A202" s="226">
        <v>46044</v>
      </c>
      <c r="B202" s="227" t="s">
        <v>197</v>
      </c>
      <c r="C202" s="227" t="s">
        <v>482</v>
      </c>
      <c r="D202" s="228">
        <v>100</v>
      </c>
      <c r="E202" s="228">
        <v>5</v>
      </c>
      <c r="F202" s="231">
        <v>3810.1</v>
      </c>
      <c r="G202" s="231">
        <v>3768.8</v>
      </c>
      <c r="H202" s="228">
        <v>41.3</v>
      </c>
      <c r="I202" s="229">
        <v>1.0999999999999999E-2</v>
      </c>
      <c r="J202" s="231">
        <v>3803.8</v>
      </c>
      <c r="K202" s="231">
        <v>3764.4</v>
      </c>
      <c r="L202" s="228">
        <v>39.4</v>
      </c>
      <c r="M202" s="229">
        <v>1.0500000000000001E-2</v>
      </c>
      <c r="N202" s="231">
        <v>3810.1</v>
      </c>
      <c r="O202" s="231">
        <v>3768.8</v>
      </c>
      <c r="P202" s="228">
        <v>41.3</v>
      </c>
      <c r="Q202" s="229">
        <v>1.0999999999999999E-2</v>
      </c>
      <c r="R202" s="231">
        <v>3828.6</v>
      </c>
      <c r="S202" s="231">
        <v>3789.4</v>
      </c>
      <c r="T202" s="228">
        <v>39.200000000000003</v>
      </c>
      <c r="U202" s="229">
        <v>1.03E-2</v>
      </c>
      <c r="V202" s="231">
        <v>3856.5</v>
      </c>
      <c r="W202" s="231">
        <v>3812</v>
      </c>
      <c r="X202" s="228">
        <v>44.5</v>
      </c>
      <c r="Y202" s="229">
        <v>1.17E-2</v>
      </c>
      <c r="Z202" s="228">
        <v>6.3</v>
      </c>
      <c r="AA202" s="228">
        <v>4.4000000000000004</v>
      </c>
      <c r="AB202" s="228">
        <v>1.9</v>
      </c>
      <c r="AC202" s="229">
        <v>1.6999999999999999E-3</v>
      </c>
      <c r="AD202" s="228">
        <v>6.3</v>
      </c>
      <c r="AE202" s="228">
        <v>4.4000000000000004</v>
      </c>
      <c r="AF202" s="228">
        <v>1.9</v>
      </c>
      <c r="AG202" s="229">
        <v>1.6999999999999999E-3</v>
      </c>
      <c r="AH202" s="228">
        <v>24.8</v>
      </c>
      <c r="AI202" s="228">
        <v>25</v>
      </c>
      <c r="AJ202" s="228">
        <v>-0.2</v>
      </c>
      <c r="AK202" s="229">
        <v>6.4999999999999997E-3</v>
      </c>
      <c r="AL202" s="228">
        <v>52.7</v>
      </c>
      <c r="AM202" s="228">
        <v>47.6</v>
      </c>
      <c r="AN202" s="228">
        <v>5.0999999999999996</v>
      </c>
      <c r="AO202" s="229">
        <v>1.3899999999999999E-2</v>
      </c>
      <c r="AP202" s="231">
        <v>3800.73</v>
      </c>
      <c r="AQ202" s="231">
        <v>3819.27</v>
      </c>
      <c r="AR202" s="228">
        <v>0</v>
      </c>
      <c r="AS202" s="230">
        <v>2191</v>
      </c>
      <c r="AT202" s="230">
        <v>1735</v>
      </c>
      <c r="AU202" s="228">
        <v>456</v>
      </c>
      <c r="AV202" s="229">
        <v>0.26319999999999999</v>
      </c>
      <c r="AW202" s="230">
        <v>1100</v>
      </c>
      <c r="AX202" s="228">
        <v>986</v>
      </c>
      <c r="AY202" s="228">
        <v>114</v>
      </c>
      <c r="AZ202" s="229">
        <v>0.1152</v>
      </c>
      <c r="BA202" s="230">
        <v>1075</v>
      </c>
      <c r="BB202" s="228">
        <v>724</v>
      </c>
      <c r="BC202" s="228">
        <v>351</v>
      </c>
      <c r="BD202" s="229">
        <v>0.48459999999999998</v>
      </c>
      <c r="BE202" s="228">
        <v>16</v>
      </c>
      <c r="BF202" s="228">
        <v>24</v>
      </c>
      <c r="BG202" s="228">
        <v>-8</v>
      </c>
      <c r="BH202" s="229">
        <v>-0.3397</v>
      </c>
      <c r="BI202" s="230">
        <v>3604</v>
      </c>
      <c r="BJ202" s="230">
        <v>4283</v>
      </c>
      <c r="BK202" s="228">
        <v>-679</v>
      </c>
      <c r="BL202" s="229">
        <v>-0.1585</v>
      </c>
      <c r="BM202" s="230">
        <v>1581</v>
      </c>
      <c r="BN202" s="230">
        <v>2753</v>
      </c>
      <c r="BO202" s="230">
        <v>-1172</v>
      </c>
      <c r="BP202" s="229">
        <v>-0.42570000000000002</v>
      </c>
      <c r="BQ202" s="230">
        <v>7376</v>
      </c>
      <c r="BR202" s="230">
        <v>8770</v>
      </c>
      <c r="BS202" s="230">
        <v>-1394</v>
      </c>
      <c r="BT202" s="229">
        <v>-0.159</v>
      </c>
      <c r="BU202" s="230">
        <v>1196663</v>
      </c>
      <c r="BV202" s="230">
        <v>1471863</v>
      </c>
      <c r="BW202" s="230">
        <v>-275200</v>
      </c>
      <c r="BX202" s="229">
        <v>-0.187</v>
      </c>
      <c r="BY202" s="230">
        <v>3420</v>
      </c>
      <c r="BZ202" s="230">
        <v>3396</v>
      </c>
      <c r="CA202" s="228">
        <v>24</v>
      </c>
      <c r="CB202" s="229">
        <v>7.0000000000000001E-3</v>
      </c>
      <c r="CC202" s="230">
        <v>1609</v>
      </c>
      <c r="CD202" s="230">
        <v>2394</v>
      </c>
      <c r="CE202" s="228">
        <v>-785</v>
      </c>
      <c r="CF202" s="229">
        <v>-0.32779999999999998</v>
      </c>
      <c r="CG202" s="230">
        <v>1717</v>
      </c>
      <c r="CH202" s="228">
        <v>912</v>
      </c>
      <c r="CI202" s="228">
        <v>805</v>
      </c>
      <c r="CJ202" s="229">
        <v>0.8821</v>
      </c>
      <c r="CK202" s="228">
        <v>94</v>
      </c>
      <c r="CL202" s="228">
        <v>90</v>
      </c>
      <c r="CM202" s="228">
        <v>4</v>
      </c>
      <c r="CN202" s="229">
        <v>0.04</v>
      </c>
      <c r="CO202" s="230">
        <v>2580</v>
      </c>
      <c r="CP202" s="230">
        <v>2634</v>
      </c>
      <c r="CQ202" s="228">
        <v>-54</v>
      </c>
      <c r="CR202" s="229">
        <v>-2.07E-2</v>
      </c>
      <c r="CS202" s="230">
        <v>1429</v>
      </c>
      <c r="CT202" s="230">
        <v>1441</v>
      </c>
      <c r="CU202" s="228">
        <v>-12</v>
      </c>
      <c r="CV202" s="229">
        <v>-8.5000000000000006E-3</v>
      </c>
      <c r="CW202" s="230">
        <v>7429</v>
      </c>
      <c r="CX202" s="230">
        <v>7472</v>
      </c>
      <c r="CY202" s="228">
        <v>-43</v>
      </c>
      <c r="CZ202" s="229">
        <v>-5.7999999999999996E-3</v>
      </c>
      <c r="DA202" s="228">
        <v>38.130000000000003</v>
      </c>
      <c r="DB202" s="228">
        <v>33.6</v>
      </c>
      <c r="DC202" s="228">
        <v>4.53</v>
      </c>
      <c r="DD202" s="228">
        <v>4.53</v>
      </c>
      <c r="DE202" s="228">
        <v>42.98</v>
      </c>
      <c r="DF202" s="228">
        <v>43.07</v>
      </c>
      <c r="DG202" s="228">
        <v>-4.8499999999999996</v>
      </c>
      <c r="DH202" s="228">
        <v>-0.09</v>
      </c>
      <c r="DI202" s="228">
        <v>37.97</v>
      </c>
      <c r="DJ202" s="228">
        <v>35</v>
      </c>
      <c r="DK202" s="228">
        <v>2.97</v>
      </c>
      <c r="DL202" s="228">
        <v>2.97</v>
      </c>
      <c r="DM202" s="228">
        <v>38.299999999999997</v>
      </c>
      <c r="DN202" s="228">
        <v>31.42</v>
      </c>
      <c r="DO202" s="228">
        <v>6.88</v>
      </c>
      <c r="DP202" s="228">
        <v>6.88</v>
      </c>
      <c r="DQ202" s="228">
        <v>0.55000000000000004</v>
      </c>
      <c r="DR202" s="228">
        <v>0.55000000000000004</v>
      </c>
      <c r="DS202" s="228">
        <v>0</v>
      </c>
      <c r="DT202" s="229">
        <v>0</v>
      </c>
      <c r="DU202" s="231">
        <v>4200</v>
      </c>
      <c r="DV202" s="231">
        <v>3900</v>
      </c>
      <c r="DW202" s="228">
        <v>0.44</v>
      </c>
      <c r="DX202" s="228">
        <v>0.64</v>
      </c>
      <c r="DY202" s="228">
        <v>-0.2</v>
      </c>
      <c r="DZ202" s="229">
        <v>-0.3125</v>
      </c>
      <c r="EA202" s="229">
        <v>0.52949999999999997</v>
      </c>
      <c r="EB202" s="230">
        <v>2631700</v>
      </c>
      <c r="EC202" s="229">
        <v>4.8999999999999998E-3</v>
      </c>
      <c r="ED202" s="229">
        <v>0.52949999999999997</v>
      </c>
      <c r="EE202" s="228">
        <v>18.54</v>
      </c>
      <c r="EF202" s="229">
        <v>4.8999999999999998E-3</v>
      </c>
      <c r="EG202" s="230">
        <v>647589</v>
      </c>
      <c r="EH202" s="230">
        <v>660640</v>
      </c>
      <c r="EI202" s="229">
        <v>-1.9800000000000002E-2</v>
      </c>
      <c r="EJ202" s="229">
        <v>0.54120000000000001</v>
      </c>
      <c r="EK202" s="231">
        <v>3786.75</v>
      </c>
      <c r="EL202" s="231">
        <v>1567.58</v>
      </c>
      <c r="EM202" s="231">
        <v>2191.23</v>
      </c>
      <c r="EN202" s="228">
        <v>208.63</v>
      </c>
      <c r="EO202" s="231">
        <v>7545.56</v>
      </c>
      <c r="EP202" s="231">
        <v>8959.49</v>
      </c>
      <c r="EQ202" s="231">
        <v>-1413.93</v>
      </c>
      <c r="ER202" s="229">
        <v>-0.1578</v>
      </c>
      <c r="ES202" s="231">
        <v>2862.16</v>
      </c>
      <c r="ET202" s="231">
        <v>1495.16</v>
      </c>
      <c r="EU202" s="231">
        <v>3429.54</v>
      </c>
      <c r="EV202" s="231">
        <v>33590487</v>
      </c>
      <c r="EW202" s="231">
        <v>7786.86</v>
      </c>
      <c r="EX202" s="231">
        <v>7801.36</v>
      </c>
      <c r="EY202" s="228">
        <v>-14.5</v>
      </c>
      <c r="EZ202" s="229">
        <v>-1.9E-3</v>
      </c>
      <c r="FA202" s="229">
        <v>0.58040000000000003</v>
      </c>
      <c r="FB202" s="227" t="s">
        <v>555</v>
      </c>
      <c r="FC202">
        <f t="shared" si="4"/>
        <v>0</v>
      </c>
    </row>
    <row r="203" spans="1:159" ht="17.25" thickBot="1" x14ac:dyDescent="0.3">
      <c r="A203" s="226">
        <v>46044</v>
      </c>
      <c r="B203" s="227" t="s">
        <v>162</v>
      </c>
      <c r="C203" s="227" t="s">
        <v>300</v>
      </c>
      <c r="D203" s="228">
        <v>175</v>
      </c>
      <c r="E203" s="228">
        <v>5</v>
      </c>
      <c r="F203" s="231">
        <v>3567.8</v>
      </c>
      <c r="G203" s="231">
        <v>3602.4</v>
      </c>
      <c r="H203" s="228">
        <v>-34.6</v>
      </c>
      <c r="I203" s="229">
        <v>-9.5999999999999992E-3</v>
      </c>
      <c r="J203" s="231">
        <v>3570.1</v>
      </c>
      <c r="K203" s="231">
        <v>3602</v>
      </c>
      <c r="L203" s="228">
        <v>-31.9</v>
      </c>
      <c r="M203" s="229">
        <v>-8.8999999999999999E-3</v>
      </c>
      <c r="N203" s="231">
        <v>3567.8</v>
      </c>
      <c r="O203" s="231">
        <v>3602.4</v>
      </c>
      <c r="P203" s="228">
        <v>-34.6</v>
      </c>
      <c r="Q203" s="229">
        <v>-9.5999999999999992E-3</v>
      </c>
      <c r="R203" s="231">
        <v>3589</v>
      </c>
      <c r="S203" s="231">
        <v>3622.7</v>
      </c>
      <c r="T203" s="228">
        <v>-33.700000000000003</v>
      </c>
      <c r="U203" s="229">
        <v>-9.2999999999999992E-3</v>
      </c>
      <c r="V203" s="231">
        <v>3599.7</v>
      </c>
      <c r="W203" s="231">
        <v>3638.1</v>
      </c>
      <c r="X203" s="228">
        <v>-38.4</v>
      </c>
      <c r="Y203" s="229">
        <v>-1.06E-2</v>
      </c>
      <c r="Z203" s="228">
        <v>-2.2999999999999998</v>
      </c>
      <c r="AA203" s="228">
        <v>0.4</v>
      </c>
      <c r="AB203" s="228">
        <v>-2.7</v>
      </c>
      <c r="AC203" s="229">
        <v>-5.9999999999999995E-4</v>
      </c>
      <c r="AD203" s="228">
        <v>-2.2999999999999998</v>
      </c>
      <c r="AE203" s="228">
        <v>0.4</v>
      </c>
      <c r="AF203" s="228">
        <v>-2.7</v>
      </c>
      <c r="AG203" s="229">
        <v>-5.9999999999999995E-4</v>
      </c>
      <c r="AH203" s="228">
        <v>18.899999999999999</v>
      </c>
      <c r="AI203" s="228">
        <v>20.7</v>
      </c>
      <c r="AJ203" s="228">
        <v>-1.8</v>
      </c>
      <c r="AK203" s="229">
        <v>5.3E-3</v>
      </c>
      <c r="AL203" s="228">
        <v>29.6</v>
      </c>
      <c r="AM203" s="228">
        <v>36.1</v>
      </c>
      <c r="AN203" s="228">
        <v>-6.5</v>
      </c>
      <c r="AO203" s="229">
        <v>8.3000000000000001E-3</v>
      </c>
      <c r="AP203" s="231">
        <v>3598.69</v>
      </c>
      <c r="AQ203" s="231">
        <v>3619.33</v>
      </c>
      <c r="AR203" s="228">
        <v>0</v>
      </c>
      <c r="AS203" s="230">
        <v>2438</v>
      </c>
      <c r="AT203" s="230">
        <v>1904</v>
      </c>
      <c r="AU203" s="228">
        <v>534</v>
      </c>
      <c r="AV203" s="229">
        <v>0.28070000000000001</v>
      </c>
      <c r="AW203" s="230">
        <v>1254</v>
      </c>
      <c r="AX203" s="228">
        <v>942</v>
      </c>
      <c r="AY203" s="228">
        <v>312</v>
      </c>
      <c r="AZ203" s="229">
        <v>0.33090000000000003</v>
      </c>
      <c r="BA203" s="230">
        <v>1181</v>
      </c>
      <c r="BB203" s="228">
        <v>955</v>
      </c>
      <c r="BC203" s="228">
        <v>226</v>
      </c>
      <c r="BD203" s="229">
        <v>0.23630000000000001</v>
      </c>
      <c r="BE203" s="228">
        <v>3</v>
      </c>
      <c r="BF203" s="228">
        <v>6</v>
      </c>
      <c r="BG203" s="228">
        <v>-3</v>
      </c>
      <c r="BH203" s="229">
        <v>-0.47570000000000001</v>
      </c>
      <c r="BI203" s="228">
        <v>962</v>
      </c>
      <c r="BJ203" s="230">
        <v>1216</v>
      </c>
      <c r="BK203" s="228">
        <v>-255</v>
      </c>
      <c r="BL203" s="229">
        <v>-0.2094</v>
      </c>
      <c r="BM203" s="228">
        <v>394</v>
      </c>
      <c r="BN203" s="228">
        <v>597</v>
      </c>
      <c r="BO203" s="228">
        <v>-204</v>
      </c>
      <c r="BP203" s="229">
        <v>-0.34110000000000001</v>
      </c>
      <c r="BQ203" s="230">
        <v>3793</v>
      </c>
      <c r="BR203" s="230">
        <v>3717</v>
      </c>
      <c r="BS203" s="228">
        <v>76</v>
      </c>
      <c r="BT203" s="229">
        <v>2.0400000000000001E-2</v>
      </c>
      <c r="BU203" s="230">
        <v>446348</v>
      </c>
      <c r="BV203" s="230">
        <v>990898</v>
      </c>
      <c r="BW203" s="230">
        <v>-544550</v>
      </c>
      <c r="BX203" s="229">
        <v>-0.54959999999999998</v>
      </c>
      <c r="BY203" s="230">
        <v>3120</v>
      </c>
      <c r="BZ203" s="230">
        <v>3141</v>
      </c>
      <c r="CA203" s="228">
        <v>-20</v>
      </c>
      <c r="CB203" s="229">
        <v>-6.4000000000000003E-3</v>
      </c>
      <c r="CC203" s="230">
        <v>1250</v>
      </c>
      <c r="CD203" s="230">
        <v>2235</v>
      </c>
      <c r="CE203" s="228">
        <v>-985</v>
      </c>
      <c r="CF203" s="229">
        <v>-0.44059999999999999</v>
      </c>
      <c r="CG203" s="230">
        <v>1861</v>
      </c>
      <c r="CH203" s="228">
        <v>897</v>
      </c>
      <c r="CI203" s="228">
        <v>965</v>
      </c>
      <c r="CJ203" s="229">
        <v>1.0759000000000001</v>
      </c>
      <c r="CK203" s="228">
        <v>9</v>
      </c>
      <c r="CL203" s="228">
        <v>9</v>
      </c>
      <c r="CM203" s="228">
        <v>0</v>
      </c>
      <c r="CN203" s="229">
        <v>7.0000000000000001E-3</v>
      </c>
      <c r="CO203" s="228">
        <v>731</v>
      </c>
      <c r="CP203" s="228">
        <v>792</v>
      </c>
      <c r="CQ203" s="228">
        <v>-61</v>
      </c>
      <c r="CR203" s="229">
        <v>-7.6700000000000004E-2</v>
      </c>
      <c r="CS203" s="228">
        <v>480</v>
      </c>
      <c r="CT203" s="228">
        <v>480</v>
      </c>
      <c r="CU203" s="228">
        <v>0</v>
      </c>
      <c r="CV203" s="229">
        <v>1E-4</v>
      </c>
      <c r="CW203" s="230">
        <v>4332</v>
      </c>
      <c r="CX203" s="230">
        <v>4413</v>
      </c>
      <c r="CY203" s="228">
        <v>-81</v>
      </c>
      <c r="CZ203" s="229">
        <v>-1.83E-2</v>
      </c>
      <c r="DA203" s="228">
        <v>28.61</v>
      </c>
      <c r="DB203" s="228">
        <v>25.08</v>
      </c>
      <c r="DC203" s="228">
        <v>3.53</v>
      </c>
      <c r="DD203" s="228">
        <v>3.53</v>
      </c>
      <c r="DE203" s="228">
        <v>29.12</v>
      </c>
      <c r="DF203" s="228">
        <v>29.17</v>
      </c>
      <c r="DG203" s="228">
        <v>-0.51</v>
      </c>
      <c r="DH203" s="228">
        <v>-0.05</v>
      </c>
      <c r="DI203" s="228">
        <v>28.56</v>
      </c>
      <c r="DJ203" s="228">
        <v>25.71</v>
      </c>
      <c r="DK203" s="228">
        <v>2.85</v>
      </c>
      <c r="DL203" s="228">
        <v>2.85</v>
      </c>
      <c r="DM203" s="228">
        <v>28.7</v>
      </c>
      <c r="DN203" s="228">
        <v>23.8</v>
      </c>
      <c r="DO203" s="228">
        <v>4.9000000000000004</v>
      </c>
      <c r="DP203" s="228">
        <v>4.9000000000000004</v>
      </c>
      <c r="DQ203" s="228">
        <v>0.66</v>
      </c>
      <c r="DR203" s="228">
        <v>0.61</v>
      </c>
      <c r="DS203" s="228">
        <v>0.05</v>
      </c>
      <c r="DT203" s="229">
        <v>8.2000000000000003E-2</v>
      </c>
      <c r="DU203" s="231">
        <v>3900</v>
      </c>
      <c r="DV203" s="231">
        <v>3500</v>
      </c>
      <c r="DW203" s="228">
        <v>0.41</v>
      </c>
      <c r="DX203" s="228">
        <v>0.49</v>
      </c>
      <c r="DY203" s="228">
        <v>-0.08</v>
      </c>
      <c r="DZ203" s="229">
        <v>-0.1633</v>
      </c>
      <c r="EA203" s="229">
        <v>0.59930000000000005</v>
      </c>
      <c r="EB203" s="230">
        <v>2537850</v>
      </c>
      <c r="EC203" s="229">
        <v>5.8999999999999999E-3</v>
      </c>
      <c r="ED203" s="229">
        <v>0.59930000000000005</v>
      </c>
      <c r="EE203" s="228">
        <v>20.64</v>
      </c>
      <c r="EF203" s="229">
        <v>5.7000000000000002E-3</v>
      </c>
      <c r="EG203" s="230">
        <v>237283</v>
      </c>
      <c r="EH203" s="230">
        <v>585641</v>
      </c>
      <c r="EI203" s="229">
        <v>-0.5948</v>
      </c>
      <c r="EJ203" s="229">
        <v>0.53159999999999996</v>
      </c>
      <c r="EK203" s="231">
        <v>1014.78</v>
      </c>
      <c r="EL203" s="228">
        <v>396.28</v>
      </c>
      <c r="EM203" s="231">
        <v>2465.98</v>
      </c>
      <c r="EN203" s="228">
        <v>114.47</v>
      </c>
      <c r="EO203" s="231">
        <v>3877.04</v>
      </c>
      <c r="EP203" s="231">
        <v>3795.9</v>
      </c>
      <c r="EQ203" s="228">
        <v>81.14</v>
      </c>
      <c r="ER203" s="229">
        <v>2.1399999999999999E-2</v>
      </c>
      <c r="ES203" s="228">
        <v>782.57</v>
      </c>
      <c r="ET203" s="228">
        <v>488.26</v>
      </c>
      <c r="EU203" s="231">
        <v>3131.53</v>
      </c>
      <c r="EV203" s="231">
        <v>31634588</v>
      </c>
      <c r="EW203" s="231">
        <v>4402.3599999999997</v>
      </c>
      <c r="EX203" s="231">
        <v>4512.55</v>
      </c>
      <c r="EY203" s="228">
        <v>-110.19</v>
      </c>
      <c r="EZ203" s="229">
        <v>-2.4400000000000002E-2</v>
      </c>
      <c r="FA203" s="229">
        <v>0.38379999999999997</v>
      </c>
      <c r="FB203" s="227" t="s">
        <v>568</v>
      </c>
      <c r="FC203">
        <f t="shared" si="4"/>
        <v>0</v>
      </c>
    </row>
    <row r="204" spans="1:159" ht="17.25" thickBot="1" x14ac:dyDescent="0.3">
      <c r="A204" s="226">
        <v>46044</v>
      </c>
      <c r="B204" s="227" t="s">
        <v>157</v>
      </c>
      <c r="C204" s="227" t="s">
        <v>302</v>
      </c>
      <c r="D204" s="228">
        <v>50</v>
      </c>
      <c r="E204" s="228">
        <v>5</v>
      </c>
      <c r="F204" s="231">
        <v>12379</v>
      </c>
      <c r="G204" s="231">
        <v>12224</v>
      </c>
      <c r="H204" s="228">
        <v>155</v>
      </c>
      <c r="I204" s="229">
        <v>1.2699999999999999E-2</v>
      </c>
      <c r="J204" s="231">
        <v>12364</v>
      </c>
      <c r="K204" s="231">
        <v>12231</v>
      </c>
      <c r="L204" s="228">
        <v>133</v>
      </c>
      <c r="M204" s="229">
        <v>1.09E-2</v>
      </c>
      <c r="N204" s="231">
        <v>12379</v>
      </c>
      <c r="O204" s="231">
        <v>12224</v>
      </c>
      <c r="P204" s="228">
        <v>155</v>
      </c>
      <c r="Q204" s="229">
        <v>1.2699999999999999E-2</v>
      </c>
      <c r="R204" s="231">
        <v>12444</v>
      </c>
      <c r="S204" s="231">
        <v>12290</v>
      </c>
      <c r="T204" s="228">
        <v>154</v>
      </c>
      <c r="U204" s="229">
        <v>1.2500000000000001E-2</v>
      </c>
      <c r="V204" s="231">
        <v>12532</v>
      </c>
      <c r="W204" s="231">
        <v>12376</v>
      </c>
      <c r="X204" s="228">
        <v>156</v>
      </c>
      <c r="Y204" s="229">
        <v>1.26E-2</v>
      </c>
      <c r="Z204" s="228">
        <v>15</v>
      </c>
      <c r="AA204" s="228">
        <v>-7</v>
      </c>
      <c r="AB204" s="228">
        <v>22</v>
      </c>
      <c r="AC204" s="229">
        <v>1.1999999999999999E-3</v>
      </c>
      <c r="AD204" s="228">
        <v>15</v>
      </c>
      <c r="AE204" s="228">
        <v>-7</v>
      </c>
      <c r="AF204" s="228">
        <v>22</v>
      </c>
      <c r="AG204" s="229">
        <v>1.1999999999999999E-3</v>
      </c>
      <c r="AH204" s="228">
        <v>80</v>
      </c>
      <c r="AI204" s="228">
        <v>59</v>
      </c>
      <c r="AJ204" s="228">
        <v>21</v>
      </c>
      <c r="AK204" s="229">
        <v>6.4999999999999997E-3</v>
      </c>
      <c r="AL204" s="228">
        <v>168</v>
      </c>
      <c r="AM204" s="228">
        <v>145</v>
      </c>
      <c r="AN204" s="228">
        <v>23</v>
      </c>
      <c r="AO204" s="229">
        <v>1.3599999999999999E-2</v>
      </c>
      <c r="AP204" s="231">
        <v>12347.88</v>
      </c>
      <c r="AQ204" s="231">
        <v>12413.88</v>
      </c>
      <c r="AR204" s="228">
        <v>0</v>
      </c>
      <c r="AS204" s="230">
        <v>2949</v>
      </c>
      <c r="AT204" s="230">
        <v>1787</v>
      </c>
      <c r="AU204" s="230">
        <v>1162</v>
      </c>
      <c r="AV204" s="229">
        <v>0.6502</v>
      </c>
      <c r="AW204" s="230">
        <v>1564</v>
      </c>
      <c r="AX204" s="228">
        <v>983</v>
      </c>
      <c r="AY204" s="228">
        <v>582</v>
      </c>
      <c r="AZ204" s="229">
        <v>0.59230000000000005</v>
      </c>
      <c r="BA204" s="230">
        <v>1376</v>
      </c>
      <c r="BB204" s="228">
        <v>801</v>
      </c>
      <c r="BC204" s="228">
        <v>575</v>
      </c>
      <c r="BD204" s="229">
        <v>0.71809999999999996</v>
      </c>
      <c r="BE204" s="228">
        <v>9</v>
      </c>
      <c r="BF204" s="228">
        <v>4</v>
      </c>
      <c r="BG204" s="228">
        <v>5</v>
      </c>
      <c r="BH204" s="229">
        <v>1.3226</v>
      </c>
      <c r="BI204" s="230">
        <v>1995</v>
      </c>
      <c r="BJ204" s="230">
        <v>1958</v>
      </c>
      <c r="BK204" s="228">
        <v>37</v>
      </c>
      <c r="BL204" s="229">
        <v>1.89E-2</v>
      </c>
      <c r="BM204" s="228">
        <v>876</v>
      </c>
      <c r="BN204" s="230">
        <v>1158</v>
      </c>
      <c r="BO204" s="228">
        <v>-282</v>
      </c>
      <c r="BP204" s="229">
        <v>-0.24329999999999999</v>
      </c>
      <c r="BQ204" s="230">
        <v>5820</v>
      </c>
      <c r="BR204" s="230">
        <v>4903</v>
      </c>
      <c r="BS204" s="228">
        <v>917</v>
      </c>
      <c r="BT204" s="229">
        <v>0.18709999999999999</v>
      </c>
      <c r="BU204" s="230">
        <v>300618</v>
      </c>
      <c r="BV204" s="230">
        <v>214525</v>
      </c>
      <c r="BW204" s="230">
        <v>86093</v>
      </c>
      <c r="BX204" s="229">
        <v>0.40129999999999999</v>
      </c>
      <c r="BY204" s="230">
        <v>3602</v>
      </c>
      <c r="BZ204" s="230">
        <v>3496</v>
      </c>
      <c r="CA204" s="228">
        <v>106</v>
      </c>
      <c r="CB204" s="229">
        <v>3.0300000000000001E-2</v>
      </c>
      <c r="CC204" s="230">
        <v>1286</v>
      </c>
      <c r="CD204" s="230">
        <v>2369</v>
      </c>
      <c r="CE204" s="230">
        <v>-1083</v>
      </c>
      <c r="CF204" s="229">
        <v>-0.4572</v>
      </c>
      <c r="CG204" s="230">
        <v>2131</v>
      </c>
      <c r="CH204" s="228">
        <v>949</v>
      </c>
      <c r="CI204" s="230">
        <v>1182</v>
      </c>
      <c r="CJ204" s="229">
        <v>1.2458</v>
      </c>
      <c r="CK204" s="228">
        <v>185</v>
      </c>
      <c r="CL204" s="228">
        <v>179</v>
      </c>
      <c r="CM204" s="228">
        <v>7</v>
      </c>
      <c r="CN204" s="229">
        <v>3.6799999999999999E-2</v>
      </c>
      <c r="CO204" s="228">
        <v>729</v>
      </c>
      <c r="CP204" s="228">
        <v>783</v>
      </c>
      <c r="CQ204" s="228">
        <v>-54</v>
      </c>
      <c r="CR204" s="229">
        <v>-6.9000000000000006E-2</v>
      </c>
      <c r="CS204" s="228">
        <v>603</v>
      </c>
      <c r="CT204" s="228">
        <v>574</v>
      </c>
      <c r="CU204" s="228">
        <v>29</v>
      </c>
      <c r="CV204" s="229">
        <v>0.05</v>
      </c>
      <c r="CW204" s="230">
        <v>4934</v>
      </c>
      <c r="CX204" s="230">
        <v>4853</v>
      </c>
      <c r="CY204" s="228">
        <v>80</v>
      </c>
      <c r="CZ204" s="229">
        <v>1.66E-2</v>
      </c>
      <c r="DA204" s="228">
        <v>22.91</v>
      </c>
      <c r="DB204" s="228">
        <v>26.83</v>
      </c>
      <c r="DC204" s="228">
        <v>-3.92</v>
      </c>
      <c r="DD204" s="228">
        <v>-3.92</v>
      </c>
      <c r="DE204" s="228">
        <v>23.56</v>
      </c>
      <c r="DF204" s="228">
        <v>23.57</v>
      </c>
      <c r="DG204" s="228">
        <v>-0.65</v>
      </c>
      <c r="DH204" s="228">
        <v>-0.01</v>
      </c>
      <c r="DI204" s="228">
        <v>22.89</v>
      </c>
      <c r="DJ204" s="228">
        <v>26.92</v>
      </c>
      <c r="DK204" s="228">
        <v>-4.03</v>
      </c>
      <c r="DL204" s="228">
        <v>-4.03</v>
      </c>
      <c r="DM204" s="228">
        <v>22.96</v>
      </c>
      <c r="DN204" s="228">
        <v>26.68</v>
      </c>
      <c r="DO204" s="228">
        <v>-3.72</v>
      </c>
      <c r="DP204" s="228">
        <v>-3.72</v>
      </c>
      <c r="DQ204" s="228">
        <v>0.83</v>
      </c>
      <c r="DR204" s="228">
        <v>0.73</v>
      </c>
      <c r="DS204" s="228">
        <v>0.1</v>
      </c>
      <c r="DT204" s="229">
        <v>0.13700000000000001</v>
      </c>
      <c r="DU204" s="231">
        <v>12200</v>
      </c>
      <c r="DV204" s="231">
        <v>11500</v>
      </c>
      <c r="DW204" s="228">
        <v>0.44</v>
      </c>
      <c r="DX204" s="228">
        <v>0.59</v>
      </c>
      <c r="DY204" s="228">
        <v>-0.15</v>
      </c>
      <c r="DZ204" s="229">
        <v>-0.25419999999999998</v>
      </c>
      <c r="EA204" s="229">
        <v>0.64300000000000002</v>
      </c>
      <c r="EB204" s="230">
        <v>910750</v>
      </c>
      <c r="EC204" s="229">
        <v>5.3E-3</v>
      </c>
      <c r="ED204" s="229">
        <v>0.64300000000000002</v>
      </c>
      <c r="EE204" s="228">
        <v>66</v>
      </c>
      <c r="EF204" s="229">
        <v>5.3E-3</v>
      </c>
      <c r="EG204" s="230">
        <v>188437</v>
      </c>
      <c r="EH204" s="230">
        <v>114698</v>
      </c>
      <c r="EI204" s="229">
        <v>0.64290000000000003</v>
      </c>
      <c r="EJ204" s="229">
        <v>0.62680000000000002</v>
      </c>
      <c r="EK204" s="231">
        <v>2048.62</v>
      </c>
      <c r="EL204" s="228">
        <v>860.44</v>
      </c>
      <c r="EM204" s="231">
        <v>2949.34</v>
      </c>
      <c r="EN204" s="228">
        <v>147.81</v>
      </c>
      <c r="EO204" s="231">
        <v>5858.39</v>
      </c>
      <c r="EP204" s="231">
        <v>4870.54</v>
      </c>
      <c r="EQ204" s="228">
        <v>987.85</v>
      </c>
      <c r="ER204" s="229">
        <v>0.20280000000000001</v>
      </c>
      <c r="ES204" s="228">
        <v>740.19</v>
      </c>
      <c r="ET204" s="228">
        <v>572.04999999999995</v>
      </c>
      <c r="EU204" s="231">
        <v>3615.64</v>
      </c>
      <c r="EV204" s="231">
        <v>11955674</v>
      </c>
      <c r="EW204" s="231">
        <v>4927.88</v>
      </c>
      <c r="EX204" s="231">
        <v>4795.45</v>
      </c>
      <c r="EY204" s="228">
        <v>132.43</v>
      </c>
      <c r="EZ204" s="229">
        <v>2.76E-2</v>
      </c>
      <c r="FA204" s="229">
        <v>0.33339999999999997</v>
      </c>
      <c r="FB204" s="227" t="s">
        <v>555</v>
      </c>
      <c r="FC204">
        <f t="shared" si="4"/>
        <v>0</v>
      </c>
    </row>
    <row r="205" spans="1:159" ht="17.25" thickBot="1" x14ac:dyDescent="0.3">
      <c r="A205" s="226">
        <v>46044</v>
      </c>
      <c r="B205" s="227" t="s">
        <v>172</v>
      </c>
      <c r="C205" s="227" t="s">
        <v>593</v>
      </c>
      <c r="D205" s="228">
        <v>4425</v>
      </c>
      <c r="E205" s="228">
        <v>5</v>
      </c>
      <c r="F205" s="228">
        <v>175.06</v>
      </c>
      <c r="G205" s="228">
        <v>172.41</v>
      </c>
      <c r="H205" s="228">
        <v>2.65</v>
      </c>
      <c r="I205" s="229">
        <v>1.54E-2</v>
      </c>
      <c r="J205" s="228">
        <v>174.78</v>
      </c>
      <c r="K205" s="228">
        <v>172.47</v>
      </c>
      <c r="L205" s="228">
        <v>2.31</v>
      </c>
      <c r="M205" s="229">
        <v>1.34E-2</v>
      </c>
      <c r="N205" s="228">
        <v>175.06</v>
      </c>
      <c r="O205" s="228">
        <v>172.41</v>
      </c>
      <c r="P205" s="228">
        <v>2.65</v>
      </c>
      <c r="Q205" s="229">
        <v>1.54E-2</v>
      </c>
      <c r="R205" s="228">
        <v>176</v>
      </c>
      <c r="S205" s="228">
        <v>173.35</v>
      </c>
      <c r="T205" s="228">
        <v>2.65</v>
      </c>
      <c r="U205" s="229">
        <v>1.5299999999999999E-2</v>
      </c>
      <c r="V205" s="228">
        <v>177.16</v>
      </c>
      <c r="W205" s="228">
        <v>174.27</v>
      </c>
      <c r="X205" s="228">
        <v>2.89</v>
      </c>
      <c r="Y205" s="229">
        <v>1.66E-2</v>
      </c>
      <c r="Z205" s="228">
        <v>0.28000000000000003</v>
      </c>
      <c r="AA205" s="228">
        <v>-0.06</v>
      </c>
      <c r="AB205" s="228">
        <v>0.34</v>
      </c>
      <c r="AC205" s="229">
        <v>1.6000000000000001E-3</v>
      </c>
      <c r="AD205" s="228">
        <v>0.28000000000000003</v>
      </c>
      <c r="AE205" s="228">
        <v>-0.06</v>
      </c>
      <c r="AF205" s="228">
        <v>0.34</v>
      </c>
      <c r="AG205" s="229">
        <v>1.6000000000000001E-3</v>
      </c>
      <c r="AH205" s="228">
        <v>1.22</v>
      </c>
      <c r="AI205" s="228">
        <v>0.88</v>
      </c>
      <c r="AJ205" s="228">
        <v>0.34</v>
      </c>
      <c r="AK205" s="229">
        <v>7.0000000000000001E-3</v>
      </c>
      <c r="AL205" s="228">
        <v>2.38</v>
      </c>
      <c r="AM205" s="228">
        <v>1.8</v>
      </c>
      <c r="AN205" s="228">
        <v>0.57999999999999996</v>
      </c>
      <c r="AO205" s="229">
        <v>1.3599999999999999E-2</v>
      </c>
      <c r="AP205" s="228">
        <v>175.41</v>
      </c>
      <c r="AQ205" s="228">
        <v>176.33</v>
      </c>
      <c r="AR205" s="228">
        <v>0</v>
      </c>
      <c r="AS205" s="230">
        <v>1202</v>
      </c>
      <c r="AT205" s="230">
        <v>1002</v>
      </c>
      <c r="AU205" s="228">
        <v>200</v>
      </c>
      <c r="AV205" s="229">
        <v>0.1996</v>
      </c>
      <c r="AW205" s="228">
        <v>624</v>
      </c>
      <c r="AX205" s="228">
        <v>585</v>
      </c>
      <c r="AY205" s="228">
        <v>40</v>
      </c>
      <c r="AZ205" s="229">
        <v>6.8000000000000005E-2</v>
      </c>
      <c r="BA205" s="228">
        <v>571</v>
      </c>
      <c r="BB205" s="228">
        <v>410</v>
      </c>
      <c r="BC205" s="228">
        <v>161</v>
      </c>
      <c r="BD205" s="229">
        <v>0.39229999999999998</v>
      </c>
      <c r="BE205" s="228">
        <v>6</v>
      </c>
      <c r="BF205" s="228">
        <v>7</v>
      </c>
      <c r="BG205" s="228">
        <v>-1</v>
      </c>
      <c r="BH205" s="229">
        <v>-9.7799999999999998E-2</v>
      </c>
      <c r="BI205" s="230">
        <v>1681</v>
      </c>
      <c r="BJ205" s="230">
        <v>2001</v>
      </c>
      <c r="BK205" s="228">
        <v>-320</v>
      </c>
      <c r="BL205" s="229">
        <v>-0.15989999999999999</v>
      </c>
      <c r="BM205" s="228">
        <v>938</v>
      </c>
      <c r="BN205" s="230">
        <v>1249</v>
      </c>
      <c r="BO205" s="228">
        <v>-311</v>
      </c>
      <c r="BP205" s="229">
        <v>-0.24909999999999999</v>
      </c>
      <c r="BQ205" s="230">
        <v>3821</v>
      </c>
      <c r="BR205" s="230">
        <v>4252</v>
      </c>
      <c r="BS205" s="228">
        <v>-431</v>
      </c>
      <c r="BT205" s="229">
        <v>-0.1014</v>
      </c>
      <c r="BU205" s="230">
        <v>18811848</v>
      </c>
      <c r="BV205" s="230">
        <v>16291984</v>
      </c>
      <c r="BW205" s="230">
        <v>2519864</v>
      </c>
      <c r="BX205" s="229">
        <v>0.1547</v>
      </c>
      <c r="BY205" s="230">
        <v>1461</v>
      </c>
      <c r="BZ205" s="230">
        <v>1471</v>
      </c>
      <c r="CA205" s="228">
        <v>-11</v>
      </c>
      <c r="CB205" s="229">
        <v>-7.1999999999999998E-3</v>
      </c>
      <c r="CC205" s="228">
        <v>634</v>
      </c>
      <c r="CD205" s="230">
        <v>1006</v>
      </c>
      <c r="CE205" s="228">
        <v>-372</v>
      </c>
      <c r="CF205" s="229">
        <v>-0.37019999999999997</v>
      </c>
      <c r="CG205" s="228">
        <v>809</v>
      </c>
      <c r="CH205" s="228">
        <v>449</v>
      </c>
      <c r="CI205" s="228">
        <v>360</v>
      </c>
      <c r="CJ205" s="229">
        <v>0.80149999999999999</v>
      </c>
      <c r="CK205" s="228">
        <v>18</v>
      </c>
      <c r="CL205" s="228">
        <v>16</v>
      </c>
      <c r="CM205" s="228">
        <v>2</v>
      </c>
      <c r="CN205" s="229">
        <v>0.1176</v>
      </c>
      <c r="CO205" s="228">
        <v>884</v>
      </c>
      <c r="CP205" s="228">
        <v>898</v>
      </c>
      <c r="CQ205" s="228">
        <v>-14</v>
      </c>
      <c r="CR205" s="229">
        <v>-1.54E-2</v>
      </c>
      <c r="CS205" s="228">
        <v>706</v>
      </c>
      <c r="CT205" s="228">
        <v>712</v>
      </c>
      <c r="CU205" s="228">
        <v>-6</v>
      </c>
      <c r="CV205" s="229">
        <v>-8.8000000000000005E-3</v>
      </c>
      <c r="CW205" s="230">
        <v>3051</v>
      </c>
      <c r="CX205" s="230">
        <v>3081</v>
      </c>
      <c r="CY205" s="228">
        <v>-31</v>
      </c>
      <c r="CZ205" s="229">
        <v>-9.9000000000000008E-3</v>
      </c>
      <c r="DA205" s="228">
        <v>34.090000000000003</v>
      </c>
      <c r="DB205" s="228">
        <v>32.39</v>
      </c>
      <c r="DC205" s="228">
        <v>1.7</v>
      </c>
      <c r="DD205" s="228">
        <v>1.7</v>
      </c>
      <c r="DE205" s="228">
        <v>40.78</v>
      </c>
      <c r="DF205" s="228">
        <v>40.83</v>
      </c>
      <c r="DG205" s="228">
        <v>-6.69</v>
      </c>
      <c r="DH205" s="228">
        <v>-0.05</v>
      </c>
      <c r="DI205" s="228">
        <v>34.340000000000003</v>
      </c>
      <c r="DJ205" s="228">
        <v>32.97</v>
      </c>
      <c r="DK205" s="228">
        <v>1.37</v>
      </c>
      <c r="DL205" s="228">
        <v>1.37</v>
      </c>
      <c r="DM205" s="228">
        <v>33.53</v>
      </c>
      <c r="DN205" s="228">
        <v>31.44</v>
      </c>
      <c r="DO205" s="228">
        <v>2.09</v>
      </c>
      <c r="DP205" s="228">
        <v>2.09</v>
      </c>
      <c r="DQ205" s="228">
        <v>0.8</v>
      </c>
      <c r="DR205" s="228">
        <v>0.79</v>
      </c>
      <c r="DS205" s="228">
        <v>0.01</v>
      </c>
      <c r="DT205" s="229">
        <v>1.2699999999999999E-2</v>
      </c>
      <c r="DU205" s="228">
        <v>180</v>
      </c>
      <c r="DV205" s="228">
        <v>160</v>
      </c>
      <c r="DW205" s="228">
        <v>0.56000000000000005</v>
      </c>
      <c r="DX205" s="228">
        <v>0.62</v>
      </c>
      <c r="DY205" s="228">
        <v>-0.06</v>
      </c>
      <c r="DZ205" s="229">
        <v>-9.6799999999999997E-2</v>
      </c>
      <c r="EA205" s="229">
        <v>0.56620000000000004</v>
      </c>
      <c r="EB205" s="230">
        <v>26563275</v>
      </c>
      <c r="EC205" s="229">
        <v>5.4000000000000003E-3</v>
      </c>
      <c r="ED205" s="229">
        <v>0.56620000000000004</v>
      </c>
      <c r="EE205" s="228">
        <v>0.92</v>
      </c>
      <c r="EF205" s="229">
        <v>5.1999999999999998E-3</v>
      </c>
      <c r="EG205" s="230">
        <v>9681810</v>
      </c>
      <c r="EH205" s="230">
        <v>5834239</v>
      </c>
      <c r="EI205" s="229">
        <v>0.65949999999999998</v>
      </c>
      <c r="EJ205" s="229">
        <v>0.51470000000000005</v>
      </c>
      <c r="EK205" s="231">
        <v>1752.38</v>
      </c>
      <c r="EL205" s="228">
        <v>920.24</v>
      </c>
      <c r="EM205" s="231">
        <v>1207.21</v>
      </c>
      <c r="EN205" s="228">
        <v>101.12</v>
      </c>
      <c r="EO205" s="231">
        <v>3879.83</v>
      </c>
      <c r="EP205" s="231">
        <v>4299.3100000000004</v>
      </c>
      <c r="EQ205" s="228">
        <v>-419.48</v>
      </c>
      <c r="ER205" s="229">
        <v>-9.7600000000000006E-2</v>
      </c>
      <c r="ES205" s="228">
        <v>906.98</v>
      </c>
      <c r="ET205" s="228">
        <v>659.73</v>
      </c>
      <c r="EU205" s="231">
        <v>1465.14</v>
      </c>
      <c r="EV205" s="231">
        <v>289041713</v>
      </c>
      <c r="EW205" s="231">
        <v>3031.85</v>
      </c>
      <c r="EX205" s="231">
        <v>3036.48</v>
      </c>
      <c r="EY205" s="228">
        <v>-4.63</v>
      </c>
      <c r="EZ205" s="229">
        <v>-1.5E-3</v>
      </c>
      <c r="FA205" s="229">
        <v>0.60289999999999999</v>
      </c>
      <c r="FB205" s="227" t="s">
        <v>556</v>
      </c>
      <c r="FC205">
        <f t="shared" si="4"/>
        <v>0</v>
      </c>
    </row>
    <row r="206" spans="1:159" ht="17.25" thickBot="1" x14ac:dyDescent="0.3">
      <c r="A206" s="226">
        <v>46044</v>
      </c>
      <c r="B206" s="227" t="s">
        <v>168</v>
      </c>
      <c r="C206" s="227" t="s">
        <v>569</v>
      </c>
      <c r="D206" s="228">
        <v>400</v>
      </c>
      <c r="E206" s="228">
        <v>5</v>
      </c>
      <c r="F206" s="231">
        <v>1333.6</v>
      </c>
      <c r="G206" s="231">
        <v>1313.5</v>
      </c>
      <c r="H206" s="228">
        <v>20.100000000000001</v>
      </c>
      <c r="I206" s="229">
        <v>1.5299999999999999E-2</v>
      </c>
      <c r="J206" s="231">
        <v>1338.4</v>
      </c>
      <c r="K206" s="231">
        <v>1320</v>
      </c>
      <c r="L206" s="228">
        <v>18.399999999999999</v>
      </c>
      <c r="M206" s="229">
        <v>1.3899999999999999E-2</v>
      </c>
      <c r="N206" s="231">
        <v>1333.6</v>
      </c>
      <c r="O206" s="231">
        <v>1313.5</v>
      </c>
      <c r="P206" s="228">
        <v>20.100000000000001</v>
      </c>
      <c r="Q206" s="229">
        <v>1.5299999999999999E-2</v>
      </c>
      <c r="R206" s="231">
        <v>1340.5</v>
      </c>
      <c r="S206" s="231">
        <v>1320</v>
      </c>
      <c r="T206" s="228">
        <v>20.5</v>
      </c>
      <c r="U206" s="229">
        <v>1.55E-2</v>
      </c>
      <c r="V206" s="231">
        <v>1346.5</v>
      </c>
      <c r="W206" s="231">
        <v>1328.2</v>
      </c>
      <c r="X206" s="228">
        <v>18.3</v>
      </c>
      <c r="Y206" s="229">
        <v>1.38E-2</v>
      </c>
      <c r="Z206" s="228">
        <v>-4.8</v>
      </c>
      <c r="AA206" s="228">
        <v>-6.5</v>
      </c>
      <c r="AB206" s="228">
        <v>1.7</v>
      </c>
      <c r="AC206" s="229">
        <v>-3.5999999999999999E-3</v>
      </c>
      <c r="AD206" s="228">
        <v>-4.8</v>
      </c>
      <c r="AE206" s="228">
        <v>-6.5</v>
      </c>
      <c r="AF206" s="228">
        <v>1.7</v>
      </c>
      <c r="AG206" s="229">
        <v>-3.5999999999999999E-3</v>
      </c>
      <c r="AH206" s="228">
        <v>2.1</v>
      </c>
      <c r="AI206" s="228">
        <v>0</v>
      </c>
      <c r="AJ206" s="228">
        <v>2.1</v>
      </c>
      <c r="AK206" s="229">
        <v>1.6000000000000001E-3</v>
      </c>
      <c r="AL206" s="228">
        <v>8.1</v>
      </c>
      <c r="AM206" s="228">
        <v>8.1999999999999993</v>
      </c>
      <c r="AN206" s="228">
        <v>-0.1</v>
      </c>
      <c r="AO206" s="229">
        <v>6.1000000000000004E-3</v>
      </c>
      <c r="AP206" s="231">
        <v>1326.95</v>
      </c>
      <c r="AQ206" s="231">
        <v>1334.42</v>
      </c>
      <c r="AR206" s="228">
        <v>0</v>
      </c>
      <c r="AS206" s="230">
        <v>1210</v>
      </c>
      <c r="AT206" s="228">
        <v>958</v>
      </c>
      <c r="AU206" s="228">
        <v>252</v>
      </c>
      <c r="AV206" s="229">
        <v>0.2631</v>
      </c>
      <c r="AW206" s="228">
        <v>643</v>
      </c>
      <c r="AX206" s="228">
        <v>569</v>
      </c>
      <c r="AY206" s="228">
        <v>74</v>
      </c>
      <c r="AZ206" s="229">
        <v>0.13059999999999999</v>
      </c>
      <c r="BA206" s="228">
        <v>565</v>
      </c>
      <c r="BB206" s="228">
        <v>386</v>
      </c>
      <c r="BC206" s="228">
        <v>179</v>
      </c>
      <c r="BD206" s="229">
        <v>0.4627</v>
      </c>
      <c r="BE206" s="228">
        <v>2</v>
      </c>
      <c r="BF206" s="228">
        <v>3</v>
      </c>
      <c r="BG206" s="228">
        <v>-1</v>
      </c>
      <c r="BH206" s="229">
        <v>-0.35189999999999999</v>
      </c>
      <c r="BI206" s="230">
        <v>1230</v>
      </c>
      <c r="BJ206" s="230">
        <v>2070</v>
      </c>
      <c r="BK206" s="228">
        <v>-839</v>
      </c>
      <c r="BL206" s="229">
        <v>-0.40539999999999998</v>
      </c>
      <c r="BM206" s="228">
        <v>705</v>
      </c>
      <c r="BN206" s="230">
        <v>1608</v>
      </c>
      <c r="BO206" s="228">
        <v>-903</v>
      </c>
      <c r="BP206" s="229">
        <v>-0.56159999999999999</v>
      </c>
      <c r="BQ206" s="230">
        <v>3146</v>
      </c>
      <c r="BR206" s="230">
        <v>4636</v>
      </c>
      <c r="BS206" s="230">
        <v>-1490</v>
      </c>
      <c r="BT206" s="229">
        <v>-0.32150000000000001</v>
      </c>
      <c r="BU206" s="230">
        <v>1376464</v>
      </c>
      <c r="BV206" s="230">
        <v>2439062</v>
      </c>
      <c r="BW206" s="230">
        <v>-1062598</v>
      </c>
      <c r="BX206" s="229">
        <v>-0.43569999999999998</v>
      </c>
      <c r="BY206" s="230">
        <v>1646</v>
      </c>
      <c r="BZ206" s="230">
        <v>1705</v>
      </c>
      <c r="CA206" s="228">
        <v>-58</v>
      </c>
      <c r="CB206" s="229">
        <v>-3.4099999999999998E-2</v>
      </c>
      <c r="CC206" s="228">
        <v>915</v>
      </c>
      <c r="CD206" s="230">
        <v>1339</v>
      </c>
      <c r="CE206" s="228">
        <v>-424</v>
      </c>
      <c r="CF206" s="229">
        <v>-0.31659999999999999</v>
      </c>
      <c r="CG206" s="228">
        <v>717</v>
      </c>
      <c r="CH206" s="228">
        <v>352</v>
      </c>
      <c r="CI206" s="228">
        <v>365</v>
      </c>
      <c r="CJ206" s="229">
        <v>1.038</v>
      </c>
      <c r="CK206" s="228">
        <v>14</v>
      </c>
      <c r="CL206" s="228">
        <v>14</v>
      </c>
      <c r="CM206" s="228">
        <v>0</v>
      </c>
      <c r="CN206" s="229">
        <v>2.6800000000000001E-2</v>
      </c>
      <c r="CO206" s="228">
        <v>643</v>
      </c>
      <c r="CP206" s="228">
        <v>710</v>
      </c>
      <c r="CQ206" s="228">
        <v>-66</v>
      </c>
      <c r="CR206" s="229">
        <v>-9.35E-2</v>
      </c>
      <c r="CS206" s="228">
        <v>488</v>
      </c>
      <c r="CT206" s="228">
        <v>497</v>
      </c>
      <c r="CU206" s="228">
        <v>-9</v>
      </c>
      <c r="CV206" s="229">
        <v>-1.77E-2</v>
      </c>
      <c r="CW206" s="230">
        <v>2778</v>
      </c>
      <c r="CX206" s="230">
        <v>2911</v>
      </c>
      <c r="CY206" s="228">
        <v>-133</v>
      </c>
      <c r="CZ206" s="229">
        <v>-4.58E-2</v>
      </c>
      <c r="DA206" s="228">
        <v>22.19</v>
      </c>
      <c r="DB206" s="228">
        <v>24.26</v>
      </c>
      <c r="DC206" s="228">
        <v>-2.0699999999999998</v>
      </c>
      <c r="DD206" s="228">
        <v>-2.0699999999999998</v>
      </c>
      <c r="DE206" s="228">
        <v>26.75</v>
      </c>
      <c r="DF206" s="228">
        <v>26.75</v>
      </c>
      <c r="DG206" s="228">
        <v>-4.5599999999999996</v>
      </c>
      <c r="DH206" s="228">
        <v>0</v>
      </c>
      <c r="DI206" s="228">
        <v>21.61</v>
      </c>
      <c r="DJ206" s="228">
        <v>24.8</v>
      </c>
      <c r="DK206" s="228">
        <v>-3.19</v>
      </c>
      <c r="DL206" s="228">
        <v>-3.19</v>
      </c>
      <c r="DM206" s="228">
        <v>22.95</v>
      </c>
      <c r="DN206" s="228">
        <v>23.57</v>
      </c>
      <c r="DO206" s="228">
        <v>-0.62</v>
      </c>
      <c r="DP206" s="228">
        <v>-0.62</v>
      </c>
      <c r="DQ206" s="228">
        <v>0.76</v>
      </c>
      <c r="DR206" s="228">
        <v>0.7</v>
      </c>
      <c r="DS206" s="228">
        <v>0.06</v>
      </c>
      <c r="DT206" s="229">
        <v>8.5699999999999998E-2</v>
      </c>
      <c r="DU206" s="231">
        <v>1440</v>
      </c>
      <c r="DV206" s="231">
        <v>1400</v>
      </c>
      <c r="DW206" s="228">
        <v>0.56999999999999995</v>
      </c>
      <c r="DX206" s="228">
        <v>0.78</v>
      </c>
      <c r="DY206" s="228">
        <v>-0.21</v>
      </c>
      <c r="DZ206" s="229">
        <v>-0.26919999999999999</v>
      </c>
      <c r="EA206" s="229">
        <v>0.44429999999999997</v>
      </c>
      <c r="EB206" s="230">
        <v>2743200</v>
      </c>
      <c r="EC206" s="229">
        <v>5.1999999999999998E-3</v>
      </c>
      <c r="ED206" s="229">
        <v>0.44429999999999997</v>
      </c>
      <c r="EE206" s="228">
        <v>7.47</v>
      </c>
      <c r="EF206" s="229">
        <v>5.5999999999999999E-3</v>
      </c>
      <c r="EG206" s="230">
        <v>619733</v>
      </c>
      <c r="EH206" s="230">
        <v>1126201</v>
      </c>
      <c r="EI206" s="229">
        <v>-0.44969999999999999</v>
      </c>
      <c r="EJ206" s="229">
        <v>0.45019999999999999</v>
      </c>
      <c r="EK206" s="231">
        <v>1256.7</v>
      </c>
      <c r="EL206" s="228">
        <v>713.84</v>
      </c>
      <c r="EM206" s="231">
        <v>1207.42</v>
      </c>
      <c r="EN206" s="228">
        <v>77.38</v>
      </c>
      <c r="EO206" s="231">
        <v>3177.95</v>
      </c>
      <c r="EP206" s="231">
        <v>4623.92</v>
      </c>
      <c r="EQ206" s="231">
        <v>-1445.96</v>
      </c>
      <c r="ER206" s="229">
        <v>-0.31269999999999998</v>
      </c>
      <c r="ES206" s="228">
        <v>681.33</v>
      </c>
      <c r="ET206" s="228">
        <v>495.6</v>
      </c>
      <c r="EU206" s="231">
        <v>1650.31</v>
      </c>
      <c r="EV206" s="231">
        <v>37091426</v>
      </c>
      <c r="EW206" s="231">
        <v>2827.24</v>
      </c>
      <c r="EX206" s="231">
        <v>2935.04</v>
      </c>
      <c r="EY206" s="228">
        <v>-107.8</v>
      </c>
      <c r="EZ206" s="229">
        <v>-3.6700000000000003E-2</v>
      </c>
      <c r="FA206" s="229">
        <v>0.5615</v>
      </c>
      <c r="FB206" s="227" t="s">
        <v>556</v>
      </c>
      <c r="FC206">
        <f t="shared" si="4"/>
        <v>0</v>
      </c>
    </row>
    <row r="207" spans="1:159" ht="17.25" thickBot="1" x14ac:dyDescent="0.3">
      <c r="A207" s="226">
        <v>46044</v>
      </c>
      <c r="B207" s="227" t="s">
        <v>162</v>
      </c>
      <c r="C207" s="227" t="s">
        <v>674</v>
      </c>
      <c r="D207" s="228">
        <v>550</v>
      </c>
      <c r="E207" s="228">
        <v>5</v>
      </c>
      <c r="F207" s="231">
        <v>1172.7</v>
      </c>
      <c r="G207" s="231">
        <v>1128.9000000000001</v>
      </c>
      <c r="H207" s="228">
        <v>43.8</v>
      </c>
      <c r="I207" s="229">
        <v>3.8800000000000001E-2</v>
      </c>
      <c r="J207" s="231">
        <v>1173.5</v>
      </c>
      <c r="K207" s="231">
        <v>1128.4000000000001</v>
      </c>
      <c r="L207" s="228">
        <v>45.1</v>
      </c>
      <c r="M207" s="229">
        <v>0.04</v>
      </c>
      <c r="N207" s="231">
        <v>1172.7</v>
      </c>
      <c r="O207" s="231">
        <v>1128.9000000000001</v>
      </c>
      <c r="P207" s="228">
        <v>43.8</v>
      </c>
      <c r="Q207" s="229">
        <v>3.8800000000000001E-2</v>
      </c>
      <c r="R207" s="231">
        <v>1178.4000000000001</v>
      </c>
      <c r="S207" s="231">
        <v>1135.0999999999999</v>
      </c>
      <c r="T207" s="228">
        <v>43.3</v>
      </c>
      <c r="U207" s="229">
        <v>3.8100000000000002E-2</v>
      </c>
      <c r="V207" s="231">
        <v>1179.5999999999999</v>
      </c>
      <c r="W207" s="231">
        <v>1144</v>
      </c>
      <c r="X207" s="228">
        <v>35.6</v>
      </c>
      <c r="Y207" s="229">
        <v>3.1099999999999999E-2</v>
      </c>
      <c r="Z207" s="228">
        <v>-0.8</v>
      </c>
      <c r="AA207" s="228">
        <v>0.5</v>
      </c>
      <c r="AB207" s="228">
        <v>-1.3</v>
      </c>
      <c r="AC207" s="229">
        <v>-6.9999999999999999E-4</v>
      </c>
      <c r="AD207" s="228">
        <v>-0.8</v>
      </c>
      <c r="AE207" s="228">
        <v>0.5</v>
      </c>
      <c r="AF207" s="228">
        <v>-1.3</v>
      </c>
      <c r="AG207" s="229">
        <v>-6.9999999999999999E-4</v>
      </c>
      <c r="AH207" s="228">
        <v>4.9000000000000004</v>
      </c>
      <c r="AI207" s="228">
        <v>6.7</v>
      </c>
      <c r="AJ207" s="228">
        <v>-1.8</v>
      </c>
      <c r="AK207" s="229">
        <v>4.1999999999999997E-3</v>
      </c>
      <c r="AL207" s="228">
        <v>6.1</v>
      </c>
      <c r="AM207" s="228">
        <v>15.6</v>
      </c>
      <c r="AN207" s="228">
        <v>-9.5</v>
      </c>
      <c r="AO207" s="229">
        <v>5.1999999999999998E-3</v>
      </c>
      <c r="AP207" s="231">
        <v>1159.0899999999999</v>
      </c>
      <c r="AQ207" s="231">
        <v>1165.23</v>
      </c>
      <c r="AR207" s="228">
        <v>0</v>
      </c>
      <c r="AS207" s="228">
        <v>656</v>
      </c>
      <c r="AT207" s="228">
        <v>346</v>
      </c>
      <c r="AU207" s="228">
        <v>310</v>
      </c>
      <c r="AV207" s="229">
        <v>0.89400000000000002</v>
      </c>
      <c r="AW207" s="228">
        <v>322</v>
      </c>
      <c r="AX207" s="228">
        <v>181</v>
      </c>
      <c r="AY207" s="228">
        <v>141</v>
      </c>
      <c r="AZ207" s="229">
        <v>0.77600000000000002</v>
      </c>
      <c r="BA207" s="228">
        <v>332</v>
      </c>
      <c r="BB207" s="228">
        <v>165</v>
      </c>
      <c r="BC207" s="228">
        <v>167</v>
      </c>
      <c r="BD207" s="229">
        <v>1.0121</v>
      </c>
      <c r="BE207" s="228">
        <v>2</v>
      </c>
      <c r="BF207" s="228">
        <v>0</v>
      </c>
      <c r="BG207" s="228">
        <v>2</v>
      </c>
      <c r="BH207" s="229">
        <v>0</v>
      </c>
      <c r="BI207" s="228">
        <v>355</v>
      </c>
      <c r="BJ207" s="228">
        <v>181</v>
      </c>
      <c r="BK207" s="228">
        <v>173</v>
      </c>
      <c r="BL207" s="229">
        <v>0.95489999999999997</v>
      </c>
      <c r="BM207" s="228">
        <v>149</v>
      </c>
      <c r="BN207" s="228">
        <v>66</v>
      </c>
      <c r="BO207" s="228">
        <v>82</v>
      </c>
      <c r="BP207" s="229">
        <v>1.2398</v>
      </c>
      <c r="BQ207" s="230">
        <v>1159</v>
      </c>
      <c r="BR207" s="228">
        <v>594</v>
      </c>
      <c r="BS207" s="228">
        <v>565</v>
      </c>
      <c r="BT207" s="229">
        <v>0.95130000000000003</v>
      </c>
      <c r="BU207" s="230">
        <v>733466</v>
      </c>
      <c r="BV207" s="230">
        <v>686726</v>
      </c>
      <c r="BW207" s="230">
        <v>46740</v>
      </c>
      <c r="BX207" s="229">
        <v>6.8099999999999994E-2</v>
      </c>
      <c r="BY207" s="228">
        <v>643</v>
      </c>
      <c r="BZ207" s="228">
        <v>621</v>
      </c>
      <c r="CA207" s="228">
        <v>22</v>
      </c>
      <c r="CB207" s="229">
        <v>3.5200000000000002E-2</v>
      </c>
      <c r="CC207" s="228">
        <v>210</v>
      </c>
      <c r="CD207" s="228">
        <v>446</v>
      </c>
      <c r="CE207" s="228">
        <v>-236</v>
      </c>
      <c r="CF207" s="229">
        <v>-0.52949999999999997</v>
      </c>
      <c r="CG207" s="228">
        <v>429</v>
      </c>
      <c r="CH207" s="228">
        <v>172</v>
      </c>
      <c r="CI207" s="228">
        <v>257</v>
      </c>
      <c r="CJ207" s="229">
        <v>1.494</v>
      </c>
      <c r="CK207" s="228">
        <v>5</v>
      </c>
      <c r="CL207" s="228">
        <v>4</v>
      </c>
      <c r="CM207" s="228">
        <v>1</v>
      </c>
      <c r="CN207" s="229">
        <v>0.26979999999999998</v>
      </c>
      <c r="CO207" s="228">
        <v>228</v>
      </c>
      <c r="CP207" s="228">
        <v>217</v>
      </c>
      <c r="CQ207" s="228">
        <v>10</v>
      </c>
      <c r="CR207" s="229">
        <v>4.6600000000000003E-2</v>
      </c>
      <c r="CS207" s="228">
        <v>150</v>
      </c>
      <c r="CT207" s="228">
        <v>136</v>
      </c>
      <c r="CU207" s="228">
        <v>14</v>
      </c>
      <c r="CV207" s="229">
        <v>0.1011</v>
      </c>
      <c r="CW207" s="230">
        <v>1021</v>
      </c>
      <c r="CX207" s="228">
        <v>975</v>
      </c>
      <c r="CY207" s="228">
        <v>46</v>
      </c>
      <c r="CZ207" s="229">
        <v>4.7E-2</v>
      </c>
      <c r="DA207" s="228">
        <v>33.39</v>
      </c>
      <c r="DB207" s="228">
        <v>35.56</v>
      </c>
      <c r="DC207" s="228">
        <v>-2.17</v>
      </c>
      <c r="DD207" s="228">
        <v>-2.17</v>
      </c>
      <c r="DE207" s="228">
        <v>40.11</v>
      </c>
      <c r="DF207" s="228">
        <v>39.880000000000003</v>
      </c>
      <c r="DG207" s="228">
        <v>-6.72</v>
      </c>
      <c r="DH207" s="228">
        <v>0.23</v>
      </c>
      <c r="DI207" s="228">
        <v>33.19</v>
      </c>
      <c r="DJ207" s="228">
        <v>37.01</v>
      </c>
      <c r="DK207" s="228">
        <v>-3.82</v>
      </c>
      <c r="DL207" s="228">
        <v>-3.82</v>
      </c>
      <c r="DM207" s="228">
        <v>33.61</v>
      </c>
      <c r="DN207" s="228">
        <v>31.61</v>
      </c>
      <c r="DO207" s="228">
        <v>2</v>
      </c>
      <c r="DP207" s="228">
        <v>2</v>
      </c>
      <c r="DQ207" s="228">
        <v>0.66</v>
      </c>
      <c r="DR207" s="228">
        <v>0.63</v>
      </c>
      <c r="DS207" s="228">
        <v>0.03</v>
      </c>
      <c r="DT207" s="229">
        <v>4.7600000000000003E-2</v>
      </c>
      <c r="DU207" s="231">
        <v>1340</v>
      </c>
      <c r="DV207" s="231">
        <v>1100</v>
      </c>
      <c r="DW207" s="228">
        <v>0.42</v>
      </c>
      <c r="DX207" s="228">
        <v>0.37</v>
      </c>
      <c r="DY207" s="228">
        <v>0.05</v>
      </c>
      <c r="DZ207" s="229">
        <v>0.1351</v>
      </c>
      <c r="EA207" s="229">
        <v>0.67420000000000002</v>
      </c>
      <c r="EB207" s="230">
        <v>1499850</v>
      </c>
      <c r="EC207" s="229">
        <v>4.8999999999999998E-3</v>
      </c>
      <c r="ED207" s="229">
        <v>0.67420000000000002</v>
      </c>
      <c r="EE207" s="228">
        <v>6.14</v>
      </c>
      <c r="EF207" s="229">
        <v>5.3E-3</v>
      </c>
      <c r="EG207" s="230">
        <v>431955</v>
      </c>
      <c r="EH207" s="230">
        <v>296957</v>
      </c>
      <c r="EI207" s="229">
        <v>0.4546</v>
      </c>
      <c r="EJ207" s="229">
        <v>0.58889999999999998</v>
      </c>
      <c r="EK207" s="228">
        <v>374.8</v>
      </c>
      <c r="EL207" s="228">
        <v>143.78</v>
      </c>
      <c r="EM207" s="228">
        <v>649.91999999999996</v>
      </c>
      <c r="EN207" s="228">
        <v>28.16</v>
      </c>
      <c r="EO207" s="231">
        <v>1168.49</v>
      </c>
      <c r="EP207" s="228">
        <v>588.69000000000005</v>
      </c>
      <c r="EQ207" s="228">
        <v>579.79999999999995</v>
      </c>
      <c r="ER207" s="229">
        <v>0.9849</v>
      </c>
      <c r="ES207" s="228">
        <v>251.89</v>
      </c>
      <c r="ET207" s="228">
        <v>152.69999999999999</v>
      </c>
      <c r="EU207" s="228">
        <v>645.41999999999996</v>
      </c>
      <c r="EV207" s="231">
        <v>27292222</v>
      </c>
      <c r="EW207" s="231">
        <v>1050.01</v>
      </c>
      <c r="EX207" s="228">
        <v>978.98</v>
      </c>
      <c r="EY207" s="228">
        <v>71.03</v>
      </c>
      <c r="EZ207" s="229">
        <v>7.2599999999999998E-2</v>
      </c>
      <c r="FA207" s="229">
        <v>0.31909999999999999</v>
      </c>
      <c r="FB207" s="227" t="s">
        <v>555</v>
      </c>
      <c r="FC207">
        <f t="shared" si="4"/>
        <v>0</v>
      </c>
    </row>
    <row r="208" spans="1:159" ht="17.25" thickBot="1" x14ac:dyDescent="0.3">
      <c r="A208" s="226">
        <v>46044</v>
      </c>
      <c r="B208" s="227" t="s">
        <v>498</v>
      </c>
      <c r="C208" s="227" t="s">
        <v>303</v>
      </c>
      <c r="D208" s="228">
        <v>1355</v>
      </c>
      <c r="E208" s="228">
        <v>5</v>
      </c>
      <c r="F208" s="228">
        <v>701.15</v>
      </c>
      <c r="G208" s="228">
        <v>691.75</v>
      </c>
      <c r="H208" s="228">
        <v>9.4</v>
      </c>
      <c r="I208" s="229">
        <v>1.3599999999999999E-2</v>
      </c>
      <c r="J208" s="228">
        <v>700.5</v>
      </c>
      <c r="K208" s="228">
        <v>691.7</v>
      </c>
      <c r="L208" s="228">
        <v>8.8000000000000007</v>
      </c>
      <c r="M208" s="229">
        <v>1.2699999999999999E-2</v>
      </c>
      <c r="N208" s="228">
        <v>701.15</v>
      </c>
      <c r="O208" s="228">
        <v>691.75</v>
      </c>
      <c r="P208" s="228">
        <v>9.4</v>
      </c>
      <c r="Q208" s="229">
        <v>1.3599999999999999E-2</v>
      </c>
      <c r="R208" s="228">
        <v>704.65</v>
      </c>
      <c r="S208" s="228">
        <v>695.35</v>
      </c>
      <c r="T208" s="228">
        <v>9.3000000000000007</v>
      </c>
      <c r="U208" s="229">
        <v>1.34E-2</v>
      </c>
      <c r="V208" s="228">
        <v>711.55</v>
      </c>
      <c r="W208" s="228">
        <v>701.3</v>
      </c>
      <c r="X208" s="228">
        <v>10.25</v>
      </c>
      <c r="Y208" s="229">
        <v>1.46E-2</v>
      </c>
      <c r="Z208" s="228">
        <v>0.65</v>
      </c>
      <c r="AA208" s="228">
        <v>0.05</v>
      </c>
      <c r="AB208" s="228">
        <v>0.6</v>
      </c>
      <c r="AC208" s="229">
        <v>8.9999999999999998E-4</v>
      </c>
      <c r="AD208" s="228">
        <v>0.65</v>
      </c>
      <c r="AE208" s="228">
        <v>0.05</v>
      </c>
      <c r="AF208" s="228">
        <v>0.6</v>
      </c>
      <c r="AG208" s="229">
        <v>8.9999999999999998E-4</v>
      </c>
      <c r="AH208" s="228">
        <v>4.1500000000000004</v>
      </c>
      <c r="AI208" s="228">
        <v>3.65</v>
      </c>
      <c r="AJ208" s="228">
        <v>0.5</v>
      </c>
      <c r="AK208" s="229">
        <v>5.8999999999999999E-3</v>
      </c>
      <c r="AL208" s="228">
        <v>11.05</v>
      </c>
      <c r="AM208" s="228">
        <v>9.6</v>
      </c>
      <c r="AN208" s="228">
        <v>1.45</v>
      </c>
      <c r="AO208" s="229">
        <v>1.5800000000000002E-2</v>
      </c>
      <c r="AP208" s="228">
        <v>698.47</v>
      </c>
      <c r="AQ208" s="228">
        <v>701.19</v>
      </c>
      <c r="AR208" s="228">
        <v>0</v>
      </c>
      <c r="AS208" s="230">
        <v>1758</v>
      </c>
      <c r="AT208" s="230">
        <v>2803</v>
      </c>
      <c r="AU208" s="230">
        <v>-1045</v>
      </c>
      <c r="AV208" s="229">
        <v>-0.37290000000000001</v>
      </c>
      <c r="AW208" s="228">
        <v>925</v>
      </c>
      <c r="AX208" s="230">
        <v>1721</v>
      </c>
      <c r="AY208" s="228">
        <v>-797</v>
      </c>
      <c r="AZ208" s="229">
        <v>-0.46289999999999998</v>
      </c>
      <c r="BA208" s="228">
        <v>822</v>
      </c>
      <c r="BB208" s="230">
        <v>1068</v>
      </c>
      <c r="BC208" s="228">
        <v>-246</v>
      </c>
      <c r="BD208" s="229">
        <v>-0.23039999999999999</v>
      </c>
      <c r="BE208" s="228">
        <v>12</v>
      </c>
      <c r="BF208" s="228">
        <v>14</v>
      </c>
      <c r="BG208" s="228">
        <v>-2</v>
      </c>
      <c r="BH208" s="229">
        <v>-0.1757</v>
      </c>
      <c r="BI208" s="230">
        <v>2495</v>
      </c>
      <c r="BJ208" s="230">
        <v>5688</v>
      </c>
      <c r="BK208" s="230">
        <v>-3193</v>
      </c>
      <c r="BL208" s="229">
        <v>-0.56130000000000002</v>
      </c>
      <c r="BM208" s="230">
        <v>1392</v>
      </c>
      <c r="BN208" s="230">
        <v>4993</v>
      </c>
      <c r="BO208" s="230">
        <v>-3600</v>
      </c>
      <c r="BP208" s="229">
        <v>-0.72109999999999996</v>
      </c>
      <c r="BQ208" s="230">
        <v>5646</v>
      </c>
      <c r="BR208" s="230">
        <v>13484</v>
      </c>
      <c r="BS208" s="230">
        <v>-7838</v>
      </c>
      <c r="BT208" s="229">
        <v>-0.58130000000000004</v>
      </c>
      <c r="BU208" s="230">
        <v>3559801</v>
      </c>
      <c r="BV208" s="230">
        <v>8229852</v>
      </c>
      <c r="BW208" s="230">
        <v>-4670051</v>
      </c>
      <c r="BX208" s="229">
        <v>-0.5675</v>
      </c>
      <c r="BY208" s="230">
        <v>2758</v>
      </c>
      <c r="BZ208" s="230">
        <v>2754</v>
      </c>
      <c r="CA208" s="228">
        <v>4</v>
      </c>
      <c r="CB208" s="229">
        <v>1.5E-3</v>
      </c>
      <c r="CC208" s="230">
        <v>1613</v>
      </c>
      <c r="CD208" s="230">
        <v>2119</v>
      </c>
      <c r="CE208" s="228">
        <v>-506</v>
      </c>
      <c r="CF208" s="229">
        <v>-0.23880000000000001</v>
      </c>
      <c r="CG208" s="230">
        <v>1126</v>
      </c>
      <c r="CH208" s="228">
        <v>620</v>
      </c>
      <c r="CI208" s="228">
        <v>507</v>
      </c>
      <c r="CJ208" s="229">
        <v>0.81779999999999997</v>
      </c>
      <c r="CK208" s="228">
        <v>19</v>
      </c>
      <c r="CL208" s="228">
        <v>15</v>
      </c>
      <c r="CM208" s="228">
        <v>4</v>
      </c>
      <c r="CN208" s="229">
        <v>0.23130000000000001</v>
      </c>
      <c r="CO208" s="230">
        <v>1535</v>
      </c>
      <c r="CP208" s="230">
        <v>1538</v>
      </c>
      <c r="CQ208" s="228">
        <v>-3</v>
      </c>
      <c r="CR208" s="229">
        <v>-2E-3</v>
      </c>
      <c r="CS208" s="228">
        <v>860</v>
      </c>
      <c r="CT208" s="228">
        <v>937</v>
      </c>
      <c r="CU208" s="228">
        <v>-77</v>
      </c>
      <c r="CV208" s="229">
        <v>-8.1799999999999998E-2</v>
      </c>
      <c r="CW208" s="230">
        <v>5153</v>
      </c>
      <c r="CX208" s="230">
        <v>5228</v>
      </c>
      <c r="CY208" s="228">
        <v>-76</v>
      </c>
      <c r="CZ208" s="229">
        <v>-1.44E-2</v>
      </c>
      <c r="DA208" s="228">
        <v>33.36</v>
      </c>
      <c r="DB208" s="228">
        <v>38.020000000000003</v>
      </c>
      <c r="DC208" s="228">
        <v>-4.66</v>
      </c>
      <c r="DD208" s="228">
        <v>-4.66</v>
      </c>
      <c r="DE208" s="228">
        <v>33.909999999999997</v>
      </c>
      <c r="DF208" s="228">
        <v>33.94</v>
      </c>
      <c r="DG208" s="228">
        <v>-0.55000000000000004</v>
      </c>
      <c r="DH208" s="228">
        <v>-0.03</v>
      </c>
      <c r="DI208" s="228">
        <v>33.380000000000003</v>
      </c>
      <c r="DJ208" s="228">
        <v>37.840000000000003</v>
      </c>
      <c r="DK208" s="228">
        <v>-4.46</v>
      </c>
      <c r="DL208" s="228">
        <v>-4.46</v>
      </c>
      <c r="DM208" s="228">
        <v>33.35</v>
      </c>
      <c r="DN208" s="228">
        <v>38.229999999999997</v>
      </c>
      <c r="DO208" s="228">
        <v>-4.88</v>
      </c>
      <c r="DP208" s="228">
        <v>-4.88</v>
      </c>
      <c r="DQ208" s="228">
        <v>0.56000000000000005</v>
      </c>
      <c r="DR208" s="228">
        <v>0.61</v>
      </c>
      <c r="DS208" s="228">
        <v>-0.05</v>
      </c>
      <c r="DT208" s="229">
        <v>-8.2000000000000003E-2</v>
      </c>
      <c r="DU208" s="228">
        <v>800</v>
      </c>
      <c r="DV208" s="228">
        <v>680</v>
      </c>
      <c r="DW208" s="228">
        <v>0.56000000000000005</v>
      </c>
      <c r="DX208" s="228">
        <v>0.88</v>
      </c>
      <c r="DY208" s="228">
        <v>-0.32</v>
      </c>
      <c r="DZ208" s="229">
        <v>-0.36359999999999998</v>
      </c>
      <c r="EA208" s="229">
        <v>0.41510000000000002</v>
      </c>
      <c r="EB208" s="230">
        <v>9054110</v>
      </c>
      <c r="EC208" s="229">
        <v>5.0000000000000001E-3</v>
      </c>
      <c r="ED208" s="229">
        <v>0.41510000000000002</v>
      </c>
      <c r="EE208" s="228">
        <v>2.72</v>
      </c>
      <c r="EF208" s="229">
        <v>3.8999999999999998E-3</v>
      </c>
      <c r="EG208" s="230">
        <v>1660626</v>
      </c>
      <c r="EH208" s="230">
        <v>2613623</v>
      </c>
      <c r="EI208" s="229">
        <v>-0.36459999999999998</v>
      </c>
      <c r="EJ208" s="229">
        <v>0.46650000000000003</v>
      </c>
      <c r="EK208" s="231">
        <v>2613.98</v>
      </c>
      <c r="EL208" s="231">
        <v>1410.41</v>
      </c>
      <c r="EM208" s="231">
        <v>1754.56</v>
      </c>
      <c r="EN208" s="228">
        <v>148.79</v>
      </c>
      <c r="EO208" s="231">
        <v>5778.95</v>
      </c>
      <c r="EP208" s="231">
        <v>13780.09</v>
      </c>
      <c r="EQ208" s="231">
        <v>-8001.14</v>
      </c>
      <c r="ER208" s="229">
        <v>-0.5806</v>
      </c>
      <c r="ES208" s="231">
        <v>1685.8</v>
      </c>
      <c r="ET208" s="228">
        <v>880.84</v>
      </c>
      <c r="EU208" s="231">
        <v>2764.2</v>
      </c>
      <c r="EV208" s="231">
        <v>84228583</v>
      </c>
      <c r="EW208" s="231">
        <v>5330.84</v>
      </c>
      <c r="EX208" s="231">
        <v>5381.68</v>
      </c>
      <c r="EY208" s="228">
        <v>-50.84</v>
      </c>
      <c r="EZ208" s="229">
        <v>-9.4000000000000004E-3</v>
      </c>
      <c r="FA208" s="229">
        <v>0.87250000000000005</v>
      </c>
      <c r="FB208" s="227" t="s">
        <v>555</v>
      </c>
      <c r="FC208">
        <f t="shared" si="4"/>
        <v>0</v>
      </c>
    </row>
    <row r="209" spans="1:159" ht="17.25" thickBot="1" x14ac:dyDescent="0.3">
      <c r="A209" s="226">
        <v>46044</v>
      </c>
      <c r="B209" s="227" t="s">
        <v>168</v>
      </c>
      <c r="C209" s="227" t="s">
        <v>586</v>
      </c>
      <c r="D209" s="228">
        <v>1125</v>
      </c>
      <c r="E209" s="228">
        <v>5</v>
      </c>
      <c r="F209" s="228">
        <v>486.85</v>
      </c>
      <c r="G209" s="228">
        <v>478.2</v>
      </c>
      <c r="H209" s="228">
        <v>8.65</v>
      </c>
      <c r="I209" s="229">
        <v>1.8100000000000002E-2</v>
      </c>
      <c r="J209" s="228">
        <v>487.1</v>
      </c>
      <c r="K209" s="228">
        <v>478</v>
      </c>
      <c r="L209" s="228">
        <v>9.1</v>
      </c>
      <c r="M209" s="229">
        <v>1.9E-2</v>
      </c>
      <c r="N209" s="228">
        <v>486.85</v>
      </c>
      <c r="O209" s="228">
        <v>478.2</v>
      </c>
      <c r="P209" s="228">
        <v>8.65</v>
      </c>
      <c r="Q209" s="229">
        <v>1.8100000000000002E-2</v>
      </c>
      <c r="R209" s="228">
        <v>489.6</v>
      </c>
      <c r="S209" s="228">
        <v>480.8</v>
      </c>
      <c r="T209" s="228">
        <v>8.8000000000000007</v>
      </c>
      <c r="U209" s="229">
        <v>1.83E-2</v>
      </c>
      <c r="V209" s="228">
        <v>493</v>
      </c>
      <c r="W209" s="228">
        <v>484.05</v>
      </c>
      <c r="X209" s="228">
        <v>8.9499999999999993</v>
      </c>
      <c r="Y209" s="229">
        <v>1.8499999999999999E-2</v>
      </c>
      <c r="Z209" s="228">
        <v>-0.25</v>
      </c>
      <c r="AA209" s="228">
        <v>0.2</v>
      </c>
      <c r="AB209" s="228">
        <v>-0.45</v>
      </c>
      <c r="AC209" s="229">
        <v>-5.0000000000000001E-4</v>
      </c>
      <c r="AD209" s="228">
        <v>-0.25</v>
      </c>
      <c r="AE209" s="228">
        <v>0.2</v>
      </c>
      <c r="AF209" s="228">
        <v>-0.45</v>
      </c>
      <c r="AG209" s="229">
        <v>-5.0000000000000001E-4</v>
      </c>
      <c r="AH209" s="228">
        <v>2.5</v>
      </c>
      <c r="AI209" s="228">
        <v>2.8</v>
      </c>
      <c r="AJ209" s="228">
        <v>-0.3</v>
      </c>
      <c r="AK209" s="229">
        <v>5.1000000000000004E-3</v>
      </c>
      <c r="AL209" s="228">
        <v>5.9</v>
      </c>
      <c r="AM209" s="228">
        <v>6.05</v>
      </c>
      <c r="AN209" s="228">
        <v>-0.15</v>
      </c>
      <c r="AO209" s="229">
        <v>1.21E-2</v>
      </c>
      <c r="AP209" s="228">
        <v>485.69</v>
      </c>
      <c r="AQ209" s="228">
        <v>488.3</v>
      </c>
      <c r="AR209" s="228">
        <v>0</v>
      </c>
      <c r="AS209" s="230">
        <v>1738</v>
      </c>
      <c r="AT209" s="230">
        <v>1360</v>
      </c>
      <c r="AU209" s="228">
        <v>378</v>
      </c>
      <c r="AV209" s="229">
        <v>0.27829999999999999</v>
      </c>
      <c r="AW209" s="228">
        <v>869</v>
      </c>
      <c r="AX209" s="228">
        <v>774</v>
      </c>
      <c r="AY209" s="228">
        <v>95</v>
      </c>
      <c r="AZ209" s="229">
        <v>0.1225</v>
      </c>
      <c r="BA209" s="228">
        <v>867</v>
      </c>
      <c r="BB209" s="228">
        <v>582</v>
      </c>
      <c r="BC209" s="228">
        <v>285</v>
      </c>
      <c r="BD209" s="229">
        <v>0.4904</v>
      </c>
      <c r="BE209" s="228">
        <v>2</v>
      </c>
      <c r="BF209" s="228">
        <v>4</v>
      </c>
      <c r="BG209" s="228">
        <v>-2</v>
      </c>
      <c r="BH209" s="229">
        <v>-0.5</v>
      </c>
      <c r="BI209" s="228">
        <v>577</v>
      </c>
      <c r="BJ209" s="230">
        <v>1027</v>
      </c>
      <c r="BK209" s="228">
        <v>-450</v>
      </c>
      <c r="BL209" s="229">
        <v>-0.43819999999999998</v>
      </c>
      <c r="BM209" s="228">
        <v>398</v>
      </c>
      <c r="BN209" s="228">
        <v>876</v>
      </c>
      <c r="BO209" s="228">
        <v>-478</v>
      </c>
      <c r="BP209" s="229">
        <v>-0.54549999999999998</v>
      </c>
      <c r="BQ209" s="230">
        <v>2714</v>
      </c>
      <c r="BR209" s="230">
        <v>3263</v>
      </c>
      <c r="BS209" s="228">
        <v>-550</v>
      </c>
      <c r="BT209" s="229">
        <v>-0.16839999999999999</v>
      </c>
      <c r="BU209" s="230">
        <v>4604804</v>
      </c>
      <c r="BV209" s="230">
        <v>6095518</v>
      </c>
      <c r="BW209" s="230">
        <v>-1490714</v>
      </c>
      <c r="BX209" s="229">
        <v>-0.24460000000000001</v>
      </c>
      <c r="BY209" s="230">
        <v>2360</v>
      </c>
      <c r="BZ209" s="230">
        <v>2370</v>
      </c>
      <c r="CA209" s="228">
        <v>-9</v>
      </c>
      <c r="CB209" s="229">
        <v>-3.8999999999999998E-3</v>
      </c>
      <c r="CC209" s="228">
        <v>938</v>
      </c>
      <c r="CD209" s="230">
        <v>1715</v>
      </c>
      <c r="CE209" s="228">
        <v>-777</v>
      </c>
      <c r="CF209" s="229">
        <v>-0.45300000000000001</v>
      </c>
      <c r="CG209" s="230">
        <v>1415</v>
      </c>
      <c r="CH209" s="228">
        <v>647</v>
      </c>
      <c r="CI209" s="228">
        <v>768</v>
      </c>
      <c r="CJ209" s="229">
        <v>1.1858</v>
      </c>
      <c r="CK209" s="228">
        <v>7</v>
      </c>
      <c r="CL209" s="228">
        <v>7</v>
      </c>
      <c r="CM209" s="228">
        <v>0</v>
      </c>
      <c r="CN209" s="229">
        <v>7.4999999999999997E-3</v>
      </c>
      <c r="CO209" s="228">
        <v>535</v>
      </c>
      <c r="CP209" s="228">
        <v>556</v>
      </c>
      <c r="CQ209" s="228">
        <v>-22</v>
      </c>
      <c r="CR209" s="229">
        <v>-3.9300000000000002E-2</v>
      </c>
      <c r="CS209" s="228">
        <v>404</v>
      </c>
      <c r="CT209" s="228">
        <v>396</v>
      </c>
      <c r="CU209" s="228">
        <v>8</v>
      </c>
      <c r="CV209" s="229">
        <v>2.1299999999999999E-2</v>
      </c>
      <c r="CW209" s="230">
        <v>3299</v>
      </c>
      <c r="CX209" s="230">
        <v>3322</v>
      </c>
      <c r="CY209" s="228">
        <v>-23</v>
      </c>
      <c r="CZ209" s="229">
        <v>-6.7999999999999996E-3</v>
      </c>
      <c r="DA209" s="228">
        <v>29.94</v>
      </c>
      <c r="DB209" s="228">
        <v>23.65</v>
      </c>
      <c r="DC209" s="228">
        <v>6.29</v>
      </c>
      <c r="DD209" s="228">
        <v>6.29</v>
      </c>
      <c r="DE209" s="228">
        <v>36.83</v>
      </c>
      <c r="DF209" s="228">
        <v>36.83</v>
      </c>
      <c r="DG209" s="228">
        <v>-6.89</v>
      </c>
      <c r="DH209" s="228">
        <v>0</v>
      </c>
      <c r="DI209" s="228">
        <v>29.64</v>
      </c>
      <c r="DJ209" s="228">
        <v>25.56</v>
      </c>
      <c r="DK209" s="228">
        <v>4.08</v>
      </c>
      <c r="DL209" s="228">
        <v>4.08</v>
      </c>
      <c r="DM209" s="228">
        <v>30.16</v>
      </c>
      <c r="DN209" s="228">
        <v>21.41</v>
      </c>
      <c r="DO209" s="228">
        <v>8.75</v>
      </c>
      <c r="DP209" s="228">
        <v>8.75</v>
      </c>
      <c r="DQ209" s="228">
        <v>0.76</v>
      </c>
      <c r="DR209" s="228">
        <v>0.71</v>
      </c>
      <c r="DS209" s="228">
        <v>0.05</v>
      </c>
      <c r="DT209" s="229">
        <v>7.0400000000000004E-2</v>
      </c>
      <c r="DU209" s="228">
        <v>500</v>
      </c>
      <c r="DV209" s="228">
        <v>475</v>
      </c>
      <c r="DW209" s="228">
        <v>0.69</v>
      </c>
      <c r="DX209" s="228">
        <v>0.85</v>
      </c>
      <c r="DY209" s="228">
        <v>-0.16</v>
      </c>
      <c r="DZ209" s="229">
        <v>-0.18820000000000001</v>
      </c>
      <c r="EA209" s="229">
        <v>0.60250000000000004</v>
      </c>
      <c r="EB209" s="230">
        <v>13444875</v>
      </c>
      <c r="EC209" s="229">
        <v>5.5999999999999999E-3</v>
      </c>
      <c r="ED209" s="229">
        <v>0.60250000000000004</v>
      </c>
      <c r="EE209" s="228">
        <v>2.61</v>
      </c>
      <c r="EF209" s="229">
        <v>5.4000000000000003E-3</v>
      </c>
      <c r="EG209" s="230">
        <v>2743838</v>
      </c>
      <c r="EH209" s="230">
        <v>3305680</v>
      </c>
      <c r="EI209" s="229">
        <v>-0.17</v>
      </c>
      <c r="EJ209" s="229">
        <v>0.59589999999999999</v>
      </c>
      <c r="EK209" s="228">
        <v>592.96</v>
      </c>
      <c r="EL209" s="228">
        <v>389.64</v>
      </c>
      <c r="EM209" s="231">
        <v>1738.73</v>
      </c>
      <c r="EN209" s="228">
        <v>110.74</v>
      </c>
      <c r="EO209" s="231">
        <v>2721.33</v>
      </c>
      <c r="EP209" s="231">
        <v>3261.88</v>
      </c>
      <c r="EQ209" s="228">
        <v>-540.55999999999995</v>
      </c>
      <c r="ER209" s="229">
        <v>-0.16569999999999999</v>
      </c>
      <c r="ES209" s="228">
        <v>562.65</v>
      </c>
      <c r="ET209" s="228">
        <v>391.35</v>
      </c>
      <c r="EU209" s="231">
        <v>2368.42</v>
      </c>
      <c r="EV209" s="231">
        <v>205761118</v>
      </c>
      <c r="EW209" s="231">
        <v>3322.42</v>
      </c>
      <c r="EX209" s="231">
        <v>3300.31</v>
      </c>
      <c r="EY209" s="228">
        <v>22.11</v>
      </c>
      <c r="EZ209" s="229">
        <v>6.7000000000000002E-3</v>
      </c>
      <c r="FA209" s="229">
        <v>0.32929999999999998</v>
      </c>
      <c r="FB209" s="227" t="s">
        <v>556</v>
      </c>
      <c r="FC209">
        <f t="shared" si="4"/>
        <v>0</v>
      </c>
    </row>
    <row r="210" spans="1:159" ht="17.25" thickBot="1" x14ac:dyDescent="0.3">
      <c r="A210" s="226">
        <v>46044</v>
      </c>
      <c r="B210" s="227" t="s">
        <v>227</v>
      </c>
      <c r="C210" s="227" t="s">
        <v>304</v>
      </c>
      <c r="D210" s="228">
        <v>1150</v>
      </c>
      <c r="E210" s="228">
        <v>5</v>
      </c>
      <c r="F210" s="228">
        <v>677.7</v>
      </c>
      <c r="G210" s="228">
        <v>677.4</v>
      </c>
      <c r="H210" s="228">
        <v>0.3</v>
      </c>
      <c r="I210" s="229">
        <v>4.0000000000000002E-4</v>
      </c>
      <c r="J210" s="228">
        <v>678.65</v>
      </c>
      <c r="K210" s="228">
        <v>676.65</v>
      </c>
      <c r="L210" s="228">
        <v>2</v>
      </c>
      <c r="M210" s="229">
        <v>3.0000000000000001E-3</v>
      </c>
      <c r="N210" s="228">
        <v>677.7</v>
      </c>
      <c r="O210" s="228">
        <v>677.4</v>
      </c>
      <c r="P210" s="228">
        <v>0.3</v>
      </c>
      <c r="Q210" s="229">
        <v>4.0000000000000002E-4</v>
      </c>
      <c r="R210" s="228">
        <v>681.2</v>
      </c>
      <c r="S210" s="228">
        <v>680.8</v>
      </c>
      <c r="T210" s="228">
        <v>0.4</v>
      </c>
      <c r="U210" s="229">
        <v>5.9999999999999995E-4</v>
      </c>
      <c r="V210" s="228">
        <v>680.95</v>
      </c>
      <c r="W210" s="228">
        <v>679.1</v>
      </c>
      <c r="X210" s="228">
        <v>1.85</v>
      </c>
      <c r="Y210" s="229">
        <v>2.7000000000000001E-3</v>
      </c>
      <c r="Z210" s="228">
        <v>-0.95</v>
      </c>
      <c r="AA210" s="228">
        <v>0.75</v>
      </c>
      <c r="AB210" s="228">
        <v>-1.7</v>
      </c>
      <c r="AC210" s="229">
        <v>-1.4E-3</v>
      </c>
      <c r="AD210" s="228">
        <v>-0.95</v>
      </c>
      <c r="AE210" s="228">
        <v>0.75</v>
      </c>
      <c r="AF210" s="228">
        <v>-1.7</v>
      </c>
      <c r="AG210" s="229">
        <v>-1.4E-3</v>
      </c>
      <c r="AH210" s="228">
        <v>2.5499999999999998</v>
      </c>
      <c r="AI210" s="228">
        <v>4.1500000000000004</v>
      </c>
      <c r="AJ210" s="228">
        <v>-1.6</v>
      </c>
      <c r="AK210" s="229">
        <v>3.8E-3</v>
      </c>
      <c r="AL210" s="228">
        <v>2.2999999999999998</v>
      </c>
      <c r="AM210" s="228">
        <v>2.4500000000000002</v>
      </c>
      <c r="AN210" s="228">
        <v>-0.15</v>
      </c>
      <c r="AO210" s="229">
        <v>3.3999999999999998E-3</v>
      </c>
      <c r="AP210" s="228">
        <v>678.14</v>
      </c>
      <c r="AQ210" s="228">
        <v>681.33</v>
      </c>
      <c r="AR210" s="228">
        <v>0</v>
      </c>
      <c r="AS210" s="230">
        <v>4057</v>
      </c>
      <c r="AT210" s="230">
        <v>4017</v>
      </c>
      <c r="AU210" s="228">
        <v>40</v>
      </c>
      <c r="AV210" s="229">
        <v>9.9000000000000008E-3</v>
      </c>
      <c r="AW210" s="230">
        <v>2276</v>
      </c>
      <c r="AX210" s="230">
        <v>2223</v>
      </c>
      <c r="AY210" s="228">
        <v>54</v>
      </c>
      <c r="AZ210" s="229">
        <v>2.41E-2</v>
      </c>
      <c r="BA210" s="230">
        <v>1727</v>
      </c>
      <c r="BB210" s="230">
        <v>1739</v>
      </c>
      <c r="BC210" s="228">
        <v>-12</v>
      </c>
      <c r="BD210" s="229">
        <v>-6.6E-3</v>
      </c>
      <c r="BE210" s="228">
        <v>54</v>
      </c>
      <c r="BF210" s="228">
        <v>56</v>
      </c>
      <c r="BG210" s="228">
        <v>-2</v>
      </c>
      <c r="BH210" s="229">
        <v>-4.3200000000000002E-2</v>
      </c>
      <c r="BI210" s="230">
        <v>12144</v>
      </c>
      <c r="BJ210" s="230">
        <v>13354</v>
      </c>
      <c r="BK210" s="230">
        <v>-1210</v>
      </c>
      <c r="BL210" s="229">
        <v>-9.06E-2</v>
      </c>
      <c r="BM210" s="230">
        <v>6345</v>
      </c>
      <c r="BN210" s="230">
        <v>5259</v>
      </c>
      <c r="BO210" s="230">
        <v>1085</v>
      </c>
      <c r="BP210" s="229">
        <v>0.20630000000000001</v>
      </c>
      <c r="BQ210" s="230">
        <v>22546</v>
      </c>
      <c r="BR210" s="230">
        <v>22631</v>
      </c>
      <c r="BS210" s="228">
        <v>-85</v>
      </c>
      <c r="BT210" s="229">
        <v>-3.8E-3</v>
      </c>
      <c r="BU210" s="230">
        <v>20406420</v>
      </c>
      <c r="BV210" s="230">
        <v>17253564</v>
      </c>
      <c r="BW210" s="230">
        <v>3152856</v>
      </c>
      <c r="BX210" s="229">
        <v>0.1827</v>
      </c>
      <c r="BY210" s="230">
        <v>5670</v>
      </c>
      <c r="BZ210" s="230">
        <v>5858</v>
      </c>
      <c r="CA210" s="228">
        <v>-188</v>
      </c>
      <c r="CB210" s="229">
        <v>-3.2199999999999999E-2</v>
      </c>
      <c r="CC210" s="230">
        <v>2476</v>
      </c>
      <c r="CD210" s="230">
        <v>3716</v>
      </c>
      <c r="CE210" s="230">
        <v>-1240</v>
      </c>
      <c r="CF210" s="229">
        <v>-0.33379999999999999</v>
      </c>
      <c r="CG210" s="230">
        <v>3068</v>
      </c>
      <c r="CH210" s="230">
        <v>2013</v>
      </c>
      <c r="CI210" s="230">
        <v>1055</v>
      </c>
      <c r="CJ210" s="229">
        <v>0.52410000000000001</v>
      </c>
      <c r="CK210" s="228">
        <v>126</v>
      </c>
      <c r="CL210" s="228">
        <v>129</v>
      </c>
      <c r="CM210" s="228">
        <v>-3</v>
      </c>
      <c r="CN210" s="229">
        <v>-2.4199999999999999E-2</v>
      </c>
      <c r="CO210" s="230">
        <v>3999</v>
      </c>
      <c r="CP210" s="230">
        <v>4061</v>
      </c>
      <c r="CQ210" s="228">
        <v>-61</v>
      </c>
      <c r="CR210" s="229">
        <v>-1.5100000000000001E-2</v>
      </c>
      <c r="CS210" s="230">
        <v>2581</v>
      </c>
      <c r="CT210" s="230">
        <v>2648</v>
      </c>
      <c r="CU210" s="228">
        <v>-67</v>
      </c>
      <c r="CV210" s="229">
        <v>-2.53E-2</v>
      </c>
      <c r="CW210" s="230">
        <v>12250</v>
      </c>
      <c r="CX210" s="230">
        <v>12567</v>
      </c>
      <c r="CY210" s="228">
        <v>-317</v>
      </c>
      <c r="CZ210" s="229">
        <v>-2.52E-2</v>
      </c>
      <c r="DA210" s="228">
        <v>38.31</v>
      </c>
      <c r="DB210" s="228">
        <v>32.29</v>
      </c>
      <c r="DC210" s="228">
        <v>6.02</v>
      </c>
      <c r="DD210" s="228">
        <v>6.02</v>
      </c>
      <c r="DE210" s="228">
        <v>36.85</v>
      </c>
      <c r="DF210" s="228">
        <v>36.950000000000003</v>
      </c>
      <c r="DG210" s="228">
        <v>1.46</v>
      </c>
      <c r="DH210" s="228">
        <v>-0.1</v>
      </c>
      <c r="DI210" s="228">
        <v>38.229999999999997</v>
      </c>
      <c r="DJ210" s="228">
        <v>31.8</v>
      </c>
      <c r="DK210" s="228">
        <v>6.43</v>
      </c>
      <c r="DL210" s="228">
        <v>6.43</v>
      </c>
      <c r="DM210" s="228">
        <v>38.47</v>
      </c>
      <c r="DN210" s="228">
        <v>33.520000000000003</v>
      </c>
      <c r="DO210" s="228">
        <v>4.95</v>
      </c>
      <c r="DP210" s="228">
        <v>4.95</v>
      </c>
      <c r="DQ210" s="228">
        <v>0.65</v>
      </c>
      <c r="DR210" s="228">
        <v>0.65</v>
      </c>
      <c r="DS210" s="228">
        <v>0</v>
      </c>
      <c r="DT210" s="229">
        <v>0</v>
      </c>
      <c r="DU210" s="228">
        <v>680</v>
      </c>
      <c r="DV210" s="228">
        <v>600</v>
      </c>
      <c r="DW210" s="228">
        <v>0.52</v>
      </c>
      <c r="DX210" s="228">
        <v>0.39</v>
      </c>
      <c r="DY210" s="228">
        <v>0.13</v>
      </c>
      <c r="DZ210" s="229">
        <v>0.33329999999999999</v>
      </c>
      <c r="EA210" s="229">
        <v>0.56340000000000001</v>
      </c>
      <c r="EB210" s="230">
        <v>31610050</v>
      </c>
      <c r="EC210" s="229">
        <v>5.1999999999999998E-3</v>
      </c>
      <c r="ED210" s="229">
        <v>0.56340000000000001</v>
      </c>
      <c r="EE210" s="228">
        <v>3.19</v>
      </c>
      <c r="EF210" s="229">
        <v>4.7000000000000002E-3</v>
      </c>
      <c r="EG210" s="230">
        <v>10108530</v>
      </c>
      <c r="EH210" s="230">
        <v>7577251</v>
      </c>
      <c r="EI210" s="229">
        <v>0.33410000000000001</v>
      </c>
      <c r="EJ210" s="229">
        <v>0.49540000000000001</v>
      </c>
      <c r="EK210" s="231">
        <v>12612.43</v>
      </c>
      <c r="EL210" s="231">
        <v>6228.22</v>
      </c>
      <c r="EM210" s="231">
        <v>4068.15</v>
      </c>
      <c r="EN210" s="228">
        <v>309.74</v>
      </c>
      <c r="EO210" s="231">
        <v>22908.81</v>
      </c>
      <c r="EP210" s="231">
        <v>22836.400000000001</v>
      </c>
      <c r="EQ210" s="228">
        <v>72.41</v>
      </c>
      <c r="ER210" s="229">
        <v>3.2000000000000002E-3</v>
      </c>
      <c r="ES210" s="231">
        <v>4028.17</v>
      </c>
      <c r="ET210" s="231">
        <v>2370.2199999999998</v>
      </c>
      <c r="EU210" s="231">
        <v>5686.41</v>
      </c>
      <c r="EV210" s="231">
        <v>255091106</v>
      </c>
      <c r="EW210" s="231">
        <v>12084.8</v>
      </c>
      <c r="EX210" s="231">
        <v>12371.28</v>
      </c>
      <c r="EY210" s="228">
        <v>-286.48</v>
      </c>
      <c r="EZ210" s="229">
        <v>-2.3199999999999998E-2</v>
      </c>
      <c r="FA210" s="229">
        <v>0.70860000000000001</v>
      </c>
      <c r="FB210" s="227" t="s">
        <v>556</v>
      </c>
      <c r="FC210">
        <f t="shared" si="4"/>
        <v>0</v>
      </c>
    </row>
    <row r="211" spans="1:159" ht="17.25" thickBot="1" x14ac:dyDescent="0.3">
      <c r="A211" s="226">
        <v>46044</v>
      </c>
      <c r="B211" s="227" t="s">
        <v>184</v>
      </c>
      <c r="C211" s="227" t="s">
        <v>305</v>
      </c>
      <c r="D211" s="228">
        <v>375</v>
      </c>
      <c r="E211" s="228">
        <v>5</v>
      </c>
      <c r="F211" s="231">
        <v>1295.2</v>
      </c>
      <c r="G211" s="231">
        <v>1290.5999999999999</v>
      </c>
      <c r="H211" s="228">
        <v>4.5999999999999996</v>
      </c>
      <c r="I211" s="229">
        <v>3.5999999999999999E-3</v>
      </c>
      <c r="J211" s="231">
        <v>1293.5</v>
      </c>
      <c r="K211" s="231">
        <v>1290.5999999999999</v>
      </c>
      <c r="L211" s="228">
        <v>2.9</v>
      </c>
      <c r="M211" s="229">
        <v>2.2000000000000001E-3</v>
      </c>
      <c r="N211" s="231">
        <v>1295.2</v>
      </c>
      <c r="O211" s="231">
        <v>1290.5999999999999</v>
      </c>
      <c r="P211" s="228">
        <v>4.5999999999999996</v>
      </c>
      <c r="Q211" s="229">
        <v>3.5999999999999999E-3</v>
      </c>
      <c r="R211" s="231">
        <v>1289.0999999999999</v>
      </c>
      <c r="S211" s="231">
        <v>1277.7</v>
      </c>
      <c r="T211" s="228">
        <v>11.4</v>
      </c>
      <c r="U211" s="229">
        <v>8.8999999999999999E-3</v>
      </c>
      <c r="V211" s="231">
        <v>1284</v>
      </c>
      <c r="W211" s="231">
        <v>1272.4000000000001</v>
      </c>
      <c r="X211" s="228">
        <v>11.6</v>
      </c>
      <c r="Y211" s="229">
        <v>9.1000000000000004E-3</v>
      </c>
      <c r="Z211" s="228">
        <v>1.7</v>
      </c>
      <c r="AA211" s="228">
        <v>0</v>
      </c>
      <c r="AB211" s="228">
        <v>1.7</v>
      </c>
      <c r="AC211" s="229">
        <v>1.2999999999999999E-3</v>
      </c>
      <c r="AD211" s="228">
        <v>1.7</v>
      </c>
      <c r="AE211" s="228">
        <v>0</v>
      </c>
      <c r="AF211" s="228">
        <v>1.7</v>
      </c>
      <c r="AG211" s="229">
        <v>1.2999999999999999E-3</v>
      </c>
      <c r="AH211" s="228">
        <v>-4.4000000000000004</v>
      </c>
      <c r="AI211" s="228">
        <v>-12.9</v>
      </c>
      <c r="AJ211" s="228">
        <v>8.5</v>
      </c>
      <c r="AK211" s="229">
        <v>-3.3999999999999998E-3</v>
      </c>
      <c r="AL211" s="228">
        <v>-9.5</v>
      </c>
      <c r="AM211" s="228">
        <v>-18.2</v>
      </c>
      <c r="AN211" s="228">
        <v>8.6999999999999993</v>
      </c>
      <c r="AO211" s="229">
        <v>-7.3000000000000001E-3</v>
      </c>
      <c r="AP211" s="231">
        <v>1292.3399999999999</v>
      </c>
      <c r="AQ211" s="231">
        <v>1280.1099999999999</v>
      </c>
      <c r="AR211" s="228">
        <v>0</v>
      </c>
      <c r="AS211" s="230">
        <v>1543</v>
      </c>
      <c r="AT211" s="230">
        <v>1451</v>
      </c>
      <c r="AU211" s="228">
        <v>92</v>
      </c>
      <c r="AV211" s="229">
        <v>6.3399999999999998E-2</v>
      </c>
      <c r="AW211" s="228">
        <v>731</v>
      </c>
      <c r="AX211" s="228">
        <v>726</v>
      </c>
      <c r="AY211" s="228">
        <v>4</v>
      </c>
      <c r="AZ211" s="229">
        <v>6.1999999999999998E-3</v>
      </c>
      <c r="BA211" s="228">
        <v>809</v>
      </c>
      <c r="BB211" s="228">
        <v>717</v>
      </c>
      <c r="BC211" s="228">
        <v>92</v>
      </c>
      <c r="BD211" s="229">
        <v>0.12859999999999999</v>
      </c>
      <c r="BE211" s="228">
        <v>3</v>
      </c>
      <c r="BF211" s="228">
        <v>8</v>
      </c>
      <c r="BG211" s="228">
        <v>-5</v>
      </c>
      <c r="BH211" s="229">
        <v>-0.58899999999999997</v>
      </c>
      <c r="BI211" s="228">
        <v>738</v>
      </c>
      <c r="BJ211" s="230">
        <v>1773</v>
      </c>
      <c r="BK211" s="230">
        <v>-1035</v>
      </c>
      <c r="BL211" s="229">
        <v>-0.5837</v>
      </c>
      <c r="BM211" s="228">
        <v>456</v>
      </c>
      <c r="BN211" s="230">
        <v>1404</v>
      </c>
      <c r="BO211" s="228">
        <v>-948</v>
      </c>
      <c r="BP211" s="229">
        <v>-0.67500000000000004</v>
      </c>
      <c r="BQ211" s="230">
        <v>2737</v>
      </c>
      <c r="BR211" s="230">
        <v>4628</v>
      </c>
      <c r="BS211" s="230">
        <v>-1891</v>
      </c>
      <c r="BT211" s="229">
        <v>-0.40849999999999997</v>
      </c>
      <c r="BU211" s="230">
        <v>755774</v>
      </c>
      <c r="BV211" s="230">
        <v>895703</v>
      </c>
      <c r="BW211" s="230">
        <v>-139929</v>
      </c>
      <c r="BX211" s="229">
        <v>-0.15620000000000001</v>
      </c>
      <c r="BY211" s="230">
        <v>1628</v>
      </c>
      <c r="BZ211" s="230">
        <v>1577</v>
      </c>
      <c r="CA211" s="228">
        <v>51</v>
      </c>
      <c r="CB211" s="229">
        <v>3.2399999999999998E-2</v>
      </c>
      <c r="CC211" s="228">
        <v>567</v>
      </c>
      <c r="CD211" s="228">
        <v>975</v>
      </c>
      <c r="CE211" s="228">
        <v>-407</v>
      </c>
      <c r="CF211" s="229">
        <v>-0.4178</v>
      </c>
      <c r="CG211" s="230">
        <v>1048</v>
      </c>
      <c r="CH211" s="228">
        <v>590</v>
      </c>
      <c r="CI211" s="228">
        <v>458</v>
      </c>
      <c r="CJ211" s="229">
        <v>0.77580000000000005</v>
      </c>
      <c r="CK211" s="228">
        <v>13</v>
      </c>
      <c r="CL211" s="228">
        <v>13</v>
      </c>
      <c r="CM211" s="228">
        <v>1</v>
      </c>
      <c r="CN211" s="229">
        <v>4.5999999999999999E-2</v>
      </c>
      <c r="CO211" s="228">
        <v>571</v>
      </c>
      <c r="CP211" s="228">
        <v>611</v>
      </c>
      <c r="CQ211" s="228">
        <v>-40</v>
      </c>
      <c r="CR211" s="229">
        <v>-6.54E-2</v>
      </c>
      <c r="CS211" s="228">
        <v>441</v>
      </c>
      <c r="CT211" s="228">
        <v>438</v>
      </c>
      <c r="CU211" s="228">
        <v>3</v>
      </c>
      <c r="CV211" s="229">
        <v>7.4999999999999997E-3</v>
      </c>
      <c r="CW211" s="230">
        <v>2641</v>
      </c>
      <c r="CX211" s="230">
        <v>2626</v>
      </c>
      <c r="CY211" s="228">
        <v>14</v>
      </c>
      <c r="CZ211" s="229">
        <v>5.4999999999999997E-3</v>
      </c>
      <c r="DA211" s="228">
        <v>35.65</v>
      </c>
      <c r="DB211" s="228">
        <v>29.19</v>
      </c>
      <c r="DC211" s="228">
        <v>6.46</v>
      </c>
      <c r="DD211" s="228">
        <v>6.46</v>
      </c>
      <c r="DE211" s="228">
        <v>36.44</v>
      </c>
      <c r="DF211" s="228">
        <v>36.53</v>
      </c>
      <c r="DG211" s="228">
        <v>-0.79</v>
      </c>
      <c r="DH211" s="228">
        <v>-0.09</v>
      </c>
      <c r="DI211" s="228">
        <v>35.58</v>
      </c>
      <c r="DJ211" s="228">
        <v>30.82</v>
      </c>
      <c r="DK211" s="228">
        <v>4.76</v>
      </c>
      <c r="DL211" s="228">
        <v>4.76</v>
      </c>
      <c r="DM211" s="228">
        <v>35.799999999999997</v>
      </c>
      <c r="DN211" s="228">
        <v>27.13</v>
      </c>
      <c r="DO211" s="228">
        <v>8.67</v>
      </c>
      <c r="DP211" s="228">
        <v>8.67</v>
      </c>
      <c r="DQ211" s="228">
        <v>0.77</v>
      </c>
      <c r="DR211" s="228">
        <v>0.72</v>
      </c>
      <c r="DS211" s="228">
        <v>0.05</v>
      </c>
      <c r="DT211" s="229">
        <v>6.9400000000000003E-2</v>
      </c>
      <c r="DU211" s="231">
        <v>1340</v>
      </c>
      <c r="DV211" s="231">
        <v>1260</v>
      </c>
      <c r="DW211" s="228">
        <v>0.62</v>
      </c>
      <c r="DX211" s="228">
        <v>0.79</v>
      </c>
      <c r="DY211" s="228">
        <v>-0.17</v>
      </c>
      <c r="DZ211" s="229">
        <v>-0.2152</v>
      </c>
      <c r="EA211" s="229">
        <v>0.65149999999999997</v>
      </c>
      <c r="EB211" s="230">
        <v>4653375</v>
      </c>
      <c r="EC211" s="229">
        <v>-4.7000000000000002E-3</v>
      </c>
      <c r="ED211" s="229">
        <v>0.65149999999999997</v>
      </c>
      <c r="EE211" s="228">
        <v>-12.23</v>
      </c>
      <c r="EF211" s="229">
        <v>-9.4999999999999998E-3</v>
      </c>
      <c r="EG211" s="230">
        <v>326298</v>
      </c>
      <c r="EH211" s="230">
        <v>279624</v>
      </c>
      <c r="EI211" s="229">
        <v>0.16689999999999999</v>
      </c>
      <c r="EJ211" s="229">
        <v>0.43169999999999997</v>
      </c>
      <c r="EK211" s="228">
        <v>776.76</v>
      </c>
      <c r="EL211" s="228">
        <v>453.16</v>
      </c>
      <c r="EM211" s="231">
        <v>1531.93</v>
      </c>
      <c r="EN211" s="228">
        <v>127.87</v>
      </c>
      <c r="EO211" s="231">
        <v>2761.85</v>
      </c>
      <c r="EP211" s="231">
        <v>4712.91</v>
      </c>
      <c r="EQ211" s="231">
        <v>-1951.07</v>
      </c>
      <c r="ER211" s="229">
        <v>-0.41399999999999998</v>
      </c>
      <c r="ES211" s="228">
        <v>626.54</v>
      </c>
      <c r="ET211" s="228">
        <v>447.22</v>
      </c>
      <c r="EU211" s="231">
        <v>1623.41</v>
      </c>
      <c r="EV211" s="231">
        <v>34594689</v>
      </c>
      <c r="EW211" s="231">
        <v>2697.16</v>
      </c>
      <c r="EX211" s="231">
        <v>2683.6</v>
      </c>
      <c r="EY211" s="228">
        <v>13.56</v>
      </c>
      <c r="EZ211" s="229">
        <v>5.1000000000000004E-3</v>
      </c>
      <c r="FA211" s="229">
        <v>0.58940000000000003</v>
      </c>
      <c r="FB211" s="227" t="s">
        <v>555</v>
      </c>
      <c r="FC211">
        <f t="shared" si="4"/>
        <v>0</v>
      </c>
    </row>
    <row r="212" spans="1:159" ht="17.25" thickBot="1" x14ac:dyDescent="0.3">
      <c r="A212" s="226">
        <v>46044</v>
      </c>
      <c r="B212" s="227" t="s">
        <v>184</v>
      </c>
      <c r="C212" s="227" t="s">
        <v>692</v>
      </c>
      <c r="D212" s="228">
        <v>175</v>
      </c>
      <c r="E212" s="228">
        <v>5</v>
      </c>
      <c r="F212" s="231">
        <v>2649.5</v>
      </c>
      <c r="G212" s="231">
        <v>2427.4</v>
      </c>
      <c r="H212" s="228">
        <v>222.1</v>
      </c>
      <c r="I212" s="229">
        <v>9.1499999999999998E-2</v>
      </c>
      <c r="J212" s="231">
        <v>2641.7</v>
      </c>
      <c r="K212" s="231">
        <v>2419</v>
      </c>
      <c r="L212" s="228">
        <v>222.7</v>
      </c>
      <c r="M212" s="229">
        <v>9.2100000000000001E-2</v>
      </c>
      <c r="N212" s="231">
        <v>2649.5</v>
      </c>
      <c r="O212" s="231">
        <v>2427.4</v>
      </c>
      <c r="P212" s="228">
        <v>222.1</v>
      </c>
      <c r="Q212" s="229">
        <v>9.1499999999999998E-2</v>
      </c>
      <c r="R212" s="231">
        <v>2660.3</v>
      </c>
      <c r="S212" s="231">
        <v>2424.3000000000002</v>
      </c>
      <c r="T212" s="228">
        <v>236</v>
      </c>
      <c r="U212" s="229">
        <v>9.7299999999999998E-2</v>
      </c>
      <c r="V212" s="231">
        <v>2663.2</v>
      </c>
      <c r="W212" s="231">
        <v>2427.6</v>
      </c>
      <c r="X212" s="228">
        <v>235.6</v>
      </c>
      <c r="Y212" s="229">
        <v>9.7100000000000006E-2</v>
      </c>
      <c r="Z212" s="228">
        <v>7.8</v>
      </c>
      <c r="AA212" s="228">
        <v>8.4</v>
      </c>
      <c r="AB212" s="228">
        <v>-0.6</v>
      </c>
      <c r="AC212" s="229">
        <v>3.0000000000000001E-3</v>
      </c>
      <c r="AD212" s="228">
        <v>7.8</v>
      </c>
      <c r="AE212" s="228">
        <v>8.4</v>
      </c>
      <c r="AF212" s="228">
        <v>-0.6</v>
      </c>
      <c r="AG212" s="229">
        <v>3.0000000000000001E-3</v>
      </c>
      <c r="AH212" s="228">
        <v>18.600000000000001</v>
      </c>
      <c r="AI212" s="228">
        <v>5.3</v>
      </c>
      <c r="AJ212" s="228">
        <v>13.3</v>
      </c>
      <c r="AK212" s="229">
        <v>7.0000000000000001E-3</v>
      </c>
      <c r="AL212" s="228">
        <v>21.5</v>
      </c>
      <c r="AM212" s="228">
        <v>8.6</v>
      </c>
      <c r="AN212" s="228">
        <v>12.9</v>
      </c>
      <c r="AO212" s="229">
        <v>8.0999999999999996E-3</v>
      </c>
      <c r="AP212" s="231">
        <v>2646.31</v>
      </c>
      <c r="AQ212" s="231">
        <v>2642.05</v>
      </c>
      <c r="AR212" s="228">
        <v>0</v>
      </c>
      <c r="AS212" s="230">
        <v>1819</v>
      </c>
      <c r="AT212" s="228">
        <v>736</v>
      </c>
      <c r="AU212" s="230">
        <v>1083</v>
      </c>
      <c r="AV212" s="229">
        <v>1.4714</v>
      </c>
      <c r="AW212" s="230">
        <v>1149</v>
      </c>
      <c r="AX212" s="228">
        <v>437</v>
      </c>
      <c r="AY212" s="228">
        <v>712</v>
      </c>
      <c r="AZ212" s="229">
        <v>1.6281000000000001</v>
      </c>
      <c r="BA212" s="228">
        <v>659</v>
      </c>
      <c r="BB212" s="228">
        <v>290</v>
      </c>
      <c r="BC212" s="228">
        <v>369</v>
      </c>
      <c r="BD212" s="229">
        <v>1.2753000000000001</v>
      </c>
      <c r="BE212" s="228">
        <v>11</v>
      </c>
      <c r="BF212" s="228">
        <v>9</v>
      </c>
      <c r="BG212" s="228">
        <v>2</v>
      </c>
      <c r="BH212" s="229">
        <v>0.20499999999999999</v>
      </c>
      <c r="BI212" s="230">
        <v>9186</v>
      </c>
      <c r="BJ212" s="230">
        <v>1174</v>
      </c>
      <c r="BK212" s="230">
        <v>8011</v>
      </c>
      <c r="BL212" s="229">
        <v>6.8215000000000003</v>
      </c>
      <c r="BM212" s="230">
        <v>3544</v>
      </c>
      <c r="BN212" s="228">
        <v>975</v>
      </c>
      <c r="BO212" s="230">
        <v>2569</v>
      </c>
      <c r="BP212" s="229">
        <v>2.6349</v>
      </c>
      <c r="BQ212" s="230">
        <v>14549</v>
      </c>
      <c r="BR212" s="230">
        <v>2885</v>
      </c>
      <c r="BS212" s="230">
        <v>11663</v>
      </c>
      <c r="BT212" s="229">
        <v>4.0422000000000002</v>
      </c>
      <c r="BU212" s="230">
        <v>9970347</v>
      </c>
      <c r="BV212" s="230">
        <v>1765392</v>
      </c>
      <c r="BW212" s="230">
        <v>8204955</v>
      </c>
      <c r="BX212" s="229">
        <v>4.6477000000000004</v>
      </c>
      <c r="BY212" s="228">
        <v>737</v>
      </c>
      <c r="BZ212" s="228">
        <v>803</v>
      </c>
      <c r="CA212" s="228">
        <v>-66</v>
      </c>
      <c r="CB212" s="229">
        <v>-8.1900000000000001E-2</v>
      </c>
      <c r="CC212" s="228">
        <v>290</v>
      </c>
      <c r="CD212" s="228">
        <v>502</v>
      </c>
      <c r="CE212" s="228">
        <v>-211</v>
      </c>
      <c r="CF212" s="229">
        <v>-0.42120000000000002</v>
      </c>
      <c r="CG212" s="228">
        <v>431</v>
      </c>
      <c r="CH212" s="228">
        <v>284</v>
      </c>
      <c r="CI212" s="228">
        <v>147</v>
      </c>
      <c r="CJ212" s="229">
        <v>0.51759999999999995</v>
      </c>
      <c r="CK212" s="228">
        <v>15</v>
      </c>
      <c r="CL212" s="228">
        <v>17</v>
      </c>
      <c r="CM212" s="228">
        <v>-2</v>
      </c>
      <c r="CN212" s="229">
        <v>-9.4399999999999998E-2</v>
      </c>
      <c r="CO212" s="228">
        <v>772</v>
      </c>
      <c r="CP212" s="228">
        <v>734</v>
      </c>
      <c r="CQ212" s="228">
        <v>38</v>
      </c>
      <c r="CR212" s="229">
        <v>5.1900000000000002E-2</v>
      </c>
      <c r="CS212" s="228">
        <v>448</v>
      </c>
      <c r="CT212" s="228">
        <v>370</v>
      </c>
      <c r="CU212" s="228">
        <v>79</v>
      </c>
      <c r="CV212" s="229">
        <v>0.2127</v>
      </c>
      <c r="CW212" s="230">
        <v>1957</v>
      </c>
      <c r="CX212" s="230">
        <v>1906</v>
      </c>
      <c r="CY212" s="228">
        <v>51</v>
      </c>
      <c r="CZ212" s="229">
        <v>2.6800000000000001E-2</v>
      </c>
      <c r="DA212" s="228">
        <v>45.51</v>
      </c>
      <c r="DB212" s="228">
        <v>71.540000000000006</v>
      </c>
      <c r="DC212" s="228">
        <v>-26.03</v>
      </c>
      <c r="DD212" s="228">
        <v>-26.03</v>
      </c>
      <c r="DE212" s="228">
        <v>50.21</v>
      </c>
      <c r="DF212" s="228">
        <v>48.92</v>
      </c>
      <c r="DG212" s="228">
        <v>-4.7</v>
      </c>
      <c r="DH212" s="228">
        <v>1.29</v>
      </c>
      <c r="DI212" s="228">
        <v>45.1</v>
      </c>
      <c r="DJ212" s="228">
        <v>69.94</v>
      </c>
      <c r="DK212" s="228">
        <v>-24.84</v>
      </c>
      <c r="DL212" s="228">
        <v>-24.84</v>
      </c>
      <c r="DM212" s="228">
        <v>46.55</v>
      </c>
      <c r="DN212" s="228">
        <v>73.48</v>
      </c>
      <c r="DO212" s="228">
        <v>-26.93</v>
      </c>
      <c r="DP212" s="228">
        <v>-26.93</v>
      </c>
      <c r="DQ212" s="228">
        <v>0.57999999999999996</v>
      </c>
      <c r="DR212" s="228">
        <v>0.5</v>
      </c>
      <c r="DS212" s="228">
        <v>0.08</v>
      </c>
      <c r="DT212" s="229">
        <v>0.16</v>
      </c>
      <c r="DU212" s="231">
        <v>3000</v>
      </c>
      <c r="DV212" s="231">
        <v>2400</v>
      </c>
      <c r="DW212" s="228">
        <v>0.39</v>
      </c>
      <c r="DX212" s="228">
        <v>0.83</v>
      </c>
      <c r="DY212" s="228">
        <v>-0.44</v>
      </c>
      <c r="DZ212" s="229">
        <v>-0.53010000000000002</v>
      </c>
      <c r="EA212" s="229">
        <v>0.60589999999999999</v>
      </c>
      <c r="EB212" s="230">
        <v>1135750</v>
      </c>
      <c r="EC212" s="229">
        <v>4.1000000000000003E-3</v>
      </c>
      <c r="ED212" s="229">
        <v>0.60589999999999999</v>
      </c>
      <c r="EE212" s="228">
        <v>-4.26</v>
      </c>
      <c r="EF212" s="229">
        <v>-1.6000000000000001E-3</v>
      </c>
      <c r="EG212" s="230">
        <v>1170768</v>
      </c>
      <c r="EH212" s="230">
        <v>364693</v>
      </c>
      <c r="EI212" s="229">
        <v>2.2103000000000002</v>
      </c>
      <c r="EJ212" s="229">
        <v>0.1174</v>
      </c>
      <c r="EK212" s="231">
        <v>9730.6</v>
      </c>
      <c r="EL212" s="231">
        <v>3406.9</v>
      </c>
      <c r="EM212" s="231">
        <v>1815.73</v>
      </c>
      <c r="EN212" s="228">
        <v>75.55</v>
      </c>
      <c r="EO212" s="231">
        <v>14953.23</v>
      </c>
      <c r="EP212" s="231">
        <v>2763.82</v>
      </c>
      <c r="EQ212" s="231">
        <v>12189.41</v>
      </c>
      <c r="ER212" s="229">
        <v>4.4104000000000001</v>
      </c>
      <c r="ES212" s="228">
        <v>828.68</v>
      </c>
      <c r="ET212" s="228">
        <v>425.39</v>
      </c>
      <c r="EU212" s="228">
        <v>738.64</v>
      </c>
      <c r="EV212" s="231">
        <v>15436318</v>
      </c>
      <c r="EW212" s="231">
        <v>1992.71</v>
      </c>
      <c r="EX212" s="231">
        <v>1854.92</v>
      </c>
      <c r="EY212" s="228">
        <v>137.79</v>
      </c>
      <c r="EZ212" s="229">
        <v>7.4300000000000005E-2</v>
      </c>
      <c r="FA212" s="229">
        <v>0.47849999999999998</v>
      </c>
      <c r="FB212" s="227" t="s">
        <v>556</v>
      </c>
      <c r="FC212">
        <f t="shared" si="4"/>
        <v>0</v>
      </c>
    </row>
    <row r="213" spans="1:159" ht="17.25" thickBot="1" x14ac:dyDescent="0.3">
      <c r="A213" s="226">
        <v>46044</v>
      </c>
      <c r="B213" s="227" t="s">
        <v>221</v>
      </c>
      <c r="C213" s="227" t="s">
        <v>306</v>
      </c>
      <c r="D213" s="228">
        <v>3000</v>
      </c>
      <c r="E213" s="228">
        <v>5</v>
      </c>
      <c r="F213" s="228">
        <v>240.95</v>
      </c>
      <c r="G213" s="228">
        <v>240.15</v>
      </c>
      <c r="H213" s="228">
        <v>0.8</v>
      </c>
      <c r="I213" s="229">
        <v>3.3E-3</v>
      </c>
      <c r="J213" s="228">
        <v>240.65</v>
      </c>
      <c r="K213" s="228">
        <v>239.55</v>
      </c>
      <c r="L213" s="228">
        <v>1.1000000000000001</v>
      </c>
      <c r="M213" s="229">
        <v>4.5999999999999999E-3</v>
      </c>
      <c r="N213" s="228">
        <v>240.95</v>
      </c>
      <c r="O213" s="228">
        <v>240.15</v>
      </c>
      <c r="P213" s="228">
        <v>0.8</v>
      </c>
      <c r="Q213" s="229">
        <v>3.3E-3</v>
      </c>
      <c r="R213" s="228">
        <v>240.55</v>
      </c>
      <c r="S213" s="228">
        <v>238.85</v>
      </c>
      <c r="T213" s="228">
        <v>1.7</v>
      </c>
      <c r="U213" s="229">
        <v>7.1000000000000004E-3</v>
      </c>
      <c r="V213" s="228">
        <v>240.3</v>
      </c>
      <c r="W213" s="228">
        <v>238.4</v>
      </c>
      <c r="X213" s="228">
        <v>1.9</v>
      </c>
      <c r="Y213" s="229">
        <v>8.0000000000000002E-3</v>
      </c>
      <c r="Z213" s="228">
        <v>0.3</v>
      </c>
      <c r="AA213" s="228">
        <v>0.6</v>
      </c>
      <c r="AB213" s="228">
        <v>-0.3</v>
      </c>
      <c r="AC213" s="229">
        <v>1.1999999999999999E-3</v>
      </c>
      <c r="AD213" s="228">
        <v>0.3</v>
      </c>
      <c r="AE213" s="228">
        <v>0.6</v>
      </c>
      <c r="AF213" s="228">
        <v>-0.3</v>
      </c>
      <c r="AG213" s="229">
        <v>1.1999999999999999E-3</v>
      </c>
      <c r="AH213" s="228">
        <v>-0.1</v>
      </c>
      <c r="AI213" s="228">
        <v>-0.7</v>
      </c>
      <c r="AJ213" s="228">
        <v>0.6</v>
      </c>
      <c r="AK213" s="229">
        <v>-4.0000000000000002E-4</v>
      </c>
      <c r="AL213" s="228">
        <v>-0.35</v>
      </c>
      <c r="AM213" s="228">
        <v>-1.1499999999999999</v>
      </c>
      <c r="AN213" s="228">
        <v>0.8</v>
      </c>
      <c r="AO213" s="229">
        <v>-1.5E-3</v>
      </c>
      <c r="AP213" s="228">
        <v>241.16</v>
      </c>
      <c r="AQ213" s="228">
        <v>240.26</v>
      </c>
      <c r="AR213" s="228">
        <v>0</v>
      </c>
      <c r="AS213" s="230">
        <v>2511</v>
      </c>
      <c r="AT213" s="230">
        <v>2919</v>
      </c>
      <c r="AU213" s="228">
        <v>-408</v>
      </c>
      <c r="AV213" s="229">
        <v>-0.13980000000000001</v>
      </c>
      <c r="AW213" s="230">
        <v>1246</v>
      </c>
      <c r="AX213" s="230">
        <v>1543</v>
      </c>
      <c r="AY213" s="228">
        <v>-297</v>
      </c>
      <c r="AZ213" s="229">
        <v>-0.19259999999999999</v>
      </c>
      <c r="BA213" s="230">
        <v>1241</v>
      </c>
      <c r="BB213" s="230">
        <v>1359</v>
      </c>
      <c r="BC213" s="228">
        <v>-118</v>
      </c>
      <c r="BD213" s="229">
        <v>-8.6599999999999996E-2</v>
      </c>
      <c r="BE213" s="228">
        <v>24</v>
      </c>
      <c r="BF213" s="228">
        <v>17</v>
      </c>
      <c r="BG213" s="228">
        <v>7</v>
      </c>
      <c r="BH213" s="229">
        <v>0.3992</v>
      </c>
      <c r="BI213" s="230">
        <v>1776</v>
      </c>
      <c r="BJ213" s="230">
        <v>2968</v>
      </c>
      <c r="BK213" s="230">
        <v>-1191</v>
      </c>
      <c r="BL213" s="229">
        <v>-0.40150000000000002</v>
      </c>
      <c r="BM213" s="228">
        <v>858</v>
      </c>
      <c r="BN213" s="230">
        <v>1611</v>
      </c>
      <c r="BO213" s="228">
        <v>-753</v>
      </c>
      <c r="BP213" s="229">
        <v>-0.4677</v>
      </c>
      <c r="BQ213" s="230">
        <v>5145</v>
      </c>
      <c r="BR213" s="230">
        <v>7498</v>
      </c>
      <c r="BS213" s="230">
        <v>-2353</v>
      </c>
      <c r="BT213" s="229">
        <v>-0.31380000000000002</v>
      </c>
      <c r="BU213" s="230">
        <v>8762701</v>
      </c>
      <c r="BV213" s="230">
        <v>15198710</v>
      </c>
      <c r="BW213" s="230">
        <v>-6436009</v>
      </c>
      <c r="BX213" s="229">
        <v>-0.42349999999999999</v>
      </c>
      <c r="BY213" s="230">
        <v>4102</v>
      </c>
      <c r="BZ213" s="230">
        <v>4093</v>
      </c>
      <c r="CA213" s="228">
        <v>9</v>
      </c>
      <c r="CB213" s="229">
        <v>2.0999999999999999E-3</v>
      </c>
      <c r="CC213" s="230">
        <v>1435</v>
      </c>
      <c r="CD213" s="230">
        <v>2170</v>
      </c>
      <c r="CE213" s="228">
        <v>-735</v>
      </c>
      <c r="CF213" s="229">
        <v>-0.3387</v>
      </c>
      <c r="CG213" s="230">
        <v>2615</v>
      </c>
      <c r="CH213" s="230">
        <v>1876</v>
      </c>
      <c r="CI213" s="228">
        <v>739</v>
      </c>
      <c r="CJ213" s="229">
        <v>0.39400000000000002</v>
      </c>
      <c r="CK213" s="228">
        <v>52</v>
      </c>
      <c r="CL213" s="228">
        <v>47</v>
      </c>
      <c r="CM213" s="228">
        <v>4</v>
      </c>
      <c r="CN213" s="229">
        <v>9.3299999999999994E-2</v>
      </c>
      <c r="CO213" s="230">
        <v>2004</v>
      </c>
      <c r="CP213" s="230">
        <v>2102</v>
      </c>
      <c r="CQ213" s="228">
        <v>-98</v>
      </c>
      <c r="CR213" s="229">
        <v>-4.6699999999999998E-2</v>
      </c>
      <c r="CS213" s="230">
        <v>1054</v>
      </c>
      <c r="CT213" s="230">
        <v>1098</v>
      </c>
      <c r="CU213" s="228">
        <v>-44</v>
      </c>
      <c r="CV213" s="229">
        <v>-3.9899999999999998E-2</v>
      </c>
      <c r="CW213" s="230">
        <v>7160</v>
      </c>
      <c r="CX213" s="230">
        <v>7293</v>
      </c>
      <c r="CY213" s="228">
        <v>-133</v>
      </c>
      <c r="CZ213" s="229">
        <v>-1.83E-2</v>
      </c>
      <c r="DA213" s="228">
        <v>25.27</v>
      </c>
      <c r="DB213" s="228">
        <v>24.22</v>
      </c>
      <c r="DC213" s="228">
        <v>1.05</v>
      </c>
      <c r="DD213" s="228">
        <v>1.05</v>
      </c>
      <c r="DE213" s="228">
        <v>31.16</v>
      </c>
      <c r="DF213" s="228">
        <v>31.23</v>
      </c>
      <c r="DG213" s="228">
        <v>-5.89</v>
      </c>
      <c r="DH213" s="228">
        <v>-7.0000000000000007E-2</v>
      </c>
      <c r="DI213" s="228">
        <v>25.57</v>
      </c>
      <c r="DJ213" s="228">
        <v>25.7</v>
      </c>
      <c r="DK213" s="228">
        <v>-0.13</v>
      </c>
      <c r="DL213" s="228">
        <v>-0.13</v>
      </c>
      <c r="DM213" s="228">
        <v>24.76</v>
      </c>
      <c r="DN213" s="228">
        <v>21.51</v>
      </c>
      <c r="DO213" s="228">
        <v>3.25</v>
      </c>
      <c r="DP213" s="228">
        <v>3.25</v>
      </c>
      <c r="DQ213" s="228">
        <v>0.53</v>
      </c>
      <c r="DR213" s="228">
        <v>0.52</v>
      </c>
      <c r="DS213" s="228">
        <v>0.01</v>
      </c>
      <c r="DT213" s="229">
        <v>1.9199999999999998E-2</v>
      </c>
      <c r="DU213" s="228">
        <v>250</v>
      </c>
      <c r="DV213" s="228">
        <v>250</v>
      </c>
      <c r="DW213" s="228">
        <v>0.48</v>
      </c>
      <c r="DX213" s="228">
        <v>0.54</v>
      </c>
      <c r="DY213" s="228">
        <v>-0.06</v>
      </c>
      <c r="DZ213" s="229">
        <v>-0.1111</v>
      </c>
      <c r="EA213" s="229">
        <v>0.6502</v>
      </c>
      <c r="EB213" s="230">
        <v>79818000</v>
      </c>
      <c r="EC213" s="229">
        <v>-1.6999999999999999E-3</v>
      </c>
      <c r="ED213" s="229">
        <v>0.6502</v>
      </c>
      <c r="EE213" s="228">
        <v>-0.9</v>
      </c>
      <c r="EF213" s="229">
        <v>-3.7000000000000002E-3</v>
      </c>
      <c r="EG213" s="230">
        <v>4510591</v>
      </c>
      <c r="EH213" s="230">
        <v>6541880</v>
      </c>
      <c r="EI213" s="229">
        <v>-0.3105</v>
      </c>
      <c r="EJ213" s="229">
        <v>0.51470000000000005</v>
      </c>
      <c r="EK213" s="231">
        <v>1849.48</v>
      </c>
      <c r="EL213" s="228">
        <v>870.88</v>
      </c>
      <c r="EM213" s="231">
        <v>2508.44</v>
      </c>
      <c r="EN213" s="228">
        <v>303.33</v>
      </c>
      <c r="EO213" s="231">
        <v>5228.79</v>
      </c>
      <c r="EP213" s="231">
        <v>7622.1</v>
      </c>
      <c r="EQ213" s="231">
        <v>-2393.31</v>
      </c>
      <c r="ER213" s="229">
        <v>-0.314</v>
      </c>
      <c r="ES213" s="231">
        <v>2179.9899999999998</v>
      </c>
      <c r="ET213" s="231">
        <v>1077.5</v>
      </c>
      <c r="EU213" s="231">
        <v>4097.04</v>
      </c>
      <c r="EV213" s="231">
        <v>358423198</v>
      </c>
      <c r="EW213" s="231">
        <v>7354.54</v>
      </c>
      <c r="EX213" s="231">
        <v>7477.83</v>
      </c>
      <c r="EY213" s="228">
        <v>-123.29</v>
      </c>
      <c r="EZ213" s="229">
        <v>-1.6500000000000001E-2</v>
      </c>
      <c r="FA213" s="229">
        <v>0.82909999999999995</v>
      </c>
      <c r="FB213" s="227" t="s">
        <v>555</v>
      </c>
      <c r="FC213">
        <f t="shared" si="4"/>
        <v>0</v>
      </c>
    </row>
    <row r="214" spans="1:159" ht="17.25" thickBot="1" x14ac:dyDescent="0.3">
      <c r="A214" s="226">
        <v>46044</v>
      </c>
      <c r="B214" s="227" t="s">
        <v>172</v>
      </c>
      <c r="C214" s="227" t="s">
        <v>590</v>
      </c>
      <c r="D214" s="228">
        <v>31100</v>
      </c>
      <c r="E214" s="228">
        <v>5</v>
      </c>
      <c r="F214" s="228">
        <v>21.64</v>
      </c>
      <c r="G214" s="228">
        <v>21.64</v>
      </c>
      <c r="H214" s="228">
        <v>0</v>
      </c>
      <c r="I214" s="229">
        <v>0</v>
      </c>
      <c r="J214" s="228">
        <v>21.63</v>
      </c>
      <c r="K214" s="228">
        <v>21.66</v>
      </c>
      <c r="L214" s="228">
        <v>-0.03</v>
      </c>
      <c r="M214" s="229">
        <v>-1.4E-3</v>
      </c>
      <c r="N214" s="228">
        <v>21.64</v>
      </c>
      <c r="O214" s="228">
        <v>21.64</v>
      </c>
      <c r="P214" s="228">
        <v>0</v>
      </c>
      <c r="Q214" s="229">
        <v>0</v>
      </c>
      <c r="R214" s="228">
        <v>21.75</v>
      </c>
      <c r="S214" s="228">
        <v>21.76</v>
      </c>
      <c r="T214" s="228">
        <v>-0.01</v>
      </c>
      <c r="U214" s="229">
        <v>-5.0000000000000001E-4</v>
      </c>
      <c r="V214" s="228">
        <v>21.92</v>
      </c>
      <c r="W214" s="228">
        <v>21.91</v>
      </c>
      <c r="X214" s="228">
        <v>0.01</v>
      </c>
      <c r="Y214" s="229">
        <v>5.0000000000000001E-4</v>
      </c>
      <c r="Z214" s="228">
        <v>0.01</v>
      </c>
      <c r="AA214" s="228">
        <v>-0.02</v>
      </c>
      <c r="AB214" s="228">
        <v>0.03</v>
      </c>
      <c r="AC214" s="229">
        <v>5.0000000000000001E-4</v>
      </c>
      <c r="AD214" s="228">
        <v>0.01</v>
      </c>
      <c r="AE214" s="228">
        <v>-0.02</v>
      </c>
      <c r="AF214" s="228">
        <v>0.03</v>
      </c>
      <c r="AG214" s="229">
        <v>5.0000000000000001E-4</v>
      </c>
      <c r="AH214" s="228">
        <v>0.12</v>
      </c>
      <c r="AI214" s="228">
        <v>0.1</v>
      </c>
      <c r="AJ214" s="228">
        <v>0.02</v>
      </c>
      <c r="AK214" s="229">
        <v>5.4999999999999997E-3</v>
      </c>
      <c r="AL214" s="228">
        <v>0.28999999999999998</v>
      </c>
      <c r="AM214" s="228">
        <v>0.25</v>
      </c>
      <c r="AN214" s="228">
        <v>0.04</v>
      </c>
      <c r="AO214" s="229">
        <v>1.34E-2</v>
      </c>
      <c r="AP214" s="228">
        <v>21.71</v>
      </c>
      <c r="AQ214" s="228">
        <v>21.82</v>
      </c>
      <c r="AR214" s="228">
        <v>0</v>
      </c>
      <c r="AS214" s="230">
        <v>1154</v>
      </c>
      <c r="AT214" s="230">
        <v>1180</v>
      </c>
      <c r="AU214" s="228">
        <v>-26</v>
      </c>
      <c r="AV214" s="229">
        <v>-2.18E-2</v>
      </c>
      <c r="AW214" s="228">
        <v>565</v>
      </c>
      <c r="AX214" s="228">
        <v>648</v>
      </c>
      <c r="AY214" s="228">
        <v>-83</v>
      </c>
      <c r="AZ214" s="229">
        <v>-0.12839999999999999</v>
      </c>
      <c r="BA214" s="228">
        <v>575</v>
      </c>
      <c r="BB214" s="228">
        <v>512</v>
      </c>
      <c r="BC214" s="228">
        <v>63</v>
      </c>
      <c r="BD214" s="229">
        <v>0.12330000000000001</v>
      </c>
      <c r="BE214" s="228">
        <v>14</v>
      </c>
      <c r="BF214" s="228">
        <v>20</v>
      </c>
      <c r="BG214" s="228">
        <v>-6</v>
      </c>
      <c r="BH214" s="229">
        <v>-0.28139999999999998</v>
      </c>
      <c r="BI214" s="230">
        <v>1069</v>
      </c>
      <c r="BJ214" s="230">
        <v>1510</v>
      </c>
      <c r="BK214" s="228">
        <v>-441</v>
      </c>
      <c r="BL214" s="229">
        <v>-0.29189999999999999</v>
      </c>
      <c r="BM214" s="228">
        <v>417</v>
      </c>
      <c r="BN214" s="228">
        <v>703</v>
      </c>
      <c r="BO214" s="228">
        <v>-287</v>
      </c>
      <c r="BP214" s="229">
        <v>-0.40760000000000002</v>
      </c>
      <c r="BQ214" s="230">
        <v>2640</v>
      </c>
      <c r="BR214" s="230">
        <v>3393</v>
      </c>
      <c r="BS214" s="228">
        <v>-753</v>
      </c>
      <c r="BT214" s="229">
        <v>-0.22189999999999999</v>
      </c>
      <c r="BU214" s="230">
        <v>100544947</v>
      </c>
      <c r="BV214" s="230">
        <v>141800513</v>
      </c>
      <c r="BW214" s="230">
        <v>-41255566</v>
      </c>
      <c r="BX214" s="229">
        <v>-0.29089999999999999</v>
      </c>
      <c r="BY214" s="230">
        <v>2431</v>
      </c>
      <c r="BZ214" s="230">
        <v>2421</v>
      </c>
      <c r="CA214" s="228">
        <v>11</v>
      </c>
      <c r="CB214" s="229">
        <v>4.4999999999999997E-3</v>
      </c>
      <c r="CC214" s="230">
        <v>1125</v>
      </c>
      <c r="CD214" s="230">
        <v>1545</v>
      </c>
      <c r="CE214" s="228">
        <v>-420</v>
      </c>
      <c r="CF214" s="229">
        <v>-0.2717</v>
      </c>
      <c r="CG214" s="230">
        <v>1237</v>
      </c>
      <c r="CH214" s="228">
        <v>813</v>
      </c>
      <c r="CI214" s="228">
        <v>423</v>
      </c>
      <c r="CJ214" s="229">
        <v>0.52039999999999997</v>
      </c>
      <c r="CK214" s="228">
        <v>70</v>
      </c>
      <c r="CL214" s="228">
        <v>62</v>
      </c>
      <c r="CM214" s="228">
        <v>8</v>
      </c>
      <c r="CN214" s="229">
        <v>0.1211</v>
      </c>
      <c r="CO214" s="230">
        <v>1285</v>
      </c>
      <c r="CP214" s="230">
        <v>1239</v>
      </c>
      <c r="CQ214" s="228">
        <v>46</v>
      </c>
      <c r="CR214" s="229">
        <v>3.6999999999999998E-2</v>
      </c>
      <c r="CS214" s="228">
        <v>632</v>
      </c>
      <c r="CT214" s="228">
        <v>635</v>
      </c>
      <c r="CU214" s="228">
        <v>-3</v>
      </c>
      <c r="CV214" s="229">
        <v>-5.4999999999999997E-3</v>
      </c>
      <c r="CW214" s="230">
        <v>4348</v>
      </c>
      <c r="CX214" s="230">
        <v>4295</v>
      </c>
      <c r="CY214" s="228">
        <v>53</v>
      </c>
      <c r="CZ214" s="229">
        <v>1.24E-2</v>
      </c>
      <c r="DA214" s="228">
        <v>33.11</v>
      </c>
      <c r="DB214" s="228">
        <v>33.36</v>
      </c>
      <c r="DC214" s="228">
        <v>-0.25</v>
      </c>
      <c r="DD214" s="228">
        <v>-0.25</v>
      </c>
      <c r="DE214" s="228">
        <v>39.229999999999997</v>
      </c>
      <c r="DF214" s="228">
        <v>39.32</v>
      </c>
      <c r="DG214" s="228">
        <v>-6.12</v>
      </c>
      <c r="DH214" s="228">
        <v>-0.09</v>
      </c>
      <c r="DI214" s="228">
        <v>35</v>
      </c>
      <c r="DJ214" s="228">
        <v>35.28</v>
      </c>
      <c r="DK214" s="228">
        <v>-0.28000000000000003</v>
      </c>
      <c r="DL214" s="228">
        <v>-0.28000000000000003</v>
      </c>
      <c r="DM214" s="228">
        <v>29.28</v>
      </c>
      <c r="DN214" s="228">
        <v>29.24</v>
      </c>
      <c r="DO214" s="228">
        <v>0.04</v>
      </c>
      <c r="DP214" s="228">
        <v>0.04</v>
      </c>
      <c r="DQ214" s="228">
        <v>0.49</v>
      </c>
      <c r="DR214" s="228">
        <v>0.51</v>
      </c>
      <c r="DS214" s="228">
        <v>-0.02</v>
      </c>
      <c r="DT214" s="229">
        <v>-3.9199999999999999E-2</v>
      </c>
      <c r="DU214" s="228">
        <v>24</v>
      </c>
      <c r="DV214" s="228">
        <v>21</v>
      </c>
      <c r="DW214" s="228">
        <v>0.39</v>
      </c>
      <c r="DX214" s="228">
        <v>0.47</v>
      </c>
      <c r="DY214" s="228">
        <v>-0.08</v>
      </c>
      <c r="DZ214" s="229">
        <v>-0.17019999999999999</v>
      </c>
      <c r="EA214" s="229">
        <v>0.5373</v>
      </c>
      <c r="EB214" s="230">
        <v>404642100</v>
      </c>
      <c r="EC214" s="229">
        <v>5.1000000000000004E-3</v>
      </c>
      <c r="ED214" s="229">
        <v>0.5373</v>
      </c>
      <c r="EE214" s="228">
        <v>0.11</v>
      </c>
      <c r="EF214" s="229">
        <v>5.1000000000000004E-3</v>
      </c>
      <c r="EG214" s="230">
        <v>40228344</v>
      </c>
      <c r="EH214" s="230">
        <v>47972624</v>
      </c>
      <c r="EI214" s="229">
        <v>-0.16139999999999999</v>
      </c>
      <c r="EJ214" s="229">
        <v>0.40010000000000001</v>
      </c>
      <c r="EK214" s="231">
        <v>1149.3900000000001</v>
      </c>
      <c r="EL214" s="228">
        <v>419.45</v>
      </c>
      <c r="EM214" s="231">
        <v>1161.18</v>
      </c>
      <c r="EN214" s="228">
        <v>131.63999999999999</v>
      </c>
      <c r="EO214" s="231">
        <v>2730.03</v>
      </c>
      <c r="EP214" s="231">
        <v>3519.35</v>
      </c>
      <c r="EQ214" s="228">
        <v>-789.32</v>
      </c>
      <c r="ER214" s="229">
        <v>-0.2243</v>
      </c>
      <c r="ES214" s="231">
        <v>1430.9</v>
      </c>
      <c r="ET214" s="228">
        <v>629.76</v>
      </c>
      <c r="EU214" s="231">
        <v>2438.69</v>
      </c>
      <c r="EV214" s="231">
        <v>3547322779</v>
      </c>
      <c r="EW214" s="231">
        <v>4499.3500000000004</v>
      </c>
      <c r="EX214" s="231">
        <v>4444.78</v>
      </c>
      <c r="EY214" s="228">
        <v>54.57</v>
      </c>
      <c r="EZ214" s="229">
        <v>1.23E-2</v>
      </c>
      <c r="FA214" s="229">
        <v>0.56640000000000001</v>
      </c>
      <c r="FB214" s="227" t="s">
        <v>237</v>
      </c>
      <c r="FC214">
        <f t="shared" si="4"/>
        <v>0</v>
      </c>
    </row>
    <row r="215" spans="1:159" ht="17.25" thickBot="1" x14ac:dyDescent="0.3">
      <c r="A215" s="226">
        <v>46044</v>
      </c>
      <c r="B215" s="227" t="s">
        <v>170</v>
      </c>
      <c r="C215" s="227" t="s">
        <v>557</v>
      </c>
      <c r="D215" s="228">
        <v>900</v>
      </c>
      <c r="E215" s="228">
        <v>5</v>
      </c>
      <c r="F215" s="228">
        <v>886.75</v>
      </c>
      <c r="G215" s="228">
        <v>875.25</v>
      </c>
      <c r="H215" s="228">
        <v>11.5</v>
      </c>
      <c r="I215" s="229">
        <v>1.3100000000000001E-2</v>
      </c>
      <c r="J215" s="228">
        <v>885.3</v>
      </c>
      <c r="K215" s="228">
        <v>876.25</v>
      </c>
      <c r="L215" s="228">
        <v>9.0500000000000007</v>
      </c>
      <c r="M215" s="229">
        <v>1.03E-2</v>
      </c>
      <c r="N215" s="228">
        <v>886.75</v>
      </c>
      <c r="O215" s="228">
        <v>875.25</v>
      </c>
      <c r="P215" s="228">
        <v>11.5</v>
      </c>
      <c r="Q215" s="229">
        <v>1.3100000000000001E-2</v>
      </c>
      <c r="R215" s="228">
        <v>890.65</v>
      </c>
      <c r="S215" s="228">
        <v>878.1</v>
      </c>
      <c r="T215" s="228">
        <v>12.55</v>
      </c>
      <c r="U215" s="229">
        <v>1.43E-2</v>
      </c>
      <c r="V215" s="228">
        <v>895.8</v>
      </c>
      <c r="W215" s="228">
        <v>883.8</v>
      </c>
      <c r="X215" s="228">
        <v>12</v>
      </c>
      <c r="Y215" s="229">
        <v>1.3599999999999999E-2</v>
      </c>
      <c r="Z215" s="228">
        <v>1.45</v>
      </c>
      <c r="AA215" s="228">
        <v>-1</v>
      </c>
      <c r="AB215" s="228">
        <v>2.4500000000000002</v>
      </c>
      <c r="AC215" s="229">
        <v>1.6000000000000001E-3</v>
      </c>
      <c r="AD215" s="228">
        <v>1.45</v>
      </c>
      <c r="AE215" s="228">
        <v>-1</v>
      </c>
      <c r="AF215" s="228">
        <v>2.4500000000000002</v>
      </c>
      <c r="AG215" s="229">
        <v>1.6000000000000001E-3</v>
      </c>
      <c r="AH215" s="228">
        <v>5.35</v>
      </c>
      <c r="AI215" s="228">
        <v>1.85</v>
      </c>
      <c r="AJ215" s="228">
        <v>3.5</v>
      </c>
      <c r="AK215" s="229">
        <v>6.0000000000000001E-3</v>
      </c>
      <c r="AL215" s="228">
        <v>10.5</v>
      </c>
      <c r="AM215" s="228">
        <v>7.55</v>
      </c>
      <c r="AN215" s="228">
        <v>2.95</v>
      </c>
      <c r="AO215" s="229">
        <v>1.1900000000000001E-2</v>
      </c>
      <c r="AP215" s="228">
        <v>885.66</v>
      </c>
      <c r="AQ215" s="228">
        <v>889.91</v>
      </c>
      <c r="AR215" s="228">
        <v>0</v>
      </c>
      <c r="AS215" s="228">
        <v>565</v>
      </c>
      <c r="AT215" s="228">
        <v>829</v>
      </c>
      <c r="AU215" s="228">
        <v>-264</v>
      </c>
      <c r="AV215" s="229">
        <v>-0.31859999999999999</v>
      </c>
      <c r="AW215" s="228">
        <v>289</v>
      </c>
      <c r="AX215" s="228">
        <v>447</v>
      </c>
      <c r="AY215" s="228">
        <v>-159</v>
      </c>
      <c r="AZ215" s="229">
        <v>-0.3553</v>
      </c>
      <c r="BA215" s="228">
        <v>274</v>
      </c>
      <c r="BB215" s="228">
        <v>379</v>
      </c>
      <c r="BC215" s="228">
        <v>-105</v>
      </c>
      <c r="BD215" s="229">
        <v>-0.27779999999999999</v>
      </c>
      <c r="BE215" s="228">
        <v>3</v>
      </c>
      <c r="BF215" s="228">
        <v>2</v>
      </c>
      <c r="BG215" s="228">
        <v>0</v>
      </c>
      <c r="BH215" s="229">
        <v>0.10340000000000001</v>
      </c>
      <c r="BI215" s="228">
        <v>364</v>
      </c>
      <c r="BJ215" s="228">
        <v>432</v>
      </c>
      <c r="BK215" s="228">
        <v>-68</v>
      </c>
      <c r="BL215" s="229">
        <v>-0.15790000000000001</v>
      </c>
      <c r="BM215" s="228">
        <v>133</v>
      </c>
      <c r="BN215" s="228">
        <v>238</v>
      </c>
      <c r="BO215" s="228">
        <v>-105</v>
      </c>
      <c r="BP215" s="229">
        <v>-0.44209999999999999</v>
      </c>
      <c r="BQ215" s="230">
        <v>1061</v>
      </c>
      <c r="BR215" s="230">
        <v>1499</v>
      </c>
      <c r="BS215" s="228">
        <v>-437</v>
      </c>
      <c r="BT215" s="229">
        <v>-0.2918</v>
      </c>
      <c r="BU215" s="230">
        <v>484813</v>
      </c>
      <c r="BV215" s="230">
        <v>927884</v>
      </c>
      <c r="BW215" s="230">
        <v>-443071</v>
      </c>
      <c r="BX215" s="229">
        <v>-0.47749999999999998</v>
      </c>
      <c r="BY215" s="228">
        <v>914</v>
      </c>
      <c r="BZ215" s="228">
        <v>911</v>
      </c>
      <c r="CA215" s="228">
        <v>3</v>
      </c>
      <c r="CB215" s="229">
        <v>3.5000000000000001E-3</v>
      </c>
      <c r="CC215" s="228">
        <v>379</v>
      </c>
      <c r="CD215" s="228">
        <v>558</v>
      </c>
      <c r="CE215" s="228">
        <v>-179</v>
      </c>
      <c r="CF215" s="229">
        <v>-0.3216</v>
      </c>
      <c r="CG215" s="228">
        <v>530</v>
      </c>
      <c r="CH215" s="228">
        <v>348</v>
      </c>
      <c r="CI215" s="228">
        <v>182</v>
      </c>
      <c r="CJ215" s="229">
        <v>0.52429999999999999</v>
      </c>
      <c r="CK215" s="228">
        <v>5</v>
      </c>
      <c r="CL215" s="228">
        <v>5</v>
      </c>
      <c r="CM215" s="228">
        <v>0</v>
      </c>
      <c r="CN215" s="229">
        <v>6.3500000000000001E-2</v>
      </c>
      <c r="CO215" s="228">
        <v>383</v>
      </c>
      <c r="CP215" s="228">
        <v>398</v>
      </c>
      <c r="CQ215" s="228">
        <v>-16</v>
      </c>
      <c r="CR215" s="229">
        <v>-3.9100000000000003E-2</v>
      </c>
      <c r="CS215" s="228">
        <v>273</v>
      </c>
      <c r="CT215" s="228">
        <v>281</v>
      </c>
      <c r="CU215" s="228">
        <v>-8</v>
      </c>
      <c r="CV215" s="229">
        <v>-3.0099999999999998E-2</v>
      </c>
      <c r="CW215" s="230">
        <v>1569</v>
      </c>
      <c r="CX215" s="230">
        <v>1590</v>
      </c>
      <c r="CY215" s="228">
        <v>-21</v>
      </c>
      <c r="CZ215" s="229">
        <v>-1.3100000000000001E-2</v>
      </c>
      <c r="DA215" s="228">
        <v>26.85</v>
      </c>
      <c r="DB215" s="228">
        <v>22.24</v>
      </c>
      <c r="DC215" s="228">
        <v>4.6100000000000003</v>
      </c>
      <c r="DD215" s="228">
        <v>4.6100000000000003</v>
      </c>
      <c r="DE215" s="228">
        <v>27.28</v>
      </c>
      <c r="DF215" s="228">
        <v>27.29</v>
      </c>
      <c r="DG215" s="228">
        <v>-0.43</v>
      </c>
      <c r="DH215" s="228">
        <v>-0.01</v>
      </c>
      <c r="DI215" s="228">
        <v>26.95</v>
      </c>
      <c r="DJ215" s="228">
        <v>22.7</v>
      </c>
      <c r="DK215" s="228">
        <v>4.25</v>
      </c>
      <c r="DL215" s="228">
        <v>4.25</v>
      </c>
      <c r="DM215" s="228">
        <v>26.68</v>
      </c>
      <c r="DN215" s="228">
        <v>21.41</v>
      </c>
      <c r="DO215" s="228">
        <v>5.27</v>
      </c>
      <c r="DP215" s="228">
        <v>5.27</v>
      </c>
      <c r="DQ215" s="228">
        <v>0.71</v>
      </c>
      <c r="DR215" s="228">
        <v>0.71</v>
      </c>
      <c r="DS215" s="228">
        <v>0</v>
      </c>
      <c r="DT215" s="229">
        <v>0</v>
      </c>
      <c r="DU215" s="228">
        <v>940</v>
      </c>
      <c r="DV215" s="228">
        <v>900</v>
      </c>
      <c r="DW215" s="228">
        <v>0.36</v>
      </c>
      <c r="DX215" s="228">
        <v>0.55000000000000004</v>
      </c>
      <c r="DY215" s="228">
        <v>-0.19</v>
      </c>
      <c r="DZ215" s="229">
        <v>-0.34549999999999997</v>
      </c>
      <c r="EA215" s="229">
        <v>0.58579999999999999</v>
      </c>
      <c r="EB215" s="230">
        <v>3978900</v>
      </c>
      <c r="EC215" s="229">
        <v>4.4000000000000003E-3</v>
      </c>
      <c r="ED215" s="229">
        <v>0.58579999999999999</v>
      </c>
      <c r="EE215" s="228">
        <v>4.25</v>
      </c>
      <c r="EF215" s="229">
        <v>4.7999999999999996E-3</v>
      </c>
      <c r="EG215" s="230">
        <v>245466</v>
      </c>
      <c r="EH215" s="230">
        <v>447619</v>
      </c>
      <c r="EI215" s="229">
        <v>-0.4516</v>
      </c>
      <c r="EJ215" s="229">
        <v>0.50629999999999997</v>
      </c>
      <c r="EK215" s="228">
        <v>375.3</v>
      </c>
      <c r="EL215" s="228">
        <v>133.55000000000001</v>
      </c>
      <c r="EM215" s="228">
        <v>565.36</v>
      </c>
      <c r="EN215" s="228">
        <v>59.15</v>
      </c>
      <c r="EO215" s="231">
        <v>1074.21</v>
      </c>
      <c r="EP215" s="231">
        <v>1496.59</v>
      </c>
      <c r="EQ215" s="228">
        <v>-422.38</v>
      </c>
      <c r="ER215" s="229">
        <v>-0.28220000000000001</v>
      </c>
      <c r="ES215" s="228">
        <v>403.46</v>
      </c>
      <c r="ET215" s="228">
        <v>272.8</v>
      </c>
      <c r="EU215" s="228">
        <v>916.58</v>
      </c>
      <c r="EV215" s="231">
        <v>37741451</v>
      </c>
      <c r="EW215" s="231">
        <v>1592.84</v>
      </c>
      <c r="EX215" s="231">
        <v>1600.66</v>
      </c>
      <c r="EY215" s="228">
        <v>-7.82</v>
      </c>
      <c r="EZ215" s="229">
        <v>-4.8999999999999998E-3</v>
      </c>
      <c r="FA215" s="229">
        <v>0.46899999999999997</v>
      </c>
      <c r="FB215" s="227" t="s">
        <v>555</v>
      </c>
      <c r="FC215">
        <f t="shared" si="4"/>
        <v>0</v>
      </c>
    </row>
    <row r="216" spans="1:159" x14ac:dyDescent="0.25">
      <c r="FC216">
        <f t="shared" si="4"/>
        <v>0</v>
      </c>
    </row>
    <row r="217" spans="1:159" x14ac:dyDescent="0.25">
      <c r="FC217">
        <f t="shared" si="4"/>
        <v>0</v>
      </c>
    </row>
    <row r="218" spans="1:159" x14ac:dyDescent="0.25">
      <c r="FC218">
        <f t="shared" si="4"/>
        <v>0</v>
      </c>
    </row>
    <row r="219" spans="1:159" x14ac:dyDescent="0.25">
      <c r="FC219">
        <f t="shared" si="4"/>
        <v>0</v>
      </c>
    </row>
    <row r="220" spans="1:159" x14ac:dyDescent="0.25">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BY325-CC325</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BY389-CC389</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zoomScaleNormal="100" workbookViewId="0">
      <selection activeCell="CC159" sqref="CC159"/>
    </sheetView>
  </sheetViews>
  <sheetFormatPr defaultRowHeight="15" x14ac:dyDescent="0.25"/>
  <cols>
    <col min="1" max="1" width="11.5703125"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3.7109375" customWidth="1"/>
    <col min="79" max="79" width="9.85546875" customWidth="1"/>
    <col min="80" max="81" width="15.5703125" customWidth="1"/>
    <col min="82" max="82" width="14.85546875" customWidth="1"/>
    <col min="83" max="83" width="11.42578125" customWidth="1"/>
    <col min="84" max="85" width="15.5703125" customWidth="1"/>
    <col min="86" max="86" width="14" customWidth="1"/>
    <col min="87" max="87" width="11.42578125" customWidth="1"/>
    <col min="88" max="88" width="14" customWidth="1"/>
    <col min="89" max="90" width="12.7109375" customWidth="1"/>
    <col min="91" max="91" width="10.140625" customWidth="1"/>
    <col min="92" max="93" width="15.5703125" customWidth="1"/>
    <col min="94" max="94" width="14.85546875" customWidth="1"/>
    <col min="95" max="95" width="10.42578125" customWidth="1"/>
    <col min="96" max="97" width="15.5703125" customWidth="1"/>
    <col min="98" max="98" width="13.7109375" customWidth="1"/>
    <col min="99" max="99" width="10.28515625" customWidth="1"/>
    <col min="100" max="101" width="16.7109375" customWidth="1"/>
    <col min="102" max="102" width="13.85546875" customWidth="1"/>
    <col min="103" max="103" width="11.7109375" customWidth="1"/>
    <col min="104" max="104" width="8" style="195" customWidth="1"/>
    <col min="105" max="105" width="8.7109375" customWidth="1"/>
    <col min="106" max="107" width="8.855468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5703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9.5703125" customWidth="1"/>
    <col min="152" max="153" width="16.7109375" customWidth="1"/>
    <col min="154" max="154" width="14.710937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hidden="1" thickBot="1" x14ac:dyDescent="0.3">
      <c r="A2" s="226">
        <v>46044</v>
      </c>
      <c r="B2" s="227" t="s">
        <v>175</v>
      </c>
      <c r="C2" s="227" t="s">
        <v>682</v>
      </c>
      <c r="D2" s="228">
        <v>500</v>
      </c>
      <c r="E2" s="231">
        <v>1107.9000000000001</v>
      </c>
      <c r="F2" s="231">
        <v>1099.0999999999999</v>
      </c>
      <c r="G2" s="228">
        <v>8.8000000000000007</v>
      </c>
      <c r="H2" s="229">
        <v>8.0000000000000002E-3</v>
      </c>
      <c r="I2" s="231">
        <v>1106.3</v>
      </c>
      <c r="J2" s="231">
        <v>1095.3</v>
      </c>
      <c r="K2" s="228">
        <v>11</v>
      </c>
      <c r="L2" s="229">
        <v>0.01</v>
      </c>
      <c r="M2" s="231">
        <v>1107.9000000000001</v>
      </c>
      <c r="N2" s="231">
        <v>1099.0999999999999</v>
      </c>
      <c r="O2" s="228">
        <v>8.8000000000000007</v>
      </c>
      <c r="P2" s="229">
        <v>8.0000000000000002E-3</v>
      </c>
      <c r="Q2" s="231">
        <v>1101.4000000000001</v>
      </c>
      <c r="R2" s="231">
        <v>1092.7</v>
      </c>
      <c r="S2" s="228">
        <v>8.6999999999999993</v>
      </c>
      <c r="T2" s="229">
        <v>8.0000000000000002E-3</v>
      </c>
      <c r="U2" s="231">
        <v>1096.5999999999999</v>
      </c>
      <c r="V2" s="231">
        <v>1080</v>
      </c>
      <c r="W2" s="228">
        <v>16.600000000000001</v>
      </c>
      <c r="X2" s="229">
        <v>1.54E-2</v>
      </c>
      <c r="Y2" s="228">
        <v>1.6</v>
      </c>
      <c r="Z2" s="228">
        <v>3.8</v>
      </c>
      <c r="AA2" s="228">
        <v>-2.2000000000000002</v>
      </c>
      <c r="AB2" s="229">
        <v>1.4E-3</v>
      </c>
      <c r="AC2" s="228">
        <v>1.6</v>
      </c>
      <c r="AD2" s="228">
        <v>3.8</v>
      </c>
      <c r="AE2" s="228">
        <v>-2.2000000000000002</v>
      </c>
      <c r="AF2" s="229">
        <v>1.4E-3</v>
      </c>
      <c r="AG2" s="228">
        <v>-4.9000000000000004</v>
      </c>
      <c r="AH2" s="228">
        <v>-2.6</v>
      </c>
      <c r="AI2" s="228">
        <v>-2.2999999999999998</v>
      </c>
      <c r="AJ2" s="229">
        <v>-4.4000000000000003E-3</v>
      </c>
      <c r="AK2" s="228">
        <v>-9.6999999999999993</v>
      </c>
      <c r="AL2" s="228">
        <v>-15.3</v>
      </c>
      <c r="AM2" s="228">
        <v>5.6</v>
      </c>
      <c r="AN2" s="229">
        <v>-8.8000000000000005E-3</v>
      </c>
      <c r="AO2" s="231">
        <v>1108.77</v>
      </c>
      <c r="AP2" s="231">
        <v>1102.8599999999999</v>
      </c>
      <c r="AQ2" s="228">
        <v>0</v>
      </c>
      <c r="AR2" s="230">
        <v>3247500</v>
      </c>
      <c r="AS2" s="230">
        <v>4126500</v>
      </c>
      <c r="AT2" s="230">
        <v>-879000</v>
      </c>
      <c r="AU2" s="229">
        <v>-0.21299999999999999</v>
      </c>
      <c r="AV2" s="230">
        <v>1563500</v>
      </c>
      <c r="AW2" s="230">
        <v>2494500</v>
      </c>
      <c r="AX2" s="230">
        <v>-931000</v>
      </c>
      <c r="AY2" s="229">
        <v>-0.37319999999999998</v>
      </c>
      <c r="AZ2" s="230">
        <v>1681000</v>
      </c>
      <c r="BA2" s="230">
        <v>1626500</v>
      </c>
      <c r="BB2" s="230">
        <v>54500</v>
      </c>
      <c r="BC2" s="229">
        <v>3.3500000000000002E-2</v>
      </c>
      <c r="BD2" s="230">
        <v>3000</v>
      </c>
      <c r="BE2" s="230">
        <v>5500</v>
      </c>
      <c r="BF2" s="230">
        <v>-2500</v>
      </c>
      <c r="BG2" s="229">
        <v>-0.45450000000000002</v>
      </c>
      <c r="BH2" s="230">
        <v>4484500</v>
      </c>
      <c r="BI2" s="230">
        <v>7308000</v>
      </c>
      <c r="BJ2" s="230">
        <v>-2823500</v>
      </c>
      <c r="BK2" s="229">
        <v>-0.38640000000000002</v>
      </c>
      <c r="BL2" s="230">
        <v>1383000</v>
      </c>
      <c r="BM2" s="230">
        <v>4669000</v>
      </c>
      <c r="BN2" s="230">
        <v>-3286000</v>
      </c>
      <c r="BO2" s="229">
        <v>-0.70379999999999998</v>
      </c>
      <c r="BP2" s="230">
        <v>9115000</v>
      </c>
      <c r="BQ2" s="230">
        <v>16103500</v>
      </c>
      <c r="BR2" s="230">
        <v>-6988500</v>
      </c>
      <c r="BS2" s="229">
        <v>-0.434</v>
      </c>
      <c r="BT2" s="230">
        <v>1887954</v>
      </c>
      <c r="BU2" s="230">
        <v>867575</v>
      </c>
      <c r="BV2" s="230">
        <v>1020379</v>
      </c>
      <c r="BW2" s="229">
        <v>1.1760999999999999</v>
      </c>
      <c r="BX2" s="230">
        <v>3610000</v>
      </c>
      <c r="BY2" s="230">
        <v>3800500</v>
      </c>
      <c r="BZ2" s="230">
        <v>-190500</v>
      </c>
      <c r="CA2" s="229">
        <v>-5.0099999999999999E-2</v>
      </c>
      <c r="CB2" s="230">
        <v>1793500</v>
      </c>
      <c r="CC2" s="230">
        <v>2814500</v>
      </c>
      <c r="CD2" s="230">
        <v>-1021000</v>
      </c>
      <c r="CE2" s="229">
        <v>-0.36280000000000001</v>
      </c>
      <c r="CF2" s="230">
        <v>1806000</v>
      </c>
      <c r="CG2" s="230">
        <v>976500</v>
      </c>
      <c r="CH2" s="230">
        <v>829500</v>
      </c>
      <c r="CI2" s="229">
        <v>0.84950000000000003</v>
      </c>
      <c r="CJ2" s="230">
        <v>10500</v>
      </c>
      <c r="CK2" s="230">
        <v>9500</v>
      </c>
      <c r="CL2" s="230">
        <v>1000</v>
      </c>
      <c r="CM2" s="229">
        <v>0.1053</v>
      </c>
      <c r="CN2" s="230">
        <v>3130500</v>
      </c>
      <c r="CO2" s="230">
        <v>3628500</v>
      </c>
      <c r="CP2" s="230">
        <v>-498000</v>
      </c>
      <c r="CQ2" s="229">
        <v>-0.13719999999999999</v>
      </c>
      <c r="CR2" s="230">
        <v>1776500</v>
      </c>
      <c r="CS2" s="230">
        <v>1937000</v>
      </c>
      <c r="CT2" s="230">
        <v>-160500</v>
      </c>
      <c r="CU2" s="229">
        <v>-8.2900000000000001E-2</v>
      </c>
      <c r="CV2" s="230">
        <v>8517000</v>
      </c>
      <c r="CW2" s="230">
        <v>9366000</v>
      </c>
      <c r="CX2" s="230">
        <v>-849000</v>
      </c>
      <c r="CY2" s="229">
        <v>-9.06E-2</v>
      </c>
      <c r="CZ2" s="228">
        <v>33.299999999999997</v>
      </c>
      <c r="DA2" s="228">
        <v>31.73</v>
      </c>
      <c r="DB2" s="228">
        <v>1.57</v>
      </c>
      <c r="DC2" s="228">
        <v>1.57</v>
      </c>
      <c r="DD2" s="228">
        <v>42.63</v>
      </c>
      <c r="DE2" s="228">
        <v>42.72</v>
      </c>
      <c r="DF2" s="228">
        <v>-9.33</v>
      </c>
      <c r="DG2" s="228">
        <v>-0.09</v>
      </c>
      <c r="DH2" s="228">
        <v>33.53</v>
      </c>
      <c r="DI2" s="228">
        <v>35.17</v>
      </c>
      <c r="DJ2" s="228">
        <v>-1.64</v>
      </c>
      <c r="DK2" s="228">
        <v>-1.64</v>
      </c>
      <c r="DL2" s="228">
        <v>32.81</v>
      </c>
      <c r="DM2" s="228">
        <v>26.36</v>
      </c>
      <c r="DN2" s="228">
        <v>6.45</v>
      </c>
      <c r="DO2" s="228">
        <v>6.45</v>
      </c>
      <c r="DP2" s="228">
        <v>0.56999999999999995</v>
      </c>
      <c r="DQ2" s="228">
        <v>0.53</v>
      </c>
      <c r="DR2" s="228">
        <v>0.04</v>
      </c>
      <c r="DS2" s="229">
        <v>7.5499999999999998E-2</v>
      </c>
      <c r="DT2" s="231">
        <v>1220</v>
      </c>
      <c r="DU2" s="231">
        <v>1060</v>
      </c>
      <c r="DV2" s="228">
        <v>0.31</v>
      </c>
      <c r="DW2" s="228">
        <v>0.64</v>
      </c>
      <c r="DX2" s="228">
        <v>-0.33</v>
      </c>
      <c r="DY2" s="229">
        <v>-0.51559999999999995</v>
      </c>
      <c r="DZ2" s="229">
        <v>0.50319999999999998</v>
      </c>
      <c r="EA2" s="230">
        <v>986000</v>
      </c>
      <c r="EB2" s="229">
        <v>-5.8999999999999999E-3</v>
      </c>
      <c r="EC2" s="229">
        <v>0.50319999999999998</v>
      </c>
      <c r="ED2" s="228">
        <v>-5.91</v>
      </c>
      <c r="EE2" s="229">
        <v>-5.3E-3</v>
      </c>
      <c r="EF2" s="230">
        <v>1388454</v>
      </c>
      <c r="EG2" s="230">
        <v>314314</v>
      </c>
      <c r="EH2" s="229">
        <v>3.4174000000000002</v>
      </c>
      <c r="EI2" s="229">
        <v>0.73540000000000005</v>
      </c>
      <c r="EJ2" s="231">
        <v>53075.62</v>
      </c>
      <c r="EK2" s="231">
        <v>15077.75</v>
      </c>
      <c r="EL2" s="231">
        <v>35907.800000000003</v>
      </c>
      <c r="EM2" s="231">
        <v>9899</v>
      </c>
      <c r="EN2" s="231">
        <v>104061.17</v>
      </c>
      <c r="EO2" s="231">
        <v>183418.46</v>
      </c>
      <c r="EP2" s="231">
        <v>-79357.289999999994</v>
      </c>
      <c r="EQ2" s="229">
        <v>-0.43269999999999997</v>
      </c>
      <c r="ER2" s="231">
        <v>37835</v>
      </c>
      <c r="ES2" s="231">
        <v>19589</v>
      </c>
      <c r="ET2" s="231">
        <v>39877</v>
      </c>
      <c r="EU2" s="231">
        <v>36943219</v>
      </c>
      <c r="EV2" s="231">
        <v>97300</v>
      </c>
      <c r="EW2" s="231">
        <v>107069</v>
      </c>
      <c r="EX2" s="231">
        <v>-9769</v>
      </c>
      <c r="EY2" s="229">
        <v>-9.1200000000000003E-2</v>
      </c>
      <c r="EZ2" s="229">
        <v>0.23050000000000001</v>
      </c>
      <c r="FA2" s="227" t="s">
        <v>556</v>
      </c>
      <c r="FB2" s="161">
        <f>BX2-CB2</f>
        <v>1816500</v>
      </c>
    </row>
    <row r="3" spans="1:158" ht="17.25" hidden="1" thickBot="1" x14ac:dyDescent="0.3">
      <c r="A3" s="226">
        <v>46044</v>
      </c>
      <c r="B3" s="227" t="s">
        <v>184</v>
      </c>
      <c r="C3" s="227" t="s">
        <v>553</v>
      </c>
      <c r="D3" s="228">
        <v>125</v>
      </c>
      <c r="E3" s="231">
        <v>4771.5</v>
      </c>
      <c r="F3" s="231">
        <v>4724.5</v>
      </c>
      <c r="G3" s="228">
        <v>47</v>
      </c>
      <c r="H3" s="229">
        <v>9.9000000000000008E-3</v>
      </c>
      <c r="I3" s="231">
        <v>4755.5</v>
      </c>
      <c r="J3" s="231">
        <v>4707.5</v>
      </c>
      <c r="K3" s="228">
        <v>48</v>
      </c>
      <c r="L3" s="229">
        <v>1.0200000000000001E-2</v>
      </c>
      <c r="M3" s="231">
        <v>4771.5</v>
      </c>
      <c r="N3" s="231">
        <v>4724.5</v>
      </c>
      <c r="O3" s="228">
        <v>47</v>
      </c>
      <c r="P3" s="229">
        <v>9.9000000000000008E-3</v>
      </c>
      <c r="Q3" s="231">
        <v>4773</v>
      </c>
      <c r="R3" s="231">
        <v>4724</v>
      </c>
      <c r="S3" s="228">
        <v>49</v>
      </c>
      <c r="T3" s="229">
        <v>1.04E-2</v>
      </c>
      <c r="U3" s="231">
        <v>4801</v>
      </c>
      <c r="V3" s="231">
        <v>4735</v>
      </c>
      <c r="W3" s="228">
        <v>66</v>
      </c>
      <c r="X3" s="229">
        <v>1.3899999999999999E-2</v>
      </c>
      <c r="Y3" s="228">
        <v>16</v>
      </c>
      <c r="Z3" s="228">
        <v>17</v>
      </c>
      <c r="AA3" s="228">
        <v>-1</v>
      </c>
      <c r="AB3" s="229">
        <v>3.3999999999999998E-3</v>
      </c>
      <c r="AC3" s="228">
        <v>16</v>
      </c>
      <c r="AD3" s="228">
        <v>17</v>
      </c>
      <c r="AE3" s="228">
        <v>-1</v>
      </c>
      <c r="AF3" s="229">
        <v>3.3999999999999998E-3</v>
      </c>
      <c r="AG3" s="228">
        <v>17.5</v>
      </c>
      <c r="AH3" s="228">
        <v>16.5</v>
      </c>
      <c r="AI3" s="228">
        <v>1</v>
      </c>
      <c r="AJ3" s="229">
        <v>3.7000000000000002E-3</v>
      </c>
      <c r="AK3" s="228">
        <v>45.5</v>
      </c>
      <c r="AL3" s="228">
        <v>27.5</v>
      </c>
      <c r="AM3" s="228">
        <v>18</v>
      </c>
      <c r="AN3" s="229">
        <v>9.5999999999999992E-3</v>
      </c>
      <c r="AO3" s="231">
        <v>4768.4399999999996</v>
      </c>
      <c r="AP3" s="231">
        <v>4769.5600000000004</v>
      </c>
      <c r="AQ3" s="228">
        <v>0</v>
      </c>
      <c r="AR3" s="230">
        <v>1450250</v>
      </c>
      <c r="AS3" s="230">
        <v>2448875</v>
      </c>
      <c r="AT3" s="230">
        <v>-998625</v>
      </c>
      <c r="AU3" s="229">
        <v>-0.4078</v>
      </c>
      <c r="AV3" s="230">
        <v>765125</v>
      </c>
      <c r="AW3" s="230">
        <v>1306875</v>
      </c>
      <c r="AX3" s="230">
        <v>-541750</v>
      </c>
      <c r="AY3" s="229">
        <v>-0.41449999999999998</v>
      </c>
      <c r="AZ3" s="230">
        <v>679500</v>
      </c>
      <c r="BA3" s="230">
        <v>1129750</v>
      </c>
      <c r="BB3" s="230">
        <v>-450250</v>
      </c>
      <c r="BC3" s="229">
        <v>-0.39850000000000002</v>
      </c>
      <c r="BD3" s="230">
        <v>5625</v>
      </c>
      <c r="BE3" s="230">
        <v>12250</v>
      </c>
      <c r="BF3" s="230">
        <v>-6625</v>
      </c>
      <c r="BG3" s="229">
        <v>-0.54079999999999995</v>
      </c>
      <c r="BH3" s="230">
        <v>1563750</v>
      </c>
      <c r="BI3" s="230">
        <v>2108000</v>
      </c>
      <c r="BJ3" s="230">
        <v>-544250</v>
      </c>
      <c r="BK3" s="229">
        <v>-0.25819999999999999</v>
      </c>
      <c r="BL3" s="230">
        <v>625250</v>
      </c>
      <c r="BM3" s="230">
        <v>1064750</v>
      </c>
      <c r="BN3" s="230">
        <v>-439500</v>
      </c>
      <c r="BO3" s="229">
        <v>-0.4128</v>
      </c>
      <c r="BP3" s="230">
        <v>3639250</v>
      </c>
      <c r="BQ3" s="230">
        <v>5621625</v>
      </c>
      <c r="BR3" s="230">
        <v>-1982375</v>
      </c>
      <c r="BS3" s="229">
        <v>-0.35260000000000002</v>
      </c>
      <c r="BT3" s="230">
        <v>147716</v>
      </c>
      <c r="BU3" s="230">
        <v>360996</v>
      </c>
      <c r="BV3" s="230">
        <v>-213280</v>
      </c>
      <c r="BW3" s="229">
        <v>-0.59079999999999999</v>
      </c>
      <c r="BX3" s="230">
        <v>2447125</v>
      </c>
      <c r="BY3" s="230">
        <v>2455750</v>
      </c>
      <c r="BZ3" s="230">
        <v>-8625</v>
      </c>
      <c r="CA3" s="229">
        <v>-3.5000000000000001E-3</v>
      </c>
      <c r="CB3" s="230">
        <v>955125</v>
      </c>
      <c r="CC3" s="230">
        <v>1453750</v>
      </c>
      <c r="CD3" s="230">
        <v>-498625</v>
      </c>
      <c r="CE3" s="229">
        <v>-0.34300000000000003</v>
      </c>
      <c r="CF3" s="230">
        <v>1459625</v>
      </c>
      <c r="CG3" s="230">
        <v>972375</v>
      </c>
      <c r="CH3" s="230">
        <v>487250</v>
      </c>
      <c r="CI3" s="229">
        <v>0.50109999999999999</v>
      </c>
      <c r="CJ3" s="230">
        <v>32375</v>
      </c>
      <c r="CK3" s="230">
        <v>29625</v>
      </c>
      <c r="CL3" s="230">
        <v>2750</v>
      </c>
      <c r="CM3" s="229">
        <v>9.2799999999999994E-2</v>
      </c>
      <c r="CN3" s="230">
        <v>1362250</v>
      </c>
      <c r="CO3" s="230">
        <v>1448125</v>
      </c>
      <c r="CP3" s="230">
        <v>-85875</v>
      </c>
      <c r="CQ3" s="229">
        <v>-5.9299999999999999E-2</v>
      </c>
      <c r="CR3" s="230">
        <v>857375</v>
      </c>
      <c r="CS3" s="230">
        <v>901000</v>
      </c>
      <c r="CT3" s="230">
        <v>-43625</v>
      </c>
      <c r="CU3" s="229">
        <v>-4.8399999999999999E-2</v>
      </c>
      <c r="CV3" s="230">
        <v>4666750</v>
      </c>
      <c r="CW3" s="230">
        <v>4804875</v>
      </c>
      <c r="CX3" s="230">
        <v>-138125</v>
      </c>
      <c r="CY3" s="229">
        <v>-2.87E-2</v>
      </c>
      <c r="CZ3" s="228">
        <v>29.06</v>
      </c>
      <c r="DA3" s="228">
        <v>27.62</v>
      </c>
      <c r="DB3" s="228">
        <v>1.44</v>
      </c>
      <c r="DC3" s="228">
        <v>1.44</v>
      </c>
      <c r="DD3" s="228">
        <v>34.03</v>
      </c>
      <c r="DE3" s="228">
        <v>34.090000000000003</v>
      </c>
      <c r="DF3" s="228">
        <v>-4.97</v>
      </c>
      <c r="DG3" s="228">
        <v>-0.06</v>
      </c>
      <c r="DH3" s="228">
        <v>29.06</v>
      </c>
      <c r="DI3" s="228">
        <v>28.11</v>
      </c>
      <c r="DJ3" s="228">
        <v>0.95</v>
      </c>
      <c r="DK3" s="228">
        <v>0.95</v>
      </c>
      <c r="DL3" s="228">
        <v>29.06</v>
      </c>
      <c r="DM3" s="228">
        <v>26.65</v>
      </c>
      <c r="DN3" s="228">
        <v>2.41</v>
      </c>
      <c r="DO3" s="228">
        <v>2.41</v>
      </c>
      <c r="DP3" s="228">
        <v>0.63</v>
      </c>
      <c r="DQ3" s="228">
        <v>0.62</v>
      </c>
      <c r="DR3" s="228">
        <v>0.01</v>
      </c>
      <c r="DS3" s="229">
        <v>1.61E-2</v>
      </c>
      <c r="DT3" s="231">
        <v>5300</v>
      </c>
      <c r="DU3" s="231">
        <v>5200</v>
      </c>
      <c r="DV3" s="228">
        <v>0.4</v>
      </c>
      <c r="DW3" s="228">
        <v>0.51</v>
      </c>
      <c r="DX3" s="228">
        <v>-0.11</v>
      </c>
      <c r="DY3" s="229">
        <v>-0.2157</v>
      </c>
      <c r="DZ3" s="229">
        <v>0.60970000000000002</v>
      </c>
      <c r="EA3" s="230">
        <v>1002000</v>
      </c>
      <c r="EB3" s="229">
        <v>2.9999999999999997E-4</v>
      </c>
      <c r="EC3" s="229">
        <v>0.60970000000000002</v>
      </c>
      <c r="ED3" s="228">
        <v>1.1200000000000001</v>
      </c>
      <c r="EE3" s="229">
        <v>2.0000000000000001E-4</v>
      </c>
      <c r="EF3" s="230">
        <v>78982</v>
      </c>
      <c r="EG3" s="230">
        <v>188726</v>
      </c>
      <c r="EH3" s="229">
        <v>-0.58150000000000002</v>
      </c>
      <c r="EI3" s="229">
        <v>0.53469999999999995</v>
      </c>
      <c r="EJ3" s="231">
        <v>79379.59</v>
      </c>
      <c r="EK3" s="231">
        <v>30005.83</v>
      </c>
      <c r="EL3" s="231">
        <v>69163.39</v>
      </c>
      <c r="EM3" s="231">
        <v>8489</v>
      </c>
      <c r="EN3" s="231">
        <v>178548.81</v>
      </c>
      <c r="EO3" s="231">
        <v>270958.51</v>
      </c>
      <c r="EP3" s="231">
        <v>-92409.7</v>
      </c>
      <c r="EQ3" s="229">
        <v>-0.34100000000000003</v>
      </c>
      <c r="ER3" s="231">
        <v>70971</v>
      </c>
      <c r="ES3" s="231">
        <v>42530</v>
      </c>
      <c r="ET3" s="231">
        <v>116796</v>
      </c>
      <c r="EU3" s="231">
        <v>7946564</v>
      </c>
      <c r="EV3" s="231">
        <v>230297</v>
      </c>
      <c r="EW3" s="231">
        <v>236321</v>
      </c>
      <c r="EX3" s="231">
        <v>-6024</v>
      </c>
      <c r="EY3" s="229">
        <v>-2.5499999999999998E-2</v>
      </c>
      <c r="EZ3" s="229">
        <v>0.58730000000000004</v>
      </c>
      <c r="FA3" s="227" t="s">
        <v>556</v>
      </c>
      <c r="FB3" s="161">
        <f t="shared" ref="FB3:FB66" si="0">BX3-CB3</f>
        <v>1492000</v>
      </c>
    </row>
    <row r="4" spans="1:158" ht="17.25" hidden="1" thickBot="1" x14ac:dyDescent="0.3">
      <c r="A4" s="226">
        <v>46044</v>
      </c>
      <c r="B4" s="227" t="s">
        <v>175</v>
      </c>
      <c r="C4" s="227" t="s">
        <v>544</v>
      </c>
      <c r="D4" s="228">
        <v>3100</v>
      </c>
      <c r="E4" s="228">
        <v>354.2</v>
      </c>
      <c r="F4" s="228">
        <v>346.8</v>
      </c>
      <c r="G4" s="228">
        <v>7.4</v>
      </c>
      <c r="H4" s="229">
        <v>2.1299999999999999E-2</v>
      </c>
      <c r="I4" s="228">
        <v>354.5</v>
      </c>
      <c r="J4" s="228">
        <v>346.25</v>
      </c>
      <c r="K4" s="228">
        <v>8.25</v>
      </c>
      <c r="L4" s="229">
        <v>2.3800000000000002E-2</v>
      </c>
      <c r="M4" s="228">
        <v>354.2</v>
      </c>
      <c r="N4" s="228">
        <v>346.8</v>
      </c>
      <c r="O4" s="228">
        <v>7.4</v>
      </c>
      <c r="P4" s="229">
        <v>2.1299999999999999E-2</v>
      </c>
      <c r="Q4" s="228">
        <v>356</v>
      </c>
      <c r="R4" s="228">
        <v>348.6</v>
      </c>
      <c r="S4" s="228">
        <v>7.4</v>
      </c>
      <c r="T4" s="229">
        <v>2.12E-2</v>
      </c>
      <c r="U4" s="228">
        <v>358.2</v>
      </c>
      <c r="V4" s="228">
        <v>350.45</v>
      </c>
      <c r="W4" s="228">
        <v>7.75</v>
      </c>
      <c r="X4" s="229">
        <v>2.2100000000000002E-2</v>
      </c>
      <c r="Y4" s="228">
        <v>-0.3</v>
      </c>
      <c r="Z4" s="228">
        <v>0.55000000000000004</v>
      </c>
      <c r="AA4" s="228">
        <v>-0.85</v>
      </c>
      <c r="AB4" s="229">
        <v>-8.0000000000000004E-4</v>
      </c>
      <c r="AC4" s="228">
        <v>-0.3</v>
      </c>
      <c r="AD4" s="228">
        <v>0.55000000000000004</v>
      </c>
      <c r="AE4" s="228">
        <v>-0.85</v>
      </c>
      <c r="AF4" s="229">
        <v>-8.0000000000000004E-4</v>
      </c>
      <c r="AG4" s="228">
        <v>1.5</v>
      </c>
      <c r="AH4" s="228">
        <v>2.35</v>
      </c>
      <c r="AI4" s="228">
        <v>-0.85</v>
      </c>
      <c r="AJ4" s="229">
        <v>4.1999999999999997E-3</v>
      </c>
      <c r="AK4" s="228">
        <v>3.7</v>
      </c>
      <c r="AL4" s="228">
        <v>4.2</v>
      </c>
      <c r="AM4" s="228">
        <v>-0.5</v>
      </c>
      <c r="AN4" s="229">
        <v>1.04E-2</v>
      </c>
      <c r="AO4" s="228">
        <v>352.5</v>
      </c>
      <c r="AP4" s="228">
        <v>354.27</v>
      </c>
      <c r="AQ4" s="228">
        <v>0</v>
      </c>
      <c r="AR4" s="230">
        <v>84825300</v>
      </c>
      <c r="AS4" s="230">
        <v>57675500</v>
      </c>
      <c r="AT4" s="230">
        <v>27149800</v>
      </c>
      <c r="AU4" s="229">
        <v>0.47070000000000001</v>
      </c>
      <c r="AV4" s="230">
        <v>42460700</v>
      </c>
      <c r="AW4" s="230">
        <v>33083200</v>
      </c>
      <c r="AX4" s="230">
        <v>9377500</v>
      </c>
      <c r="AY4" s="229">
        <v>0.28349999999999997</v>
      </c>
      <c r="AZ4" s="230">
        <v>42191000</v>
      </c>
      <c r="BA4" s="230">
        <v>24180000</v>
      </c>
      <c r="BB4" s="230">
        <v>18011000</v>
      </c>
      <c r="BC4" s="229">
        <v>0.74490000000000001</v>
      </c>
      <c r="BD4" s="230">
        <v>173600</v>
      </c>
      <c r="BE4" s="230">
        <v>412300</v>
      </c>
      <c r="BF4" s="230">
        <v>-238700</v>
      </c>
      <c r="BG4" s="229">
        <v>-0.57889999999999997</v>
      </c>
      <c r="BH4" s="230">
        <v>51019800</v>
      </c>
      <c r="BI4" s="230">
        <v>77087700</v>
      </c>
      <c r="BJ4" s="230">
        <v>-26067900</v>
      </c>
      <c r="BK4" s="229">
        <v>-0.3382</v>
      </c>
      <c r="BL4" s="230">
        <v>39165400</v>
      </c>
      <c r="BM4" s="230">
        <v>55437300</v>
      </c>
      <c r="BN4" s="230">
        <v>-16271900</v>
      </c>
      <c r="BO4" s="229">
        <v>-0.29349999999999998</v>
      </c>
      <c r="BP4" s="230">
        <v>175010500</v>
      </c>
      <c r="BQ4" s="230">
        <v>190200500</v>
      </c>
      <c r="BR4" s="230">
        <v>-15190000</v>
      </c>
      <c r="BS4" s="229">
        <v>-7.9899999999999999E-2</v>
      </c>
      <c r="BT4" s="230">
        <v>7359873</v>
      </c>
      <c r="BU4" s="230">
        <v>8558065</v>
      </c>
      <c r="BV4" s="230">
        <v>-1198192</v>
      </c>
      <c r="BW4" s="229">
        <v>-0.14000000000000001</v>
      </c>
      <c r="BX4" s="230">
        <v>80854200</v>
      </c>
      <c r="BY4" s="230">
        <v>79967600</v>
      </c>
      <c r="BZ4" s="230">
        <v>886600</v>
      </c>
      <c r="CA4" s="229">
        <v>1.11E-2</v>
      </c>
      <c r="CB4" s="230">
        <v>26945200</v>
      </c>
      <c r="CC4" s="230">
        <v>58791500</v>
      </c>
      <c r="CD4" s="230">
        <v>-31846300</v>
      </c>
      <c r="CE4" s="229">
        <v>-0.54169999999999996</v>
      </c>
      <c r="CF4" s="230">
        <v>53192900</v>
      </c>
      <c r="CG4" s="230">
        <v>20472400</v>
      </c>
      <c r="CH4" s="230">
        <v>32720500</v>
      </c>
      <c r="CI4" s="229">
        <v>1.5983000000000001</v>
      </c>
      <c r="CJ4" s="230">
        <v>716100</v>
      </c>
      <c r="CK4" s="230">
        <v>703700</v>
      </c>
      <c r="CL4" s="230">
        <v>12400</v>
      </c>
      <c r="CM4" s="229">
        <v>1.7600000000000001E-2</v>
      </c>
      <c r="CN4" s="230">
        <v>26095800</v>
      </c>
      <c r="CO4" s="230">
        <v>29087300</v>
      </c>
      <c r="CP4" s="230">
        <v>-2991500</v>
      </c>
      <c r="CQ4" s="229">
        <v>-0.1028</v>
      </c>
      <c r="CR4" s="230">
        <v>14601000</v>
      </c>
      <c r="CS4" s="230">
        <v>14932700</v>
      </c>
      <c r="CT4" s="230">
        <v>-331700</v>
      </c>
      <c r="CU4" s="229">
        <v>-2.2200000000000001E-2</v>
      </c>
      <c r="CV4" s="230">
        <v>121551000</v>
      </c>
      <c r="CW4" s="230">
        <v>123987600</v>
      </c>
      <c r="CX4" s="230">
        <v>-2436600</v>
      </c>
      <c r="CY4" s="229">
        <v>-1.9699999999999999E-2</v>
      </c>
      <c r="CZ4" s="228">
        <v>34.159999999999997</v>
      </c>
      <c r="DA4" s="228">
        <v>30.92</v>
      </c>
      <c r="DB4" s="228">
        <v>3.24</v>
      </c>
      <c r="DC4" s="228">
        <v>3.24</v>
      </c>
      <c r="DD4" s="228">
        <v>37.51</v>
      </c>
      <c r="DE4" s="228">
        <v>37.49</v>
      </c>
      <c r="DF4" s="228">
        <v>-3.35</v>
      </c>
      <c r="DG4" s="228">
        <v>0.02</v>
      </c>
      <c r="DH4" s="228">
        <v>33.44</v>
      </c>
      <c r="DI4" s="228">
        <v>31.29</v>
      </c>
      <c r="DJ4" s="228">
        <v>2.15</v>
      </c>
      <c r="DK4" s="228">
        <v>2.15</v>
      </c>
      <c r="DL4" s="228">
        <v>34.979999999999997</v>
      </c>
      <c r="DM4" s="228">
        <v>30.41</v>
      </c>
      <c r="DN4" s="228">
        <v>4.57</v>
      </c>
      <c r="DO4" s="228">
        <v>4.57</v>
      </c>
      <c r="DP4" s="228">
        <v>0.56000000000000005</v>
      </c>
      <c r="DQ4" s="228">
        <v>0.51</v>
      </c>
      <c r="DR4" s="228">
        <v>0.05</v>
      </c>
      <c r="DS4" s="229">
        <v>9.8000000000000004E-2</v>
      </c>
      <c r="DT4" s="228">
        <v>385</v>
      </c>
      <c r="DU4" s="228">
        <v>350</v>
      </c>
      <c r="DV4" s="228">
        <v>0.77</v>
      </c>
      <c r="DW4" s="228">
        <v>0.72</v>
      </c>
      <c r="DX4" s="228">
        <v>0.05</v>
      </c>
      <c r="DY4" s="229">
        <v>6.9400000000000003E-2</v>
      </c>
      <c r="DZ4" s="229">
        <v>0.66669999999999996</v>
      </c>
      <c r="EA4" s="230">
        <v>21176100</v>
      </c>
      <c r="EB4" s="229">
        <v>5.1000000000000004E-3</v>
      </c>
      <c r="EC4" s="229">
        <v>0.66669999999999996</v>
      </c>
      <c r="ED4" s="228">
        <v>1.77</v>
      </c>
      <c r="EE4" s="229">
        <v>5.0000000000000001E-3</v>
      </c>
      <c r="EF4" s="230">
        <v>4003663</v>
      </c>
      <c r="EG4" s="230">
        <v>4181050</v>
      </c>
      <c r="EH4" s="229">
        <v>-4.24E-2</v>
      </c>
      <c r="EI4" s="229">
        <v>0.54400000000000004</v>
      </c>
      <c r="EJ4" s="231">
        <v>186163.81</v>
      </c>
      <c r="EK4" s="231">
        <v>136208.42000000001</v>
      </c>
      <c r="EL4" s="231">
        <v>299760.86</v>
      </c>
      <c r="EM4" s="231">
        <v>7476</v>
      </c>
      <c r="EN4" s="231">
        <v>622133.09</v>
      </c>
      <c r="EO4" s="231">
        <v>676026.05</v>
      </c>
      <c r="EP4" s="231">
        <v>-53892.959999999999</v>
      </c>
      <c r="EQ4" s="229">
        <v>-7.9699999999999993E-2</v>
      </c>
      <c r="ER4" s="231">
        <v>96850</v>
      </c>
      <c r="ES4" s="231">
        <v>50351</v>
      </c>
      <c r="ET4" s="231">
        <v>287372</v>
      </c>
      <c r="EU4" s="231">
        <v>122657000</v>
      </c>
      <c r="EV4" s="231">
        <v>434572</v>
      </c>
      <c r="EW4" s="231">
        <v>437076</v>
      </c>
      <c r="EX4" s="231">
        <v>-2504</v>
      </c>
      <c r="EY4" s="229">
        <v>-5.7000000000000002E-3</v>
      </c>
      <c r="EZ4" s="229">
        <v>0.99099999999999999</v>
      </c>
      <c r="FA4" s="227" t="s">
        <v>555</v>
      </c>
      <c r="FB4" s="161">
        <f t="shared" si="0"/>
        <v>53909000</v>
      </c>
    </row>
    <row r="5" spans="1:158" ht="17.25" hidden="1" thickBot="1" x14ac:dyDescent="0.3">
      <c r="A5" s="226">
        <v>46044</v>
      </c>
      <c r="B5" s="227" t="s">
        <v>161</v>
      </c>
      <c r="C5" s="227" t="s">
        <v>579</v>
      </c>
      <c r="D5" s="228">
        <v>675</v>
      </c>
      <c r="E5" s="228">
        <v>927</v>
      </c>
      <c r="F5" s="228">
        <v>899.8</v>
      </c>
      <c r="G5" s="228">
        <v>27.2</v>
      </c>
      <c r="H5" s="229">
        <v>3.0200000000000001E-2</v>
      </c>
      <c r="I5" s="228">
        <v>924.8</v>
      </c>
      <c r="J5" s="228">
        <v>899.3</v>
      </c>
      <c r="K5" s="228">
        <v>25.5</v>
      </c>
      <c r="L5" s="229">
        <v>2.8400000000000002E-2</v>
      </c>
      <c r="M5" s="228">
        <v>927</v>
      </c>
      <c r="N5" s="228">
        <v>899.8</v>
      </c>
      <c r="O5" s="228">
        <v>27.2</v>
      </c>
      <c r="P5" s="229">
        <v>3.0200000000000001E-2</v>
      </c>
      <c r="Q5" s="228">
        <v>931.2</v>
      </c>
      <c r="R5" s="228">
        <v>904.9</v>
      </c>
      <c r="S5" s="228">
        <v>26.3</v>
      </c>
      <c r="T5" s="229">
        <v>2.9100000000000001E-2</v>
      </c>
      <c r="U5" s="228">
        <v>938.6</v>
      </c>
      <c r="V5" s="228">
        <v>909.1</v>
      </c>
      <c r="W5" s="228">
        <v>29.5</v>
      </c>
      <c r="X5" s="229">
        <v>3.2399999999999998E-2</v>
      </c>
      <c r="Y5" s="228">
        <v>2.2000000000000002</v>
      </c>
      <c r="Z5" s="228">
        <v>0.5</v>
      </c>
      <c r="AA5" s="228">
        <v>1.7</v>
      </c>
      <c r="AB5" s="229">
        <v>2.3999999999999998E-3</v>
      </c>
      <c r="AC5" s="228">
        <v>2.2000000000000002</v>
      </c>
      <c r="AD5" s="228">
        <v>0.5</v>
      </c>
      <c r="AE5" s="228">
        <v>1.7</v>
      </c>
      <c r="AF5" s="229">
        <v>2.3999999999999998E-3</v>
      </c>
      <c r="AG5" s="228">
        <v>6.4</v>
      </c>
      <c r="AH5" s="228">
        <v>5.6</v>
      </c>
      <c r="AI5" s="228">
        <v>0.8</v>
      </c>
      <c r="AJ5" s="229">
        <v>6.8999999999999999E-3</v>
      </c>
      <c r="AK5" s="228">
        <v>13.8</v>
      </c>
      <c r="AL5" s="228">
        <v>9.8000000000000007</v>
      </c>
      <c r="AM5" s="228">
        <v>4</v>
      </c>
      <c r="AN5" s="229">
        <v>1.49E-2</v>
      </c>
      <c r="AO5" s="228">
        <v>922.89</v>
      </c>
      <c r="AP5" s="228">
        <v>927.4</v>
      </c>
      <c r="AQ5" s="228">
        <v>0</v>
      </c>
      <c r="AR5" s="230">
        <v>11108475</v>
      </c>
      <c r="AS5" s="230">
        <v>13368375</v>
      </c>
      <c r="AT5" s="230">
        <v>-2259900</v>
      </c>
      <c r="AU5" s="229">
        <v>-0.16900000000000001</v>
      </c>
      <c r="AV5" s="230">
        <v>5643675</v>
      </c>
      <c r="AW5" s="230">
        <v>7072650</v>
      </c>
      <c r="AX5" s="230">
        <v>-1428975</v>
      </c>
      <c r="AY5" s="229">
        <v>-0.20200000000000001</v>
      </c>
      <c r="AZ5" s="230">
        <v>5447250</v>
      </c>
      <c r="BA5" s="230">
        <v>6278175</v>
      </c>
      <c r="BB5" s="230">
        <v>-830925</v>
      </c>
      <c r="BC5" s="229">
        <v>-0.13239999999999999</v>
      </c>
      <c r="BD5" s="230">
        <v>17550</v>
      </c>
      <c r="BE5" s="230">
        <v>17550</v>
      </c>
      <c r="BF5" s="228">
        <v>0</v>
      </c>
      <c r="BG5" s="229">
        <v>0</v>
      </c>
      <c r="BH5" s="230">
        <v>13678875</v>
      </c>
      <c r="BI5" s="230">
        <v>8271450</v>
      </c>
      <c r="BJ5" s="230">
        <v>5407425</v>
      </c>
      <c r="BK5" s="229">
        <v>0.65369999999999995</v>
      </c>
      <c r="BL5" s="230">
        <v>6162075</v>
      </c>
      <c r="BM5" s="230">
        <v>3650400</v>
      </c>
      <c r="BN5" s="230">
        <v>2511675</v>
      </c>
      <c r="BO5" s="229">
        <v>0.68810000000000004</v>
      </c>
      <c r="BP5" s="230">
        <v>30949425</v>
      </c>
      <c r="BQ5" s="230">
        <v>25290225</v>
      </c>
      <c r="BR5" s="230">
        <v>5659200</v>
      </c>
      <c r="BS5" s="229">
        <v>0.2238</v>
      </c>
      <c r="BT5" s="230">
        <v>1013278</v>
      </c>
      <c r="BU5" s="230">
        <v>1702901</v>
      </c>
      <c r="BV5" s="230">
        <v>-689623</v>
      </c>
      <c r="BW5" s="229">
        <v>-0.40500000000000003</v>
      </c>
      <c r="BX5" s="230">
        <v>19170000</v>
      </c>
      <c r="BY5" s="230">
        <v>18756225</v>
      </c>
      <c r="BZ5" s="230">
        <v>413775</v>
      </c>
      <c r="CA5" s="229">
        <v>2.2100000000000002E-2</v>
      </c>
      <c r="CB5" s="230">
        <v>6551550</v>
      </c>
      <c r="CC5" s="230">
        <v>10417950</v>
      </c>
      <c r="CD5" s="230">
        <v>-3866400</v>
      </c>
      <c r="CE5" s="229">
        <v>-0.37109999999999999</v>
      </c>
      <c r="CF5" s="230">
        <v>12502350</v>
      </c>
      <c r="CG5" s="230">
        <v>8230950</v>
      </c>
      <c r="CH5" s="230">
        <v>4271400</v>
      </c>
      <c r="CI5" s="229">
        <v>0.51890000000000003</v>
      </c>
      <c r="CJ5" s="230">
        <v>116100</v>
      </c>
      <c r="CK5" s="230">
        <v>107325</v>
      </c>
      <c r="CL5" s="230">
        <v>8775</v>
      </c>
      <c r="CM5" s="229">
        <v>8.1799999999999998E-2</v>
      </c>
      <c r="CN5" s="230">
        <v>6272100</v>
      </c>
      <c r="CO5" s="230">
        <v>6585975</v>
      </c>
      <c r="CP5" s="230">
        <v>-313875</v>
      </c>
      <c r="CQ5" s="229">
        <v>-4.7699999999999999E-2</v>
      </c>
      <c r="CR5" s="230">
        <v>3786075</v>
      </c>
      <c r="CS5" s="230">
        <v>3333150</v>
      </c>
      <c r="CT5" s="230">
        <v>452925</v>
      </c>
      <c r="CU5" s="229">
        <v>0.13589999999999999</v>
      </c>
      <c r="CV5" s="230">
        <v>29228175</v>
      </c>
      <c r="CW5" s="230">
        <v>28675350</v>
      </c>
      <c r="CX5" s="230">
        <v>552825</v>
      </c>
      <c r="CY5" s="229">
        <v>1.9300000000000001E-2</v>
      </c>
      <c r="CZ5" s="228">
        <v>36.61</v>
      </c>
      <c r="DA5" s="228">
        <v>41.61</v>
      </c>
      <c r="DB5" s="228">
        <v>-5</v>
      </c>
      <c r="DC5" s="228">
        <v>-5</v>
      </c>
      <c r="DD5" s="228">
        <v>50.3</v>
      </c>
      <c r="DE5" s="228">
        <v>50.26</v>
      </c>
      <c r="DF5" s="228">
        <v>-13.69</v>
      </c>
      <c r="DG5" s="228">
        <v>0.04</v>
      </c>
      <c r="DH5" s="228">
        <v>36.61</v>
      </c>
      <c r="DI5" s="228">
        <v>41.86</v>
      </c>
      <c r="DJ5" s="228">
        <v>-5.25</v>
      </c>
      <c r="DK5" s="228">
        <v>-5.25</v>
      </c>
      <c r="DL5" s="228">
        <v>36.630000000000003</v>
      </c>
      <c r="DM5" s="228">
        <v>41.05</v>
      </c>
      <c r="DN5" s="228">
        <v>-4.42</v>
      </c>
      <c r="DO5" s="228">
        <v>-4.42</v>
      </c>
      <c r="DP5" s="228">
        <v>0.6</v>
      </c>
      <c r="DQ5" s="228">
        <v>0.51</v>
      </c>
      <c r="DR5" s="228">
        <v>0.09</v>
      </c>
      <c r="DS5" s="229">
        <v>0.17649999999999999</v>
      </c>
      <c r="DT5" s="231">
        <v>1000</v>
      </c>
      <c r="DU5" s="228">
        <v>910</v>
      </c>
      <c r="DV5" s="228">
        <v>0.45</v>
      </c>
      <c r="DW5" s="228">
        <v>0.44</v>
      </c>
      <c r="DX5" s="228">
        <v>0.01</v>
      </c>
      <c r="DY5" s="229">
        <v>2.2700000000000001E-2</v>
      </c>
      <c r="DZ5" s="229">
        <v>0.65820000000000001</v>
      </c>
      <c r="EA5" s="230">
        <v>8338275</v>
      </c>
      <c r="EB5" s="229">
        <v>4.4999999999999997E-3</v>
      </c>
      <c r="EC5" s="229">
        <v>0.65820000000000001</v>
      </c>
      <c r="ED5" s="228">
        <v>4.51</v>
      </c>
      <c r="EE5" s="229">
        <v>4.8999999999999998E-3</v>
      </c>
      <c r="EF5" s="230">
        <v>307434</v>
      </c>
      <c r="EG5" s="230">
        <v>390930</v>
      </c>
      <c r="EH5" s="229">
        <v>-0.21360000000000001</v>
      </c>
      <c r="EI5" s="229">
        <v>0.3034</v>
      </c>
      <c r="EJ5" s="231">
        <v>133331.6</v>
      </c>
      <c r="EK5" s="231">
        <v>55929.61</v>
      </c>
      <c r="EL5" s="231">
        <v>102766.63</v>
      </c>
      <c r="EM5" s="231">
        <v>9244</v>
      </c>
      <c r="EN5" s="231">
        <v>292027.84000000003</v>
      </c>
      <c r="EO5" s="231">
        <v>231751.03</v>
      </c>
      <c r="EP5" s="231">
        <v>60276.81</v>
      </c>
      <c r="EQ5" s="229">
        <v>0.2601</v>
      </c>
      <c r="ER5" s="231">
        <v>63731</v>
      </c>
      <c r="ES5" s="231">
        <v>35515</v>
      </c>
      <c r="ET5" s="231">
        <v>178244</v>
      </c>
      <c r="EU5" s="231">
        <v>43791427</v>
      </c>
      <c r="EV5" s="231">
        <v>277490</v>
      </c>
      <c r="EW5" s="231">
        <v>267746</v>
      </c>
      <c r="EX5" s="231">
        <v>9744</v>
      </c>
      <c r="EY5" s="229">
        <v>3.6400000000000002E-2</v>
      </c>
      <c r="EZ5" s="229">
        <v>0.66739999999999999</v>
      </c>
      <c r="FA5" s="227" t="s">
        <v>555</v>
      </c>
      <c r="FB5" s="161">
        <f t="shared" si="0"/>
        <v>12618450</v>
      </c>
    </row>
    <row r="6" spans="1:158" ht="17.25" hidden="1" thickBot="1" x14ac:dyDescent="0.3">
      <c r="A6" s="226">
        <v>46044</v>
      </c>
      <c r="B6" s="227" t="s">
        <v>215</v>
      </c>
      <c r="C6" s="227" t="s">
        <v>159</v>
      </c>
      <c r="D6" s="228">
        <v>309</v>
      </c>
      <c r="E6" s="231">
        <v>2087.1999999999998</v>
      </c>
      <c r="F6" s="231">
        <v>2035.1</v>
      </c>
      <c r="G6" s="228">
        <v>52.1</v>
      </c>
      <c r="H6" s="229">
        <v>2.5600000000000001E-2</v>
      </c>
      <c r="I6" s="231">
        <v>2086.4</v>
      </c>
      <c r="J6" s="231">
        <v>2032.2</v>
      </c>
      <c r="K6" s="228">
        <v>54.2</v>
      </c>
      <c r="L6" s="229">
        <v>2.6700000000000002E-2</v>
      </c>
      <c r="M6" s="231">
        <v>2087.1999999999998</v>
      </c>
      <c r="N6" s="231">
        <v>2035.1</v>
      </c>
      <c r="O6" s="228">
        <v>52.1</v>
      </c>
      <c r="P6" s="229">
        <v>2.5600000000000001E-2</v>
      </c>
      <c r="Q6" s="231">
        <v>2088.3000000000002</v>
      </c>
      <c r="R6" s="231">
        <v>2038.7</v>
      </c>
      <c r="S6" s="228">
        <v>49.6</v>
      </c>
      <c r="T6" s="229">
        <v>2.4299999999999999E-2</v>
      </c>
      <c r="U6" s="231">
        <v>2092.8000000000002</v>
      </c>
      <c r="V6" s="231">
        <v>2042.6</v>
      </c>
      <c r="W6" s="228">
        <v>50.2</v>
      </c>
      <c r="X6" s="229">
        <v>2.46E-2</v>
      </c>
      <c r="Y6" s="228">
        <v>0.8</v>
      </c>
      <c r="Z6" s="228">
        <v>2.9</v>
      </c>
      <c r="AA6" s="228">
        <v>-2.1</v>
      </c>
      <c r="AB6" s="229">
        <v>4.0000000000000002E-4</v>
      </c>
      <c r="AC6" s="228">
        <v>0.8</v>
      </c>
      <c r="AD6" s="228">
        <v>2.9</v>
      </c>
      <c r="AE6" s="228">
        <v>-2.1</v>
      </c>
      <c r="AF6" s="229">
        <v>4.0000000000000002E-4</v>
      </c>
      <c r="AG6" s="228">
        <v>1.9</v>
      </c>
      <c r="AH6" s="228">
        <v>6.5</v>
      </c>
      <c r="AI6" s="228">
        <v>-4.5999999999999996</v>
      </c>
      <c r="AJ6" s="229">
        <v>8.9999999999999998E-4</v>
      </c>
      <c r="AK6" s="228">
        <v>6.4</v>
      </c>
      <c r="AL6" s="228">
        <v>10.4</v>
      </c>
      <c r="AM6" s="228">
        <v>-4</v>
      </c>
      <c r="AN6" s="229">
        <v>3.0999999999999999E-3</v>
      </c>
      <c r="AO6" s="231">
        <v>2080.86</v>
      </c>
      <c r="AP6" s="231">
        <v>2083.0500000000002</v>
      </c>
      <c r="AQ6" s="228">
        <v>0</v>
      </c>
      <c r="AR6" s="230">
        <v>10488387</v>
      </c>
      <c r="AS6" s="230">
        <v>10682748</v>
      </c>
      <c r="AT6" s="230">
        <v>-194361</v>
      </c>
      <c r="AU6" s="229">
        <v>-1.8200000000000001E-2</v>
      </c>
      <c r="AV6" s="230">
        <v>5583321</v>
      </c>
      <c r="AW6" s="230">
        <v>5609277</v>
      </c>
      <c r="AX6" s="230">
        <v>-25956</v>
      </c>
      <c r="AY6" s="229">
        <v>-4.5999999999999999E-3</v>
      </c>
      <c r="AZ6" s="230">
        <v>4816383</v>
      </c>
      <c r="BA6" s="230">
        <v>4954815</v>
      </c>
      <c r="BB6" s="230">
        <v>-138432</v>
      </c>
      <c r="BC6" s="229">
        <v>-2.7900000000000001E-2</v>
      </c>
      <c r="BD6" s="230">
        <v>88683</v>
      </c>
      <c r="BE6" s="230">
        <v>118656</v>
      </c>
      <c r="BF6" s="230">
        <v>-29973</v>
      </c>
      <c r="BG6" s="229">
        <v>-0.25259999999999999</v>
      </c>
      <c r="BH6" s="230">
        <v>19636950</v>
      </c>
      <c r="BI6" s="230">
        <v>20094579</v>
      </c>
      <c r="BJ6" s="230">
        <v>-457629</v>
      </c>
      <c r="BK6" s="229">
        <v>-2.2800000000000001E-2</v>
      </c>
      <c r="BL6" s="230">
        <v>9100359</v>
      </c>
      <c r="BM6" s="230">
        <v>10443273</v>
      </c>
      <c r="BN6" s="230">
        <v>-1342914</v>
      </c>
      <c r="BO6" s="229">
        <v>-0.12859999999999999</v>
      </c>
      <c r="BP6" s="230">
        <v>39225696</v>
      </c>
      <c r="BQ6" s="230">
        <v>41220600</v>
      </c>
      <c r="BR6" s="230">
        <v>-1994904</v>
      </c>
      <c r="BS6" s="229">
        <v>-4.8399999999999999E-2</v>
      </c>
      <c r="BT6" s="230">
        <v>1004035</v>
      </c>
      <c r="BU6" s="230">
        <v>1436422</v>
      </c>
      <c r="BV6" s="230">
        <v>-432387</v>
      </c>
      <c r="BW6" s="229">
        <v>-0.30099999999999999</v>
      </c>
      <c r="BX6" s="230">
        <v>21037029</v>
      </c>
      <c r="BY6" s="230">
        <v>21381564</v>
      </c>
      <c r="BZ6" s="230">
        <v>-344535</v>
      </c>
      <c r="CA6" s="229">
        <v>-1.61E-2</v>
      </c>
      <c r="CB6" s="230">
        <v>9905922</v>
      </c>
      <c r="CC6" s="230">
        <v>13411218</v>
      </c>
      <c r="CD6" s="230">
        <v>-3505296</v>
      </c>
      <c r="CE6" s="229">
        <v>-0.26140000000000002</v>
      </c>
      <c r="CF6" s="230">
        <v>10700361</v>
      </c>
      <c r="CG6" s="230">
        <v>7565865</v>
      </c>
      <c r="CH6" s="230">
        <v>3134496</v>
      </c>
      <c r="CI6" s="229">
        <v>0.4143</v>
      </c>
      <c r="CJ6" s="230">
        <v>430746</v>
      </c>
      <c r="CK6" s="230">
        <v>404481</v>
      </c>
      <c r="CL6" s="230">
        <v>26265</v>
      </c>
      <c r="CM6" s="229">
        <v>6.4899999999999999E-2</v>
      </c>
      <c r="CN6" s="230">
        <v>9751113</v>
      </c>
      <c r="CO6" s="230">
        <v>10229754</v>
      </c>
      <c r="CP6" s="230">
        <v>-478641</v>
      </c>
      <c r="CQ6" s="229">
        <v>-4.6800000000000001E-2</v>
      </c>
      <c r="CR6" s="230">
        <v>7586568</v>
      </c>
      <c r="CS6" s="230">
        <v>7477182</v>
      </c>
      <c r="CT6" s="230">
        <v>109386</v>
      </c>
      <c r="CU6" s="229">
        <v>1.46E-2</v>
      </c>
      <c r="CV6" s="230">
        <v>38374710</v>
      </c>
      <c r="CW6" s="230">
        <v>39088500</v>
      </c>
      <c r="CX6" s="230">
        <v>-713790</v>
      </c>
      <c r="CY6" s="229">
        <v>-1.83E-2</v>
      </c>
      <c r="CZ6" s="228">
        <v>32.909999999999997</v>
      </c>
      <c r="DA6" s="228">
        <v>34.479999999999997</v>
      </c>
      <c r="DB6" s="228">
        <v>-1.57</v>
      </c>
      <c r="DC6" s="228">
        <v>-1.57</v>
      </c>
      <c r="DD6" s="228">
        <v>44.98</v>
      </c>
      <c r="DE6" s="228">
        <v>44.96</v>
      </c>
      <c r="DF6" s="228">
        <v>-12.07</v>
      </c>
      <c r="DG6" s="228">
        <v>0.02</v>
      </c>
      <c r="DH6" s="228">
        <v>33.049999999999997</v>
      </c>
      <c r="DI6" s="228">
        <v>35.64</v>
      </c>
      <c r="DJ6" s="228">
        <v>-2.59</v>
      </c>
      <c r="DK6" s="228">
        <v>-2.59</v>
      </c>
      <c r="DL6" s="228">
        <v>32.659999999999997</v>
      </c>
      <c r="DM6" s="228">
        <v>32.24</v>
      </c>
      <c r="DN6" s="228">
        <v>0.42</v>
      </c>
      <c r="DO6" s="228">
        <v>0.42</v>
      </c>
      <c r="DP6" s="228">
        <v>0.78</v>
      </c>
      <c r="DQ6" s="228">
        <v>0.73</v>
      </c>
      <c r="DR6" s="228">
        <v>0.05</v>
      </c>
      <c r="DS6" s="229">
        <v>6.8500000000000005E-2</v>
      </c>
      <c r="DT6" s="231">
        <v>2200</v>
      </c>
      <c r="DU6" s="231">
        <v>2200</v>
      </c>
      <c r="DV6" s="228">
        <v>0.46</v>
      </c>
      <c r="DW6" s="228">
        <v>0.52</v>
      </c>
      <c r="DX6" s="228">
        <v>-0.06</v>
      </c>
      <c r="DY6" s="229">
        <v>-0.1154</v>
      </c>
      <c r="DZ6" s="229">
        <v>0.52910000000000001</v>
      </c>
      <c r="EA6" s="230">
        <v>7970346</v>
      </c>
      <c r="EB6" s="229">
        <v>5.0000000000000001E-4</v>
      </c>
      <c r="EC6" s="229">
        <v>0.52910000000000001</v>
      </c>
      <c r="ED6" s="228">
        <v>2.19</v>
      </c>
      <c r="EE6" s="229">
        <v>1.1000000000000001E-3</v>
      </c>
      <c r="EF6" s="230">
        <v>288182</v>
      </c>
      <c r="EG6" s="230">
        <v>375735</v>
      </c>
      <c r="EH6" s="229">
        <v>-0.23300000000000001</v>
      </c>
      <c r="EI6" s="229">
        <v>0.28699999999999998</v>
      </c>
      <c r="EJ6" s="231">
        <v>425699.41</v>
      </c>
      <c r="EK6" s="231">
        <v>189386.44</v>
      </c>
      <c r="EL6" s="231">
        <v>218360.5</v>
      </c>
      <c r="EM6" s="231">
        <v>19708</v>
      </c>
      <c r="EN6" s="231">
        <v>833446.35</v>
      </c>
      <c r="EO6" s="231">
        <v>867641.44</v>
      </c>
      <c r="EP6" s="231">
        <v>-34195.089999999997</v>
      </c>
      <c r="EQ6" s="229">
        <v>-3.9399999999999998E-2</v>
      </c>
      <c r="ER6" s="231">
        <v>219478</v>
      </c>
      <c r="ES6" s="231">
        <v>165246</v>
      </c>
      <c r="ET6" s="231">
        <v>439227</v>
      </c>
      <c r="EU6" s="231">
        <v>49117354</v>
      </c>
      <c r="EV6" s="231">
        <v>823951</v>
      </c>
      <c r="EW6" s="231">
        <v>828639</v>
      </c>
      <c r="EX6" s="231">
        <v>-4688</v>
      </c>
      <c r="EY6" s="229">
        <v>-5.7000000000000002E-3</v>
      </c>
      <c r="EZ6" s="229">
        <v>0.78129999999999999</v>
      </c>
      <c r="FA6" s="227" t="s">
        <v>556</v>
      </c>
      <c r="FB6" s="161">
        <f t="shared" si="0"/>
        <v>11131107</v>
      </c>
    </row>
    <row r="7" spans="1:158" ht="17.25" hidden="1" thickBot="1" x14ac:dyDescent="0.3">
      <c r="A7" s="226">
        <v>46044</v>
      </c>
      <c r="B7" s="227" t="s">
        <v>161</v>
      </c>
      <c r="C7" s="227" t="s">
        <v>606</v>
      </c>
      <c r="D7" s="228">
        <v>600</v>
      </c>
      <c r="E7" s="228">
        <v>904.2</v>
      </c>
      <c r="F7" s="228">
        <v>880.8</v>
      </c>
      <c r="G7" s="228">
        <v>23.4</v>
      </c>
      <c r="H7" s="229">
        <v>2.6599999999999999E-2</v>
      </c>
      <c r="I7" s="228">
        <v>904.3</v>
      </c>
      <c r="J7" s="228">
        <v>878.7</v>
      </c>
      <c r="K7" s="228">
        <v>25.6</v>
      </c>
      <c r="L7" s="229">
        <v>2.9100000000000001E-2</v>
      </c>
      <c r="M7" s="228">
        <v>904.2</v>
      </c>
      <c r="N7" s="228">
        <v>880.8</v>
      </c>
      <c r="O7" s="228">
        <v>23.4</v>
      </c>
      <c r="P7" s="229">
        <v>2.6599999999999999E-2</v>
      </c>
      <c r="Q7" s="228">
        <v>908.8</v>
      </c>
      <c r="R7" s="228">
        <v>884.1</v>
      </c>
      <c r="S7" s="228">
        <v>24.7</v>
      </c>
      <c r="T7" s="229">
        <v>2.7900000000000001E-2</v>
      </c>
      <c r="U7" s="228">
        <v>916.9</v>
      </c>
      <c r="V7" s="228">
        <v>890.6</v>
      </c>
      <c r="W7" s="228">
        <v>26.3</v>
      </c>
      <c r="X7" s="229">
        <v>2.9499999999999998E-2</v>
      </c>
      <c r="Y7" s="228">
        <v>-0.1</v>
      </c>
      <c r="Z7" s="228">
        <v>2.1</v>
      </c>
      <c r="AA7" s="228">
        <v>-2.2000000000000002</v>
      </c>
      <c r="AB7" s="229">
        <v>-1E-4</v>
      </c>
      <c r="AC7" s="228">
        <v>-0.1</v>
      </c>
      <c r="AD7" s="228">
        <v>2.1</v>
      </c>
      <c r="AE7" s="228">
        <v>-2.2000000000000002</v>
      </c>
      <c r="AF7" s="229">
        <v>-1E-4</v>
      </c>
      <c r="AG7" s="228">
        <v>4.5</v>
      </c>
      <c r="AH7" s="228">
        <v>5.4</v>
      </c>
      <c r="AI7" s="228">
        <v>-0.9</v>
      </c>
      <c r="AJ7" s="229">
        <v>5.0000000000000001E-3</v>
      </c>
      <c r="AK7" s="228">
        <v>12.6</v>
      </c>
      <c r="AL7" s="228">
        <v>11.9</v>
      </c>
      <c r="AM7" s="228">
        <v>0.7</v>
      </c>
      <c r="AN7" s="229">
        <v>1.3899999999999999E-2</v>
      </c>
      <c r="AO7" s="228">
        <v>903.16</v>
      </c>
      <c r="AP7" s="228">
        <v>907.41</v>
      </c>
      <c r="AQ7" s="228">
        <v>0</v>
      </c>
      <c r="AR7" s="230">
        <v>9232800</v>
      </c>
      <c r="AS7" s="230">
        <v>14204400</v>
      </c>
      <c r="AT7" s="230">
        <v>-4971600</v>
      </c>
      <c r="AU7" s="229">
        <v>-0.35</v>
      </c>
      <c r="AV7" s="230">
        <v>4566000</v>
      </c>
      <c r="AW7" s="230">
        <v>7762200</v>
      </c>
      <c r="AX7" s="230">
        <v>-3196200</v>
      </c>
      <c r="AY7" s="229">
        <v>-0.4118</v>
      </c>
      <c r="AZ7" s="230">
        <v>4612800</v>
      </c>
      <c r="BA7" s="230">
        <v>6396600</v>
      </c>
      <c r="BB7" s="230">
        <v>-1783800</v>
      </c>
      <c r="BC7" s="229">
        <v>-0.27889999999999998</v>
      </c>
      <c r="BD7" s="230">
        <v>54000</v>
      </c>
      <c r="BE7" s="230">
        <v>45600</v>
      </c>
      <c r="BF7" s="230">
        <v>8400</v>
      </c>
      <c r="BG7" s="229">
        <v>0.1842</v>
      </c>
      <c r="BH7" s="230">
        <v>17823000</v>
      </c>
      <c r="BI7" s="230">
        <v>8969400</v>
      </c>
      <c r="BJ7" s="230">
        <v>8853600</v>
      </c>
      <c r="BK7" s="229">
        <v>0.98709999999999998</v>
      </c>
      <c r="BL7" s="230">
        <v>5662200</v>
      </c>
      <c r="BM7" s="230">
        <v>3798000</v>
      </c>
      <c r="BN7" s="230">
        <v>1864200</v>
      </c>
      <c r="BO7" s="229">
        <v>0.49080000000000001</v>
      </c>
      <c r="BP7" s="230">
        <v>32718000</v>
      </c>
      <c r="BQ7" s="230">
        <v>26971800</v>
      </c>
      <c r="BR7" s="230">
        <v>5746200</v>
      </c>
      <c r="BS7" s="229">
        <v>0.21299999999999999</v>
      </c>
      <c r="BT7" s="230">
        <v>2120491</v>
      </c>
      <c r="BU7" s="230">
        <v>4049583</v>
      </c>
      <c r="BV7" s="230">
        <v>-1929092</v>
      </c>
      <c r="BW7" s="229">
        <v>-0.47639999999999999</v>
      </c>
      <c r="BX7" s="230">
        <v>22675800</v>
      </c>
      <c r="BY7" s="230">
        <v>22683000</v>
      </c>
      <c r="BZ7" s="230">
        <v>-7200</v>
      </c>
      <c r="CA7" s="229">
        <v>-2.9999999999999997E-4</v>
      </c>
      <c r="CB7" s="230">
        <v>12316800</v>
      </c>
      <c r="CC7" s="230">
        <v>15188400</v>
      </c>
      <c r="CD7" s="230">
        <v>-2871600</v>
      </c>
      <c r="CE7" s="229">
        <v>-0.18909999999999999</v>
      </c>
      <c r="CF7" s="230">
        <v>10128000</v>
      </c>
      <c r="CG7" s="230">
        <v>7282200</v>
      </c>
      <c r="CH7" s="230">
        <v>2845800</v>
      </c>
      <c r="CI7" s="229">
        <v>0.39079999999999998</v>
      </c>
      <c r="CJ7" s="230">
        <v>231000</v>
      </c>
      <c r="CK7" s="230">
        <v>212400</v>
      </c>
      <c r="CL7" s="230">
        <v>18600</v>
      </c>
      <c r="CM7" s="229">
        <v>8.7599999999999997E-2</v>
      </c>
      <c r="CN7" s="230">
        <v>9550800</v>
      </c>
      <c r="CO7" s="230">
        <v>9447600</v>
      </c>
      <c r="CP7" s="230">
        <v>103200</v>
      </c>
      <c r="CQ7" s="229">
        <v>1.09E-2</v>
      </c>
      <c r="CR7" s="230">
        <v>5500200</v>
      </c>
      <c r="CS7" s="230">
        <v>5558400</v>
      </c>
      <c r="CT7" s="230">
        <v>-58200</v>
      </c>
      <c r="CU7" s="229">
        <v>-1.0500000000000001E-2</v>
      </c>
      <c r="CV7" s="230">
        <v>37726800</v>
      </c>
      <c r="CW7" s="230">
        <v>37689000</v>
      </c>
      <c r="CX7" s="230">
        <v>37800</v>
      </c>
      <c r="CY7" s="229">
        <v>1E-3</v>
      </c>
      <c r="CZ7" s="228">
        <v>40.479999999999997</v>
      </c>
      <c r="DA7" s="228">
        <v>44.22</v>
      </c>
      <c r="DB7" s="228">
        <v>-3.74</v>
      </c>
      <c r="DC7" s="228">
        <v>-3.74</v>
      </c>
      <c r="DD7" s="228">
        <v>53.54</v>
      </c>
      <c r="DE7" s="228">
        <v>53.56</v>
      </c>
      <c r="DF7" s="228">
        <v>-13.06</v>
      </c>
      <c r="DG7" s="228">
        <v>-0.02</v>
      </c>
      <c r="DH7" s="228">
        <v>40.42</v>
      </c>
      <c r="DI7" s="228">
        <v>45.58</v>
      </c>
      <c r="DJ7" s="228">
        <v>-5.16</v>
      </c>
      <c r="DK7" s="228">
        <v>-5.16</v>
      </c>
      <c r="DL7" s="228">
        <v>40.6</v>
      </c>
      <c r="DM7" s="228">
        <v>41.01</v>
      </c>
      <c r="DN7" s="228">
        <v>-0.41</v>
      </c>
      <c r="DO7" s="228">
        <v>-0.41</v>
      </c>
      <c r="DP7" s="228">
        <v>0.57999999999999996</v>
      </c>
      <c r="DQ7" s="228">
        <v>0.59</v>
      </c>
      <c r="DR7" s="228">
        <v>-0.01</v>
      </c>
      <c r="DS7" s="229">
        <v>-1.6899999999999998E-2</v>
      </c>
      <c r="DT7" s="231">
        <v>1000</v>
      </c>
      <c r="DU7" s="228">
        <v>900</v>
      </c>
      <c r="DV7" s="228">
        <v>0.32</v>
      </c>
      <c r="DW7" s="228">
        <v>0.42</v>
      </c>
      <c r="DX7" s="228">
        <v>-0.1</v>
      </c>
      <c r="DY7" s="229">
        <v>-0.23810000000000001</v>
      </c>
      <c r="DZ7" s="229">
        <v>0.45679999999999998</v>
      </c>
      <c r="EA7" s="230">
        <v>7494600</v>
      </c>
      <c r="EB7" s="229">
        <v>5.1000000000000004E-3</v>
      </c>
      <c r="EC7" s="229">
        <v>0.45679999999999998</v>
      </c>
      <c r="ED7" s="228">
        <v>4.25</v>
      </c>
      <c r="EE7" s="229">
        <v>4.7000000000000002E-3</v>
      </c>
      <c r="EF7" s="230">
        <v>520646</v>
      </c>
      <c r="EG7" s="230">
        <v>2205002</v>
      </c>
      <c r="EH7" s="229">
        <v>-0.76390000000000002</v>
      </c>
      <c r="EI7" s="229">
        <v>0.2455</v>
      </c>
      <c r="EJ7" s="231">
        <v>170254.06</v>
      </c>
      <c r="EK7" s="231">
        <v>52052.72</v>
      </c>
      <c r="EL7" s="231">
        <v>83590.009999999995</v>
      </c>
      <c r="EM7" s="231">
        <v>10684</v>
      </c>
      <c r="EN7" s="231">
        <v>305896.78999999998</v>
      </c>
      <c r="EO7" s="231">
        <v>245562.63</v>
      </c>
      <c r="EP7" s="231">
        <v>60334.16</v>
      </c>
      <c r="EQ7" s="229">
        <v>0.2457</v>
      </c>
      <c r="ER7" s="231">
        <v>96318</v>
      </c>
      <c r="ES7" s="231">
        <v>52440</v>
      </c>
      <c r="ET7" s="231">
        <v>205530</v>
      </c>
      <c r="EU7" s="231">
        <v>92816927</v>
      </c>
      <c r="EV7" s="231">
        <v>354288</v>
      </c>
      <c r="EW7" s="231">
        <v>348637</v>
      </c>
      <c r="EX7" s="231">
        <v>5651</v>
      </c>
      <c r="EY7" s="229">
        <v>1.6199999999999999E-2</v>
      </c>
      <c r="EZ7" s="229">
        <v>0.40649999999999997</v>
      </c>
      <c r="FA7" s="227" t="s">
        <v>556</v>
      </c>
      <c r="FB7" s="161">
        <f t="shared" si="0"/>
        <v>10359000</v>
      </c>
    </row>
    <row r="8" spans="1:158" ht="17.25" hidden="1" thickBot="1" x14ac:dyDescent="0.3">
      <c r="A8" s="226">
        <v>46044</v>
      </c>
      <c r="B8" s="227" t="s">
        <v>215</v>
      </c>
      <c r="C8" s="227" t="s">
        <v>160</v>
      </c>
      <c r="D8" s="228">
        <v>475</v>
      </c>
      <c r="E8" s="231">
        <v>1416</v>
      </c>
      <c r="F8" s="231">
        <v>1377.4</v>
      </c>
      <c r="G8" s="228">
        <v>38.6</v>
      </c>
      <c r="H8" s="229">
        <v>2.8000000000000001E-2</v>
      </c>
      <c r="I8" s="231">
        <v>1414.2</v>
      </c>
      <c r="J8" s="231">
        <v>1378.6</v>
      </c>
      <c r="K8" s="228">
        <v>35.6</v>
      </c>
      <c r="L8" s="229">
        <v>2.58E-2</v>
      </c>
      <c r="M8" s="231">
        <v>1416</v>
      </c>
      <c r="N8" s="231">
        <v>1377.4</v>
      </c>
      <c r="O8" s="228">
        <v>38.6</v>
      </c>
      <c r="P8" s="229">
        <v>2.8000000000000001E-2</v>
      </c>
      <c r="Q8" s="231">
        <v>1423.9</v>
      </c>
      <c r="R8" s="231">
        <v>1384.8</v>
      </c>
      <c r="S8" s="228">
        <v>39.1</v>
      </c>
      <c r="T8" s="229">
        <v>2.8199999999999999E-2</v>
      </c>
      <c r="U8" s="231">
        <v>1435.4</v>
      </c>
      <c r="V8" s="231">
        <v>1394.6</v>
      </c>
      <c r="W8" s="228">
        <v>40.799999999999997</v>
      </c>
      <c r="X8" s="229">
        <v>2.93E-2</v>
      </c>
      <c r="Y8" s="228">
        <v>1.8</v>
      </c>
      <c r="Z8" s="228">
        <v>-1.2</v>
      </c>
      <c r="AA8" s="228">
        <v>3</v>
      </c>
      <c r="AB8" s="229">
        <v>1.2999999999999999E-3</v>
      </c>
      <c r="AC8" s="228">
        <v>1.8</v>
      </c>
      <c r="AD8" s="228">
        <v>-1.2</v>
      </c>
      <c r="AE8" s="228">
        <v>3</v>
      </c>
      <c r="AF8" s="229">
        <v>1.2999999999999999E-3</v>
      </c>
      <c r="AG8" s="228">
        <v>9.6999999999999993</v>
      </c>
      <c r="AH8" s="228">
        <v>6.2</v>
      </c>
      <c r="AI8" s="228">
        <v>3.5</v>
      </c>
      <c r="AJ8" s="229">
        <v>6.8999999999999999E-3</v>
      </c>
      <c r="AK8" s="228">
        <v>21.2</v>
      </c>
      <c r="AL8" s="228">
        <v>16</v>
      </c>
      <c r="AM8" s="228">
        <v>5.2</v>
      </c>
      <c r="AN8" s="229">
        <v>1.4999999999999999E-2</v>
      </c>
      <c r="AO8" s="231">
        <v>1409.73</v>
      </c>
      <c r="AP8" s="231">
        <v>1417.19</v>
      </c>
      <c r="AQ8" s="228">
        <v>0</v>
      </c>
      <c r="AR8" s="230">
        <v>21973500</v>
      </c>
      <c r="AS8" s="230">
        <v>10545000</v>
      </c>
      <c r="AT8" s="230">
        <v>11428500</v>
      </c>
      <c r="AU8" s="229">
        <v>1.0838000000000001</v>
      </c>
      <c r="AV8" s="230">
        <v>11025225</v>
      </c>
      <c r="AW8" s="230">
        <v>6154575</v>
      </c>
      <c r="AX8" s="230">
        <v>4870650</v>
      </c>
      <c r="AY8" s="229">
        <v>0.79139999999999999</v>
      </c>
      <c r="AZ8" s="230">
        <v>10841875</v>
      </c>
      <c r="BA8" s="230">
        <v>4322500</v>
      </c>
      <c r="BB8" s="230">
        <v>6519375</v>
      </c>
      <c r="BC8" s="229">
        <v>1.5082</v>
      </c>
      <c r="BD8" s="230">
        <v>106400</v>
      </c>
      <c r="BE8" s="230">
        <v>67925</v>
      </c>
      <c r="BF8" s="230">
        <v>38475</v>
      </c>
      <c r="BG8" s="229">
        <v>0.56640000000000001</v>
      </c>
      <c r="BH8" s="230">
        <v>16362325</v>
      </c>
      <c r="BI8" s="230">
        <v>14076150</v>
      </c>
      <c r="BJ8" s="230">
        <v>2286175</v>
      </c>
      <c r="BK8" s="229">
        <v>0.16239999999999999</v>
      </c>
      <c r="BL8" s="230">
        <v>10569225</v>
      </c>
      <c r="BM8" s="230">
        <v>10818125</v>
      </c>
      <c r="BN8" s="230">
        <v>-248900</v>
      </c>
      <c r="BO8" s="229">
        <v>-2.3E-2</v>
      </c>
      <c r="BP8" s="230">
        <v>48905050</v>
      </c>
      <c r="BQ8" s="230">
        <v>35439275</v>
      </c>
      <c r="BR8" s="230">
        <v>13465775</v>
      </c>
      <c r="BS8" s="229">
        <v>0.38</v>
      </c>
      <c r="BT8" s="230">
        <v>1783614</v>
      </c>
      <c r="BU8" s="230">
        <v>2234310</v>
      </c>
      <c r="BV8" s="230">
        <v>-450696</v>
      </c>
      <c r="BW8" s="229">
        <v>-0.20169999999999999</v>
      </c>
      <c r="BX8" s="230">
        <v>26789050</v>
      </c>
      <c r="BY8" s="230">
        <v>26253725</v>
      </c>
      <c r="BZ8" s="230">
        <v>535325</v>
      </c>
      <c r="CA8" s="229">
        <v>2.0400000000000001E-2</v>
      </c>
      <c r="CB8" s="230">
        <v>11141125</v>
      </c>
      <c r="CC8" s="230">
        <v>19948100</v>
      </c>
      <c r="CD8" s="230">
        <v>-8806975</v>
      </c>
      <c r="CE8" s="229">
        <v>-0.4415</v>
      </c>
      <c r="CF8" s="230">
        <v>15314475</v>
      </c>
      <c r="CG8" s="230">
        <v>6029175</v>
      </c>
      <c r="CH8" s="230">
        <v>9285300</v>
      </c>
      <c r="CI8" s="229">
        <v>1.5401</v>
      </c>
      <c r="CJ8" s="230">
        <v>333450</v>
      </c>
      <c r="CK8" s="230">
        <v>276450</v>
      </c>
      <c r="CL8" s="230">
        <v>57000</v>
      </c>
      <c r="CM8" s="229">
        <v>0.20619999999999999</v>
      </c>
      <c r="CN8" s="230">
        <v>8788450</v>
      </c>
      <c r="CO8" s="230">
        <v>9361775</v>
      </c>
      <c r="CP8" s="230">
        <v>-573325</v>
      </c>
      <c r="CQ8" s="229">
        <v>-6.1199999999999997E-2</v>
      </c>
      <c r="CR8" s="230">
        <v>6004475</v>
      </c>
      <c r="CS8" s="230">
        <v>5903300</v>
      </c>
      <c r="CT8" s="230">
        <v>101175</v>
      </c>
      <c r="CU8" s="229">
        <v>1.7100000000000001E-2</v>
      </c>
      <c r="CV8" s="230">
        <v>41581975</v>
      </c>
      <c r="CW8" s="230">
        <v>41518800</v>
      </c>
      <c r="CX8" s="230">
        <v>63175</v>
      </c>
      <c r="CY8" s="229">
        <v>1.5E-3</v>
      </c>
      <c r="CZ8" s="228">
        <v>26.75</v>
      </c>
      <c r="DA8" s="228">
        <v>25.29</v>
      </c>
      <c r="DB8" s="228">
        <v>1.46</v>
      </c>
      <c r="DC8" s="228">
        <v>1.46</v>
      </c>
      <c r="DD8" s="228">
        <v>34.85</v>
      </c>
      <c r="DE8" s="228">
        <v>34.729999999999997</v>
      </c>
      <c r="DF8" s="228">
        <v>-8.1</v>
      </c>
      <c r="DG8" s="228">
        <v>0.12</v>
      </c>
      <c r="DH8" s="228">
        <v>26.57</v>
      </c>
      <c r="DI8" s="228">
        <v>26.19</v>
      </c>
      <c r="DJ8" s="228">
        <v>0.38</v>
      </c>
      <c r="DK8" s="228">
        <v>0.38</v>
      </c>
      <c r="DL8" s="228">
        <v>27.07</v>
      </c>
      <c r="DM8" s="228">
        <v>24.13</v>
      </c>
      <c r="DN8" s="228">
        <v>2.94</v>
      </c>
      <c r="DO8" s="228">
        <v>2.94</v>
      </c>
      <c r="DP8" s="228">
        <v>0.68</v>
      </c>
      <c r="DQ8" s="228">
        <v>0.63</v>
      </c>
      <c r="DR8" s="228">
        <v>0.05</v>
      </c>
      <c r="DS8" s="229">
        <v>7.9399999999999998E-2</v>
      </c>
      <c r="DT8" s="231">
        <v>1500</v>
      </c>
      <c r="DU8" s="231">
        <v>1400</v>
      </c>
      <c r="DV8" s="228">
        <v>0.65</v>
      </c>
      <c r="DW8" s="228">
        <v>0.77</v>
      </c>
      <c r="DX8" s="228">
        <v>-0.12</v>
      </c>
      <c r="DY8" s="229">
        <v>-0.15579999999999999</v>
      </c>
      <c r="DZ8" s="229">
        <v>0.58409999999999995</v>
      </c>
      <c r="EA8" s="230">
        <v>6305625</v>
      </c>
      <c r="EB8" s="229">
        <v>5.5999999999999999E-3</v>
      </c>
      <c r="EC8" s="229">
        <v>0.58409999999999995</v>
      </c>
      <c r="ED8" s="228">
        <v>7.46</v>
      </c>
      <c r="EE8" s="229">
        <v>5.3E-3</v>
      </c>
      <c r="EF8" s="230">
        <v>870843</v>
      </c>
      <c r="EG8" s="230">
        <v>1089368</v>
      </c>
      <c r="EH8" s="229">
        <v>-0.2006</v>
      </c>
      <c r="EI8" s="229">
        <v>0.48820000000000002</v>
      </c>
      <c r="EJ8" s="231">
        <v>239539.43</v>
      </c>
      <c r="EK8" s="231">
        <v>147142.57</v>
      </c>
      <c r="EL8" s="231">
        <v>310593.96000000002</v>
      </c>
      <c r="EM8" s="231">
        <v>10520</v>
      </c>
      <c r="EN8" s="231">
        <v>697275.96</v>
      </c>
      <c r="EO8" s="231">
        <v>496049.68</v>
      </c>
      <c r="EP8" s="231">
        <v>201226.28</v>
      </c>
      <c r="EQ8" s="229">
        <v>0.40570000000000001</v>
      </c>
      <c r="ER8" s="231">
        <v>131115</v>
      </c>
      <c r="ES8" s="231">
        <v>84151</v>
      </c>
      <c r="ET8" s="231">
        <v>380607</v>
      </c>
      <c r="EU8" s="231">
        <v>84394936</v>
      </c>
      <c r="EV8" s="231">
        <v>595873</v>
      </c>
      <c r="EW8" s="231">
        <v>584257</v>
      </c>
      <c r="EX8" s="231">
        <v>11616</v>
      </c>
      <c r="EY8" s="229">
        <v>1.9900000000000001E-2</v>
      </c>
      <c r="EZ8" s="229">
        <v>0.49270000000000003</v>
      </c>
      <c r="FA8" s="227" t="s">
        <v>555</v>
      </c>
      <c r="FB8" s="161">
        <f t="shared" si="0"/>
        <v>15647925</v>
      </c>
    </row>
    <row r="9" spans="1:158" ht="17.25" hidden="1" thickBot="1" x14ac:dyDescent="0.3">
      <c r="A9" s="226">
        <v>46044</v>
      </c>
      <c r="B9" s="227" t="s">
        <v>170</v>
      </c>
      <c r="C9" s="227" t="s">
        <v>497</v>
      </c>
      <c r="D9" s="228">
        <v>125</v>
      </c>
      <c r="E9" s="231">
        <v>5754</v>
      </c>
      <c r="F9" s="231">
        <v>5650</v>
      </c>
      <c r="G9" s="228">
        <v>104</v>
      </c>
      <c r="H9" s="229">
        <v>1.84E-2</v>
      </c>
      <c r="I9" s="231">
        <v>5758.5</v>
      </c>
      <c r="J9" s="231">
        <v>5656.5</v>
      </c>
      <c r="K9" s="228">
        <v>102</v>
      </c>
      <c r="L9" s="229">
        <v>1.7999999999999999E-2</v>
      </c>
      <c r="M9" s="231">
        <v>5754</v>
      </c>
      <c r="N9" s="231">
        <v>5650</v>
      </c>
      <c r="O9" s="228">
        <v>104</v>
      </c>
      <c r="P9" s="229">
        <v>1.84E-2</v>
      </c>
      <c r="Q9" s="231">
        <v>5750.5</v>
      </c>
      <c r="R9" s="231">
        <v>5638</v>
      </c>
      <c r="S9" s="228">
        <v>112.5</v>
      </c>
      <c r="T9" s="229">
        <v>0.02</v>
      </c>
      <c r="U9" s="231">
        <v>5750</v>
      </c>
      <c r="V9" s="231">
        <v>5610</v>
      </c>
      <c r="W9" s="228">
        <v>140</v>
      </c>
      <c r="X9" s="229">
        <v>2.5000000000000001E-2</v>
      </c>
      <c r="Y9" s="228">
        <v>-4.5</v>
      </c>
      <c r="Z9" s="228">
        <v>-6.5</v>
      </c>
      <c r="AA9" s="228">
        <v>2</v>
      </c>
      <c r="AB9" s="229">
        <v>-8.0000000000000004E-4</v>
      </c>
      <c r="AC9" s="228">
        <v>-4.5</v>
      </c>
      <c r="AD9" s="228">
        <v>-6.5</v>
      </c>
      <c r="AE9" s="228">
        <v>2</v>
      </c>
      <c r="AF9" s="229">
        <v>-8.0000000000000004E-4</v>
      </c>
      <c r="AG9" s="228">
        <v>-8</v>
      </c>
      <c r="AH9" s="228">
        <v>-18.5</v>
      </c>
      <c r="AI9" s="228">
        <v>10.5</v>
      </c>
      <c r="AJ9" s="229">
        <v>-1.4E-3</v>
      </c>
      <c r="AK9" s="228">
        <v>-8.5</v>
      </c>
      <c r="AL9" s="228">
        <v>-46.5</v>
      </c>
      <c r="AM9" s="228">
        <v>38</v>
      </c>
      <c r="AN9" s="229">
        <v>-1.5E-3</v>
      </c>
      <c r="AO9" s="231">
        <v>5725.43</v>
      </c>
      <c r="AP9" s="231">
        <v>5722.36</v>
      </c>
      <c r="AQ9" s="228">
        <v>0</v>
      </c>
      <c r="AR9" s="230">
        <v>1355250</v>
      </c>
      <c r="AS9" s="230">
        <v>756625</v>
      </c>
      <c r="AT9" s="230">
        <v>598625</v>
      </c>
      <c r="AU9" s="229">
        <v>0.79120000000000001</v>
      </c>
      <c r="AV9" s="230">
        <v>735625</v>
      </c>
      <c r="AW9" s="230">
        <v>437875</v>
      </c>
      <c r="AX9" s="230">
        <v>297750</v>
      </c>
      <c r="AY9" s="229">
        <v>0.68</v>
      </c>
      <c r="AZ9" s="230">
        <v>619500</v>
      </c>
      <c r="BA9" s="230">
        <v>318375</v>
      </c>
      <c r="BB9" s="230">
        <v>301125</v>
      </c>
      <c r="BC9" s="229">
        <v>0.94579999999999997</v>
      </c>
      <c r="BD9" s="228">
        <v>125</v>
      </c>
      <c r="BE9" s="228">
        <v>375</v>
      </c>
      <c r="BF9" s="228">
        <v>-250</v>
      </c>
      <c r="BG9" s="229">
        <v>-0.66669999999999996</v>
      </c>
      <c r="BH9" s="230">
        <v>606375</v>
      </c>
      <c r="BI9" s="230">
        <v>612375</v>
      </c>
      <c r="BJ9" s="230">
        <v>-6000</v>
      </c>
      <c r="BK9" s="229">
        <v>-9.7999999999999997E-3</v>
      </c>
      <c r="BL9" s="230">
        <v>278875</v>
      </c>
      <c r="BM9" s="230">
        <v>370125</v>
      </c>
      <c r="BN9" s="230">
        <v>-91250</v>
      </c>
      <c r="BO9" s="229">
        <v>-0.2465</v>
      </c>
      <c r="BP9" s="230">
        <v>2240500</v>
      </c>
      <c r="BQ9" s="230">
        <v>1739125</v>
      </c>
      <c r="BR9" s="230">
        <v>501375</v>
      </c>
      <c r="BS9" s="229">
        <v>0.2883</v>
      </c>
      <c r="BT9" s="230">
        <v>248867</v>
      </c>
      <c r="BU9" s="230">
        <v>78110</v>
      </c>
      <c r="BV9" s="230">
        <v>170757</v>
      </c>
      <c r="BW9" s="229">
        <v>2.1861000000000002</v>
      </c>
      <c r="BX9" s="230">
        <v>1422500</v>
      </c>
      <c r="BY9" s="230">
        <v>1361375</v>
      </c>
      <c r="BZ9" s="230">
        <v>61125</v>
      </c>
      <c r="CA9" s="229">
        <v>4.4900000000000002E-2</v>
      </c>
      <c r="CB9" s="230">
        <v>710250</v>
      </c>
      <c r="CC9" s="230">
        <v>1105500</v>
      </c>
      <c r="CD9" s="230">
        <v>-395250</v>
      </c>
      <c r="CE9" s="229">
        <v>-0.35749999999999998</v>
      </c>
      <c r="CF9" s="230">
        <v>711250</v>
      </c>
      <c r="CG9" s="230">
        <v>254750</v>
      </c>
      <c r="CH9" s="230">
        <v>456500</v>
      </c>
      <c r="CI9" s="229">
        <v>1.792</v>
      </c>
      <c r="CJ9" s="230">
        <v>1000</v>
      </c>
      <c r="CK9" s="230">
        <v>1125</v>
      </c>
      <c r="CL9" s="228">
        <v>-125</v>
      </c>
      <c r="CM9" s="229">
        <v>-0.1111</v>
      </c>
      <c r="CN9" s="230">
        <v>371625</v>
      </c>
      <c r="CO9" s="230">
        <v>429125</v>
      </c>
      <c r="CP9" s="230">
        <v>-57500</v>
      </c>
      <c r="CQ9" s="229">
        <v>-0.13400000000000001</v>
      </c>
      <c r="CR9" s="230">
        <v>189250</v>
      </c>
      <c r="CS9" s="230">
        <v>187625</v>
      </c>
      <c r="CT9" s="230">
        <v>1625</v>
      </c>
      <c r="CU9" s="229">
        <v>8.6999999999999994E-3</v>
      </c>
      <c r="CV9" s="230">
        <v>1983375</v>
      </c>
      <c r="CW9" s="230">
        <v>1978125</v>
      </c>
      <c r="CX9" s="230">
        <v>5250</v>
      </c>
      <c r="CY9" s="229">
        <v>2.7000000000000001E-3</v>
      </c>
      <c r="CZ9" s="228">
        <v>28.25</v>
      </c>
      <c r="DA9" s="228">
        <v>28.03</v>
      </c>
      <c r="DB9" s="228">
        <v>0.22</v>
      </c>
      <c r="DC9" s="228">
        <v>0.22</v>
      </c>
      <c r="DD9" s="228">
        <v>25.64</v>
      </c>
      <c r="DE9" s="228">
        <v>25.58</v>
      </c>
      <c r="DF9" s="228">
        <v>2.61</v>
      </c>
      <c r="DG9" s="228">
        <v>0.06</v>
      </c>
      <c r="DH9" s="228">
        <v>27.6</v>
      </c>
      <c r="DI9" s="228">
        <v>28.48</v>
      </c>
      <c r="DJ9" s="228">
        <v>-0.88</v>
      </c>
      <c r="DK9" s="228">
        <v>-0.88</v>
      </c>
      <c r="DL9" s="228">
        <v>29.31</v>
      </c>
      <c r="DM9" s="228">
        <v>27.27</v>
      </c>
      <c r="DN9" s="228">
        <v>2.04</v>
      </c>
      <c r="DO9" s="228">
        <v>2.04</v>
      </c>
      <c r="DP9" s="228">
        <v>0.51</v>
      </c>
      <c r="DQ9" s="228">
        <v>0.44</v>
      </c>
      <c r="DR9" s="228">
        <v>7.0000000000000007E-2</v>
      </c>
      <c r="DS9" s="229">
        <v>0.15909999999999999</v>
      </c>
      <c r="DT9" s="231">
        <v>6000</v>
      </c>
      <c r="DU9" s="231">
        <v>5400</v>
      </c>
      <c r="DV9" s="228">
        <v>0.46</v>
      </c>
      <c r="DW9" s="228">
        <v>0.6</v>
      </c>
      <c r="DX9" s="228">
        <v>-0.14000000000000001</v>
      </c>
      <c r="DY9" s="229">
        <v>-0.23330000000000001</v>
      </c>
      <c r="DZ9" s="229">
        <v>0.50070000000000003</v>
      </c>
      <c r="EA9" s="230">
        <v>255875</v>
      </c>
      <c r="EB9" s="229">
        <v>-5.9999999999999995E-4</v>
      </c>
      <c r="EC9" s="229">
        <v>0.50070000000000003</v>
      </c>
      <c r="ED9" s="228">
        <v>-3.07</v>
      </c>
      <c r="EE9" s="229">
        <v>-5.0000000000000001E-4</v>
      </c>
      <c r="EF9" s="230">
        <v>191012</v>
      </c>
      <c r="EG9" s="230">
        <v>29489</v>
      </c>
      <c r="EH9" s="229">
        <v>5.4774000000000003</v>
      </c>
      <c r="EI9" s="229">
        <v>0.76749999999999996</v>
      </c>
      <c r="EJ9" s="231">
        <v>36599.69</v>
      </c>
      <c r="EK9" s="231">
        <v>15128.77</v>
      </c>
      <c r="EL9" s="231">
        <v>77574.92</v>
      </c>
      <c r="EM9" s="231">
        <v>2517</v>
      </c>
      <c r="EN9" s="231">
        <v>129303.38</v>
      </c>
      <c r="EO9" s="231">
        <v>99649.18</v>
      </c>
      <c r="EP9" s="231">
        <v>29654.2</v>
      </c>
      <c r="EQ9" s="229">
        <v>0.29759999999999998</v>
      </c>
      <c r="ER9" s="231">
        <v>22316</v>
      </c>
      <c r="ES9" s="231">
        <v>10361</v>
      </c>
      <c r="ET9" s="231">
        <v>81826</v>
      </c>
      <c r="EU9" s="231">
        <v>7334235</v>
      </c>
      <c r="EV9" s="231">
        <v>114502</v>
      </c>
      <c r="EW9" s="231">
        <v>112872</v>
      </c>
      <c r="EX9" s="231">
        <v>1630</v>
      </c>
      <c r="EY9" s="229">
        <v>1.44E-2</v>
      </c>
      <c r="EZ9" s="229">
        <v>0.27039999999999997</v>
      </c>
      <c r="FA9" s="227" t="s">
        <v>555</v>
      </c>
      <c r="FB9" s="161">
        <f t="shared" si="0"/>
        <v>712250</v>
      </c>
    </row>
    <row r="10" spans="1:158" ht="17.25" hidden="1" thickBot="1" x14ac:dyDescent="0.3">
      <c r="A10" s="226">
        <v>46044</v>
      </c>
      <c r="B10" s="227" t="s">
        <v>184</v>
      </c>
      <c r="C10" s="227" t="s">
        <v>681</v>
      </c>
      <c r="D10" s="228">
        <v>100</v>
      </c>
      <c r="E10" s="231">
        <v>5751.5</v>
      </c>
      <c r="F10" s="231">
        <v>5809.5</v>
      </c>
      <c r="G10" s="228">
        <v>-58</v>
      </c>
      <c r="H10" s="229">
        <v>-0.01</v>
      </c>
      <c r="I10" s="231">
        <v>5732</v>
      </c>
      <c r="J10" s="231">
        <v>5784</v>
      </c>
      <c r="K10" s="228">
        <v>-52</v>
      </c>
      <c r="L10" s="229">
        <v>-8.9999999999999993E-3</v>
      </c>
      <c r="M10" s="231">
        <v>5751.5</v>
      </c>
      <c r="N10" s="231">
        <v>5809.5</v>
      </c>
      <c r="O10" s="228">
        <v>-58</v>
      </c>
      <c r="P10" s="229">
        <v>-0.01</v>
      </c>
      <c r="Q10" s="231">
        <v>5760</v>
      </c>
      <c r="R10" s="231">
        <v>5706.5</v>
      </c>
      <c r="S10" s="228">
        <v>53.5</v>
      </c>
      <c r="T10" s="229">
        <v>9.4000000000000004E-3</v>
      </c>
      <c r="U10" s="231">
        <v>5728</v>
      </c>
      <c r="V10" s="231">
        <v>5636.5</v>
      </c>
      <c r="W10" s="228">
        <v>91.5</v>
      </c>
      <c r="X10" s="229">
        <v>1.6199999999999999E-2</v>
      </c>
      <c r="Y10" s="228">
        <v>19.5</v>
      </c>
      <c r="Z10" s="228">
        <v>25.5</v>
      </c>
      <c r="AA10" s="228">
        <v>-6</v>
      </c>
      <c r="AB10" s="229">
        <v>3.3999999999999998E-3</v>
      </c>
      <c r="AC10" s="228">
        <v>19.5</v>
      </c>
      <c r="AD10" s="228">
        <v>25.5</v>
      </c>
      <c r="AE10" s="228">
        <v>-6</v>
      </c>
      <c r="AF10" s="229">
        <v>3.3999999999999998E-3</v>
      </c>
      <c r="AG10" s="228">
        <v>28</v>
      </c>
      <c r="AH10" s="228">
        <v>-77.5</v>
      </c>
      <c r="AI10" s="228">
        <v>105.5</v>
      </c>
      <c r="AJ10" s="229">
        <v>4.8999999999999998E-3</v>
      </c>
      <c r="AK10" s="228">
        <v>-4</v>
      </c>
      <c r="AL10" s="228">
        <v>-147.5</v>
      </c>
      <c r="AM10" s="228">
        <v>143.5</v>
      </c>
      <c r="AN10" s="229">
        <v>-6.9999999999999999E-4</v>
      </c>
      <c r="AO10" s="231">
        <v>5773.18</v>
      </c>
      <c r="AP10" s="231">
        <v>5755.85</v>
      </c>
      <c r="AQ10" s="228">
        <v>0</v>
      </c>
      <c r="AR10" s="230">
        <v>1052500</v>
      </c>
      <c r="AS10" s="230">
        <v>883200</v>
      </c>
      <c r="AT10" s="230">
        <v>169300</v>
      </c>
      <c r="AU10" s="229">
        <v>0.19170000000000001</v>
      </c>
      <c r="AV10" s="230">
        <v>504800</v>
      </c>
      <c r="AW10" s="230">
        <v>515600</v>
      </c>
      <c r="AX10" s="230">
        <v>-10800</v>
      </c>
      <c r="AY10" s="229">
        <v>-2.0899999999999998E-2</v>
      </c>
      <c r="AZ10" s="230">
        <v>544300</v>
      </c>
      <c r="BA10" s="230">
        <v>364700</v>
      </c>
      <c r="BB10" s="230">
        <v>179600</v>
      </c>
      <c r="BC10" s="229">
        <v>0.49249999999999999</v>
      </c>
      <c r="BD10" s="230">
        <v>3400</v>
      </c>
      <c r="BE10" s="230">
        <v>2900</v>
      </c>
      <c r="BF10" s="228">
        <v>500</v>
      </c>
      <c r="BG10" s="229">
        <v>0.1724</v>
      </c>
      <c r="BH10" s="230">
        <v>674800</v>
      </c>
      <c r="BI10" s="230">
        <v>1512100</v>
      </c>
      <c r="BJ10" s="230">
        <v>-837300</v>
      </c>
      <c r="BK10" s="229">
        <v>-0.55369999999999997</v>
      </c>
      <c r="BL10" s="230">
        <v>925500</v>
      </c>
      <c r="BM10" s="230">
        <v>935600</v>
      </c>
      <c r="BN10" s="230">
        <v>-10100</v>
      </c>
      <c r="BO10" s="229">
        <v>-1.0800000000000001E-2</v>
      </c>
      <c r="BP10" s="230">
        <v>2652800</v>
      </c>
      <c r="BQ10" s="230">
        <v>3330900</v>
      </c>
      <c r="BR10" s="230">
        <v>-678100</v>
      </c>
      <c r="BS10" s="229">
        <v>-0.2036</v>
      </c>
      <c r="BT10" s="230">
        <v>361408</v>
      </c>
      <c r="BU10" s="230">
        <v>375461</v>
      </c>
      <c r="BV10" s="230">
        <v>-14053</v>
      </c>
      <c r="BW10" s="229">
        <v>-3.7400000000000003E-2</v>
      </c>
      <c r="BX10" s="230">
        <v>1249400</v>
      </c>
      <c r="BY10" s="230">
        <v>1232200</v>
      </c>
      <c r="BZ10" s="230">
        <v>17200</v>
      </c>
      <c r="CA10" s="229">
        <v>1.4E-2</v>
      </c>
      <c r="CB10" s="230">
        <v>669200</v>
      </c>
      <c r="CC10" s="230">
        <v>863500</v>
      </c>
      <c r="CD10" s="230">
        <v>-194300</v>
      </c>
      <c r="CE10" s="229">
        <v>-0.22500000000000001</v>
      </c>
      <c r="CF10" s="230">
        <v>558400</v>
      </c>
      <c r="CG10" s="230">
        <v>347500</v>
      </c>
      <c r="CH10" s="230">
        <v>210900</v>
      </c>
      <c r="CI10" s="229">
        <v>0.6069</v>
      </c>
      <c r="CJ10" s="230">
        <v>21800</v>
      </c>
      <c r="CK10" s="230">
        <v>21200</v>
      </c>
      <c r="CL10" s="228">
        <v>600</v>
      </c>
      <c r="CM10" s="229">
        <v>2.8299999999999999E-2</v>
      </c>
      <c r="CN10" s="230">
        <v>607700</v>
      </c>
      <c r="CO10" s="230">
        <v>641200</v>
      </c>
      <c r="CP10" s="230">
        <v>-33500</v>
      </c>
      <c r="CQ10" s="229">
        <v>-5.2200000000000003E-2</v>
      </c>
      <c r="CR10" s="230">
        <v>282000</v>
      </c>
      <c r="CS10" s="230">
        <v>325700</v>
      </c>
      <c r="CT10" s="230">
        <v>-43700</v>
      </c>
      <c r="CU10" s="229">
        <v>-0.13420000000000001</v>
      </c>
      <c r="CV10" s="230">
        <v>2139100</v>
      </c>
      <c r="CW10" s="230">
        <v>2199100</v>
      </c>
      <c r="CX10" s="230">
        <v>-60000</v>
      </c>
      <c r="CY10" s="229">
        <v>-2.7300000000000001E-2</v>
      </c>
      <c r="CZ10" s="228">
        <v>39.06</v>
      </c>
      <c r="DA10" s="228">
        <v>37.909999999999997</v>
      </c>
      <c r="DB10" s="228">
        <v>1.1499999999999999</v>
      </c>
      <c r="DC10" s="228">
        <v>1.1499999999999999</v>
      </c>
      <c r="DD10" s="228">
        <v>50.85</v>
      </c>
      <c r="DE10" s="228">
        <v>50.96</v>
      </c>
      <c r="DF10" s="228">
        <v>-11.79</v>
      </c>
      <c r="DG10" s="228">
        <v>-0.11</v>
      </c>
      <c r="DH10" s="228">
        <v>37.89</v>
      </c>
      <c r="DI10" s="228">
        <v>39.64</v>
      </c>
      <c r="DJ10" s="228">
        <v>-1.75</v>
      </c>
      <c r="DK10" s="228">
        <v>-1.75</v>
      </c>
      <c r="DL10" s="228">
        <v>41.73</v>
      </c>
      <c r="DM10" s="228">
        <v>35.119999999999997</v>
      </c>
      <c r="DN10" s="228">
        <v>6.61</v>
      </c>
      <c r="DO10" s="228">
        <v>6.61</v>
      </c>
      <c r="DP10" s="228">
        <v>0.46</v>
      </c>
      <c r="DQ10" s="228">
        <v>0.51</v>
      </c>
      <c r="DR10" s="228">
        <v>-0.05</v>
      </c>
      <c r="DS10" s="229">
        <v>-9.8000000000000004E-2</v>
      </c>
      <c r="DT10" s="231">
        <v>6500</v>
      </c>
      <c r="DU10" s="231">
        <v>6000</v>
      </c>
      <c r="DV10" s="228">
        <v>1.37</v>
      </c>
      <c r="DW10" s="228">
        <v>0.62</v>
      </c>
      <c r="DX10" s="228">
        <v>0.75</v>
      </c>
      <c r="DY10" s="229">
        <v>1.2097</v>
      </c>
      <c r="DZ10" s="229">
        <v>0.46439999999999998</v>
      </c>
      <c r="EA10" s="230">
        <v>368700</v>
      </c>
      <c r="EB10" s="229">
        <v>1.5E-3</v>
      </c>
      <c r="EC10" s="229">
        <v>0.46439999999999998</v>
      </c>
      <c r="ED10" s="228">
        <v>-17.329999999999998</v>
      </c>
      <c r="EE10" s="229">
        <v>-3.0000000000000001E-3</v>
      </c>
      <c r="EF10" s="230">
        <v>187637</v>
      </c>
      <c r="EG10" s="230">
        <v>172162</v>
      </c>
      <c r="EH10" s="229">
        <v>8.9899999999999994E-2</v>
      </c>
      <c r="EI10" s="229">
        <v>0.51919999999999999</v>
      </c>
      <c r="EJ10" s="231">
        <v>42022.91</v>
      </c>
      <c r="EK10" s="231">
        <v>50618.23</v>
      </c>
      <c r="EL10" s="231">
        <v>60666.57</v>
      </c>
      <c r="EM10" s="231">
        <v>4620</v>
      </c>
      <c r="EN10" s="231">
        <v>153307.71</v>
      </c>
      <c r="EO10" s="231">
        <v>202245.82</v>
      </c>
      <c r="EP10" s="231">
        <v>-48938.11</v>
      </c>
      <c r="EQ10" s="229">
        <v>-0.24199999999999999</v>
      </c>
      <c r="ER10" s="231">
        <v>39772</v>
      </c>
      <c r="ES10" s="231">
        <v>17249</v>
      </c>
      <c r="ET10" s="231">
        <v>71902</v>
      </c>
      <c r="EU10" s="231">
        <v>3257355</v>
      </c>
      <c r="EV10" s="231">
        <v>128922</v>
      </c>
      <c r="EW10" s="231">
        <v>133207</v>
      </c>
      <c r="EX10" s="231">
        <v>-4285</v>
      </c>
      <c r="EY10" s="229">
        <v>-3.2199999999999999E-2</v>
      </c>
      <c r="EZ10" s="229">
        <v>0.65669999999999995</v>
      </c>
      <c r="FA10" s="227" t="s">
        <v>567</v>
      </c>
      <c r="FB10" s="161">
        <f t="shared" si="0"/>
        <v>580200</v>
      </c>
    </row>
    <row r="11" spans="1:158" ht="17.25" hidden="1" thickBot="1" x14ac:dyDescent="0.3">
      <c r="A11" s="226">
        <v>46044</v>
      </c>
      <c r="B11" s="227" t="s">
        <v>157</v>
      </c>
      <c r="C11" s="227" t="s">
        <v>164</v>
      </c>
      <c r="D11" s="228">
        <v>1050</v>
      </c>
      <c r="E11" s="228">
        <v>546.45000000000005</v>
      </c>
      <c r="F11" s="228">
        <v>538.04999999999995</v>
      </c>
      <c r="G11" s="228">
        <v>8.4</v>
      </c>
      <c r="H11" s="229">
        <v>1.5599999999999999E-2</v>
      </c>
      <c r="I11" s="228">
        <v>546.6</v>
      </c>
      <c r="J11" s="228">
        <v>538.65</v>
      </c>
      <c r="K11" s="228">
        <v>7.95</v>
      </c>
      <c r="L11" s="229">
        <v>1.4800000000000001E-2</v>
      </c>
      <c r="M11" s="228">
        <v>546.45000000000005</v>
      </c>
      <c r="N11" s="228">
        <v>538.04999999999995</v>
      </c>
      <c r="O11" s="228">
        <v>8.4</v>
      </c>
      <c r="P11" s="229">
        <v>1.5599999999999999E-2</v>
      </c>
      <c r="Q11" s="228">
        <v>549.20000000000005</v>
      </c>
      <c r="R11" s="228">
        <v>540.85</v>
      </c>
      <c r="S11" s="228">
        <v>8.35</v>
      </c>
      <c r="T11" s="229">
        <v>1.54E-2</v>
      </c>
      <c r="U11" s="228">
        <v>552.54999999999995</v>
      </c>
      <c r="V11" s="228">
        <v>543.79999999999995</v>
      </c>
      <c r="W11" s="228">
        <v>8.75</v>
      </c>
      <c r="X11" s="229">
        <v>1.61E-2</v>
      </c>
      <c r="Y11" s="228">
        <v>-0.15</v>
      </c>
      <c r="Z11" s="228">
        <v>-0.6</v>
      </c>
      <c r="AA11" s="228">
        <v>0.45</v>
      </c>
      <c r="AB11" s="229">
        <v>-2.9999999999999997E-4</v>
      </c>
      <c r="AC11" s="228">
        <v>-0.15</v>
      </c>
      <c r="AD11" s="228">
        <v>-0.6</v>
      </c>
      <c r="AE11" s="228">
        <v>0.45</v>
      </c>
      <c r="AF11" s="229">
        <v>-2.9999999999999997E-4</v>
      </c>
      <c r="AG11" s="228">
        <v>2.6</v>
      </c>
      <c r="AH11" s="228">
        <v>2.2000000000000002</v>
      </c>
      <c r="AI11" s="228">
        <v>0.4</v>
      </c>
      <c r="AJ11" s="229">
        <v>4.7999999999999996E-3</v>
      </c>
      <c r="AK11" s="228">
        <v>5.95</v>
      </c>
      <c r="AL11" s="228">
        <v>5.15</v>
      </c>
      <c r="AM11" s="228">
        <v>0.8</v>
      </c>
      <c r="AN11" s="229">
        <v>1.09E-2</v>
      </c>
      <c r="AO11" s="228">
        <v>544.69000000000005</v>
      </c>
      <c r="AP11" s="228">
        <v>547.58000000000004</v>
      </c>
      <c r="AQ11" s="228">
        <v>0</v>
      </c>
      <c r="AR11" s="230">
        <v>24618300</v>
      </c>
      <c r="AS11" s="230">
        <v>27177150</v>
      </c>
      <c r="AT11" s="230">
        <v>-2558850</v>
      </c>
      <c r="AU11" s="229">
        <v>-9.4200000000000006E-2</v>
      </c>
      <c r="AV11" s="230">
        <v>12657750</v>
      </c>
      <c r="AW11" s="230">
        <v>14402850</v>
      </c>
      <c r="AX11" s="230">
        <v>-1745100</v>
      </c>
      <c r="AY11" s="229">
        <v>-0.1212</v>
      </c>
      <c r="AZ11" s="230">
        <v>11917500</v>
      </c>
      <c r="BA11" s="230">
        <v>12727050</v>
      </c>
      <c r="BB11" s="230">
        <v>-809550</v>
      </c>
      <c r="BC11" s="229">
        <v>-6.3600000000000004E-2</v>
      </c>
      <c r="BD11" s="230">
        <v>43050</v>
      </c>
      <c r="BE11" s="230">
        <v>47250</v>
      </c>
      <c r="BF11" s="230">
        <v>-4200</v>
      </c>
      <c r="BG11" s="229">
        <v>-8.8900000000000007E-2</v>
      </c>
      <c r="BH11" s="230">
        <v>10620750</v>
      </c>
      <c r="BI11" s="230">
        <v>17851050</v>
      </c>
      <c r="BJ11" s="230">
        <v>-7230300</v>
      </c>
      <c r="BK11" s="229">
        <v>-0.40500000000000003</v>
      </c>
      <c r="BL11" s="230">
        <v>6018600</v>
      </c>
      <c r="BM11" s="230">
        <v>7914900</v>
      </c>
      <c r="BN11" s="230">
        <v>-1896300</v>
      </c>
      <c r="BO11" s="229">
        <v>-0.23960000000000001</v>
      </c>
      <c r="BP11" s="230">
        <v>41257650</v>
      </c>
      <c r="BQ11" s="230">
        <v>52943100</v>
      </c>
      <c r="BR11" s="230">
        <v>-11685450</v>
      </c>
      <c r="BS11" s="229">
        <v>-0.22070000000000001</v>
      </c>
      <c r="BT11" s="230">
        <v>1955184</v>
      </c>
      <c r="BU11" s="230">
        <v>1775744</v>
      </c>
      <c r="BV11" s="230">
        <v>179440</v>
      </c>
      <c r="BW11" s="229">
        <v>0.1011</v>
      </c>
      <c r="BX11" s="230">
        <v>49795200</v>
      </c>
      <c r="BY11" s="230">
        <v>50088150</v>
      </c>
      <c r="BZ11" s="230">
        <v>-292950</v>
      </c>
      <c r="CA11" s="229">
        <v>-5.7999999999999996E-3</v>
      </c>
      <c r="CB11" s="230">
        <v>23937900</v>
      </c>
      <c r="CC11" s="230">
        <v>34051500</v>
      </c>
      <c r="CD11" s="230">
        <v>-10113600</v>
      </c>
      <c r="CE11" s="229">
        <v>-0.29699999999999999</v>
      </c>
      <c r="CF11" s="230">
        <v>25583250</v>
      </c>
      <c r="CG11" s="230">
        <v>15779400</v>
      </c>
      <c r="CH11" s="230">
        <v>9803850</v>
      </c>
      <c r="CI11" s="229">
        <v>0.62129999999999996</v>
      </c>
      <c r="CJ11" s="230">
        <v>274050</v>
      </c>
      <c r="CK11" s="230">
        <v>257250</v>
      </c>
      <c r="CL11" s="230">
        <v>16800</v>
      </c>
      <c r="CM11" s="229">
        <v>6.5299999999999997E-2</v>
      </c>
      <c r="CN11" s="230">
        <v>14545650</v>
      </c>
      <c r="CO11" s="230">
        <v>15239700</v>
      </c>
      <c r="CP11" s="230">
        <v>-694050</v>
      </c>
      <c r="CQ11" s="229">
        <v>-4.5499999999999999E-2</v>
      </c>
      <c r="CR11" s="230">
        <v>12038250</v>
      </c>
      <c r="CS11" s="230">
        <v>12254550</v>
      </c>
      <c r="CT11" s="230">
        <v>-216300</v>
      </c>
      <c r="CU11" s="229">
        <v>-1.77E-2</v>
      </c>
      <c r="CV11" s="230">
        <v>76379100</v>
      </c>
      <c r="CW11" s="230">
        <v>77582400</v>
      </c>
      <c r="CX11" s="230">
        <v>-1203300</v>
      </c>
      <c r="CY11" s="229">
        <v>-1.55E-2</v>
      </c>
      <c r="CZ11" s="228">
        <v>26.55</v>
      </c>
      <c r="DA11" s="228">
        <v>24.73</v>
      </c>
      <c r="DB11" s="228">
        <v>1.82</v>
      </c>
      <c r="DC11" s="228">
        <v>1.82</v>
      </c>
      <c r="DD11" s="228">
        <v>30.98</v>
      </c>
      <c r="DE11" s="228">
        <v>30.99</v>
      </c>
      <c r="DF11" s="228">
        <v>-4.43</v>
      </c>
      <c r="DG11" s="228">
        <v>-0.01</v>
      </c>
      <c r="DH11" s="228">
        <v>26.54</v>
      </c>
      <c r="DI11" s="228">
        <v>25.35</v>
      </c>
      <c r="DJ11" s="228">
        <v>1.19</v>
      </c>
      <c r="DK11" s="228">
        <v>1.19</v>
      </c>
      <c r="DL11" s="228">
        <v>26.55</v>
      </c>
      <c r="DM11" s="228">
        <v>23.33</v>
      </c>
      <c r="DN11" s="228">
        <v>3.22</v>
      </c>
      <c r="DO11" s="228">
        <v>3.22</v>
      </c>
      <c r="DP11" s="228">
        <v>0.83</v>
      </c>
      <c r="DQ11" s="228">
        <v>0.8</v>
      </c>
      <c r="DR11" s="228">
        <v>0.03</v>
      </c>
      <c r="DS11" s="229">
        <v>3.7499999999999999E-2</v>
      </c>
      <c r="DT11" s="228">
        <v>550</v>
      </c>
      <c r="DU11" s="228">
        <v>550</v>
      </c>
      <c r="DV11" s="228">
        <v>0.56999999999999995</v>
      </c>
      <c r="DW11" s="228">
        <v>0.44</v>
      </c>
      <c r="DX11" s="228">
        <v>0.13</v>
      </c>
      <c r="DY11" s="229">
        <v>0.29549999999999998</v>
      </c>
      <c r="DZ11" s="229">
        <v>0.51929999999999998</v>
      </c>
      <c r="EA11" s="230">
        <v>16036650</v>
      </c>
      <c r="EB11" s="229">
        <v>5.0000000000000001E-3</v>
      </c>
      <c r="EC11" s="229">
        <v>0.51929999999999998</v>
      </c>
      <c r="ED11" s="228">
        <v>2.89</v>
      </c>
      <c r="EE11" s="229">
        <v>5.3E-3</v>
      </c>
      <c r="EF11" s="230">
        <v>1135934</v>
      </c>
      <c r="EG11" s="230">
        <v>768978</v>
      </c>
      <c r="EH11" s="229">
        <v>0.47720000000000001</v>
      </c>
      <c r="EI11" s="229">
        <v>0.58099999999999996</v>
      </c>
      <c r="EJ11" s="231">
        <v>59983.75</v>
      </c>
      <c r="EK11" s="231">
        <v>32838.21</v>
      </c>
      <c r="EL11" s="231">
        <v>134440.14000000001</v>
      </c>
      <c r="EM11" s="231">
        <v>11757</v>
      </c>
      <c r="EN11" s="231">
        <v>227262.1</v>
      </c>
      <c r="EO11" s="231">
        <v>289429</v>
      </c>
      <c r="EP11" s="231">
        <v>-62166.9</v>
      </c>
      <c r="EQ11" s="229">
        <v>-0.21479999999999999</v>
      </c>
      <c r="ER11" s="231">
        <v>82937</v>
      </c>
      <c r="ES11" s="231">
        <v>66608</v>
      </c>
      <c r="ET11" s="231">
        <v>272826</v>
      </c>
      <c r="EU11" s="231">
        <v>79841849</v>
      </c>
      <c r="EV11" s="231">
        <v>422371</v>
      </c>
      <c r="EW11" s="231">
        <v>424551</v>
      </c>
      <c r="EX11" s="231">
        <v>-2180</v>
      </c>
      <c r="EY11" s="229">
        <v>-5.1000000000000004E-3</v>
      </c>
      <c r="EZ11" s="229">
        <v>0.95660000000000001</v>
      </c>
      <c r="FA11" s="227" t="s">
        <v>556</v>
      </c>
      <c r="FB11" s="161">
        <f t="shared" si="0"/>
        <v>25857300</v>
      </c>
    </row>
    <row r="12" spans="1:158" ht="17.25" hidden="1" thickBot="1" x14ac:dyDescent="0.3">
      <c r="A12" s="226">
        <v>46044</v>
      </c>
      <c r="B12" s="227" t="s">
        <v>175</v>
      </c>
      <c r="C12" s="227" t="s">
        <v>609</v>
      </c>
      <c r="D12" s="228">
        <v>250</v>
      </c>
      <c r="E12" s="231">
        <v>2570.1</v>
      </c>
      <c r="F12" s="231">
        <v>2536.9</v>
      </c>
      <c r="G12" s="228">
        <v>33.200000000000003</v>
      </c>
      <c r="H12" s="229">
        <v>1.3100000000000001E-2</v>
      </c>
      <c r="I12" s="231">
        <v>2566.6</v>
      </c>
      <c r="J12" s="231">
        <v>2531.9</v>
      </c>
      <c r="K12" s="228">
        <v>34.700000000000003</v>
      </c>
      <c r="L12" s="229">
        <v>1.37E-2</v>
      </c>
      <c r="M12" s="231">
        <v>2570.1</v>
      </c>
      <c r="N12" s="231">
        <v>2536.9</v>
      </c>
      <c r="O12" s="228">
        <v>33.200000000000003</v>
      </c>
      <c r="P12" s="229">
        <v>1.3100000000000001E-2</v>
      </c>
      <c r="Q12" s="231">
        <v>2578.6</v>
      </c>
      <c r="R12" s="231">
        <v>2534</v>
      </c>
      <c r="S12" s="228">
        <v>44.6</v>
      </c>
      <c r="T12" s="229">
        <v>1.7600000000000001E-2</v>
      </c>
      <c r="U12" s="231">
        <v>2574.3000000000002</v>
      </c>
      <c r="V12" s="231">
        <v>2528.8000000000002</v>
      </c>
      <c r="W12" s="228">
        <v>45.5</v>
      </c>
      <c r="X12" s="229">
        <v>1.7999999999999999E-2</v>
      </c>
      <c r="Y12" s="228">
        <v>3.5</v>
      </c>
      <c r="Z12" s="228">
        <v>5</v>
      </c>
      <c r="AA12" s="228">
        <v>-1.5</v>
      </c>
      <c r="AB12" s="229">
        <v>1.4E-3</v>
      </c>
      <c r="AC12" s="228">
        <v>3.5</v>
      </c>
      <c r="AD12" s="228">
        <v>5</v>
      </c>
      <c r="AE12" s="228">
        <v>-1.5</v>
      </c>
      <c r="AF12" s="229">
        <v>1.4E-3</v>
      </c>
      <c r="AG12" s="228">
        <v>12</v>
      </c>
      <c r="AH12" s="228">
        <v>2.1</v>
      </c>
      <c r="AI12" s="228">
        <v>9.9</v>
      </c>
      <c r="AJ12" s="229">
        <v>4.7000000000000002E-3</v>
      </c>
      <c r="AK12" s="228">
        <v>7.7</v>
      </c>
      <c r="AL12" s="228">
        <v>-3.1</v>
      </c>
      <c r="AM12" s="228">
        <v>10.8</v>
      </c>
      <c r="AN12" s="229">
        <v>3.0000000000000001E-3</v>
      </c>
      <c r="AO12" s="231">
        <v>2568.9499999999998</v>
      </c>
      <c r="AP12" s="231">
        <v>2574.77</v>
      </c>
      <c r="AQ12" s="228">
        <v>0</v>
      </c>
      <c r="AR12" s="230">
        <v>3281250</v>
      </c>
      <c r="AS12" s="230">
        <v>3754500</v>
      </c>
      <c r="AT12" s="230">
        <v>-473250</v>
      </c>
      <c r="AU12" s="229">
        <v>-0.126</v>
      </c>
      <c r="AV12" s="230">
        <v>1617250</v>
      </c>
      <c r="AW12" s="230">
        <v>2151000</v>
      </c>
      <c r="AX12" s="230">
        <v>-533750</v>
      </c>
      <c r="AY12" s="229">
        <v>-0.24809999999999999</v>
      </c>
      <c r="AZ12" s="230">
        <v>1650750</v>
      </c>
      <c r="BA12" s="230">
        <v>1585750</v>
      </c>
      <c r="BB12" s="230">
        <v>65000</v>
      </c>
      <c r="BC12" s="229">
        <v>4.1000000000000002E-2</v>
      </c>
      <c r="BD12" s="230">
        <v>13250</v>
      </c>
      <c r="BE12" s="230">
        <v>17750</v>
      </c>
      <c r="BF12" s="230">
        <v>-4500</v>
      </c>
      <c r="BG12" s="229">
        <v>-0.2535</v>
      </c>
      <c r="BH12" s="230">
        <v>7868250</v>
      </c>
      <c r="BI12" s="230">
        <v>9017500</v>
      </c>
      <c r="BJ12" s="230">
        <v>-1149250</v>
      </c>
      <c r="BK12" s="229">
        <v>-0.12740000000000001</v>
      </c>
      <c r="BL12" s="230">
        <v>4244250</v>
      </c>
      <c r="BM12" s="230">
        <v>8642750</v>
      </c>
      <c r="BN12" s="230">
        <v>-4398500</v>
      </c>
      <c r="BO12" s="229">
        <v>-0.50890000000000002</v>
      </c>
      <c r="BP12" s="230">
        <v>15393750</v>
      </c>
      <c r="BQ12" s="230">
        <v>21414750</v>
      </c>
      <c r="BR12" s="230">
        <v>-6021000</v>
      </c>
      <c r="BS12" s="229">
        <v>-0.28120000000000001</v>
      </c>
      <c r="BT12" s="230">
        <v>615154</v>
      </c>
      <c r="BU12" s="230">
        <v>1164387</v>
      </c>
      <c r="BV12" s="230">
        <v>-549233</v>
      </c>
      <c r="BW12" s="229">
        <v>-0.47170000000000001</v>
      </c>
      <c r="BX12" s="230">
        <v>4259500</v>
      </c>
      <c r="BY12" s="230">
        <v>4189750</v>
      </c>
      <c r="BZ12" s="230">
        <v>69750</v>
      </c>
      <c r="CA12" s="229">
        <v>1.66E-2</v>
      </c>
      <c r="CB12" s="230">
        <v>2091500</v>
      </c>
      <c r="CC12" s="230">
        <v>2855250</v>
      </c>
      <c r="CD12" s="230">
        <v>-763750</v>
      </c>
      <c r="CE12" s="229">
        <v>-0.26750000000000002</v>
      </c>
      <c r="CF12" s="230">
        <v>2133750</v>
      </c>
      <c r="CG12" s="230">
        <v>1305250</v>
      </c>
      <c r="CH12" s="230">
        <v>828500</v>
      </c>
      <c r="CI12" s="229">
        <v>0.63470000000000004</v>
      </c>
      <c r="CJ12" s="230">
        <v>34250</v>
      </c>
      <c r="CK12" s="230">
        <v>29250</v>
      </c>
      <c r="CL12" s="230">
        <v>5000</v>
      </c>
      <c r="CM12" s="229">
        <v>0.1709</v>
      </c>
      <c r="CN12" s="230">
        <v>3059250</v>
      </c>
      <c r="CO12" s="230">
        <v>3355000</v>
      </c>
      <c r="CP12" s="230">
        <v>-295750</v>
      </c>
      <c r="CQ12" s="229">
        <v>-8.8200000000000001E-2</v>
      </c>
      <c r="CR12" s="230">
        <v>2083000</v>
      </c>
      <c r="CS12" s="230">
        <v>2529500</v>
      </c>
      <c r="CT12" s="230">
        <v>-446500</v>
      </c>
      <c r="CU12" s="229">
        <v>-0.17649999999999999</v>
      </c>
      <c r="CV12" s="230">
        <v>9401750</v>
      </c>
      <c r="CW12" s="230">
        <v>10074250</v>
      </c>
      <c r="CX12" s="230">
        <v>-672500</v>
      </c>
      <c r="CY12" s="229">
        <v>-6.6799999999999998E-2</v>
      </c>
      <c r="CZ12" s="228">
        <v>36.299999999999997</v>
      </c>
      <c r="DA12" s="228">
        <v>34.15</v>
      </c>
      <c r="DB12" s="228">
        <v>2.15</v>
      </c>
      <c r="DC12" s="228">
        <v>2.15</v>
      </c>
      <c r="DD12" s="228">
        <v>52.66</v>
      </c>
      <c r="DE12" s="228">
        <v>52.76</v>
      </c>
      <c r="DF12" s="228">
        <v>-16.36</v>
      </c>
      <c r="DG12" s="228">
        <v>-0.1</v>
      </c>
      <c r="DH12" s="228">
        <v>36.18</v>
      </c>
      <c r="DI12" s="228">
        <v>36.75</v>
      </c>
      <c r="DJ12" s="228">
        <v>-0.56999999999999995</v>
      </c>
      <c r="DK12" s="228">
        <v>-0.56999999999999995</v>
      </c>
      <c r="DL12" s="228">
        <v>36.57</v>
      </c>
      <c r="DM12" s="228">
        <v>31.43</v>
      </c>
      <c r="DN12" s="228">
        <v>5.14</v>
      </c>
      <c r="DO12" s="228">
        <v>5.14</v>
      </c>
      <c r="DP12" s="228">
        <v>0.68</v>
      </c>
      <c r="DQ12" s="228">
        <v>0.75</v>
      </c>
      <c r="DR12" s="228">
        <v>-7.0000000000000007E-2</v>
      </c>
      <c r="DS12" s="229">
        <v>-9.3299999999999994E-2</v>
      </c>
      <c r="DT12" s="231">
        <v>2700</v>
      </c>
      <c r="DU12" s="231">
        <v>2450</v>
      </c>
      <c r="DV12" s="228">
        <v>0.54</v>
      </c>
      <c r="DW12" s="228">
        <v>0.96</v>
      </c>
      <c r="DX12" s="228">
        <v>-0.42</v>
      </c>
      <c r="DY12" s="229">
        <v>-0.4375</v>
      </c>
      <c r="DZ12" s="229">
        <v>0.50900000000000001</v>
      </c>
      <c r="EA12" s="230">
        <v>1334500</v>
      </c>
      <c r="EB12" s="229">
        <v>3.3E-3</v>
      </c>
      <c r="EC12" s="229">
        <v>0.50900000000000001</v>
      </c>
      <c r="ED12" s="228">
        <v>5.82</v>
      </c>
      <c r="EE12" s="229">
        <v>2.3E-3</v>
      </c>
      <c r="EF12" s="230">
        <v>135213</v>
      </c>
      <c r="EG12" s="230">
        <v>281522</v>
      </c>
      <c r="EH12" s="229">
        <v>-0.51970000000000005</v>
      </c>
      <c r="EI12" s="229">
        <v>0.2198</v>
      </c>
      <c r="EJ12" s="231">
        <v>212704.92</v>
      </c>
      <c r="EK12" s="231">
        <v>105833.65</v>
      </c>
      <c r="EL12" s="231">
        <v>84390.51</v>
      </c>
      <c r="EM12" s="231">
        <v>12516</v>
      </c>
      <c r="EN12" s="231">
        <v>402929.08</v>
      </c>
      <c r="EO12" s="231">
        <v>558776.56999999995</v>
      </c>
      <c r="EP12" s="231">
        <v>-155847.49</v>
      </c>
      <c r="EQ12" s="229">
        <v>-0.27889999999999998</v>
      </c>
      <c r="ER12" s="231">
        <v>83148</v>
      </c>
      <c r="ES12" s="231">
        <v>51333</v>
      </c>
      <c r="ET12" s="231">
        <v>109656</v>
      </c>
      <c r="EU12" s="231">
        <v>9673308</v>
      </c>
      <c r="EV12" s="231">
        <v>244138</v>
      </c>
      <c r="EW12" s="231">
        <v>259184</v>
      </c>
      <c r="EX12" s="231">
        <v>-15046</v>
      </c>
      <c r="EY12" s="229">
        <v>-5.8099999999999999E-2</v>
      </c>
      <c r="EZ12" s="229">
        <v>0.97189999999999999</v>
      </c>
      <c r="FA12" s="227" t="s">
        <v>555</v>
      </c>
      <c r="FB12" s="161">
        <f t="shared" si="0"/>
        <v>2168000</v>
      </c>
    </row>
    <row r="13" spans="1:158" ht="17.25" hidden="1" thickBot="1" x14ac:dyDescent="0.3">
      <c r="A13" s="226">
        <v>46044</v>
      </c>
      <c r="B13" s="227" t="s">
        <v>227</v>
      </c>
      <c r="C13" s="227" t="s">
        <v>598</v>
      </c>
      <c r="D13" s="228">
        <v>350</v>
      </c>
      <c r="E13" s="231">
        <v>1982</v>
      </c>
      <c r="F13" s="231">
        <v>1884.3</v>
      </c>
      <c r="G13" s="228">
        <v>97.7</v>
      </c>
      <c r="H13" s="229">
        <v>5.1799999999999999E-2</v>
      </c>
      <c r="I13" s="231">
        <v>1976</v>
      </c>
      <c r="J13" s="231">
        <v>1878.6</v>
      </c>
      <c r="K13" s="228">
        <v>97.4</v>
      </c>
      <c r="L13" s="229">
        <v>5.1799999999999999E-2</v>
      </c>
      <c r="M13" s="231">
        <v>1982</v>
      </c>
      <c r="N13" s="231">
        <v>1884.3</v>
      </c>
      <c r="O13" s="228">
        <v>97.7</v>
      </c>
      <c r="P13" s="229">
        <v>5.1799999999999999E-2</v>
      </c>
      <c r="Q13" s="231">
        <v>1990.9</v>
      </c>
      <c r="R13" s="231">
        <v>1892</v>
      </c>
      <c r="S13" s="228">
        <v>98.9</v>
      </c>
      <c r="T13" s="229">
        <v>5.2299999999999999E-2</v>
      </c>
      <c r="U13" s="231">
        <v>2005.8</v>
      </c>
      <c r="V13" s="231">
        <v>1900</v>
      </c>
      <c r="W13" s="228">
        <v>105.8</v>
      </c>
      <c r="X13" s="229">
        <v>5.57E-2</v>
      </c>
      <c r="Y13" s="228">
        <v>6</v>
      </c>
      <c r="Z13" s="228">
        <v>5.7</v>
      </c>
      <c r="AA13" s="228">
        <v>0.3</v>
      </c>
      <c r="AB13" s="229">
        <v>3.0000000000000001E-3</v>
      </c>
      <c r="AC13" s="228">
        <v>6</v>
      </c>
      <c r="AD13" s="228">
        <v>5.7</v>
      </c>
      <c r="AE13" s="228">
        <v>0.3</v>
      </c>
      <c r="AF13" s="229">
        <v>3.0000000000000001E-3</v>
      </c>
      <c r="AG13" s="228">
        <v>14.9</v>
      </c>
      <c r="AH13" s="228">
        <v>13.4</v>
      </c>
      <c r="AI13" s="228">
        <v>1.5</v>
      </c>
      <c r="AJ13" s="229">
        <v>7.4999999999999997E-3</v>
      </c>
      <c r="AK13" s="228">
        <v>29.8</v>
      </c>
      <c r="AL13" s="228">
        <v>21.4</v>
      </c>
      <c r="AM13" s="228">
        <v>8.4</v>
      </c>
      <c r="AN13" s="229">
        <v>1.5100000000000001E-2</v>
      </c>
      <c r="AO13" s="231">
        <v>1955.16</v>
      </c>
      <c r="AP13" s="231">
        <v>1965.58</v>
      </c>
      <c r="AQ13" s="228">
        <v>0</v>
      </c>
      <c r="AR13" s="230">
        <v>5534550</v>
      </c>
      <c r="AS13" s="230">
        <v>5393150</v>
      </c>
      <c r="AT13" s="230">
        <v>141400</v>
      </c>
      <c r="AU13" s="229">
        <v>2.6200000000000001E-2</v>
      </c>
      <c r="AV13" s="230">
        <v>2876650</v>
      </c>
      <c r="AW13" s="230">
        <v>2964500</v>
      </c>
      <c r="AX13" s="230">
        <v>-87850</v>
      </c>
      <c r="AY13" s="229">
        <v>-2.9600000000000001E-2</v>
      </c>
      <c r="AZ13" s="230">
        <v>2640050</v>
      </c>
      <c r="BA13" s="230">
        <v>2414300</v>
      </c>
      <c r="BB13" s="230">
        <v>225750</v>
      </c>
      <c r="BC13" s="229">
        <v>9.35E-2</v>
      </c>
      <c r="BD13" s="230">
        <v>17850</v>
      </c>
      <c r="BE13" s="230">
        <v>14350</v>
      </c>
      <c r="BF13" s="230">
        <v>3500</v>
      </c>
      <c r="BG13" s="229">
        <v>0.24390000000000001</v>
      </c>
      <c r="BH13" s="230">
        <v>12084800</v>
      </c>
      <c r="BI13" s="230">
        <v>1709750</v>
      </c>
      <c r="BJ13" s="230">
        <v>10375050</v>
      </c>
      <c r="BK13" s="229">
        <v>6.0682</v>
      </c>
      <c r="BL13" s="230">
        <v>4275600</v>
      </c>
      <c r="BM13" s="230">
        <v>1131550</v>
      </c>
      <c r="BN13" s="230">
        <v>3144050</v>
      </c>
      <c r="BO13" s="229">
        <v>2.7785000000000002</v>
      </c>
      <c r="BP13" s="230">
        <v>21894950</v>
      </c>
      <c r="BQ13" s="230">
        <v>8234450</v>
      </c>
      <c r="BR13" s="230">
        <v>13660500</v>
      </c>
      <c r="BS13" s="229">
        <v>1.6589</v>
      </c>
      <c r="BT13" s="230">
        <v>1320329</v>
      </c>
      <c r="BU13" s="230">
        <v>535185</v>
      </c>
      <c r="BV13" s="230">
        <v>785144</v>
      </c>
      <c r="BW13" s="229">
        <v>1.4671000000000001</v>
      </c>
      <c r="BX13" s="230">
        <v>11788000</v>
      </c>
      <c r="BY13" s="230">
        <v>11198250</v>
      </c>
      <c r="BZ13" s="230">
        <v>589750</v>
      </c>
      <c r="CA13" s="229">
        <v>5.2699999999999997E-2</v>
      </c>
      <c r="CB13" s="230">
        <v>7044450</v>
      </c>
      <c r="CC13" s="230">
        <v>7724850</v>
      </c>
      <c r="CD13" s="230">
        <v>-680400</v>
      </c>
      <c r="CE13" s="229">
        <v>-8.8099999999999998E-2</v>
      </c>
      <c r="CF13" s="230">
        <v>4718700</v>
      </c>
      <c r="CG13" s="230">
        <v>3454850</v>
      </c>
      <c r="CH13" s="230">
        <v>1263850</v>
      </c>
      <c r="CI13" s="229">
        <v>0.36580000000000001</v>
      </c>
      <c r="CJ13" s="230">
        <v>24850</v>
      </c>
      <c r="CK13" s="230">
        <v>18550</v>
      </c>
      <c r="CL13" s="230">
        <v>6300</v>
      </c>
      <c r="CM13" s="229">
        <v>0.33960000000000001</v>
      </c>
      <c r="CN13" s="230">
        <v>2094750</v>
      </c>
      <c r="CO13" s="230">
        <v>1871450</v>
      </c>
      <c r="CP13" s="230">
        <v>223300</v>
      </c>
      <c r="CQ13" s="229">
        <v>0.1193</v>
      </c>
      <c r="CR13" s="230">
        <v>1263500</v>
      </c>
      <c r="CS13" s="230">
        <v>1029350</v>
      </c>
      <c r="CT13" s="230">
        <v>234150</v>
      </c>
      <c r="CU13" s="229">
        <v>0.22750000000000001</v>
      </c>
      <c r="CV13" s="230">
        <v>15146250</v>
      </c>
      <c r="CW13" s="230">
        <v>14099050</v>
      </c>
      <c r="CX13" s="230">
        <v>1047200</v>
      </c>
      <c r="CY13" s="229">
        <v>7.4300000000000005E-2</v>
      </c>
      <c r="CZ13" s="228">
        <v>29.24</v>
      </c>
      <c r="DA13" s="228">
        <v>38.18</v>
      </c>
      <c r="DB13" s="228">
        <v>-8.94</v>
      </c>
      <c r="DC13" s="228">
        <v>-8.94</v>
      </c>
      <c r="DD13" s="228">
        <v>32.299999999999997</v>
      </c>
      <c r="DE13" s="228">
        <v>31.65</v>
      </c>
      <c r="DF13" s="228">
        <v>-3.06</v>
      </c>
      <c r="DG13" s="228">
        <v>0.65</v>
      </c>
      <c r="DH13" s="228">
        <v>29.35</v>
      </c>
      <c r="DI13" s="228">
        <v>39.25</v>
      </c>
      <c r="DJ13" s="228">
        <v>-9.9</v>
      </c>
      <c r="DK13" s="228">
        <v>-9.9</v>
      </c>
      <c r="DL13" s="228">
        <v>29.07</v>
      </c>
      <c r="DM13" s="228">
        <v>36.58</v>
      </c>
      <c r="DN13" s="228">
        <v>-7.51</v>
      </c>
      <c r="DO13" s="228">
        <v>-7.51</v>
      </c>
      <c r="DP13" s="228">
        <v>0.6</v>
      </c>
      <c r="DQ13" s="228">
        <v>0.55000000000000004</v>
      </c>
      <c r="DR13" s="228">
        <v>0.05</v>
      </c>
      <c r="DS13" s="229">
        <v>9.0899999999999995E-2</v>
      </c>
      <c r="DT13" s="231">
        <v>2000</v>
      </c>
      <c r="DU13" s="231">
        <v>1900</v>
      </c>
      <c r="DV13" s="228">
        <v>0.35</v>
      </c>
      <c r="DW13" s="228">
        <v>0.66</v>
      </c>
      <c r="DX13" s="228">
        <v>-0.31</v>
      </c>
      <c r="DY13" s="229">
        <v>-0.46970000000000001</v>
      </c>
      <c r="DZ13" s="229">
        <v>0.40239999999999998</v>
      </c>
      <c r="EA13" s="230">
        <v>3473400</v>
      </c>
      <c r="EB13" s="229">
        <v>4.4999999999999997E-3</v>
      </c>
      <c r="EC13" s="229">
        <v>0.40239999999999998</v>
      </c>
      <c r="ED13" s="228">
        <v>10.42</v>
      </c>
      <c r="EE13" s="229">
        <v>5.3E-3</v>
      </c>
      <c r="EF13" s="230">
        <v>529985</v>
      </c>
      <c r="EG13" s="230">
        <v>218054</v>
      </c>
      <c r="EH13" s="229">
        <v>1.4305000000000001</v>
      </c>
      <c r="EI13" s="229">
        <v>0.40139999999999998</v>
      </c>
      <c r="EJ13" s="231">
        <v>244119.21</v>
      </c>
      <c r="EK13" s="231">
        <v>81690</v>
      </c>
      <c r="EL13" s="231">
        <v>108488.33</v>
      </c>
      <c r="EM13" s="231">
        <v>7925</v>
      </c>
      <c r="EN13" s="231">
        <v>434297.54</v>
      </c>
      <c r="EO13" s="231">
        <v>156860.74</v>
      </c>
      <c r="EP13" s="231">
        <v>277436.79999999999</v>
      </c>
      <c r="EQ13" s="229">
        <v>1.7686999999999999</v>
      </c>
      <c r="ER13" s="231">
        <v>41962</v>
      </c>
      <c r="ES13" s="231">
        <v>23895</v>
      </c>
      <c r="ET13" s="231">
        <v>234064</v>
      </c>
      <c r="EU13" s="231">
        <v>23068453</v>
      </c>
      <c r="EV13" s="231">
        <v>299921</v>
      </c>
      <c r="EW13" s="231">
        <v>267689</v>
      </c>
      <c r="EX13" s="231">
        <v>32232</v>
      </c>
      <c r="EY13" s="229">
        <v>0.12039999999999999</v>
      </c>
      <c r="EZ13" s="229">
        <v>0.65659999999999996</v>
      </c>
      <c r="FA13" s="227" t="s">
        <v>555</v>
      </c>
      <c r="FB13" s="161">
        <f t="shared" si="0"/>
        <v>4743550</v>
      </c>
    </row>
    <row r="14" spans="1:158" ht="17.25" hidden="1" thickBot="1" x14ac:dyDescent="0.3">
      <c r="A14" s="226">
        <v>46044</v>
      </c>
      <c r="B14" s="227" t="s">
        <v>170</v>
      </c>
      <c r="C14" s="227" t="s">
        <v>165</v>
      </c>
      <c r="D14" s="228">
        <v>125</v>
      </c>
      <c r="E14" s="231">
        <v>6812.5</v>
      </c>
      <c r="F14" s="231">
        <v>6835</v>
      </c>
      <c r="G14" s="228">
        <v>-22.5</v>
      </c>
      <c r="H14" s="229">
        <v>-3.3E-3</v>
      </c>
      <c r="I14" s="231">
        <v>6797</v>
      </c>
      <c r="J14" s="231">
        <v>6826.5</v>
      </c>
      <c r="K14" s="228">
        <v>-29.5</v>
      </c>
      <c r="L14" s="229">
        <v>-4.3E-3</v>
      </c>
      <c r="M14" s="231">
        <v>6812.5</v>
      </c>
      <c r="N14" s="231">
        <v>6835</v>
      </c>
      <c r="O14" s="228">
        <v>-22.5</v>
      </c>
      <c r="P14" s="229">
        <v>-3.3E-3</v>
      </c>
      <c r="Q14" s="231">
        <v>6841.5</v>
      </c>
      <c r="R14" s="231">
        <v>6862.5</v>
      </c>
      <c r="S14" s="228">
        <v>-21</v>
      </c>
      <c r="T14" s="229">
        <v>-3.0999999999999999E-3</v>
      </c>
      <c r="U14" s="231">
        <v>6890.5</v>
      </c>
      <c r="V14" s="231">
        <v>6912</v>
      </c>
      <c r="W14" s="228">
        <v>-21.5</v>
      </c>
      <c r="X14" s="229">
        <v>-3.0999999999999999E-3</v>
      </c>
      <c r="Y14" s="228">
        <v>15.5</v>
      </c>
      <c r="Z14" s="228">
        <v>8.5</v>
      </c>
      <c r="AA14" s="228">
        <v>7</v>
      </c>
      <c r="AB14" s="229">
        <v>2.3E-3</v>
      </c>
      <c r="AC14" s="228">
        <v>15.5</v>
      </c>
      <c r="AD14" s="228">
        <v>8.5</v>
      </c>
      <c r="AE14" s="228">
        <v>7</v>
      </c>
      <c r="AF14" s="229">
        <v>2.3E-3</v>
      </c>
      <c r="AG14" s="228">
        <v>44.5</v>
      </c>
      <c r="AH14" s="228">
        <v>36</v>
      </c>
      <c r="AI14" s="228">
        <v>8.5</v>
      </c>
      <c r="AJ14" s="229">
        <v>6.4999999999999997E-3</v>
      </c>
      <c r="AK14" s="228">
        <v>93.5</v>
      </c>
      <c r="AL14" s="228">
        <v>85.5</v>
      </c>
      <c r="AM14" s="228">
        <v>8</v>
      </c>
      <c r="AN14" s="229">
        <v>1.38E-2</v>
      </c>
      <c r="AO14" s="231">
        <v>6844.6</v>
      </c>
      <c r="AP14" s="231">
        <v>6872.18</v>
      </c>
      <c r="AQ14" s="228">
        <v>0</v>
      </c>
      <c r="AR14" s="230">
        <v>2478625</v>
      </c>
      <c r="AS14" s="230">
        <v>1847000</v>
      </c>
      <c r="AT14" s="230">
        <v>631625</v>
      </c>
      <c r="AU14" s="229">
        <v>0.34200000000000003</v>
      </c>
      <c r="AV14" s="230">
        <v>1144875</v>
      </c>
      <c r="AW14" s="230">
        <v>1017750</v>
      </c>
      <c r="AX14" s="230">
        <v>127125</v>
      </c>
      <c r="AY14" s="229">
        <v>0.1249</v>
      </c>
      <c r="AZ14" s="230">
        <v>1322375</v>
      </c>
      <c r="BA14" s="230">
        <v>820875</v>
      </c>
      <c r="BB14" s="230">
        <v>501500</v>
      </c>
      <c r="BC14" s="229">
        <v>0.6109</v>
      </c>
      <c r="BD14" s="230">
        <v>11375</v>
      </c>
      <c r="BE14" s="230">
        <v>8375</v>
      </c>
      <c r="BF14" s="230">
        <v>3000</v>
      </c>
      <c r="BG14" s="229">
        <v>0.35820000000000002</v>
      </c>
      <c r="BH14" s="230">
        <v>4466500</v>
      </c>
      <c r="BI14" s="230">
        <v>4850750</v>
      </c>
      <c r="BJ14" s="230">
        <v>-384250</v>
      </c>
      <c r="BK14" s="229">
        <v>-7.9200000000000007E-2</v>
      </c>
      <c r="BL14" s="230">
        <v>1623125</v>
      </c>
      <c r="BM14" s="230">
        <v>2386750</v>
      </c>
      <c r="BN14" s="230">
        <v>-763625</v>
      </c>
      <c r="BO14" s="229">
        <v>-0.31990000000000002</v>
      </c>
      <c r="BP14" s="230">
        <v>8568250</v>
      </c>
      <c r="BQ14" s="230">
        <v>9084500</v>
      </c>
      <c r="BR14" s="230">
        <v>-516250</v>
      </c>
      <c r="BS14" s="229">
        <v>-5.6800000000000003E-2</v>
      </c>
      <c r="BT14" s="230">
        <v>719841</v>
      </c>
      <c r="BU14" s="230">
        <v>637769</v>
      </c>
      <c r="BV14" s="230">
        <v>82072</v>
      </c>
      <c r="BW14" s="229">
        <v>0.12870000000000001</v>
      </c>
      <c r="BX14" s="230">
        <v>3984500</v>
      </c>
      <c r="BY14" s="230">
        <v>3558750</v>
      </c>
      <c r="BZ14" s="230">
        <v>425750</v>
      </c>
      <c r="CA14" s="229">
        <v>0.1196</v>
      </c>
      <c r="CB14" s="230">
        <v>2035125</v>
      </c>
      <c r="CC14" s="230">
        <v>2698125</v>
      </c>
      <c r="CD14" s="230">
        <v>-663000</v>
      </c>
      <c r="CE14" s="229">
        <v>-0.2457</v>
      </c>
      <c r="CF14" s="230">
        <v>1914375</v>
      </c>
      <c r="CG14" s="230">
        <v>831625</v>
      </c>
      <c r="CH14" s="230">
        <v>1082750</v>
      </c>
      <c r="CI14" s="229">
        <v>1.302</v>
      </c>
      <c r="CJ14" s="230">
        <v>35000</v>
      </c>
      <c r="CK14" s="230">
        <v>29000</v>
      </c>
      <c r="CL14" s="230">
        <v>6000</v>
      </c>
      <c r="CM14" s="229">
        <v>0.2069</v>
      </c>
      <c r="CN14" s="230">
        <v>2007875</v>
      </c>
      <c r="CO14" s="230">
        <v>1855125</v>
      </c>
      <c r="CP14" s="230">
        <v>152750</v>
      </c>
      <c r="CQ14" s="229">
        <v>8.2299999999999998E-2</v>
      </c>
      <c r="CR14" s="230">
        <v>1095375</v>
      </c>
      <c r="CS14" s="230">
        <v>1080500</v>
      </c>
      <c r="CT14" s="230">
        <v>14875</v>
      </c>
      <c r="CU14" s="229">
        <v>1.38E-2</v>
      </c>
      <c r="CV14" s="230">
        <v>7087750</v>
      </c>
      <c r="CW14" s="230">
        <v>6494375</v>
      </c>
      <c r="CX14" s="230">
        <v>593375</v>
      </c>
      <c r="CY14" s="229">
        <v>9.1399999999999995E-2</v>
      </c>
      <c r="CZ14" s="228">
        <v>24.25</v>
      </c>
      <c r="DA14" s="228">
        <v>22.49</v>
      </c>
      <c r="DB14" s="228">
        <v>1.76</v>
      </c>
      <c r="DC14" s="228">
        <v>1.76</v>
      </c>
      <c r="DD14" s="228">
        <v>25.03</v>
      </c>
      <c r="DE14" s="228">
        <v>25.09</v>
      </c>
      <c r="DF14" s="228">
        <v>-0.78</v>
      </c>
      <c r="DG14" s="228">
        <v>-0.06</v>
      </c>
      <c r="DH14" s="228">
        <v>24.29</v>
      </c>
      <c r="DI14" s="228">
        <v>23.81</v>
      </c>
      <c r="DJ14" s="228">
        <v>0.48</v>
      </c>
      <c r="DK14" s="228">
        <v>0.48</v>
      </c>
      <c r="DL14" s="228">
        <v>24.16</v>
      </c>
      <c r="DM14" s="228">
        <v>19.82</v>
      </c>
      <c r="DN14" s="228">
        <v>4.34</v>
      </c>
      <c r="DO14" s="228">
        <v>4.34</v>
      </c>
      <c r="DP14" s="228">
        <v>0.55000000000000004</v>
      </c>
      <c r="DQ14" s="228">
        <v>0.57999999999999996</v>
      </c>
      <c r="DR14" s="228">
        <v>-0.03</v>
      </c>
      <c r="DS14" s="229">
        <v>-5.1700000000000003E-2</v>
      </c>
      <c r="DT14" s="231">
        <v>7000</v>
      </c>
      <c r="DU14" s="231">
        <v>6700</v>
      </c>
      <c r="DV14" s="228">
        <v>0.36</v>
      </c>
      <c r="DW14" s="228">
        <v>0.49</v>
      </c>
      <c r="DX14" s="228">
        <v>-0.13</v>
      </c>
      <c r="DY14" s="229">
        <v>-0.26529999999999998</v>
      </c>
      <c r="DZ14" s="229">
        <v>0.48920000000000002</v>
      </c>
      <c r="EA14" s="230">
        <v>860625</v>
      </c>
      <c r="EB14" s="229">
        <v>4.3E-3</v>
      </c>
      <c r="EC14" s="229">
        <v>0.48920000000000002</v>
      </c>
      <c r="ED14" s="228">
        <v>27.58</v>
      </c>
      <c r="EE14" s="229">
        <v>4.0000000000000001E-3</v>
      </c>
      <c r="EF14" s="230">
        <v>545121</v>
      </c>
      <c r="EG14" s="230">
        <v>377155</v>
      </c>
      <c r="EH14" s="229">
        <v>0.44540000000000002</v>
      </c>
      <c r="EI14" s="229">
        <v>0.75729999999999997</v>
      </c>
      <c r="EJ14" s="231">
        <v>317323.78000000003</v>
      </c>
      <c r="EK14" s="231">
        <v>110565.96</v>
      </c>
      <c r="EL14" s="231">
        <v>170024.24</v>
      </c>
      <c r="EM14" s="231">
        <v>6880</v>
      </c>
      <c r="EN14" s="231">
        <v>597913.98</v>
      </c>
      <c r="EO14" s="231">
        <v>634973.28</v>
      </c>
      <c r="EP14" s="231">
        <v>-37059.300000000003</v>
      </c>
      <c r="EQ14" s="229">
        <v>-5.8400000000000001E-2</v>
      </c>
      <c r="ER14" s="231">
        <v>146766</v>
      </c>
      <c r="ES14" s="231">
        <v>76015</v>
      </c>
      <c r="ET14" s="231">
        <v>272027</v>
      </c>
      <c r="EU14" s="231">
        <v>15524629</v>
      </c>
      <c r="EV14" s="231">
        <v>494808</v>
      </c>
      <c r="EW14" s="231">
        <v>454927</v>
      </c>
      <c r="EX14" s="231">
        <v>39881</v>
      </c>
      <c r="EY14" s="229">
        <v>8.77E-2</v>
      </c>
      <c r="EZ14" s="229">
        <v>0.45650000000000002</v>
      </c>
      <c r="FA14" s="227" t="s">
        <v>567</v>
      </c>
      <c r="FB14" s="161">
        <f t="shared" si="0"/>
        <v>1949375</v>
      </c>
    </row>
    <row r="15" spans="1:158" ht="17.25" hidden="1" thickBot="1" x14ac:dyDescent="0.3">
      <c r="A15" s="226">
        <v>46044</v>
      </c>
      <c r="B15" s="227" t="s">
        <v>162</v>
      </c>
      <c r="C15" s="227" t="s">
        <v>167</v>
      </c>
      <c r="D15" s="228">
        <v>5000</v>
      </c>
      <c r="E15" s="228">
        <v>190.94</v>
      </c>
      <c r="F15" s="228">
        <v>181.81</v>
      </c>
      <c r="G15" s="228">
        <v>9.1300000000000008</v>
      </c>
      <c r="H15" s="229">
        <v>5.0200000000000002E-2</v>
      </c>
      <c r="I15" s="228">
        <v>190.28</v>
      </c>
      <c r="J15" s="228">
        <v>181.24</v>
      </c>
      <c r="K15" s="228">
        <v>9.0399999999999991</v>
      </c>
      <c r="L15" s="229">
        <v>4.99E-2</v>
      </c>
      <c r="M15" s="228">
        <v>190.94</v>
      </c>
      <c r="N15" s="228">
        <v>181.81</v>
      </c>
      <c r="O15" s="228">
        <v>9.1300000000000008</v>
      </c>
      <c r="P15" s="229">
        <v>5.0200000000000002E-2</v>
      </c>
      <c r="Q15" s="228">
        <v>188.3</v>
      </c>
      <c r="R15" s="228">
        <v>179.32</v>
      </c>
      <c r="S15" s="228">
        <v>8.98</v>
      </c>
      <c r="T15" s="229">
        <v>5.0099999999999999E-2</v>
      </c>
      <c r="U15" s="228">
        <v>187.07</v>
      </c>
      <c r="V15" s="228">
        <v>178.44</v>
      </c>
      <c r="W15" s="228">
        <v>8.6300000000000008</v>
      </c>
      <c r="X15" s="229">
        <v>4.8399999999999999E-2</v>
      </c>
      <c r="Y15" s="228">
        <v>0.66</v>
      </c>
      <c r="Z15" s="228">
        <v>0.56999999999999995</v>
      </c>
      <c r="AA15" s="228">
        <v>0.09</v>
      </c>
      <c r="AB15" s="229">
        <v>3.5000000000000001E-3</v>
      </c>
      <c r="AC15" s="228">
        <v>0.66</v>
      </c>
      <c r="AD15" s="228">
        <v>0.56999999999999995</v>
      </c>
      <c r="AE15" s="228">
        <v>0.09</v>
      </c>
      <c r="AF15" s="229">
        <v>3.5000000000000001E-3</v>
      </c>
      <c r="AG15" s="228">
        <v>-1.98</v>
      </c>
      <c r="AH15" s="228">
        <v>-1.92</v>
      </c>
      <c r="AI15" s="228">
        <v>-0.06</v>
      </c>
      <c r="AJ15" s="229">
        <v>-1.04E-2</v>
      </c>
      <c r="AK15" s="228">
        <v>-3.21</v>
      </c>
      <c r="AL15" s="228">
        <v>-2.8</v>
      </c>
      <c r="AM15" s="228">
        <v>-0.41</v>
      </c>
      <c r="AN15" s="229">
        <v>-1.6899999999999998E-2</v>
      </c>
      <c r="AO15" s="228">
        <v>188.25</v>
      </c>
      <c r="AP15" s="228">
        <v>185.55</v>
      </c>
      <c r="AQ15" s="228">
        <v>0</v>
      </c>
      <c r="AR15" s="230">
        <v>176345000</v>
      </c>
      <c r="AS15" s="230">
        <v>165000000</v>
      </c>
      <c r="AT15" s="230">
        <v>11345000</v>
      </c>
      <c r="AU15" s="229">
        <v>6.88E-2</v>
      </c>
      <c r="AV15" s="230">
        <v>93995000</v>
      </c>
      <c r="AW15" s="230">
        <v>88430000</v>
      </c>
      <c r="AX15" s="230">
        <v>5565000</v>
      </c>
      <c r="AY15" s="229">
        <v>6.2899999999999998E-2</v>
      </c>
      <c r="AZ15" s="230">
        <v>81090000</v>
      </c>
      <c r="BA15" s="230">
        <v>76200000</v>
      </c>
      <c r="BB15" s="230">
        <v>4890000</v>
      </c>
      <c r="BC15" s="229">
        <v>6.4199999999999993E-2</v>
      </c>
      <c r="BD15" s="230">
        <v>1260000</v>
      </c>
      <c r="BE15" s="230">
        <v>370000</v>
      </c>
      <c r="BF15" s="230">
        <v>890000</v>
      </c>
      <c r="BG15" s="229">
        <v>2.4054000000000002</v>
      </c>
      <c r="BH15" s="230">
        <v>259905000</v>
      </c>
      <c r="BI15" s="230">
        <v>136560000</v>
      </c>
      <c r="BJ15" s="230">
        <v>123345000</v>
      </c>
      <c r="BK15" s="229">
        <v>0.9032</v>
      </c>
      <c r="BL15" s="230">
        <v>125950000</v>
      </c>
      <c r="BM15" s="230">
        <v>88175000</v>
      </c>
      <c r="BN15" s="230">
        <v>37775000</v>
      </c>
      <c r="BO15" s="229">
        <v>0.4284</v>
      </c>
      <c r="BP15" s="230">
        <v>562200000</v>
      </c>
      <c r="BQ15" s="230">
        <v>389735000</v>
      </c>
      <c r="BR15" s="230">
        <v>172465000</v>
      </c>
      <c r="BS15" s="229">
        <v>0.4425</v>
      </c>
      <c r="BT15" s="230">
        <v>21552797</v>
      </c>
      <c r="BU15" s="230">
        <v>21353145</v>
      </c>
      <c r="BV15" s="230">
        <v>199652</v>
      </c>
      <c r="BW15" s="229">
        <v>9.4000000000000004E-3</v>
      </c>
      <c r="BX15" s="230">
        <v>179650000</v>
      </c>
      <c r="BY15" s="230">
        <v>194305000</v>
      </c>
      <c r="BZ15" s="230">
        <v>-14655000</v>
      </c>
      <c r="CA15" s="229">
        <v>-7.5399999999999995E-2</v>
      </c>
      <c r="CB15" s="230">
        <v>56780000</v>
      </c>
      <c r="CC15" s="230">
        <v>110160000</v>
      </c>
      <c r="CD15" s="230">
        <v>-53380000</v>
      </c>
      <c r="CE15" s="229">
        <v>-0.48459999999999998</v>
      </c>
      <c r="CF15" s="230">
        <v>121800000</v>
      </c>
      <c r="CG15" s="230">
        <v>82925000</v>
      </c>
      <c r="CH15" s="230">
        <v>38875000</v>
      </c>
      <c r="CI15" s="229">
        <v>0.46879999999999999</v>
      </c>
      <c r="CJ15" s="230">
        <v>1070000</v>
      </c>
      <c r="CK15" s="230">
        <v>1220000</v>
      </c>
      <c r="CL15" s="230">
        <v>-150000</v>
      </c>
      <c r="CM15" s="229">
        <v>-0.123</v>
      </c>
      <c r="CN15" s="230">
        <v>60885000</v>
      </c>
      <c r="CO15" s="230">
        <v>78120000</v>
      </c>
      <c r="CP15" s="230">
        <v>-17235000</v>
      </c>
      <c r="CQ15" s="229">
        <v>-0.22059999999999999</v>
      </c>
      <c r="CR15" s="230">
        <v>46240000</v>
      </c>
      <c r="CS15" s="230">
        <v>42265000</v>
      </c>
      <c r="CT15" s="230">
        <v>3975000</v>
      </c>
      <c r="CU15" s="229">
        <v>9.4E-2</v>
      </c>
      <c r="CV15" s="230">
        <v>286775000</v>
      </c>
      <c r="CW15" s="230">
        <v>314690000</v>
      </c>
      <c r="CX15" s="230">
        <v>-27915000</v>
      </c>
      <c r="CY15" s="229">
        <v>-8.8700000000000001E-2</v>
      </c>
      <c r="CZ15" s="228">
        <v>34.46</v>
      </c>
      <c r="DA15" s="228">
        <v>28.45</v>
      </c>
      <c r="DB15" s="228">
        <v>6.01</v>
      </c>
      <c r="DC15" s="228">
        <v>6.01</v>
      </c>
      <c r="DD15" s="228">
        <v>35.299999999999997</v>
      </c>
      <c r="DE15" s="228">
        <v>34.770000000000003</v>
      </c>
      <c r="DF15" s="228">
        <v>-0.84</v>
      </c>
      <c r="DG15" s="228">
        <v>0.53</v>
      </c>
      <c r="DH15" s="228">
        <v>34.49</v>
      </c>
      <c r="DI15" s="228">
        <v>29.16</v>
      </c>
      <c r="DJ15" s="228">
        <v>5.33</v>
      </c>
      <c r="DK15" s="228">
        <v>5.33</v>
      </c>
      <c r="DL15" s="228">
        <v>34.39</v>
      </c>
      <c r="DM15" s="228">
        <v>27.36</v>
      </c>
      <c r="DN15" s="228">
        <v>7.03</v>
      </c>
      <c r="DO15" s="228">
        <v>7.03</v>
      </c>
      <c r="DP15" s="228">
        <v>0.76</v>
      </c>
      <c r="DQ15" s="228">
        <v>0.54</v>
      </c>
      <c r="DR15" s="228">
        <v>0.22</v>
      </c>
      <c r="DS15" s="229">
        <v>0.40739999999999998</v>
      </c>
      <c r="DT15" s="228">
        <v>200</v>
      </c>
      <c r="DU15" s="228">
        <v>185</v>
      </c>
      <c r="DV15" s="228">
        <v>0.48</v>
      </c>
      <c r="DW15" s="228">
        <v>0.65</v>
      </c>
      <c r="DX15" s="228">
        <v>-0.17</v>
      </c>
      <c r="DY15" s="229">
        <v>-0.26150000000000001</v>
      </c>
      <c r="DZ15" s="229">
        <v>0.68389999999999995</v>
      </c>
      <c r="EA15" s="230">
        <v>84145000</v>
      </c>
      <c r="EB15" s="229">
        <v>-1.38E-2</v>
      </c>
      <c r="EC15" s="229">
        <v>0.68389999999999995</v>
      </c>
      <c r="ED15" s="228">
        <v>-2.7</v>
      </c>
      <c r="EE15" s="229">
        <v>-1.43E-2</v>
      </c>
      <c r="EF15" s="230">
        <v>8078687</v>
      </c>
      <c r="EG15" s="230">
        <v>10278586</v>
      </c>
      <c r="EH15" s="229">
        <v>-0.214</v>
      </c>
      <c r="EI15" s="229">
        <v>0.37480000000000002</v>
      </c>
      <c r="EJ15" s="231">
        <v>503539.39</v>
      </c>
      <c r="EK15" s="231">
        <v>230704.87</v>
      </c>
      <c r="EL15" s="231">
        <v>329742.07</v>
      </c>
      <c r="EM15" s="231">
        <v>15250</v>
      </c>
      <c r="EN15" s="231">
        <v>1063986.33</v>
      </c>
      <c r="EO15" s="231">
        <v>711748</v>
      </c>
      <c r="EP15" s="231">
        <v>352238.33</v>
      </c>
      <c r="EQ15" s="229">
        <v>0.49490000000000001</v>
      </c>
      <c r="ER15" s="231">
        <v>117177</v>
      </c>
      <c r="ES15" s="231">
        <v>81340</v>
      </c>
      <c r="ET15" s="231">
        <v>339767</v>
      </c>
      <c r="EU15" s="231">
        <v>423719104</v>
      </c>
      <c r="EV15" s="231">
        <v>538284</v>
      </c>
      <c r="EW15" s="231">
        <v>573966</v>
      </c>
      <c r="EX15" s="231">
        <v>-35682</v>
      </c>
      <c r="EY15" s="229">
        <v>-6.2199999999999998E-2</v>
      </c>
      <c r="EZ15" s="229">
        <v>0.67679999999999996</v>
      </c>
      <c r="FA15" s="227" t="s">
        <v>556</v>
      </c>
      <c r="FB15" s="161">
        <f t="shared" si="0"/>
        <v>122870000</v>
      </c>
    </row>
    <row r="16" spans="1:158" ht="17.25" hidden="1" thickBot="1" x14ac:dyDescent="0.3">
      <c r="A16" s="226">
        <v>46044</v>
      </c>
      <c r="B16" s="227" t="s">
        <v>168</v>
      </c>
      <c r="C16" s="227" t="s">
        <v>169</v>
      </c>
      <c r="D16" s="228">
        <v>250</v>
      </c>
      <c r="E16" s="231">
        <v>2705.2</v>
      </c>
      <c r="F16" s="231">
        <v>2664.5</v>
      </c>
      <c r="G16" s="228">
        <v>40.700000000000003</v>
      </c>
      <c r="H16" s="229">
        <v>1.5299999999999999E-2</v>
      </c>
      <c r="I16" s="231">
        <v>2703.8</v>
      </c>
      <c r="J16" s="231">
        <v>2661.1</v>
      </c>
      <c r="K16" s="228">
        <v>42.7</v>
      </c>
      <c r="L16" s="229">
        <v>1.6E-2</v>
      </c>
      <c r="M16" s="231">
        <v>2705.2</v>
      </c>
      <c r="N16" s="231">
        <v>2664.5</v>
      </c>
      <c r="O16" s="228">
        <v>40.700000000000003</v>
      </c>
      <c r="P16" s="229">
        <v>1.5299999999999999E-2</v>
      </c>
      <c r="Q16" s="231">
        <v>2712.2</v>
      </c>
      <c r="R16" s="231">
        <v>2674.6</v>
      </c>
      <c r="S16" s="228">
        <v>37.6</v>
      </c>
      <c r="T16" s="229">
        <v>1.41E-2</v>
      </c>
      <c r="U16" s="231">
        <v>2727.3</v>
      </c>
      <c r="V16" s="231">
        <v>2694.6</v>
      </c>
      <c r="W16" s="228">
        <v>32.700000000000003</v>
      </c>
      <c r="X16" s="229">
        <v>1.21E-2</v>
      </c>
      <c r="Y16" s="228">
        <v>1.4</v>
      </c>
      <c r="Z16" s="228">
        <v>3.4</v>
      </c>
      <c r="AA16" s="228">
        <v>-2</v>
      </c>
      <c r="AB16" s="229">
        <v>5.0000000000000001E-4</v>
      </c>
      <c r="AC16" s="228">
        <v>1.4</v>
      </c>
      <c r="AD16" s="228">
        <v>3.4</v>
      </c>
      <c r="AE16" s="228">
        <v>-2</v>
      </c>
      <c r="AF16" s="229">
        <v>5.0000000000000001E-4</v>
      </c>
      <c r="AG16" s="228">
        <v>8.4</v>
      </c>
      <c r="AH16" s="228">
        <v>13.5</v>
      </c>
      <c r="AI16" s="228">
        <v>-5.0999999999999996</v>
      </c>
      <c r="AJ16" s="229">
        <v>3.0999999999999999E-3</v>
      </c>
      <c r="AK16" s="228">
        <v>23.5</v>
      </c>
      <c r="AL16" s="228">
        <v>33.5</v>
      </c>
      <c r="AM16" s="228">
        <v>-10</v>
      </c>
      <c r="AN16" s="229">
        <v>8.6999999999999994E-3</v>
      </c>
      <c r="AO16" s="231">
        <v>2702.95</v>
      </c>
      <c r="AP16" s="231">
        <v>2710.95</v>
      </c>
      <c r="AQ16" s="228">
        <v>0</v>
      </c>
      <c r="AR16" s="230">
        <v>11355500</v>
      </c>
      <c r="AS16" s="230">
        <v>8533500</v>
      </c>
      <c r="AT16" s="230">
        <v>2822000</v>
      </c>
      <c r="AU16" s="229">
        <v>0.33069999999999999</v>
      </c>
      <c r="AV16" s="230">
        <v>5695000</v>
      </c>
      <c r="AW16" s="230">
        <v>4449000</v>
      </c>
      <c r="AX16" s="230">
        <v>1246000</v>
      </c>
      <c r="AY16" s="229">
        <v>0.28010000000000002</v>
      </c>
      <c r="AZ16" s="230">
        <v>5641250</v>
      </c>
      <c r="BA16" s="230">
        <v>4066750</v>
      </c>
      <c r="BB16" s="230">
        <v>1574500</v>
      </c>
      <c r="BC16" s="229">
        <v>0.38719999999999999</v>
      </c>
      <c r="BD16" s="230">
        <v>19250</v>
      </c>
      <c r="BE16" s="230">
        <v>17750</v>
      </c>
      <c r="BF16" s="230">
        <v>1500</v>
      </c>
      <c r="BG16" s="229">
        <v>8.4500000000000006E-2</v>
      </c>
      <c r="BH16" s="230">
        <v>9187000</v>
      </c>
      <c r="BI16" s="230">
        <v>7513750</v>
      </c>
      <c r="BJ16" s="230">
        <v>1673250</v>
      </c>
      <c r="BK16" s="229">
        <v>0.22270000000000001</v>
      </c>
      <c r="BL16" s="230">
        <v>7340500</v>
      </c>
      <c r="BM16" s="230">
        <v>6269000</v>
      </c>
      <c r="BN16" s="230">
        <v>1071500</v>
      </c>
      <c r="BO16" s="229">
        <v>0.1709</v>
      </c>
      <c r="BP16" s="230">
        <v>27883000</v>
      </c>
      <c r="BQ16" s="230">
        <v>22316250</v>
      </c>
      <c r="BR16" s="230">
        <v>5566750</v>
      </c>
      <c r="BS16" s="229">
        <v>0.24940000000000001</v>
      </c>
      <c r="BT16" s="230">
        <v>1362267</v>
      </c>
      <c r="BU16" s="230">
        <v>932206</v>
      </c>
      <c r="BV16" s="230">
        <v>430061</v>
      </c>
      <c r="BW16" s="229">
        <v>0.46129999999999999</v>
      </c>
      <c r="BX16" s="230">
        <v>13099250</v>
      </c>
      <c r="BY16" s="230">
        <v>12858000</v>
      </c>
      <c r="BZ16" s="230">
        <v>241250</v>
      </c>
      <c r="CA16" s="229">
        <v>1.8800000000000001E-2</v>
      </c>
      <c r="CB16" s="230">
        <v>4758250</v>
      </c>
      <c r="CC16" s="230">
        <v>9068500</v>
      </c>
      <c r="CD16" s="230">
        <v>-4310250</v>
      </c>
      <c r="CE16" s="229">
        <v>-0.4753</v>
      </c>
      <c r="CF16" s="230">
        <v>8252000</v>
      </c>
      <c r="CG16" s="230">
        <v>3704000</v>
      </c>
      <c r="CH16" s="230">
        <v>4548000</v>
      </c>
      <c r="CI16" s="229">
        <v>1.2279</v>
      </c>
      <c r="CJ16" s="230">
        <v>89000</v>
      </c>
      <c r="CK16" s="230">
        <v>85500</v>
      </c>
      <c r="CL16" s="230">
        <v>3500</v>
      </c>
      <c r="CM16" s="229">
        <v>4.0899999999999999E-2</v>
      </c>
      <c r="CN16" s="230">
        <v>4993750</v>
      </c>
      <c r="CO16" s="230">
        <v>5204000</v>
      </c>
      <c r="CP16" s="230">
        <v>-210250</v>
      </c>
      <c r="CQ16" s="229">
        <v>-4.0399999999999998E-2</v>
      </c>
      <c r="CR16" s="230">
        <v>3526500</v>
      </c>
      <c r="CS16" s="230">
        <v>3460750</v>
      </c>
      <c r="CT16" s="230">
        <v>65750</v>
      </c>
      <c r="CU16" s="229">
        <v>1.9E-2</v>
      </c>
      <c r="CV16" s="230">
        <v>21619500</v>
      </c>
      <c r="CW16" s="230">
        <v>21522750</v>
      </c>
      <c r="CX16" s="230">
        <v>96750</v>
      </c>
      <c r="CY16" s="229">
        <v>4.4999999999999997E-3</v>
      </c>
      <c r="CZ16" s="228">
        <v>25.95</v>
      </c>
      <c r="DA16" s="228">
        <v>23.52</v>
      </c>
      <c r="DB16" s="228">
        <v>2.4300000000000002</v>
      </c>
      <c r="DC16" s="228">
        <v>2.4300000000000002</v>
      </c>
      <c r="DD16" s="228">
        <v>25.3</v>
      </c>
      <c r="DE16" s="228">
        <v>25.27</v>
      </c>
      <c r="DF16" s="228">
        <v>0.65</v>
      </c>
      <c r="DG16" s="228">
        <v>0.03</v>
      </c>
      <c r="DH16" s="228">
        <v>25.96</v>
      </c>
      <c r="DI16" s="228">
        <v>24.93</v>
      </c>
      <c r="DJ16" s="228">
        <v>1.03</v>
      </c>
      <c r="DK16" s="228">
        <v>1.03</v>
      </c>
      <c r="DL16" s="228">
        <v>25.92</v>
      </c>
      <c r="DM16" s="228">
        <v>21.84</v>
      </c>
      <c r="DN16" s="228">
        <v>4.08</v>
      </c>
      <c r="DO16" s="228">
        <v>4.08</v>
      </c>
      <c r="DP16" s="228">
        <v>0.71</v>
      </c>
      <c r="DQ16" s="228">
        <v>0.67</v>
      </c>
      <c r="DR16" s="228">
        <v>0.04</v>
      </c>
      <c r="DS16" s="229">
        <v>5.9700000000000003E-2</v>
      </c>
      <c r="DT16" s="231">
        <v>2800</v>
      </c>
      <c r="DU16" s="231">
        <v>2600</v>
      </c>
      <c r="DV16" s="228">
        <v>0.8</v>
      </c>
      <c r="DW16" s="228">
        <v>0.83</v>
      </c>
      <c r="DX16" s="228">
        <v>-0.03</v>
      </c>
      <c r="DY16" s="229">
        <v>-3.61E-2</v>
      </c>
      <c r="DZ16" s="229">
        <v>0.63680000000000003</v>
      </c>
      <c r="EA16" s="230">
        <v>3789500</v>
      </c>
      <c r="EB16" s="229">
        <v>2.5999999999999999E-3</v>
      </c>
      <c r="EC16" s="229">
        <v>0.63680000000000003</v>
      </c>
      <c r="ED16" s="228">
        <v>8</v>
      </c>
      <c r="EE16" s="229">
        <v>3.0000000000000001E-3</v>
      </c>
      <c r="EF16" s="230">
        <v>779808</v>
      </c>
      <c r="EG16" s="230">
        <v>546765</v>
      </c>
      <c r="EH16" s="229">
        <v>0.42620000000000002</v>
      </c>
      <c r="EI16" s="229">
        <v>0.57240000000000002</v>
      </c>
      <c r="EJ16" s="231">
        <v>255986.74</v>
      </c>
      <c r="EK16" s="231">
        <v>197098.67</v>
      </c>
      <c r="EL16" s="231">
        <v>307390.3</v>
      </c>
      <c r="EM16" s="231">
        <v>13845</v>
      </c>
      <c r="EN16" s="231">
        <v>760475.71</v>
      </c>
      <c r="EO16" s="231">
        <v>605560.59</v>
      </c>
      <c r="EP16" s="231">
        <v>154915.12</v>
      </c>
      <c r="EQ16" s="229">
        <v>0.25580000000000003</v>
      </c>
      <c r="ER16" s="231">
        <v>143595</v>
      </c>
      <c r="ES16" s="231">
        <v>94936</v>
      </c>
      <c r="ET16" s="231">
        <v>354958</v>
      </c>
      <c r="EU16" s="231">
        <v>49389162</v>
      </c>
      <c r="EV16" s="231">
        <v>593490</v>
      </c>
      <c r="EW16" s="231">
        <v>585781</v>
      </c>
      <c r="EX16" s="231">
        <v>7709</v>
      </c>
      <c r="EY16" s="229">
        <v>1.32E-2</v>
      </c>
      <c r="EZ16" s="229">
        <v>0.43769999999999998</v>
      </c>
      <c r="FA16" s="227" t="s">
        <v>555</v>
      </c>
      <c r="FB16" s="161">
        <f t="shared" si="0"/>
        <v>8341000</v>
      </c>
    </row>
    <row r="17" spans="1:158" ht="17.25" hidden="1" thickBot="1" x14ac:dyDescent="0.3">
      <c r="A17" s="226">
        <v>46044</v>
      </c>
      <c r="B17" s="227" t="s">
        <v>184</v>
      </c>
      <c r="C17" s="227" t="s">
        <v>503</v>
      </c>
      <c r="D17" s="228">
        <v>425</v>
      </c>
      <c r="E17" s="231">
        <v>1408.3</v>
      </c>
      <c r="F17" s="231">
        <v>1344.2</v>
      </c>
      <c r="G17" s="228">
        <v>64.099999999999994</v>
      </c>
      <c r="H17" s="229">
        <v>4.7699999999999999E-2</v>
      </c>
      <c r="I17" s="231">
        <v>1413.2</v>
      </c>
      <c r="J17" s="231">
        <v>1347.8</v>
      </c>
      <c r="K17" s="228">
        <v>65.400000000000006</v>
      </c>
      <c r="L17" s="229">
        <v>4.8500000000000001E-2</v>
      </c>
      <c r="M17" s="231">
        <v>1408.3</v>
      </c>
      <c r="N17" s="231">
        <v>1344.2</v>
      </c>
      <c r="O17" s="228">
        <v>64.099999999999994</v>
      </c>
      <c r="P17" s="229">
        <v>4.7699999999999999E-2</v>
      </c>
      <c r="Q17" s="231">
        <v>1396.3</v>
      </c>
      <c r="R17" s="231">
        <v>1340.5</v>
      </c>
      <c r="S17" s="228">
        <v>55.8</v>
      </c>
      <c r="T17" s="229">
        <v>4.1599999999999998E-2</v>
      </c>
      <c r="U17" s="231">
        <v>1398.1</v>
      </c>
      <c r="V17" s="231">
        <v>1339.8</v>
      </c>
      <c r="W17" s="228">
        <v>58.3</v>
      </c>
      <c r="X17" s="229">
        <v>4.3499999999999997E-2</v>
      </c>
      <c r="Y17" s="228">
        <v>-4.9000000000000004</v>
      </c>
      <c r="Z17" s="228">
        <v>-3.6</v>
      </c>
      <c r="AA17" s="228">
        <v>-1.3</v>
      </c>
      <c r="AB17" s="229">
        <v>-3.5000000000000001E-3</v>
      </c>
      <c r="AC17" s="228">
        <v>-4.9000000000000004</v>
      </c>
      <c r="AD17" s="228">
        <v>-3.6</v>
      </c>
      <c r="AE17" s="228">
        <v>-1.3</v>
      </c>
      <c r="AF17" s="229">
        <v>-3.5000000000000001E-3</v>
      </c>
      <c r="AG17" s="228">
        <v>-16.899999999999999</v>
      </c>
      <c r="AH17" s="228">
        <v>-7.3</v>
      </c>
      <c r="AI17" s="228">
        <v>-9.6</v>
      </c>
      <c r="AJ17" s="229">
        <v>-1.2E-2</v>
      </c>
      <c r="AK17" s="228">
        <v>-15.1</v>
      </c>
      <c r="AL17" s="228">
        <v>-8</v>
      </c>
      <c r="AM17" s="228">
        <v>-7.1</v>
      </c>
      <c r="AN17" s="229">
        <v>-1.0699999999999999E-2</v>
      </c>
      <c r="AO17" s="231">
        <v>1389.51</v>
      </c>
      <c r="AP17" s="231">
        <v>1383.26</v>
      </c>
      <c r="AQ17" s="228">
        <v>0</v>
      </c>
      <c r="AR17" s="230">
        <v>9265850</v>
      </c>
      <c r="AS17" s="230">
        <v>8141300</v>
      </c>
      <c r="AT17" s="230">
        <v>1124550</v>
      </c>
      <c r="AU17" s="229">
        <v>0.1381</v>
      </c>
      <c r="AV17" s="230">
        <v>4533900</v>
      </c>
      <c r="AW17" s="230">
        <v>4320125</v>
      </c>
      <c r="AX17" s="230">
        <v>213775</v>
      </c>
      <c r="AY17" s="229">
        <v>4.9500000000000002E-2</v>
      </c>
      <c r="AZ17" s="230">
        <v>4696250</v>
      </c>
      <c r="BA17" s="230">
        <v>3785050</v>
      </c>
      <c r="BB17" s="230">
        <v>911200</v>
      </c>
      <c r="BC17" s="229">
        <v>0.2407</v>
      </c>
      <c r="BD17" s="230">
        <v>35700</v>
      </c>
      <c r="BE17" s="230">
        <v>36125</v>
      </c>
      <c r="BF17" s="228">
        <v>-425</v>
      </c>
      <c r="BG17" s="229">
        <v>-1.18E-2</v>
      </c>
      <c r="BH17" s="230">
        <v>8908000</v>
      </c>
      <c r="BI17" s="230">
        <v>6844625</v>
      </c>
      <c r="BJ17" s="230">
        <v>2063375</v>
      </c>
      <c r="BK17" s="229">
        <v>0.30149999999999999</v>
      </c>
      <c r="BL17" s="230">
        <v>4673300</v>
      </c>
      <c r="BM17" s="230">
        <v>8812375</v>
      </c>
      <c r="BN17" s="230">
        <v>-4139075</v>
      </c>
      <c r="BO17" s="229">
        <v>-0.46970000000000001</v>
      </c>
      <c r="BP17" s="230">
        <v>22847150</v>
      </c>
      <c r="BQ17" s="230">
        <v>23798300</v>
      </c>
      <c r="BR17" s="230">
        <v>-951150</v>
      </c>
      <c r="BS17" s="229">
        <v>-0.04</v>
      </c>
      <c r="BT17" s="230">
        <v>647570</v>
      </c>
      <c r="BU17" s="230">
        <v>661687</v>
      </c>
      <c r="BV17" s="230">
        <v>-14117</v>
      </c>
      <c r="BW17" s="229">
        <v>-2.1299999999999999E-2</v>
      </c>
      <c r="BX17" s="230">
        <v>7697600</v>
      </c>
      <c r="BY17" s="230">
        <v>8313425</v>
      </c>
      <c r="BZ17" s="230">
        <v>-615825</v>
      </c>
      <c r="CA17" s="229">
        <v>-7.4099999999999999E-2</v>
      </c>
      <c r="CB17" s="230">
        <v>2194275</v>
      </c>
      <c r="CC17" s="230">
        <v>4771050</v>
      </c>
      <c r="CD17" s="230">
        <v>-2576775</v>
      </c>
      <c r="CE17" s="229">
        <v>-0.54010000000000002</v>
      </c>
      <c r="CF17" s="230">
        <v>5436600</v>
      </c>
      <c r="CG17" s="230">
        <v>3476500</v>
      </c>
      <c r="CH17" s="230">
        <v>1960100</v>
      </c>
      <c r="CI17" s="229">
        <v>0.56379999999999997</v>
      </c>
      <c r="CJ17" s="230">
        <v>66725</v>
      </c>
      <c r="CK17" s="230">
        <v>65875</v>
      </c>
      <c r="CL17" s="228">
        <v>850</v>
      </c>
      <c r="CM17" s="229">
        <v>1.29E-2</v>
      </c>
      <c r="CN17" s="230">
        <v>3476925</v>
      </c>
      <c r="CO17" s="230">
        <v>3224050</v>
      </c>
      <c r="CP17" s="230">
        <v>252875</v>
      </c>
      <c r="CQ17" s="229">
        <v>7.8399999999999997E-2</v>
      </c>
      <c r="CR17" s="230">
        <v>2308175</v>
      </c>
      <c r="CS17" s="230">
        <v>2490925</v>
      </c>
      <c r="CT17" s="230">
        <v>-182750</v>
      </c>
      <c r="CU17" s="229">
        <v>-7.3400000000000007E-2</v>
      </c>
      <c r="CV17" s="230">
        <v>13482700</v>
      </c>
      <c r="CW17" s="230">
        <v>14028400</v>
      </c>
      <c r="CX17" s="230">
        <v>-545700</v>
      </c>
      <c r="CY17" s="229">
        <v>-3.8899999999999997E-2</v>
      </c>
      <c r="CZ17" s="228">
        <v>31.29</v>
      </c>
      <c r="DA17" s="228">
        <v>31.84</v>
      </c>
      <c r="DB17" s="228">
        <v>-0.55000000000000004</v>
      </c>
      <c r="DC17" s="228">
        <v>-0.55000000000000004</v>
      </c>
      <c r="DD17" s="228">
        <v>34.229999999999997</v>
      </c>
      <c r="DE17" s="228">
        <v>33.729999999999997</v>
      </c>
      <c r="DF17" s="228">
        <v>-2.94</v>
      </c>
      <c r="DG17" s="228">
        <v>0.5</v>
      </c>
      <c r="DH17" s="228">
        <v>30.65</v>
      </c>
      <c r="DI17" s="228">
        <v>33.04</v>
      </c>
      <c r="DJ17" s="228">
        <v>-2.39</v>
      </c>
      <c r="DK17" s="228">
        <v>-2.39</v>
      </c>
      <c r="DL17" s="228">
        <v>32.19</v>
      </c>
      <c r="DM17" s="228">
        <v>30.91</v>
      </c>
      <c r="DN17" s="228">
        <v>1.28</v>
      </c>
      <c r="DO17" s="228">
        <v>1.28</v>
      </c>
      <c r="DP17" s="228">
        <v>0.66</v>
      </c>
      <c r="DQ17" s="228">
        <v>0.77</v>
      </c>
      <c r="DR17" s="228">
        <v>-0.11</v>
      </c>
      <c r="DS17" s="229">
        <v>-0.1429</v>
      </c>
      <c r="DT17" s="231">
        <v>1400</v>
      </c>
      <c r="DU17" s="231">
        <v>1300</v>
      </c>
      <c r="DV17" s="228">
        <v>0.52</v>
      </c>
      <c r="DW17" s="228">
        <v>1.29</v>
      </c>
      <c r="DX17" s="228">
        <v>-0.77</v>
      </c>
      <c r="DY17" s="229">
        <v>-0.59689999999999999</v>
      </c>
      <c r="DZ17" s="229">
        <v>0.71489999999999998</v>
      </c>
      <c r="EA17" s="230">
        <v>3542375</v>
      </c>
      <c r="EB17" s="229">
        <v>-8.5000000000000006E-3</v>
      </c>
      <c r="EC17" s="229">
        <v>0.71489999999999998</v>
      </c>
      <c r="ED17" s="228">
        <v>-6.25</v>
      </c>
      <c r="EE17" s="229">
        <v>-4.4999999999999997E-3</v>
      </c>
      <c r="EF17" s="230">
        <v>310183</v>
      </c>
      <c r="EG17" s="230">
        <v>250330</v>
      </c>
      <c r="EH17" s="229">
        <v>0.23910000000000001</v>
      </c>
      <c r="EI17" s="229">
        <v>0.47899999999999998</v>
      </c>
      <c r="EJ17" s="231">
        <v>129062.1</v>
      </c>
      <c r="EK17" s="231">
        <v>63857.57</v>
      </c>
      <c r="EL17" s="231">
        <v>128454.53</v>
      </c>
      <c r="EM17" s="231">
        <v>8681</v>
      </c>
      <c r="EN17" s="231">
        <v>321374.2</v>
      </c>
      <c r="EO17" s="231">
        <v>327652</v>
      </c>
      <c r="EP17" s="231">
        <v>-6277.8</v>
      </c>
      <c r="EQ17" s="229">
        <v>-1.9199999999999998E-2</v>
      </c>
      <c r="ER17" s="231">
        <v>51431</v>
      </c>
      <c r="ES17" s="231">
        <v>31644</v>
      </c>
      <c r="ET17" s="231">
        <v>107746</v>
      </c>
      <c r="EU17" s="231">
        <v>18450534</v>
      </c>
      <c r="EV17" s="231">
        <v>190821</v>
      </c>
      <c r="EW17" s="231">
        <v>193251</v>
      </c>
      <c r="EX17" s="231">
        <v>-2430</v>
      </c>
      <c r="EY17" s="229">
        <v>-1.26E-2</v>
      </c>
      <c r="EZ17" s="229">
        <v>0.73070000000000002</v>
      </c>
      <c r="FA17" s="227" t="s">
        <v>556</v>
      </c>
      <c r="FB17" s="161">
        <f t="shared" si="0"/>
        <v>5503325</v>
      </c>
    </row>
    <row r="18" spans="1:158" ht="17.25" hidden="1" thickBot="1" x14ac:dyDescent="0.3">
      <c r="A18" s="226">
        <v>46044</v>
      </c>
      <c r="B18" s="227" t="s">
        <v>172</v>
      </c>
      <c r="C18" s="227" t="s">
        <v>495</v>
      </c>
      <c r="D18" s="228">
        <v>1000</v>
      </c>
      <c r="E18" s="231">
        <v>1002.7</v>
      </c>
      <c r="F18" s="228">
        <v>995.45</v>
      </c>
      <c r="G18" s="228">
        <v>7.25</v>
      </c>
      <c r="H18" s="229">
        <v>7.3000000000000001E-3</v>
      </c>
      <c r="I18" s="231">
        <v>1000.55</v>
      </c>
      <c r="J18" s="228">
        <v>994.9</v>
      </c>
      <c r="K18" s="228">
        <v>5.65</v>
      </c>
      <c r="L18" s="229">
        <v>5.7000000000000002E-3</v>
      </c>
      <c r="M18" s="231">
        <v>1002.7</v>
      </c>
      <c r="N18" s="228">
        <v>995.45</v>
      </c>
      <c r="O18" s="228">
        <v>7.25</v>
      </c>
      <c r="P18" s="229">
        <v>7.3000000000000001E-3</v>
      </c>
      <c r="Q18" s="231">
        <v>1007.85</v>
      </c>
      <c r="R18" s="231">
        <v>1000.55</v>
      </c>
      <c r="S18" s="228">
        <v>7.3</v>
      </c>
      <c r="T18" s="229">
        <v>7.3000000000000001E-3</v>
      </c>
      <c r="U18" s="231">
        <v>1011.55</v>
      </c>
      <c r="V18" s="231">
        <v>1005.3</v>
      </c>
      <c r="W18" s="228">
        <v>6.25</v>
      </c>
      <c r="X18" s="229">
        <v>6.1999999999999998E-3</v>
      </c>
      <c r="Y18" s="228">
        <v>2.15</v>
      </c>
      <c r="Z18" s="228">
        <v>0.55000000000000004</v>
      </c>
      <c r="AA18" s="228">
        <v>1.6</v>
      </c>
      <c r="AB18" s="229">
        <v>2.0999999999999999E-3</v>
      </c>
      <c r="AC18" s="228">
        <v>2.15</v>
      </c>
      <c r="AD18" s="228">
        <v>0.55000000000000004</v>
      </c>
      <c r="AE18" s="228">
        <v>1.6</v>
      </c>
      <c r="AF18" s="229">
        <v>2.0999999999999999E-3</v>
      </c>
      <c r="AG18" s="228">
        <v>7.3</v>
      </c>
      <c r="AH18" s="228">
        <v>5.65</v>
      </c>
      <c r="AI18" s="228">
        <v>1.65</v>
      </c>
      <c r="AJ18" s="229">
        <v>7.3000000000000001E-3</v>
      </c>
      <c r="AK18" s="228">
        <v>11</v>
      </c>
      <c r="AL18" s="228">
        <v>10.4</v>
      </c>
      <c r="AM18" s="228">
        <v>0.6</v>
      </c>
      <c r="AN18" s="229">
        <v>1.0999999999999999E-2</v>
      </c>
      <c r="AO18" s="228">
        <v>998.36</v>
      </c>
      <c r="AP18" s="231">
        <v>1003.28</v>
      </c>
      <c r="AQ18" s="228">
        <v>0</v>
      </c>
      <c r="AR18" s="230">
        <v>26953000</v>
      </c>
      <c r="AS18" s="230">
        <v>28942000</v>
      </c>
      <c r="AT18" s="230">
        <v>-1989000</v>
      </c>
      <c r="AU18" s="229">
        <v>-6.8699999999999997E-2</v>
      </c>
      <c r="AV18" s="230">
        <v>13462000</v>
      </c>
      <c r="AW18" s="230">
        <v>16982000</v>
      </c>
      <c r="AX18" s="230">
        <v>-3520000</v>
      </c>
      <c r="AY18" s="229">
        <v>-0.20730000000000001</v>
      </c>
      <c r="AZ18" s="230">
        <v>13177000</v>
      </c>
      <c r="BA18" s="230">
        <v>11788000</v>
      </c>
      <c r="BB18" s="230">
        <v>1389000</v>
      </c>
      <c r="BC18" s="229">
        <v>0.1178</v>
      </c>
      <c r="BD18" s="230">
        <v>314000</v>
      </c>
      <c r="BE18" s="230">
        <v>172000</v>
      </c>
      <c r="BF18" s="230">
        <v>142000</v>
      </c>
      <c r="BG18" s="229">
        <v>0.8256</v>
      </c>
      <c r="BH18" s="230">
        <v>31078000</v>
      </c>
      <c r="BI18" s="230">
        <v>89089000</v>
      </c>
      <c r="BJ18" s="230">
        <v>-58011000</v>
      </c>
      <c r="BK18" s="229">
        <v>-0.6512</v>
      </c>
      <c r="BL18" s="230">
        <v>20688000</v>
      </c>
      <c r="BM18" s="230">
        <v>68779000</v>
      </c>
      <c r="BN18" s="230">
        <v>-48091000</v>
      </c>
      <c r="BO18" s="229">
        <v>-0.69920000000000004</v>
      </c>
      <c r="BP18" s="230">
        <v>78719000</v>
      </c>
      <c r="BQ18" s="230">
        <v>186810000</v>
      </c>
      <c r="BR18" s="230">
        <v>-108091000</v>
      </c>
      <c r="BS18" s="229">
        <v>-0.5786</v>
      </c>
      <c r="BT18" s="230">
        <v>1710186</v>
      </c>
      <c r="BU18" s="230">
        <v>5639225</v>
      </c>
      <c r="BV18" s="230">
        <v>-3929039</v>
      </c>
      <c r="BW18" s="229">
        <v>-0.69669999999999999</v>
      </c>
      <c r="BX18" s="230">
        <v>26305000</v>
      </c>
      <c r="BY18" s="230">
        <v>26565000</v>
      </c>
      <c r="BZ18" s="230">
        <v>-260000</v>
      </c>
      <c r="CA18" s="229">
        <v>-9.7999999999999997E-3</v>
      </c>
      <c r="CB18" s="230">
        <v>8038000</v>
      </c>
      <c r="CC18" s="230">
        <v>18009000</v>
      </c>
      <c r="CD18" s="230">
        <v>-9971000</v>
      </c>
      <c r="CE18" s="229">
        <v>-0.55369999999999997</v>
      </c>
      <c r="CF18" s="230">
        <v>18105000</v>
      </c>
      <c r="CG18" s="230">
        <v>8412000</v>
      </c>
      <c r="CH18" s="230">
        <v>9693000</v>
      </c>
      <c r="CI18" s="229">
        <v>1.1523000000000001</v>
      </c>
      <c r="CJ18" s="230">
        <v>162000</v>
      </c>
      <c r="CK18" s="230">
        <v>144000</v>
      </c>
      <c r="CL18" s="230">
        <v>18000</v>
      </c>
      <c r="CM18" s="229">
        <v>0.125</v>
      </c>
      <c r="CN18" s="230">
        <v>9885000</v>
      </c>
      <c r="CO18" s="230">
        <v>11096000</v>
      </c>
      <c r="CP18" s="230">
        <v>-1211000</v>
      </c>
      <c r="CQ18" s="229">
        <v>-0.1091</v>
      </c>
      <c r="CR18" s="230">
        <v>7188000</v>
      </c>
      <c r="CS18" s="230">
        <v>8166000</v>
      </c>
      <c r="CT18" s="230">
        <v>-978000</v>
      </c>
      <c r="CU18" s="229">
        <v>-0.1198</v>
      </c>
      <c r="CV18" s="230">
        <v>43378000</v>
      </c>
      <c r="CW18" s="230">
        <v>45827000</v>
      </c>
      <c r="CX18" s="230">
        <v>-2449000</v>
      </c>
      <c r="CY18" s="229">
        <v>-5.3400000000000003E-2</v>
      </c>
      <c r="CZ18" s="228">
        <v>27.45</v>
      </c>
      <c r="DA18" s="228">
        <v>29.46</v>
      </c>
      <c r="DB18" s="228">
        <v>-2.0099999999999998</v>
      </c>
      <c r="DC18" s="228">
        <v>-2.0099999999999998</v>
      </c>
      <c r="DD18" s="228">
        <v>34.94</v>
      </c>
      <c r="DE18" s="228">
        <v>35.020000000000003</v>
      </c>
      <c r="DF18" s="228">
        <v>-7.49</v>
      </c>
      <c r="DG18" s="228">
        <v>-0.08</v>
      </c>
      <c r="DH18" s="228">
        <v>27.14</v>
      </c>
      <c r="DI18" s="228">
        <v>30.2</v>
      </c>
      <c r="DJ18" s="228">
        <v>-3.06</v>
      </c>
      <c r="DK18" s="228">
        <v>-3.06</v>
      </c>
      <c r="DL18" s="228">
        <v>27.87</v>
      </c>
      <c r="DM18" s="228">
        <v>28.5</v>
      </c>
      <c r="DN18" s="228">
        <v>-0.63</v>
      </c>
      <c r="DO18" s="228">
        <v>-0.63</v>
      </c>
      <c r="DP18" s="228">
        <v>0.73</v>
      </c>
      <c r="DQ18" s="228">
        <v>0.74</v>
      </c>
      <c r="DR18" s="228">
        <v>-0.01</v>
      </c>
      <c r="DS18" s="229">
        <v>-1.35E-2</v>
      </c>
      <c r="DT18" s="231">
        <v>1000</v>
      </c>
      <c r="DU18" s="231">
        <v>1000</v>
      </c>
      <c r="DV18" s="228">
        <v>0.67</v>
      </c>
      <c r="DW18" s="228">
        <v>0.77</v>
      </c>
      <c r="DX18" s="228">
        <v>-0.1</v>
      </c>
      <c r="DY18" s="229">
        <v>-0.12989999999999999</v>
      </c>
      <c r="DZ18" s="229">
        <v>0.69440000000000002</v>
      </c>
      <c r="EA18" s="230">
        <v>8556000</v>
      </c>
      <c r="EB18" s="229">
        <v>5.1000000000000004E-3</v>
      </c>
      <c r="EC18" s="229">
        <v>0.69440000000000002</v>
      </c>
      <c r="ED18" s="228">
        <v>4.92</v>
      </c>
      <c r="EE18" s="229">
        <v>4.8999999999999998E-3</v>
      </c>
      <c r="EF18" s="230">
        <v>625615</v>
      </c>
      <c r="EG18" s="230">
        <v>1555547</v>
      </c>
      <c r="EH18" s="229">
        <v>-0.5978</v>
      </c>
      <c r="EI18" s="229">
        <v>0.36580000000000001</v>
      </c>
      <c r="EJ18" s="231">
        <v>320860.07</v>
      </c>
      <c r="EK18" s="231">
        <v>204001.32</v>
      </c>
      <c r="EL18" s="231">
        <v>269745.57</v>
      </c>
      <c r="EM18" s="231">
        <v>14901</v>
      </c>
      <c r="EN18" s="231">
        <v>794606.96</v>
      </c>
      <c r="EO18" s="231">
        <v>1895207.12</v>
      </c>
      <c r="EP18" s="231">
        <v>-1100600.1599999999</v>
      </c>
      <c r="EQ18" s="229">
        <v>-0.58069999999999999</v>
      </c>
      <c r="ER18" s="231">
        <v>102727</v>
      </c>
      <c r="ES18" s="231">
        <v>69317</v>
      </c>
      <c r="ET18" s="231">
        <v>264707</v>
      </c>
      <c r="EU18" s="231">
        <v>86371921</v>
      </c>
      <c r="EV18" s="231">
        <v>436751</v>
      </c>
      <c r="EW18" s="231">
        <v>458832</v>
      </c>
      <c r="EX18" s="231">
        <v>-22081</v>
      </c>
      <c r="EY18" s="229">
        <v>-4.8099999999999997E-2</v>
      </c>
      <c r="EZ18" s="229">
        <v>0.50219999999999998</v>
      </c>
      <c r="FA18" s="227" t="s">
        <v>556</v>
      </c>
      <c r="FB18" s="161">
        <f t="shared" si="0"/>
        <v>18267000</v>
      </c>
    </row>
    <row r="19" spans="1:158" ht="17.25" hidden="1" thickBot="1" x14ac:dyDescent="0.3">
      <c r="A19" s="226">
        <v>46044</v>
      </c>
      <c r="B19" s="227" t="s">
        <v>170</v>
      </c>
      <c r="C19" s="227" t="s">
        <v>171</v>
      </c>
      <c r="D19" s="228">
        <v>550</v>
      </c>
      <c r="E19" s="231">
        <v>1144.0999999999999</v>
      </c>
      <c r="F19" s="231">
        <v>1120.5</v>
      </c>
      <c r="G19" s="228">
        <v>23.6</v>
      </c>
      <c r="H19" s="229">
        <v>2.1100000000000001E-2</v>
      </c>
      <c r="I19" s="231">
        <v>1145.3</v>
      </c>
      <c r="J19" s="231">
        <v>1121.7</v>
      </c>
      <c r="K19" s="228">
        <v>23.6</v>
      </c>
      <c r="L19" s="229">
        <v>2.1000000000000001E-2</v>
      </c>
      <c r="M19" s="231">
        <v>1144.0999999999999</v>
      </c>
      <c r="N19" s="231">
        <v>1120.5</v>
      </c>
      <c r="O19" s="228">
        <v>23.6</v>
      </c>
      <c r="P19" s="229">
        <v>2.1100000000000001E-2</v>
      </c>
      <c r="Q19" s="231">
        <v>1149.8</v>
      </c>
      <c r="R19" s="231">
        <v>1126.5</v>
      </c>
      <c r="S19" s="228">
        <v>23.3</v>
      </c>
      <c r="T19" s="229">
        <v>2.07E-2</v>
      </c>
      <c r="U19" s="231">
        <v>1158.7</v>
      </c>
      <c r="V19" s="231">
        <v>1132</v>
      </c>
      <c r="W19" s="228">
        <v>26.7</v>
      </c>
      <c r="X19" s="229">
        <v>2.3599999999999999E-2</v>
      </c>
      <c r="Y19" s="228">
        <v>-1.2</v>
      </c>
      <c r="Z19" s="228">
        <v>-1.2</v>
      </c>
      <c r="AA19" s="228">
        <v>0</v>
      </c>
      <c r="AB19" s="229">
        <v>-1E-3</v>
      </c>
      <c r="AC19" s="228">
        <v>-1.2</v>
      </c>
      <c r="AD19" s="228">
        <v>-1.2</v>
      </c>
      <c r="AE19" s="228">
        <v>0</v>
      </c>
      <c r="AF19" s="229">
        <v>-1E-3</v>
      </c>
      <c r="AG19" s="228">
        <v>4.5</v>
      </c>
      <c r="AH19" s="228">
        <v>4.8</v>
      </c>
      <c r="AI19" s="228">
        <v>-0.3</v>
      </c>
      <c r="AJ19" s="229">
        <v>3.8999999999999998E-3</v>
      </c>
      <c r="AK19" s="228">
        <v>13.4</v>
      </c>
      <c r="AL19" s="228">
        <v>10.3</v>
      </c>
      <c r="AM19" s="228">
        <v>3.1</v>
      </c>
      <c r="AN19" s="229">
        <v>1.17E-2</v>
      </c>
      <c r="AO19" s="231">
        <v>1138.56</v>
      </c>
      <c r="AP19" s="231">
        <v>1144.17</v>
      </c>
      <c r="AQ19" s="228">
        <v>0</v>
      </c>
      <c r="AR19" s="230">
        <v>11441650</v>
      </c>
      <c r="AS19" s="230">
        <v>17387700</v>
      </c>
      <c r="AT19" s="230">
        <v>-5946050</v>
      </c>
      <c r="AU19" s="229">
        <v>-0.34200000000000003</v>
      </c>
      <c r="AV19" s="230">
        <v>5836050</v>
      </c>
      <c r="AW19" s="230">
        <v>9522700</v>
      </c>
      <c r="AX19" s="230">
        <v>-3686650</v>
      </c>
      <c r="AY19" s="229">
        <v>-0.3871</v>
      </c>
      <c r="AZ19" s="230">
        <v>5597350</v>
      </c>
      <c r="BA19" s="230">
        <v>7856750</v>
      </c>
      <c r="BB19" s="230">
        <v>-2259400</v>
      </c>
      <c r="BC19" s="229">
        <v>-0.28760000000000002</v>
      </c>
      <c r="BD19" s="230">
        <v>8250</v>
      </c>
      <c r="BE19" s="230">
        <v>8250</v>
      </c>
      <c r="BF19" s="228">
        <v>0</v>
      </c>
      <c r="BG19" s="229">
        <v>0</v>
      </c>
      <c r="BH19" s="230">
        <v>4362050</v>
      </c>
      <c r="BI19" s="230">
        <v>8187300</v>
      </c>
      <c r="BJ19" s="230">
        <v>-3825250</v>
      </c>
      <c r="BK19" s="229">
        <v>-0.4672</v>
      </c>
      <c r="BL19" s="230">
        <v>2236850</v>
      </c>
      <c r="BM19" s="230">
        <v>5695800</v>
      </c>
      <c r="BN19" s="230">
        <v>-3458950</v>
      </c>
      <c r="BO19" s="229">
        <v>-0.60729999999999995</v>
      </c>
      <c r="BP19" s="230">
        <v>18040550</v>
      </c>
      <c r="BQ19" s="230">
        <v>31270800</v>
      </c>
      <c r="BR19" s="230">
        <v>-13230250</v>
      </c>
      <c r="BS19" s="229">
        <v>-0.42309999999999998</v>
      </c>
      <c r="BT19" s="230">
        <v>627516</v>
      </c>
      <c r="BU19" s="230">
        <v>821408</v>
      </c>
      <c r="BV19" s="230">
        <v>-193892</v>
      </c>
      <c r="BW19" s="229">
        <v>-0.23599999999999999</v>
      </c>
      <c r="BX19" s="230">
        <v>22613800</v>
      </c>
      <c r="BY19" s="230">
        <v>22323400</v>
      </c>
      <c r="BZ19" s="230">
        <v>290400</v>
      </c>
      <c r="CA19" s="229">
        <v>1.2999999999999999E-2</v>
      </c>
      <c r="CB19" s="230">
        <v>7625200</v>
      </c>
      <c r="CC19" s="230">
        <v>11988900</v>
      </c>
      <c r="CD19" s="230">
        <v>-4363700</v>
      </c>
      <c r="CE19" s="229">
        <v>-0.36399999999999999</v>
      </c>
      <c r="CF19" s="230">
        <v>14950100</v>
      </c>
      <c r="CG19" s="230">
        <v>10303150</v>
      </c>
      <c r="CH19" s="230">
        <v>4646950</v>
      </c>
      <c r="CI19" s="229">
        <v>0.45100000000000001</v>
      </c>
      <c r="CJ19" s="230">
        <v>38500</v>
      </c>
      <c r="CK19" s="230">
        <v>31350</v>
      </c>
      <c r="CL19" s="230">
        <v>7150</v>
      </c>
      <c r="CM19" s="229">
        <v>0.2281</v>
      </c>
      <c r="CN19" s="230">
        <v>6144600</v>
      </c>
      <c r="CO19" s="230">
        <v>6515850</v>
      </c>
      <c r="CP19" s="230">
        <v>-371250</v>
      </c>
      <c r="CQ19" s="229">
        <v>-5.7000000000000002E-2</v>
      </c>
      <c r="CR19" s="230">
        <v>3130050</v>
      </c>
      <c r="CS19" s="230">
        <v>3353350</v>
      </c>
      <c r="CT19" s="230">
        <v>-223300</v>
      </c>
      <c r="CU19" s="229">
        <v>-6.6600000000000006E-2</v>
      </c>
      <c r="CV19" s="230">
        <v>31888450</v>
      </c>
      <c r="CW19" s="230">
        <v>32192600</v>
      </c>
      <c r="CX19" s="230">
        <v>-304150</v>
      </c>
      <c r="CY19" s="229">
        <v>-9.4000000000000004E-3</v>
      </c>
      <c r="CZ19" s="228">
        <v>29.82</v>
      </c>
      <c r="DA19" s="228">
        <v>29.74</v>
      </c>
      <c r="DB19" s="228">
        <v>0.08</v>
      </c>
      <c r="DC19" s="228">
        <v>0.08</v>
      </c>
      <c r="DD19" s="228">
        <v>32.33</v>
      </c>
      <c r="DE19" s="228">
        <v>32.29</v>
      </c>
      <c r="DF19" s="228">
        <v>-2.5099999999999998</v>
      </c>
      <c r="DG19" s="228">
        <v>0.04</v>
      </c>
      <c r="DH19" s="228">
        <v>29.95</v>
      </c>
      <c r="DI19" s="228">
        <v>32.770000000000003</v>
      </c>
      <c r="DJ19" s="228">
        <v>-2.82</v>
      </c>
      <c r="DK19" s="228">
        <v>-2.82</v>
      </c>
      <c r="DL19" s="228">
        <v>29.45</v>
      </c>
      <c r="DM19" s="228">
        <v>25.39</v>
      </c>
      <c r="DN19" s="228">
        <v>4.0599999999999996</v>
      </c>
      <c r="DO19" s="228">
        <v>4.0599999999999996</v>
      </c>
      <c r="DP19" s="228">
        <v>0.51</v>
      </c>
      <c r="DQ19" s="228">
        <v>0.51</v>
      </c>
      <c r="DR19" s="228">
        <v>0</v>
      </c>
      <c r="DS19" s="229">
        <v>0</v>
      </c>
      <c r="DT19" s="231">
        <v>1260</v>
      </c>
      <c r="DU19" s="231">
        <v>1100</v>
      </c>
      <c r="DV19" s="228">
        <v>0.51</v>
      </c>
      <c r="DW19" s="228">
        <v>0.7</v>
      </c>
      <c r="DX19" s="228">
        <v>-0.19</v>
      </c>
      <c r="DY19" s="229">
        <v>-0.27139999999999997</v>
      </c>
      <c r="DZ19" s="229">
        <v>0.66279999999999994</v>
      </c>
      <c r="EA19" s="230">
        <v>10334500</v>
      </c>
      <c r="EB19" s="229">
        <v>5.0000000000000001E-3</v>
      </c>
      <c r="EC19" s="229">
        <v>0.66279999999999994</v>
      </c>
      <c r="ED19" s="228">
        <v>5.61</v>
      </c>
      <c r="EE19" s="229">
        <v>4.8999999999999998E-3</v>
      </c>
      <c r="EF19" s="230">
        <v>253041</v>
      </c>
      <c r="EG19" s="230">
        <v>283437</v>
      </c>
      <c r="EH19" s="229">
        <v>-0.1072</v>
      </c>
      <c r="EI19" s="229">
        <v>0.4032</v>
      </c>
      <c r="EJ19" s="231">
        <v>52284.5</v>
      </c>
      <c r="EK19" s="231">
        <v>25867.54</v>
      </c>
      <c r="EL19" s="231">
        <v>130584.98</v>
      </c>
      <c r="EM19" s="231">
        <v>12276</v>
      </c>
      <c r="EN19" s="231">
        <v>208737.02</v>
      </c>
      <c r="EO19" s="231">
        <v>359753.19</v>
      </c>
      <c r="EP19" s="231">
        <v>-151016.17000000001</v>
      </c>
      <c r="EQ19" s="229">
        <v>-0.41980000000000001</v>
      </c>
      <c r="ER19" s="231">
        <v>76000</v>
      </c>
      <c r="ES19" s="231">
        <v>36379</v>
      </c>
      <c r="ET19" s="231">
        <v>259582</v>
      </c>
      <c r="EU19" s="231">
        <v>41977935</v>
      </c>
      <c r="EV19" s="231">
        <v>371961</v>
      </c>
      <c r="EW19" s="231">
        <v>370143</v>
      </c>
      <c r="EX19" s="231">
        <v>1818</v>
      </c>
      <c r="EY19" s="229">
        <v>4.8999999999999998E-3</v>
      </c>
      <c r="EZ19" s="229">
        <v>0.75960000000000005</v>
      </c>
      <c r="FA19" s="227" t="s">
        <v>555</v>
      </c>
      <c r="FB19" s="161">
        <f t="shared" si="0"/>
        <v>14988600</v>
      </c>
    </row>
    <row r="20" spans="1:158" ht="17.25" hidden="1" thickBot="1" x14ac:dyDescent="0.3">
      <c r="A20" s="226">
        <v>46044</v>
      </c>
      <c r="B20" s="227" t="s">
        <v>172</v>
      </c>
      <c r="C20" s="227" t="s">
        <v>173</v>
      </c>
      <c r="D20" s="228">
        <v>625</v>
      </c>
      <c r="E20" s="231">
        <v>1297</v>
      </c>
      <c r="F20" s="231">
        <v>1283.5</v>
      </c>
      <c r="G20" s="228">
        <v>13.5</v>
      </c>
      <c r="H20" s="229">
        <v>1.0500000000000001E-2</v>
      </c>
      <c r="I20" s="231">
        <v>1294.8</v>
      </c>
      <c r="J20" s="231">
        <v>1284.9000000000001</v>
      </c>
      <c r="K20" s="228">
        <v>9.9</v>
      </c>
      <c r="L20" s="229">
        <v>7.7000000000000002E-3</v>
      </c>
      <c r="M20" s="231">
        <v>1297</v>
      </c>
      <c r="N20" s="231">
        <v>1283.5</v>
      </c>
      <c r="O20" s="228">
        <v>13.5</v>
      </c>
      <c r="P20" s="229">
        <v>1.0500000000000001E-2</v>
      </c>
      <c r="Q20" s="231">
        <v>1304.0999999999999</v>
      </c>
      <c r="R20" s="231">
        <v>1290.7</v>
      </c>
      <c r="S20" s="228">
        <v>13.4</v>
      </c>
      <c r="T20" s="229">
        <v>1.04E-2</v>
      </c>
      <c r="U20" s="231">
        <v>1312.6</v>
      </c>
      <c r="V20" s="231">
        <v>1298.0999999999999</v>
      </c>
      <c r="W20" s="228">
        <v>14.5</v>
      </c>
      <c r="X20" s="229">
        <v>1.12E-2</v>
      </c>
      <c r="Y20" s="228">
        <v>2.2000000000000002</v>
      </c>
      <c r="Z20" s="228">
        <v>-1.4</v>
      </c>
      <c r="AA20" s="228">
        <v>3.6</v>
      </c>
      <c r="AB20" s="229">
        <v>1.6999999999999999E-3</v>
      </c>
      <c r="AC20" s="228">
        <v>2.2000000000000002</v>
      </c>
      <c r="AD20" s="228">
        <v>-1.4</v>
      </c>
      <c r="AE20" s="228">
        <v>3.6</v>
      </c>
      <c r="AF20" s="229">
        <v>1.6999999999999999E-3</v>
      </c>
      <c r="AG20" s="228">
        <v>9.3000000000000007</v>
      </c>
      <c r="AH20" s="228">
        <v>5.8</v>
      </c>
      <c r="AI20" s="228">
        <v>3.5</v>
      </c>
      <c r="AJ20" s="229">
        <v>7.1999999999999998E-3</v>
      </c>
      <c r="AK20" s="228">
        <v>17.8</v>
      </c>
      <c r="AL20" s="228">
        <v>13.2</v>
      </c>
      <c r="AM20" s="228">
        <v>4.5999999999999996</v>
      </c>
      <c r="AN20" s="229">
        <v>1.37E-2</v>
      </c>
      <c r="AO20" s="231">
        <v>1291.77</v>
      </c>
      <c r="AP20" s="231">
        <v>1298.49</v>
      </c>
      <c r="AQ20" s="228">
        <v>0</v>
      </c>
      <c r="AR20" s="230">
        <v>50730625</v>
      </c>
      <c r="AS20" s="230">
        <v>51541250</v>
      </c>
      <c r="AT20" s="230">
        <v>-810625</v>
      </c>
      <c r="AU20" s="229">
        <v>-1.5699999999999999E-2</v>
      </c>
      <c r="AV20" s="230">
        <v>25895000</v>
      </c>
      <c r="AW20" s="230">
        <v>27924375</v>
      </c>
      <c r="AX20" s="230">
        <v>-2029375</v>
      </c>
      <c r="AY20" s="229">
        <v>-7.2700000000000001E-2</v>
      </c>
      <c r="AZ20" s="230">
        <v>24704375</v>
      </c>
      <c r="BA20" s="230">
        <v>23457500</v>
      </c>
      <c r="BB20" s="230">
        <v>1246875</v>
      </c>
      <c r="BC20" s="229">
        <v>5.3199999999999997E-2</v>
      </c>
      <c r="BD20" s="230">
        <v>131250</v>
      </c>
      <c r="BE20" s="230">
        <v>159375</v>
      </c>
      <c r="BF20" s="230">
        <v>-28125</v>
      </c>
      <c r="BG20" s="229">
        <v>-0.17649999999999999</v>
      </c>
      <c r="BH20" s="230">
        <v>41171250</v>
      </c>
      <c r="BI20" s="230">
        <v>51455000</v>
      </c>
      <c r="BJ20" s="230">
        <v>-10283750</v>
      </c>
      <c r="BK20" s="229">
        <v>-0.19989999999999999</v>
      </c>
      <c r="BL20" s="230">
        <v>26744375</v>
      </c>
      <c r="BM20" s="230">
        <v>35432500</v>
      </c>
      <c r="BN20" s="230">
        <v>-8688125</v>
      </c>
      <c r="BO20" s="229">
        <v>-0.2452</v>
      </c>
      <c r="BP20" s="230">
        <v>118646250</v>
      </c>
      <c r="BQ20" s="230">
        <v>138428750</v>
      </c>
      <c r="BR20" s="230">
        <v>-19782500</v>
      </c>
      <c r="BS20" s="229">
        <v>-0.1429</v>
      </c>
      <c r="BT20" s="230">
        <v>6185098</v>
      </c>
      <c r="BU20" s="230">
        <v>3936042</v>
      </c>
      <c r="BV20" s="230">
        <v>2249056</v>
      </c>
      <c r="BW20" s="229">
        <v>0.57140000000000002</v>
      </c>
      <c r="BX20" s="230">
        <v>82404375</v>
      </c>
      <c r="BY20" s="230">
        <v>80818750</v>
      </c>
      <c r="BZ20" s="230">
        <v>1585625</v>
      </c>
      <c r="CA20" s="229">
        <v>1.9599999999999999E-2</v>
      </c>
      <c r="CB20" s="230">
        <v>31993750</v>
      </c>
      <c r="CC20" s="230">
        <v>51898125</v>
      </c>
      <c r="CD20" s="230">
        <v>-19904375</v>
      </c>
      <c r="CE20" s="229">
        <v>-0.38350000000000001</v>
      </c>
      <c r="CF20" s="230">
        <v>48223750</v>
      </c>
      <c r="CG20" s="230">
        <v>26808750</v>
      </c>
      <c r="CH20" s="230">
        <v>21415000</v>
      </c>
      <c r="CI20" s="229">
        <v>0.79879999999999995</v>
      </c>
      <c r="CJ20" s="230">
        <v>2186875</v>
      </c>
      <c r="CK20" s="230">
        <v>2111875</v>
      </c>
      <c r="CL20" s="230">
        <v>75000</v>
      </c>
      <c r="CM20" s="229">
        <v>3.5499999999999997E-2</v>
      </c>
      <c r="CN20" s="230">
        <v>36246250</v>
      </c>
      <c r="CO20" s="230">
        <v>36136875</v>
      </c>
      <c r="CP20" s="230">
        <v>109375</v>
      </c>
      <c r="CQ20" s="229">
        <v>3.0000000000000001E-3</v>
      </c>
      <c r="CR20" s="230">
        <v>14944375</v>
      </c>
      <c r="CS20" s="230">
        <v>14738750</v>
      </c>
      <c r="CT20" s="230">
        <v>205625</v>
      </c>
      <c r="CU20" s="229">
        <v>1.4E-2</v>
      </c>
      <c r="CV20" s="230">
        <v>133595000</v>
      </c>
      <c r="CW20" s="230">
        <v>131694375</v>
      </c>
      <c r="CX20" s="230">
        <v>1900625</v>
      </c>
      <c r="CY20" s="229">
        <v>1.44E-2</v>
      </c>
      <c r="CZ20" s="228">
        <v>22.96</v>
      </c>
      <c r="DA20" s="228">
        <v>22.97</v>
      </c>
      <c r="DB20" s="228">
        <v>-0.01</v>
      </c>
      <c r="DC20" s="228">
        <v>-0.01</v>
      </c>
      <c r="DD20" s="228">
        <v>25.48</v>
      </c>
      <c r="DE20" s="228">
        <v>25.52</v>
      </c>
      <c r="DF20" s="228">
        <v>-2.52</v>
      </c>
      <c r="DG20" s="228">
        <v>-0.04</v>
      </c>
      <c r="DH20" s="228">
        <v>22.18</v>
      </c>
      <c r="DI20" s="228">
        <v>22.43</v>
      </c>
      <c r="DJ20" s="228">
        <v>-0.25</v>
      </c>
      <c r="DK20" s="228">
        <v>-0.25</v>
      </c>
      <c r="DL20" s="228">
        <v>23.84</v>
      </c>
      <c r="DM20" s="228">
        <v>23.76</v>
      </c>
      <c r="DN20" s="228">
        <v>0.08</v>
      </c>
      <c r="DO20" s="228">
        <v>0.08</v>
      </c>
      <c r="DP20" s="228">
        <v>0.41</v>
      </c>
      <c r="DQ20" s="228">
        <v>0.41</v>
      </c>
      <c r="DR20" s="228">
        <v>0</v>
      </c>
      <c r="DS20" s="229">
        <v>0</v>
      </c>
      <c r="DT20" s="231">
        <v>1300</v>
      </c>
      <c r="DU20" s="231">
        <v>1300</v>
      </c>
      <c r="DV20" s="228">
        <v>0.65</v>
      </c>
      <c r="DW20" s="228">
        <v>0.69</v>
      </c>
      <c r="DX20" s="228">
        <v>-0.04</v>
      </c>
      <c r="DY20" s="229">
        <v>-5.8000000000000003E-2</v>
      </c>
      <c r="DZ20" s="229">
        <v>0.61170000000000002</v>
      </c>
      <c r="EA20" s="230">
        <v>28920625</v>
      </c>
      <c r="EB20" s="229">
        <v>5.4999999999999997E-3</v>
      </c>
      <c r="EC20" s="229">
        <v>0.61170000000000002</v>
      </c>
      <c r="ED20" s="228">
        <v>6.72</v>
      </c>
      <c r="EE20" s="229">
        <v>5.1999999999999998E-3</v>
      </c>
      <c r="EF20" s="230">
        <v>4214262</v>
      </c>
      <c r="EG20" s="230">
        <v>2255880</v>
      </c>
      <c r="EH20" s="229">
        <v>0.86809999999999998</v>
      </c>
      <c r="EI20" s="229">
        <v>0.68140000000000001</v>
      </c>
      <c r="EJ20" s="231">
        <v>545518.06000000006</v>
      </c>
      <c r="EK20" s="231">
        <v>342630.43</v>
      </c>
      <c r="EL20" s="231">
        <v>657001.57999999996</v>
      </c>
      <c r="EM20" s="231">
        <v>34073</v>
      </c>
      <c r="EN20" s="231">
        <v>1545150.07</v>
      </c>
      <c r="EO20" s="231">
        <v>1794836.67</v>
      </c>
      <c r="EP20" s="231">
        <v>-249686.6</v>
      </c>
      <c r="EQ20" s="229">
        <v>-0.1391</v>
      </c>
      <c r="ER20" s="231">
        <v>477193</v>
      </c>
      <c r="ES20" s="231">
        <v>187220</v>
      </c>
      <c r="ET20" s="231">
        <v>1072550</v>
      </c>
      <c r="EU20" s="231">
        <v>296371456</v>
      </c>
      <c r="EV20" s="231">
        <v>1736963</v>
      </c>
      <c r="EW20" s="231">
        <v>1699298</v>
      </c>
      <c r="EX20" s="231">
        <v>37665</v>
      </c>
      <c r="EY20" s="229">
        <v>2.2200000000000001E-2</v>
      </c>
      <c r="EZ20" s="229">
        <v>0.45079999999999998</v>
      </c>
      <c r="FA20" s="227" t="s">
        <v>555</v>
      </c>
      <c r="FB20" s="161">
        <f t="shared" si="0"/>
        <v>50410625</v>
      </c>
    </row>
    <row r="21" spans="1:158" ht="17.25" hidden="1" thickBot="1" x14ac:dyDescent="0.3">
      <c r="A21" s="226">
        <v>46044</v>
      </c>
      <c r="B21" s="227" t="s">
        <v>162</v>
      </c>
      <c r="C21" s="227" t="s">
        <v>174</v>
      </c>
      <c r="D21" s="228">
        <v>75</v>
      </c>
      <c r="E21" s="231">
        <v>9383</v>
      </c>
      <c r="F21" s="231">
        <v>9193</v>
      </c>
      <c r="G21" s="228">
        <v>190</v>
      </c>
      <c r="H21" s="229">
        <v>2.07E-2</v>
      </c>
      <c r="I21" s="231">
        <v>9370</v>
      </c>
      <c r="J21" s="231">
        <v>9179</v>
      </c>
      <c r="K21" s="228">
        <v>191</v>
      </c>
      <c r="L21" s="229">
        <v>2.0799999999999999E-2</v>
      </c>
      <c r="M21" s="231">
        <v>9383</v>
      </c>
      <c r="N21" s="231">
        <v>9193</v>
      </c>
      <c r="O21" s="228">
        <v>190</v>
      </c>
      <c r="P21" s="229">
        <v>2.07E-2</v>
      </c>
      <c r="Q21" s="231">
        <v>9403.5</v>
      </c>
      <c r="R21" s="231">
        <v>9223.5</v>
      </c>
      <c r="S21" s="228">
        <v>180</v>
      </c>
      <c r="T21" s="229">
        <v>1.95E-2</v>
      </c>
      <c r="U21" s="231">
        <v>9438.5</v>
      </c>
      <c r="V21" s="231">
        <v>9253</v>
      </c>
      <c r="W21" s="228">
        <v>185.5</v>
      </c>
      <c r="X21" s="229">
        <v>0.02</v>
      </c>
      <c r="Y21" s="228">
        <v>13</v>
      </c>
      <c r="Z21" s="228">
        <v>14</v>
      </c>
      <c r="AA21" s="228">
        <v>-1</v>
      </c>
      <c r="AB21" s="229">
        <v>1.4E-3</v>
      </c>
      <c r="AC21" s="228">
        <v>13</v>
      </c>
      <c r="AD21" s="228">
        <v>14</v>
      </c>
      <c r="AE21" s="228">
        <v>-1</v>
      </c>
      <c r="AF21" s="229">
        <v>1.4E-3</v>
      </c>
      <c r="AG21" s="228">
        <v>33.5</v>
      </c>
      <c r="AH21" s="228">
        <v>44.5</v>
      </c>
      <c r="AI21" s="228">
        <v>-11</v>
      </c>
      <c r="AJ21" s="229">
        <v>3.5999999999999999E-3</v>
      </c>
      <c r="AK21" s="228">
        <v>68.5</v>
      </c>
      <c r="AL21" s="228">
        <v>74</v>
      </c>
      <c r="AM21" s="228">
        <v>-5.5</v>
      </c>
      <c r="AN21" s="229">
        <v>7.3000000000000001E-3</v>
      </c>
      <c r="AO21" s="231">
        <v>9284.7199999999993</v>
      </c>
      <c r="AP21" s="231">
        <v>9305.9</v>
      </c>
      <c r="AQ21" s="228">
        <v>0</v>
      </c>
      <c r="AR21" s="230">
        <v>3188475</v>
      </c>
      <c r="AS21" s="230">
        <v>3772125</v>
      </c>
      <c r="AT21" s="230">
        <v>-583650</v>
      </c>
      <c r="AU21" s="229">
        <v>-0.1547</v>
      </c>
      <c r="AV21" s="230">
        <v>1691925</v>
      </c>
      <c r="AW21" s="230">
        <v>1985475</v>
      </c>
      <c r="AX21" s="230">
        <v>-293550</v>
      </c>
      <c r="AY21" s="229">
        <v>-0.14779999999999999</v>
      </c>
      <c r="AZ21" s="230">
        <v>1472700</v>
      </c>
      <c r="BA21" s="230">
        <v>1780275</v>
      </c>
      <c r="BB21" s="230">
        <v>-307575</v>
      </c>
      <c r="BC21" s="229">
        <v>-0.17280000000000001</v>
      </c>
      <c r="BD21" s="230">
        <v>23850</v>
      </c>
      <c r="BE21" s="230">
        <v>6375</v>
      </c>
      <c r="BF21" s="230">
        <v>17475</v>
      </c>
      <c r="BG21" s="229">
        <v>2.7412000000000001</v>
      </c>
      <c r="BH21" s="230">
        <v>3192000</v>
      </c>
      <c r="BI21" s="230">
        <v>2885775</v>
      </c>
      <c r="BJ21" s="230">
        <v>306225</v>
      </c>
      <c r="BK21" s="229">
        <v>0.1061</v>
      </c>
      <c r="BL21" s="230">
        <v>1560225</v>
      </c>
      <c r="BM21" s="230">
        <v>1567875</v>
      </c>
      <c r="BN21" s="230">
        <v>-7650</v>
      </c>
      <c r="BO21" s="229">
        <v>-4.8999999999999998E-3</v>
      </c>
      <c r="BP21" s="230">
        <v>7940700</v>
      </c>
      <c r="BQ21" s="230">
        <v>8225775</v>
      </c>
      <c r="BR21" s="230">
        <v>-285075</v>
      </c>
      <c r="BS21" s="229">
        <v>-3.4700000000000002E-2</v>
      </c>
      <c r="BT21" s="230">
        <v>200593</v>
      </c>
      <c r="BU21" s="230">
        <v>328585</v>
      </c>
      <c r="BV21" s="230">
        <v>-127992</v>
      </c>
      <c r="BW21" s="229">
        <v>-0.38950000000000001</v>
      </c>
      <c r="BX21" s="230">
        <v>3699675</v>
      </c>
      <c r="BY21" s="230">
        <v>3952125</v>
      </c>
      <c r="BZ21" s="230">
        <v>-252450</v>
      </c>
      <c r="CA21" s="229">
        <v>-6.3899999999999998E-2</v>
      </c>
      <c r="CB21" s="230">
        <v>1027575</v>
      </c>
      <c r="CC21" s="230">
        <v>2288325</v>
      </c>
      <c r="CD21" s="230">
        <v>-1260750</v>
      </c>
      <c r="CE21" s="229">
        <v>-0.55089999999999995</v>
      </c>
      <c r="CF21" s="230">
        <v>2626275</v>
      </c>
      <c r="CG21" s="230">
        <v>1634700</v>
      </c>
      <c r="CH21" s="230">
        <v>991575</v>
      </c>
      <c r="CI21" s="229">
        <v>0.60660000000000003</v>
      </c>
      <c r="CJ21" s="230">
        <v>45825</v>
      </c>
      <c r="CK21" s="230">
        <v>29100</v>
      </c>
      <c r="CL21" s="230">
        <v>16725</v>
      </c>
      <c r="CM21" s="229">
        <v>0.57469999999999999</v>
      </c>
      <c r="CN21" s="230">
        <v>1473975</v>
      </c>
      <c r="CO21" s="230">
        <v>1702425</v>
      </c>
      <c r="CP21" s="230">
        <v>-228450</v>
      </c>
      <c r="CQ21" s="229">
        <v>-0.13420000000000001</v>
      </c>
      <c r="CR21" s="230">
        <v>879375</v>
      </c>
      <c r="CS21" s="230">
        <v>931050</v>
      </c>
      <c r="CT21" s="230">
        <v>-51675</v>
      </c>
      <c r="CU21" s="229">
        <v>-5.5500000000000001E-2</v>
      </c>
      <c r="CV21" s="230">
        <v>6053025</v>
      </c>
      <c r="CW21" s="230">
        <v>6585600</v>
      </c>
      <c r="CX21" s="230">
        <v>-532575</v>
      </c>
      <c r="CY21" s="229">
        <v>-8.09E-2</v>
      </c>
      <c r="CZ21" s="228">
        <v>25.25</v>
      </c>
      <c r="DA21" s="228">
        <v>24.24</v>
      </c>
      <c r="DB21" s="228">
        <v>1.01</v>
      </c>
      <c r="DC21" s="228">
        <v>1.01</v>
      </c>
      <c r="DD21" s="228">
        <v>27.97</v>
      </c>
      <c r="DE21" s="228">
        <v>27.9</v>
      </c>
      <c r="DF21" s="228">
        <v>-2.72</v>
      </c>
      <c r="DG21" s="228">
        <v>7.0000000000000007E-2</v>
      </c>
      <c r="DH21" s="228">
        <v>25.19</v>
      </c>
      <c r="DI21" s="228">
        <v>25.31</v>
      </c>
      <c r="DJ21" s="228">
        <v>-0.12</v>
      </c>
      <c r="DK21" s="228">
        <v>-0.12</v>
      </c>
      <c r="DL21" s="228">
        <v>25.39</v>
      </c>
      <c r="DM21" s="228">
        <v>22.29</v>
      </c>
      <c r="DN21" s="228">
        <v>3.1</v>
      </c>
      <c r="DO21" s="228">
        <v>3.1</v>
      </c>
      <c r="DP21" s="228">
        <v>0.6</v>
      </c>
      <c r="DQ21" s="228">
        <v>0.55000000000000004</v>
      </c>
      <c r="DR21" s="228">
        <v>0.05</v>
      </c>
      <c r="DS21" s="229">
        <v>9.0899999999999995E-2</v>
      </c>
      <c r="DT21" s="231">
        <v>10000</v>
      </c>
      <c r="DU21" s="231">
        <v>9100</v>
      </c>
      <c r="DV21" s="228">
        <v>0.49</v>
      </c>
      <c r="DW21" s="228">
        <v>0.54</v>
      </c>
      <c r="DX21" s="228">
        <v>-0.05</v>
      </c>
      <c r="DY21" s="229">
        <v>-9.2600000000000002E-2</v>
      </c>
      <c r="DZ21" s="229">
        <v>0.72230000000000005</v>
      </c>
      <c r="EA21" s="230">
        <v>1663800</v>
      </c>
      <c r="EB21" s="229">
        <v>2.2000000000000001E-3</v>
      </c>
      <c r="EC21" s="229">
        <v>0.72230000000000005</v>
      </c>
      <c r="ED21" s="228">
        <v>21.18</v>
      </c>
      <c r="EE21" s="229">
        <v>2.3E-3</v>
      </c>
      <c r="EF21" s="230">
        <v>80234</v>
      </c>
      <c r="EG21" s="230">
        <v>160682</v>
      </c>
      <c r="EH21" s="229">
        <v>-0.50070000000000003</v>
      </c>
      <c r="EI21" s="229">
        <v>0.4</v>
      </c>
      <c r="EJ21" s="231">
        <v>305451.26</v>
      </c>
      <c r="EK21" s="231">
        <v>143198.48000000001</v>
      </c>
      <c r="EL21" s="231">
        <v>296364.75</v>
      </c>
      <c r="EM21" s="231">
        <v>17759</v>
      </c>
      <c r="EN21" s="231">
        <v>745014.49</v>
      </c>
      <c r="EO21" s="231">
        <v>766013.21</v>
      </c>
      <c r="EP21" s="231">
        <v>-20998.720000000001</v>
      </c>
      <c r="EQ21" s="229">
        <v>-2.7400000000000001E-2</v>
      </c>
      <c r="ER21" s="231">
        <v>144846</v>
      </c>
      <c r="ES21" s="231">
        <v>79871</v>
      </c>
      <c r="ET21" s="231">
        <v>347704</v>
      </c>
      <c r="EU21" s="231">
        <v>15906526</v>
      </c>
      <c r="EV21" s="231">
        <v>572422</v>
      </c>
      <c r="EW21" s="231">
        <v>615231</v>
      </c>
      <c r="EX21" s="231">
        <v>-42809</v>
      </c>
      <c r="EY21" s="229">
        <v>-6.9599999999999995E-2</v>
      </c>
      <c r="EZ21" s="229">
        <v>0.3805</v>
      </c>
      <c r="FA21" s="227" t="s">
        <v>556</v>
      </c>
      <c r="FB21" s="161">
        <f t="shared" si="0"/>
        <v>2672100</v>
      </c>
    </row>
    <row r="22" spans="1:158" ht="17.25" hidden="1" thickBot="1" x14ac:dyDescent="0.3">
      <c r="A22" s="226">
        <v>46044</v>
      </c>
      <c r="B22" s="227" t="s">
        <v>175</v>
      </c>
      <c r="C22" s="227" t="s">
        <v>176</v>
      </c>
      <c r="D22" s="228">
        <v>250</v>
      </c>
      <c r="E22" s="231">
        <v>1991.3</v>
      </c>
      <c r="F22" s="231">
        <v>1958.4</v>
      </c>
      <c r="G22" s="228">
        <v>32.9</v>
      </c>
      <c r="H22" s="229">
        <v>1.6799999999999999E-2</v>
      </c>
      <c r="I22" s="231">
        <v>1993.1</v>
      </c>
      <c r="J22" s="231">
        <v>1959.9</v>
      </c>
      <c r="K22" s="228">
        <v>33.200000000000003</v>
      </c>
      <c r="L22" s="229">
        <v>1.6899999999999998E-2</v>
      </c>
      <c r="M22" s="231">
        <v>1991.3</v>
      </c>
      <c r="N22" s="231">
        <v>1958.4</v>
      </c>
      <c r="O22" s="228">
        <v>32.9</v>
      </c>
      <c r="P22" s="229">
        <v>1.6799999999999999E-2</v>
      </c>
      <c r="Q22" s="231">
        <v>2002</v>
      </c>
      <c r="R22" s="231">
        <v>1969.1</v>
      </c>
      <c r="S22" s="228">
        <v>32.9</v>
      </c>
      <c r="T22" s="229">
        <v>1.67E-2</v>
      </c>
      <c r="U22" s="231">
        <v>2018.3</v>
      </c>
      <c r="V22" s="231">
        <v>1983.3</v>
      </c>
      <c r="W22" s="228">
        <v>35</v>
      </c>
      <c r="X22" s="229">
        <v>1.7600000000000001E-2</v>
      </c>
      <c r="Y22" s="228">
        <v>-1.8</v>
      </c>
      <c r="Z22" s="228">
        <v>-1.5</v>
      </c>
      <c r="AA22" s="228">
        <v>-0.3</v>
      </c>
      <c r="AB22" s="229">
        <v>-8.9999999999999998E-4</v>
      </c>
      <c r="AC22" s="228">
        <v>-1.8</v>
      </c>
      <c r="AD22" s="228">
        <v>-1.5</v>
      </c>
      <c r="AE22" s="228">
        <v>-0.3</v>
      </c>
      <c r="AF22" s="229">
        <v>-8.9999999999999998E-4</v>
      </c>
      <c r="AG22" s="228">
        <v>8.9</v>
      </c>
      <c r="AH22" s="228">
        <v>9.1999999999999993</v>
      </c>
      <c r="AI22" s="228">
        <v>-0.3</v>
      </c>
      <c r="AJ22" s="229">
        <v>4.4999999999999997E-3</v>
      </c>
      <c r="AK22" s="228">
        <v>25.2</v>
      </c>
      <c r="AL22" s="228">
        <v>23.4</v>
      </c>
      <c r="AM22" s="228">
        <v>1.8</v>
      </c>
      <c r="AN22" s="229">
        <v>1.26E-2</v>
      </c>
      <c r="AO22" s="231">
        <v>1981.1</v>
      </c>
      <c r="AP22" s="231">
        <v>1991.7</v>
      </c>
      <c r="AQ22" s="228">
        <v>0</v>
      </c>
      <c r="AR22" s="230">
        <v>9741750</v>
      </c>
      <c r="AS22" s="230">
        <v>6864250</v>
      </c>
      <c r="AT22" s="230">
        <v>2877500</v>
      </c>
      <c r="AU22" s="229">
        <v>0.41920000000000002</v>
      </c>
      <c r="AV22" s="230">
        <v>5160250</v>
      </c>
      <c r="AW22" s="230">
        <v>3645000</v>
      </c>
      <c r="AX22" s="230">
        <v>1515250</v>
      </c>
      <c r="AY22" s="229">
        <v>0.41570000000000001</v>
      </c>
      <c r="AZ22" s="230">
        <v>4559500</v>
      </c>
      <c r="BA22" s="230">
        <v>3198500</v>
      </c>
      <c r="BB22" s="230">
        <v>1361000</v>
      </c>
      <c r="BC22" s="229">
        <v>0.42549999999999999</v>
      </c>
      <c r="BD22" s="230">
        <v>22000</v>
      </c>
      <c r="BE22" s="230">
        <v>20750</v>
      </c>
      <c r="BF22" s="230">
        <v>1250</v>
      </c>
      <c r="BG22" s="229">
        <v>6.0199999999999997E-2</v>
      </c>
      <c r="BH22" s="230">
        <v>4170500</v>
      </c>
      <c r="BI22" s="230">
        <v>5727750</v>
      </c>
      <c r="BJ22" s="230">
        <v>-1557250</v>
      </c>
      <c r="BK22" s="229">
        <v>-0.27189999999999998</v>
      </c>
      <c r="BL22" s="230">
        <v>1937000</v>
      </c>
      <c r="BM22" s="230">
        <v>3764750</v>
      </c>
      <c r="BN22" s="230">
        <v>-1827750</v>
      </c>
      <c r="BO22" s="229">
        <v>-0.48549999999999999</v>
      </c>
      <c r="BP22" s="230">
        <v>15849250</v>
      </c>
      <c r="BQ22" s="230">
        <v>16356750</v>
      </c>
      <c r="BR22" s="230">
        <v>-507500</v>
      </c>
      <c r="BS22" s="229">
        <v>-3.1E-2</v>
      </c>
      <c r="BT22" s="230">
        <v>1129265</v>
      </c>
      <c r="BU22" s="230">
        <v>1160621</v>
      </c>
      <c r="BV22" s="230">
        <v>-31356</v>
      </c>
      <c r="BW22" s="229">
        <v>-2.7E-2</v>
      </c>
      <c r="BX22" s="230">
        <v>16104250</v>
      </c>
      <c r="BY22" s="230">
        <v>16463250</v>
      </c>
      <c r="BZ22" s="230">
        <v>-359000</v>
      </c>
      <c r="CA22" s="229">
        <v>-2.18E-2</v>
      </c>
      <c r="CB22" s="230">
        <v>8331500</v>
      </c>
      <c r="CC22" s="230">
        <v>12572250</v>
      </c>
      <c r="CD22" s="230">
        <v>-4240750</v>
      </c>
      <c r="CE22" s="229">
        <v>-0.33729999999999999</v>
      </c>
      <c r="CF22" s="230">
        <v>7584500</v>
      </c>
      <c r="CG22" s="230">
        <v>3708000</v>
      </c>
      <c r="CH22" s="230">
        <v>3876500</v>
      </c>
      <c r="CI22" s="229">
        <v>1.0454000000000001</v>
      </c>
      <c r="CJ22" s="230">
        <v>188250</v>
      </c>
      <c r="CK22" s="230">
        <v>183000</v>
      </c>
      <c r="CL22" s="230">
        <v>5250</v>
      </c>
      <c r="CM22" s="229">
        <v>2.87E-2</v>
      </c>
      <c r="CN22" s="230">
        <v>5674750</v>
      </c>
      <c r="CO22" s="230">
        <v>5889250</v>
      </c>
      <c r="CP22" s="230">
        <v>-214500</v>
      </c>
      <c r="CQ22" s="229">
        <v>-3.6400000000000002E-2</v>
      </c>
      <c r="CR22" s="230">
        <v>3326500</v>
      </c>
      <c r="CS22" s="230">
        <v>3238250</v>
      </c>
      <c r="CT22" s="230">
        <v>88250</v>
      </c>
      <c r="CU22" s="229">
        <v>2.7300000000000001E-2</v>
      </c>
      <c r="CV22" s="230">
        <v>25105500</v>
      </c>
      <c r="CW22" s="230">
        <v>25590750</v>
      </c>
      <c r="CX22" s="230">
        <v>-485250</v>
      </c>
      <c r="CY22" s="229">
        <v>-1.9E-2</v>
      </c>
      <c r="CZ22" s="228">
        <v>26.5</v>
      </c>
      <c r="DA22" s="228">
        <v>22.41</v>
      </c>
      <c r="DB22" s="228">
        <v>4.09</v>
      </c>
      <c r="DC22" s="228">
        <v>4.09</v>
      </c>
      <c r="DD22" s="228">
        <v>27.71</v>
      </c>
      <c r="DE22" s="228">
        <v>27.68</v>
      </c>
      <c r="DF22" s="228">
        <v>-1.21</v>
      </c>
      <c r="DG22" s="228">
        <v>0.03</v>
      </c>
      <c r="DH22" s="228">
        <v>25.88</v>
      </c>
      <c r="DI22" s="228">
        <v>22.52</v>
      </c>
      <c r="DJ22" s="228">
        <v>3.36</v>
      </c>
      <c r="DK22" s="228">
        <v>3.36</v>
      </c>
      <c r="DL22" s="228">
        <v>27.18</v>
      </c>
      <c r="DM22" s="228">
        <v>22.23</v>
      </c>
      <c r="DN22" s="228">
        <v>4.95</v>
      </c>
      <c r="DO22" s="228">
        <v>4.95</v>
      </c>
      <c r="DP22" s="228">
        <v>0.59</v>
      </c>
      <c r="DQ22" s="228">
        <v>0.55000000000000004</v>
      </c>
      <c r="DR22" s="228">
        <v>0.04</v>
      </c>
      <c r="DS22" s="229">
        <v>7.2700000000000001E-2</v>
      </c>
      <c r="DT22" s="231">
        <v>2080</v>
      </c>
      <c r="DU22" s="231">
        <v>2000</v>
      </c>
      <c r="DV22" s="228">
        <v>0.46</v>
      </c>
      <c r="DW22" s="228">
        <v>0.66</v>
      </c>
      <c r="DX22" s="228">
        <v>-0.2</v>
      </c>
      <c r="DY22" s="229">
        <v>-0.30299999999999999</v>
      </c>
      <c r="DZ22" s="229">
        <v>0.48270000000000002</v>
      </c>
      <c r="EA22" s="230">
        <v>3891000</v>
      </c>
      <c r="EB22" s="229">
        <v>5.4000000000000003E-3</v>
      </c>
      <c r="EC22" s="229">
        <v>0.48270000000000002</v>
      </c>
      <c r="ED22" s="228">
        <v>10.6</v>
      </c>
      <c r="EE22" s="229">
        <v>5.4000000000000003E-3</v>
      </c>
      <c r="EF22" s="230">
        <v>746804</v>
      </c>
      <c r="EG22" s="230">
        <v>738467</v>
      </c>
      <c r="EH22" s="229">
        <v>1.1299999999999999E-2</v>
      </c>
      <c r="EI22" s="229">
        <v>0.6613</v>
      </c>
      <c r="EJ22" s="231">
        <v>84985.67</v>
      </c>
      <c r="EK22" s="231">
        <v>38496.29</v>
      </c>
      <c r="EL22" s="231">
        <v>193482.51</v>
      </c>
      <c r="EM22" s="231">
        <v>12039</v>
      </c>
      <c r="EN22" s="231">
        <v>316964.46999999997</v>
      </c>
      <c r="EO22" s="231">
        <v>324709.36</v>
      </c>
      <c r="EP22" s="231">
        <v>-7744.89</v>
      </c>
      <c r="EQ22" s="229">
        <v>-2.3900000000000001E-2</v>
      </c>
      <c r="ER22" s="231">
        <v>117831</v>
      </c>
      <c r="ES22" s="231">
        <v>65485</v>
      </c>
      <c r="ET22" s="231">
        <v>321546</v>
      </c>
      <c r="EU22" s="231">
        <v>65701623</v>
      </c>
      <c r="EV22" s="231">
        <v>504863</v>
      </c>
      <c r="EW22" s="231">
        <v>508787</v>
      </c>
      <c r="EX22" s="231">
        <v>-3924</v>
      </c>
      <c r="EY22" s="229">
        <v>-7.7000000000000002E-3</v>
      </c>
      <c r="EZ22" s="229">
        <v>0.3821</v>
      </c>
      <c r="FA22" s="227" t="s">
        <v>556</v>
      </c>
      <c r="FB22" s="161">
        <f t="shared" si="0"/>
        <v>7772750</v>
      </c>
    </row>
    <row r="23" spans="1:158" ht="17.25" hidden="1" thickBot="1" x14ac:dyDescent="0.3">
      <c r="A23" s="226">
        <v>46044</v>
      </c>
      <c r="B23" s="227" t="s">
        <v>175</v>
      </c>
      <c r="C23" s="227" t="s">
        <v>691</v>
      </c>
      <c r="D23" s="228">
        <v>50</v>
      </c>
      <c r="E23" s="231">
        <v>10739</v>
      </c>
      <c r="F23" s="231">
        <v>10610</v>
      </c>
      <c r="G23" s="228">
        <v>129</v>
      </c>
      <c r="H23" s="229">
        <v>1.2200000000000001E-2</v>
      </c>
      <c r="I23" s="231">
        <v>10735</v>
      </c>
      <c r="J23" s="231">
        <v>10613</v>
      </c>
      <c r="K23" s="228">
        <v>122</v>
      </c>
      <c r="L23" s="229">
        <v>1.15E-2</v>
      </c>
      <c r="M23" s="231">
        <v>10739</v>
      </c>
      <c r="N23" s="231">
        <v>10610</v>
      </c>
      <c r="O23" s="228">
        <v>129</v>
      </c>
      <c r="P23" s="229">
        <v>1.2200000000000001E-2</v>
      </c>
      <c r="Q23" s="231">
        <v>10794</v>
      </c>
      <c r="R23" s="231">
        <v>10669</v>
      </c>
      <c r="S23" s="228">
        <v>125</v>
      </c>
      <c r="T23" s="229">
        <v>1.17E-2</v>
      </c>
      <c r="U23" s="231">
        <v>10829</v>
      </c>
      <c r="V23" s="231">
        <v>10725</v>
      </c>
      <c r="W23" s="228">
        <v>104</v>
      </c>
      <c r="X23" s="229">
        <v>9.7000000000000003E-3</v>
      </c>
      <c r="Y23" s="228">
        <v>4</v>
      </c>
      <c r="Z23" s="228">
        <v>-3</v>
      </c>
      <c r="AA23" s="228">
        <v>7</v>
      </c>
      <c r="AB23" s="229">
        <v>4.0000000000000002E-4</v>
      </c>
      <c r="AC23" s="228">
        <v>4</v>
      </c>
      <c r="AD23" s="228">
        <v>-3</v>
      </c>
      <c r="AE23" s="228">
        <v>7</v>
      </c>
      <c r="AF23" s="229">
        <v>4.0000000000000002E-4</v>
      </c>
      <c r="AG23" s="228">
        <v>59</v>
      </c>
      <c r="AH23" s="228">
        <v>56</v>
      </c>
      <c r="AI23" s="228">
        <v>3</v>
      </c>
      <c r="AJ23" s="229">
        <v>5.4999999999999997E-3</v>
      </c>
      <c r="AK23" s="228">
        <v>94</v>
      </c>
      <c r="AL23" s="228">
        <v>112</v>
      </c>
      <c r="AM23" s="228">
        <v>-18</v>
      </c>
      <c r="AN23" s="229">
        <v>8.8000000000000005E-3</v>
      </c>
      <c r="AO23" s="231">
        <v>10695.99</v>
      </c>
      <c r="AP23" s="231">
        <v>10751.79</v>
      </c>
      <c r="AQ23" s="228">
        <v>0</v>
      </c>
      <c r="AR23" s="230">
        <v>152750</v>
      </c>
      <c r="AS23" s="230">
        <v>77300</v>
      </c>
      <c r="AT23" s="230">
        <v>75450</v>
      </c>
      <c r="AU23" s="229">
        <v>0.97609999999999997</v>
      </c>
      <c r="AV23" s="230">
        <v>80950</v>
      </c>
      <c r="AW23" s="230">
        <v>49150</v>
      </c>
      <c r="AX23" s="230">
        <v>31800</v>
      </c>
      <c r="AY23" s="229">
        <v>0.64700000000000002</v>
      </c>
      <c r="AZ23" s="230">
        <v>71600</v>
      </c>
      <c r="BA23" s="230">
        <v>28100</v>
      </c>
      <c r="BB23" s="230">
        <v>43500</v>
      </c>
      <c r="BC23" s="229">
        <v>1.548</v>
      </c>
      <c r="BD23" s="228">
        <v>200</v>
      </c>
      <c r="BE23" s="228">
        <v>50</v>
      </c>
      <c r="BF23" s="228">
        <v>150</v>
      </c>
      <c r="BG23" s="229">
        <v>3</v>
      </c>
      <c r="BH23" s="230">
        <v>345450</v>
      </c>
      <c r="BI23" s="230">
        <v>253350</v>
      </c>
      <c r="BJ23" s="230">
        <v>92100</v>
      </c>
      <c r="BK23" s="229">
        <v>0.36349999999999999</v>
      </c>
      <c r="BL23" s="230">
        <v>45500</v>
      </c>
      <c r="BM23" s="230">
        <v>27550</v>
      </c>
      <c r="BN23" s="230">
        <v>17950</v>
      </c>
      <c r="BO23" s="229">
        <v>0.65149999999999997</v>
      </c>
      <c r="BP23" s="230">
        <v>543700</v>
      </c>
      <c r="BQ23" s="230">
        <v>358200</v>
      </c>
      <c r="BR23" s="230">
        <v>185500</v>
      </c>
      <c r="BS23" s="229">
        <v>0.51790000000000003</v>
      </c>
      <c r="BT23" s="230">
        <v>34073</v>
      </c>
      <c r="BU23" s="230">
        <v>44276</v>
      </c>
      <c r="BV23" s="230">
        <v>-10203</v>
      </c>
      <c r="BW23" s="229">
        <v>-0.23039999999999999</v>
      </c>
      <c r="BX23" s="230">
        <v>233150</v>
      </c>
      <c r="BY23" s="230">
        <v>240000</v>
      </c>
      <c r="BZ23" s="230">
        <v>-6850</v>
      </c>
      <c r="CA23" s="229">
        <v>-2.8500000000000001E-2</v>
      </c>
      <c r="CB23" s="230">
        <v>140050</v>
      </c>
      <c r="CC23" s="230">
        <v>205500</v>
      </c>
      <c r="CD23" s="230">
        <v>-65450</v>
      </c>
      <c r="CE23" s="229">
        <v>-0.31850000000000001</v>
      </c>
      <c r="CF23" s="230">
        <v>92150</v>
      </c>
      <c r="CG23" s="230">
        <v>33500</v>
      </c>
      <c r="CH23" s="230">
        <v>58650</v>
      </c>
      <c r="CI23" s="229">
        <v>1.7506999999999999</v>
      </c>
      <c r="CJ23" s="228">
        <v>950</v>
      </c>
      <c r="CK23" s="230">
        <v>1000</v>
      </c>
      <c r="CL23" s="228">
        <v>-50</v>
      </c>
      <c r="CM23" s="229">
        <v>-0.05</v>
      </c>
      <c r="CN23" s="230">
        <v>174200</v>
      </c>
      <c r="CO23" s="230">
        <v>239850</v>
      </c>
      <c r="CP23" s="230">
        <v>-65650</v>
      </c>
      <c r="CQ23" s="229">
        <v>-0.2737</v>
      </c>
      <c r="CR23" s="230">
        <v>87900</v>
      </c>
      <c r="CS23" s="230">
        <v>80600</v>
      </c>
      <c r="CT23" s="230">
        <v>7300</v>
      </c>
      <c r="CU23" s="229">
        <v>9.06E-2</v>
      </c>
      <c r="CV23" s="230">
        <v>495250</v>
      </c>
      <c r="CW23" s="230">
        <v>560450</v>
      </c>
      <c r="CX23" s="230">
        <v>-65200</v>
      </c>
      <c r="CY23" s="229">
        <v>-0.1163</v>
      </c>
      <c r="CZ23" s="228">
        <v>32.93</v>
      </c>
      <c r="DA23" s="228">
        <v>40.909999999999997</v>
      </c>
      <c r="DB23" s="228">
        <v>-7.98</v>
      </c>
      <c r="DC23" s="228">
        <v>-7.98</v>
      </c>
      <c r="DD23" s="228">
        <v>38.450000000000003</v>
      </c>
      <c r="DE23" s="228">
        <v>38.51</v>
      </c>
      <c r="DF23" s="228">
        <v>-5.52</v>
      </c>
      <c r="DG23" s="228">
        <v>-0.06</v>
      </c>
      <c r="DH23" s="228">
        <v>33.04</v>
      </c>
      <c r="DI23" s="228">
        <v>42.02</v>
      </c>
      <c r="DJ23" s="228">
        <v>-8.98</v>
      </c>
      <c r="DK23" s="228">
        <v>-8.98</v>
      </c>
      <c r="DL23" s="228">
        <v>32.76</v>
      </c>
      <c r="DM23" s="228">
        <v>30.76</v>
      </c>
      <c r="DN23" s="228">
        <v>2</v>
      </c>
      <c r="DO23" s="228">
        <v>2</v>
      </c>
      <c r="DP23" s="228">
        <v>0.5</v>
      </c>
      <c r="DQ23" s="228">
        <v>0.34</v>
      </c>
      <c r="DR23" s="228">
        <v>0.16</v>
      </c>
      <c r="DS23" s="229">
        <v>0.47060000000000002</v>
      </c>
      <c r="DT23" s="231">
        <v>13000</v>
      </c>
      <c r="DU23" s="231">
        <v>10500</v>
      </c>
      <c r="DV23" s="228">
        <v>0.13</v>
      </c>
      <c r="DW23" s="228">
        <v>0.11</v>
      </c>
      <c r="DX23" s="228">
        <v>0.02</v>
      </c>
      <c r="DY23" s="229">
        <v>0.18179999999999999</v>
      </c>
      <c r="DZ23" s="229">
        <v>0.39929999999999999</v>
      </c>
      <c r="EA23" s="230">
        <v>34500</v>
      </c>
      <c r="EB23" s="229">
        <v>5.1000000000000004E-3</v>
      </c>
      <c r="EC23" s="229">
        <v>0.39929999999999999</v>
      </c>
      <c r="ED23" s="228">
        <v>55.8</v>
      </c>
      <c r="EE23" s="229">
        <v>5.1999999999999998E-3</v>
      </c>
      <c r="EF23" s="230">
        <v>18883</v>
      </c>
      <c r="EG23" s="230">
        <v>19916</v>
      </c>
      <c r="EH23" s="229">
        <v>-5.1900000000000002E-2</v>
      </c>
      <c r="EI23" s="229">
        <v>0.55420000000000003</v>
      </c>
      <c r="EJ23" s="231">
        <v>40143.839999999997</v>
      </c>
      <c r="EK23" s="231">
        <v>4635</v>
      </c>
      <c r="EL23" s="231">
        <v>16378.28</v>
      </c>
      <c r="EM23" s="228">
        <v>902</v>
      </c>
      <c r="EN23" s="231">
        <v>61157.120000000003</v>
      </c>
      <c r="EO23" s="231">
        <v>40906.25</v>
      </c>
      <c r="EP23" s="231">
        <v>20250.87</v>
      </c>
      <c r="EQ23" s="229">
        <v>0.49509999999999998</v>
      </c>
      <c r="ER23" s="231">
        <v>20319</v>
      </c>
      <c r="ES23" s="231">
        <v>9419</v>
      </c>
      <c r="ET23" s="231">
        <v>25090</v>
      </c>
      <c r="EU23" s="231">
        <v>5401993</v>
      </c>
      <c r="EV23" s="231">
        <v>54828</v>
      </c>
      <c r="EW23" s="231">
        <v>62219</v>
      </c>
      <c r="EX23" s="231">
        <v>-7391</v>
      </c>
      <c r="EY23" s="229">
        <v>-0.1188</v>
      </c>
      <c r="EZ23" s="229">
        <v>9.1700000000000004E-2</v>
      </c>
      <c r="FA23" s="227" t="s">
        <v>556</v>
      </c>
      <c r="FB23" s="161">
        <f t="shared" si="0"/>
        <v>93100</v>
      </c>
    </row>
    <row r="24" spans="1:158" ht="17.25" hidden="1" thickBot="1" x14ac:dyDescent="0.3">
      <c r="A24" s="226">
        <v>46044</v>
      </c>
      <c r="B24" s="227" t="s">
        <v>175</v>
      </c>
      <c r="C24" s="227" t="s">
        <v>177</v>
      </c>
      <c r="D24" s="228">
        <v>750</v>
      </c>
      <c r="E24" s="228">
        <v>943.15</v>
      </c>
      <c r="F24" s="228">
        <v>936.65</v>
      </c>
      <c r="G24" s="228">
        <v>6.5</v>
      </c>
      <c r="H24" s="229">
        <v>6.8999999999999999E-3</v>
      </c>
      <c r="I24" s="228">
        <v>942.85</v>
      </c>
      <c r="J24" s="228">
        <v>936.25</v>
      </c>
      <c r="K24" s="228">
        <v>6.6</v>
      </c>
      <c r="L24" s="229">
        <v>7.0000000000000001E-3</v>
      </c>
      <c r="M24" s="228">
        <v>943.15</v>
      </c>
      <c r="N24" s="228">
        <v>936.65</v>
      </c>
      <c r="O24" s="228">
        <v>6.5</v>
      </c>
      <c r="P24" s="229">
        <v>6.8999999999999999E-3</v>
      </c>
      <c r="Q24" s="228">
        <v>948.4</v>
      </c>
      <c r="R24" s="228">
        <v>941.8</v>
      </c>
      <c r="S24" s="228">
        <v>6.6</v>
      </c>
      <c r="T24" s="229">
        <v>7.0000000000000001E-3</v>
      </c>
      <c r="U24" s="228">
        <v>957.25</v>
      </c>
      <c r="V24" s="228">
        <v>947.95</v>
      </c>
      <c r="W24" s="228">
        <v>9.3000000000000007</v>
      </c>
      <c r="X24" s="229">
        <v>9.7999999999999997E-3</v>
      </c>
      <c r="Y24" s="228">
        <v>0.3</v>
      </c>
      <c r="Z24" s="228">
        <v>0.4</v>
      </c>
      <c r="AA24" s="228">
        <v>-0.1</v>
      </c>
      <c r="AB24" s="229">
        <v>2.9999999999999997E-4</v>
      </c>
      <c r="AC24" s="228">
        <v>0.3</v>
      </c>
      <c r="AD24" s="228">
        <v>0.4</v>
      </c>
      <c r="AE24" s="228">
        <v>-0.1</v>
      </c>
      <c r="AF24" s="229">
        <v>2.9999999999999997E-4</v>
      </c>
      <c r="AG24" s="228">
        <v>5.55</v>
      </c>
      <c r="AH24" s="228">
        <v>5.55</v>
      </c>
      <c r="AI24" s="228">
        <v>0</v>
      </c>
      <c r="AJ24" s="229">
        <v>5.8999999999999999E-3</v>
      </c>
      <c r="AK24" s="228">
        <v>14.4</v>
      </c>
      <c r="AL24" s="228">
        <v>11.7</v>
      </c>
      <c r="AM24" s="228">
        <v>2.7</v>
      </c>
      <c r="AN24" s="229">
        <v>1.5299999999999999E-2</v>
      </c>
      <c r="AO24" s="228">
        <v>940.76</v>
      </c>
      <c r="AP24" s="228">
        <v>945.77</v>
      </c>
      <c r="AQ24" s="228">
        <v>0</v>
      </c>
      <c r="AR24" s="230">
        <v>65297250</v>
      </c>
      <c r="AS24" s="230">
        <v>52157250</v>
      </c>
      <c r="AT24" s="230">
        <v>13140000</v>
      </c>
      <c r="AU24" s="229">
        <v>0.25190000000000001</v>
      </c>
      <c r="AV24" s="230">
        <v>33043500</v>
      </c>
      <c r="AW24" s="230">
        <v>27166500</v>
      </c>
      <c r="AX24" s="230">
        <v>5877000</v>
      </c>
      <c r="AY24" s="229">
        <v>0.21629999999999999</v>
      </c>
      <c r="AZ24" s="230">
        <v>32065500</v>
      </c>
      <c r="BA24" s="230">
        <v>24828000</v>
      </c>
      <c r="BB24" s="230">
        <v>7237500</v>
      </c>
      <c r="BC24" s="229">
        <v>0.29149999999999998</v>
      </c>
      <c r="BD24" s="230">
        <v>188250</v>
      </c>
      <c r="BE24" s="230">
        <v>162750</v>
      </c>
      <c r="BF24" s="230">
        <v>25500</v>
      </c>
      <c r="BG24" s="229">
        <v>0.15670000000000001</v>
      </c>
      <c r="BH24" s="230">
        <v>34947750</v>
      </c>
      <c r="BI24" s="230">
        <v>46700250</v>
      </c>
      <c r="BJ24" s="230">
        <v>-11752500</v>
      </c>
      <c r="BK24" s="229">
        <v>-0.25169999999999998</v>
      </c>
      <c r="BL24" s="230">
        <v>18352500</v>
      </c>
      <c r="BM24" s="230">
        <v>29626500</v>
      </c>
      <c r="BN24" s="230">
        <v>-11274000</v>
      </c>
      <c r="BO24" s="229">
        <v>-0.3805</v>
      </c>
      <c r="BP24" s="230">
        <v>118597500</v>
      </c>
      <c r="BQ24" s="230">
        <v>128484000</v>
      </c>
      <c r="BR24" s="230">
        <v>-9886500</v>
      </c>
      <c r="BS24" s="229">
        <v>-7.6899999999999996E-2</v>
      </c>
      <c r="BT24" s="230">
        <v>6227692</v>
      </c>
      <c r="BU24" s="230">
        <v>5940817</v>
      </c>
      <c r="BV24" s="230">
        <v>286875</v>
      </c>
      <c r="BW24" s="229">
        <v>4.8300000000000003E-2</v>
      </c>
      <c r="BX24" s="230">
        <v>94620750</v>
      </c>
      <c r="BY24" s="230">
        <v>94552500</v>
      </c>
      <c r="BZ24" s="230">
        <v>68250</v>
      </c>
      <c r="CA24" s="229">
        <v>6.9999999999999999E-4</v>
      </c>
      <c r="CB24" s="230">
        <v>30568500</v>
      </c>
      <c r="CC24" s="230">
        <v>58916250</v>
      </c>
      <c r="CD24" s="230">
        <v>-28347750</v>
      </c>
      <c r="CE24" s="229">
        <v>-0.48120000000000002</v>
      </c>
      <c r="CF24" s="230">
        <v>61119000</v>
      </c>
      <c r="CG24" s="230">
        <v>32814000</v>
      </c>
      <c r="CH24" s="230">
        <v>28305000</v>
      </c>
      <c r="CI24" s="229">
        <v>0.86260000000000003</v>
      </c>
      <c r="CJ24" s="230">
        <v>2933250</v>
      </c>
      <c r="CK24" s="230">
        <v>2822250</v>
      </c>
      <c r="CL24" s="230">
        <v>111000</v>
      </c>
      <c r="CM24" s="229">
        <v>3.9300000000000002E-2</v>
      </c>
      <c r="CN24" s="230">
        <v>30802500</v>
      </c>
      <c r="CO24" s="230">
        <v>32124000</v>
      </c>
      <c r="CP24" s="230">
        <v>-1321500</v>
      </c>
      <c r="CQ24" s="229">
        <v>-4.1099999999999998E-2</v>
      </c>
      <c r="CR24" s="230">
        <v>18943500</v>
      </c>
      <c r="CS24" s="230">
        <v>19220250</v>
      </c>
      <c r="CT24" s="230">
        <v>-276750</v>
      </c>
      <c r="CU24" s="229">
        <v>-1.44E-2</v>
      </c>
      <c r="CV24" s="230">
        <v>144366750</v>
      </c>
      <c r="CW24" s="230">
        <v>145896750</v>
      </c>
      <c r="CX24" s="230">
        <v>-1530000</v>
      </c>
      <c r="CY24" s="229">
        <v>-1.0500000000000001E-2</v>
      </c>
      <c r="CZ24" s="228">
        <v>28.85</v>
      </c>
      <c r="DA24" s="228">
        <v>26.83</v>
      </c>
      <c r="DB24" s="228">
        <v>2.02</v>
      </c>
      <c r="DC24" s="228">
        <v>2.02</v>
      </c>
      <c r="DD24" s="228">
        <v>30.7</v>
      </c>
      <c r="DE24" s="228">
        <v>30.76</v>
      </c>
      <c r="DF24" s="228">
        <v>-1.85</v>
      </c>
      <c r="DG24" s="228">
        <v>-0.06</v>
      </c>
      <c r="DH24" s="228">
        <v>29.32</v>
      </c>
      <c r="DI24" s="228">
        <v>26.68</v>
      </c>
      <c r="DJ24" s="228">
        <v>2.64</v>
      </c>
      <c r="DK24" s="228">
        <v>2.64</v>
      </c>
      <c r="DL24" s="228">
        <v>28.19</v>
      </c>
      <c r="DM24" s="228">
        <v>27.08</v>
      </c>
      <c r="DN24" s="228">
        <v>1.1100000000000001</v>
      </c>
      <c r="DO24" s="228">
        <v>1.1100000000000001</v>
      </c>
      <c r="DP24" s="228">
        <v>0.61</v>
      </c>
      <c r="DQ24" s="228">
        <v>0.6</v>
      </c>
      <c r="DR24" s="228">
        <v>0.01</v>
      </c>
      <c r="DS24" s="229">
        <v>1.67E-2</v>
      </c>
      <c r="DT24" s="231">
        <v>1000</v>
      </c>
      <c r="DU24" s="231">
        <v>1000</v>
      </c>
      <c r="DV24" s="228">
        <v>0.53</v>
      </c>
      <c r="DW24" s="228">
        <v>0.63</v>
      </c>
      <c r="DX24" s="228">
        <v>-0.1</v>
      </c>
      <c r="DY24" s="229">
        <v>-0.15870000000000001</v>
      </c>
      <c r="DZ24" s="229">
        <v>0.67689999999999995</v>
      </c>
      <c r="EA24" s="230">
        <v>35636250</v>
      </c>
      <c r="EB24" s="229">
        <v>5.5999999999999999E-3</v>
      </c>
      <c r="EC24" s="229">
        <v>0.67689999999999995</v>
      </c>
      <c r="ED24" s="228">
        <v>5.01</v>
      </c>
      <c r="EE24" s="229">
        <v>5.3E-3</v>
      </c>
      <c r="EF24" s="230">
        <v>3711897</v>
      </c>
      <c r="EG24" s="230">
        <v>3179399</v>
      </c>
      <c r="EH24" s="229">
        <v>0.16750000000000001</v>
      </c>
      <c r="EI24" s="229">
        <v>0.59599999999999997</v>
      </c>
      <c r="EJ24" s="231">
        <v>342019.88</v>
      </c>
      <c r="EK24" s="231">
        <v>174868.7</v>
      </c>
      <c r="EL24" s="231">
        <v>615921.84</v>
      </c>
      <c r="EM24" s="231">
        <v>33257</v>
      </c>
      <c r="EN24" s="231">
        <v>1132810.42</v>
      </c>
      <c r="EO24" s="231">
        <v>1221592.44</v>
      </c>
      <c r="EP24" s="231">
        <v>-88782.02</v>
      </c>
      <c r="EQ24" s="229">
        <v>-7.2700000000000001E-2</v>
      </c>
      <c r="ER24" s="231">
        <v>311169</v>
      </c>
      <c r="ES24" s="231">
        <v>182619</v>
      </c>
      <c r="ET24" s="231">
        <v>896038</v>
      </c>
      <c r="EU24" s="231">
        <v>317526833</v>
      </c>
      <c r="EV24" s="231">
        <v>1389826</v>
      </c>
      <c r="EW24" s="231">
        <v>1397921</v>
      </c>
      <c r="EX24" s="231">
        <v>-8095</v>
      </c>
      <c r="EY24" s="229">
        <v>-5.7999999999999996E-3</v>
      </c>
      <c r="EZ24" s="229">
        <v>0.45469999999999999</v>
      </c>
      <c r="FA24" s="227" t="s">
        <v>555</v>
      </c>
      <c r="FB24" s="161">
        <f t="shared" si="0"/>
        <v>64052250</v>
      </c>
    </row>
    <row r="25" spans="1:158" ht="17.25" hidden="1" thickBot="1" x14ac:dyDescent="0.3">
      <c r="A25" s="226">
        <v>46044</v>
      </c>
      <c r="B25" s="227" t="s">
        <v>172</v>
      </c>
      <c r="C25" s="227" t="s">
        <v>179</v>
      </c>
      <c r="D25" s="228">
        <v>3600</v>
      </c>
      <c r="E25" s="228">
        <v>142.34</v>
      </c>
      <c r="F25" s="228">
        <v>138.22999999999999</v>
      </c>
      <c r="G25" s="228">
        <v>4.1100000000000003</v>
      </c>
      <c r="H25" s="229">
        <v>2.9700000000000001E-2</v>
      </c>
      <c r="I25" s="228">
        <v>142.46</v>
      </c>
      <c r="J25" s="228">
        <v>137.97999999999999</v>
      </c>
      <c r="K25" s="228">
        <v>4.4800000000000004</v>
      </c>
      <c r="L25" s="229">
        <v>3.2500000000000001E-2</v>
      </c>
      <c r="M25" s="228">
        <v>142.34</v>
      </c>
      <c r="N25" s="228">
        <v>138.22999999999999</v>
      </c>
      <c r="O25" s="228">
        <v>4.1100000000000003</v>
      </c>
      <c r="P25" s="229">
        <v>2.9700000000000001E-2</v>
      </c>
      <c r="Q25" s="228">
        <v>142.82</v>
      </c>
      <c r="R25" s="228">
        <v>138.97</v>
      </c>
      <c r="S25" s="228">
        <v>3.85</v>
      </c>
      <c r="T25" s="229">
        <v>2.7699999999999999E-2</v>
      </c>
      <c r="U25" s="228">
        <v>143.94999999999999</v>
      </c>
      <c r="V25" s="228">
        <v>139.82</v>
      </c>
      <c r="W25" s="228">
        <v>4.13</v>
      </c>
      <c r="X25" s="229">
        <v>2.9499999999999998E-2</v>
      </c>
      <c r="Y25" s="228">
        <v>-0.12</v>
      </c>
      <c r="Z25" s="228">
        <v>0.25</v>
      </c>
      <c r="AA25" s="228">
        <v>-0.37</v>
      </c>
      <c r="AB25" s="229">
        <v>-8.0000000000000004E-4</v>
      </c>
      <c r="AC25" s="228">
        <v>-0.12</v>
      </c>
      <c r="AD25" s="228">
        <v>0.25</v>
      </c>
      <c r="AE25" s="228">
        <v>-0.37</v>
      </c>
      <c r="AF25" s="229">
        <v>-8.0000000000000004E-4</v>
      </c>
      <c r="AG25" s="228">
        <v>0.36</v>
      </c>
      <c r="AH25" s="228">
        <v>0.99</v>
      </c>
      <c r="AI25" s="228">
        <v>-0.63</v>
      </c>
      <c r="AJ25" s="229">
        <v>2.5000000000000001E-3</v>
      </c>
      <c r="AK25" s="228">
        <v>1.49</v>
      </c>
      <c r="AL25" s="228">
        <v>1.84</v>
      </c>
      <c r="AM25" s="228">
        <v>-0.35</v>
      </c>
      <c r="AN25" s="229">
        <v>1.0500000000000001E-2</v>
      </c>
      <c r="AO25" s="228">
        <v>139.68</v>
      </c>
      <c r="AP25" s="228">
        <v>140.16</v>
      </c>
      <c r="AQ25" s="228">
        <v>0</v>
      </c>
      <c r="AR25" s="230">
        <v>22215600</v>
      </c>
      <c r="AS25" s="230">
        <v>53701200</v>
      </c>
      <c r="AT25" s="230">
        <v>-31485600</v>
      </c>
      <c r="AU25" s="229">
        <v>-0.58630000000000004</v>
      </c>
      <c r="AV25" s="230">
        <v>14040000</v>
      </c>
      <c r="AW25" s="230">
        <v>27460800</v>
      </c>
      <c r="AX25" s="230">
        <v>-13420800</v>
      </c>
      <c r="AY25" s="229">
        <v>-0.48870000000000002</v>
      </c>
      <c r="AZ25" s="230">
        <v>8118000</v>
      </c>
      <c r="BA25" s="230">
        <v>25804800</v>
      </c>
      <c r="BB25" s="230">
        <v>-17686800</v>
      </c>
      <c r="BC25" s="229">
        <v>-0.68540000000000001</v>
      </c>
      <c r="BD25" s="230">
        <v>57600</v>
      </c>
      <c r="BE25" s="230">
        <v>435600</v>
      </c>
      <c r="BF25" s="230">
        <v>-378000</v>
      </c>
      <c r="BG25" s="229">
        <v>-0.86780000000000002</v>
      </c>
      <c r="BH25" s="230">
        <v>4017600</v>
      </c>
      <c r="BI25" s="230">
        <v>38584800</v>
      </c>
      <c r="BJ25" s="230">
        <v>-34567200</v>
      </c>
      <c r="BK25" s="229">
        <v>-0.89590000000000003</v>
      </c>
      <c r="BL25" s="230">
        <v>1803600</v>
      </c>
      <c r="BM25" s="230">
        <v>28782000</v>
      </c>
      <c r="BN25" s="230">
        <v>-26978400</v>
      </c>
      <c r="BO25" s="229">
        <v>-0.93730000000000002</v>
      </c>
      <c r="BP25" s="230">
        <v>28036800</v>
      </c>
      <c r="BQ25" s="230">
        <v>121068000</v>
      </c>
      <c r="BR25" s="230">
        <v>-93031200</v>
      </c>
      <c r="BS25" s="229">
        <v>-0.76839999999999997</v>
      </c>
      <c r="BT25" s="230">
        <v>12670246</v>
      </c>
      <c r="BU25" s="230">
        <v>13823624</v>
      </c>
      <c r="BV25" s="230">
        <v>-1153378</v>
      </c>
      <c r="BW25" s="229">
        <v>-8.3400000000000002E-2</v>
      </c>
      <c r="BX25" s="230">
        <v>132825600</v>
      </c>
      <c r="BY25" s="230">
        <v>139712400</v>
      </c>
      <c r="BZ25" s="230">
        <v>-6886800</v>
      </c>
      <c r="CA25" s="229">
        <v>-4.9299999999999997E-2</v>
      </c>
      <c r="CB25" s="230">
        <v>63831600</v>
      </c>
      <c r="CC25" s="230">
        <v>75157200</v>
      </c>
      <c r="CD25" s="230">
        <v>-11325600</v>
      </c>
      <c r="CE25" s="229">
        <v>-0.1507</v>
      </c>
      <c r="CF25" s="230">
        <v>67456800</v>
      </c>
      <c r="CG25" s="230">
        <v>62985600</v>
      </c>
      <c r="CH25" s="230">
        <v>4471200</v>
      </c>
      <c r="CI25" s="229">
        <v>7.0999999999999994E-2</v>
      </c>
      <c r="CJ25" s="230">
        <v>1537200</v>
      </c>
      <c r="CK25" s="230">
        <v>1569600</v>
      </c>
      <c r="CL25" s="230">
        <v>-32400</v>
      </c>
      <c r="CM25" s="229">
        <v>-2.06E-2</v>
      </c>
      <c r="CN25" s="230">
        <v>38422800</v>
      </c>
      <c r="CO25" s="230">
        <v>40503600</v>
      </c>
      <c r="CP25" s="230">
        <v>-2080800</v>
      </c>
      <c r="CQ25" s="229">
        <v>-5.1400000000000001E-2</v>
      </c>
      <c r="CR25" s="230">
        <v>31608000</v>
      </c>
      <c r="CS25" s="230">
        <v>32443200</v>
      </c>
      <c r="CT25" s="230">
        <v>-835200</v>
      </c>
      <c r="CU25" s="229">
        <v>-2.5700000000000001E-2</v>
      </c>
      <c r="CV25" s="230">
        <v>202856400</v>
      </c>
      <c r="CW25" s="230">
        <v>212659200</v>
      </c>
      <c r="CX25" s="230">
        <v>-9802800</v>
      </c>
      <c r="CY25" s="229">
        <v>-4.6100000000000002E-2</v>
      </c>
      <c r="CZ25" s="228">
        <v>32.93</v>
      </c>
      <c r="DA25" s="228">
        <v>48.1</v>
      </c>
      <c r="DB25" s="228">
        <v>-15.17</v>
      </c>
      <c r="DC25" s="228">
        <v>-15.17</v>
      </c>
      <c r="DD25" s="228">
        <v>40.71</v>
      </c>
      <c r="DE25" s="228">
        <v>40.619999999999997</v>
      </c>
      <c r="DF25" s="228">
        <v>-7.78</v>
      </c>
      <c r="DG25" s="228">
        <v>0.09</v>
      </c>
      <c r="DH25" s="228">
        <v>31.89</v>
      </c>
      <c r="DI25" s="228">
        <v>48.86</v>
      </c>
      <c r="DJ25" s="228">
        <v>-16.97</v>
      </c>
      <c r="DK25" s="228">
        <v>-16.97</v>
      </c>
      <c r="DL25" s="228">
        <v>34.409999999999997</v>
      </c>
      <c r="DM25" s="228">
        <v>47.08</v>
      </c>
      <c r="DN25" s="228">
        <v>-12.67</v>
      </c>
      <c r="DO25" s="228">
        <v>-12.67</v>
      </c>
      <c r="DP25" s="228">
        <v>0.82</v>
      </c>
      <c r="DQ25" s="228">
        <v>0.8</v>
      </c>
      <c r="DR25" s="228">
        <v>0.02</v>
      </c>
      <c r="DS25" s="229">
        <v>2.5000000000000001E-2</v>
      </c>
      <c r="DT25" s="228">
        <v>150</v>
      </c>
      <c r="DU25" s="228">
        <v>150</v>
      </c>
      <c r="DV25" s="228">
        <v>0.45</v>
      </c>
      <c r="DW25" s="228">
        <v>0.75</v>
      </c>
      <c r="DX25" s="228">
        <v>-0.3</v>
      </c>
      <c r="DY25" s="229">
        <v>-0.4</v>
      </c>
      <c r="DZ25" s="229">
        <v>0.51939999999999997</v>
      </c>
      <c r="EA25" s="230">
        <v>64555200</v>
      </c>
      <c r="EB25" s="229">
        <v>3.3999999999999998E-3</v>
      </c>
      <c r="EC25" s="229">
        <v>0.51939999999999997</v>
      </c>
      <c r="ED25" s="228">
        <v>0.48</v>
      </c>
      <c r="EE25" s="229">
        <v>3.3999999999999998E-3</v>
      </c>
      <c r="EF25" s="230">
        <v>5902034</v>
      </c>
      <c r="EG25" s="230">
        <v>6488665</v>
      </c>
      <c r="EH25" s="229">
        <v>-9.0399999999999994E-2</v>
      </c>
      <c r="EI25" s="229">
        <v>0.46579999999999999</v>
      </c>
      <c r="EJ25" s="231">
        <v>6003.72</v>
      </c>
      <c r="EK25" s="231">
        <v>2655.23</v>
      </c>
      <c r="EL25" s="231">
        <v>31070.67</v>
      </c>
      <c r="EM25" s="231">
        <v>11392</v>
      </c>
      <c r="EN25" s="231">
        <v>39729.620000000003</v>
      </c>
      <c r="EO25" s="231">
        <v>173729.18</v>
      </c>
      <c r="EP25" s="231">
        <v>-133999.56</v>
      </c>
      <c r="EQ25" s="229">
        <v>-0.77129999999999999</v>
      </c>
      <c r="ER25" s="231">
        <v>58325</v>
      </c>
      <c r="ES25" s="231">
        <v>45986</v>
      </c>
      <c r="ET25" s="231">
        <v>189413</v>
      </c>
      <c r="EU25" s="231">
        <v>144289555</v>
      </c>
      <c r="EV25" s="231">
        <v>293723</v>
      </c>
      <c r="EW25" s="231">
        <v>302248</v>
      </c>
      <c r="EX25" s="231">
        <v>-8525</v>
      </c>
      <c r="EY25" s="229">
        <v>-2.8199999999999999E-2</v>
      </c>
      <c r="EZ25" s="229">
        <v>1.4058999999999999</v>
      </c>
      <c r="FA25" s="227" t="s">
        <v>556</v>
      </c>
      <c r="FB25" s="161">
        <f t="shared" si="0"/>
        <v>68994000</v>
      </c>
    </row>
    <row r="26" spans="1:158" ht="17.25" hidden="1" thickBot="1" x14ac:dyDescent="0.3">
      <c r="A26" s="226">
        <v>46044</v>
      </c>
      <c r="B26" s="227" t="s">
        <v>172</v>
      </c>
      <c r="C26" s="227" t="s">
        <v>180</v>
      </c>
      <c r="D26" s="228">
        <v>2925</v>
      </c>
      <c r="E26" s="228">
        <v>305.64999999999998</v>
      </c>
      <c r="F26" s="228">
        <v>299.60000000000002</v>
      </c>
      <c r="G26" s="228">
        <v>6.05</v>
      </c>
      <c r="H26" s="229">
        <v>2.0199999999999999E-2</v>
      </c>
      <c r="I26" s="228">
        <v>305.3</v>
      </c>
      <c r="J26" s="228">
        <v>299.05</v>
      </c>
      <c r="K26" s="228">
        <v>6.25</v>
      </c>
      <c r="L26" s="229">
        <v>2.0899999999999998E-2</v>
      </c>
      <c r="M26" s="228">
        <v>305.64999999999998</v>
      </c>
      <c r="N26" s="228">
        <v>299.60000000000002</v>
      </c>
      <c r="O26" s="228">
        <v>6.05</v>
      </c>
      <c r="P26" s="229">
        <v>2.0199999999999999E-2</v>
      </c>
      <c r="Q26" s="228">
        <v>307.25</v>
      </c>
      <c r="R26" s="228">
        <v>301.2</v>
      </c>
      <c r="S26" s="228">
        <v>6.05</v>
      </c>
      <c r="T26" s="229">
        <v>2.01E-2</v>
      </c>
      <c r="U26" s="228">
        <v>309.5</v>
      </c>
      <c r="V26" s="228">
        <v>303.05</v>
      </c>
      <c r="W26" s="228">
        <v>6.45</v>
      </c>
      <c r="X26" s="229">
        <v>2.1299999999999999E-2</v>
      </c>
      <c r="Y26" s="228">
        <v>0.35</v>
      </c>
      <c r="Z26" s="228">
        <v>0.55000000000000004</v>
      </c>
      <c r="AA26" s="228">
        <v>-0.2</v>
      </c>
      <c r="AB26" s="229">
        <v>1.1000000000000001E-3</v>
      </c>
      <c r="AC26" s="228">
        <v>0.35</v>
      </c>
      <c r="AD26" s="228">
        <v>0.55000000000000004</v>
      </c>
      <c r="AE26" s="228">
        <v>-0.2</v>
      </c>
      <c r="AF26" s="229">
        <v>1.1000000000000001E-3</v>
      </c>
      <c r="AG26" s="228">
        <v>1.95</v>
      </c>
      <c r="AH26" s="228">
        <v>2.15</v>
      </c>
      <c r="AI26" s="228">
        <v>-0.2</v>
      </c>
      <c r="AJ26" s="229">
        <v>6.4000000000000003E-3</v>
      </c>
      <c r="AK26" s="228">
        <v>4.2</v>
      </c>
      <c r="AL26" s="228">
        <v>4</v>
      </c>
      <c r="AM26" s="228">
        <v>0.2</v>
      </c>
      <c r="AN26" s="229">
        <v>1.38E-2</v>
      </c>
      <c r="AO26" s="228">
        <v>305.89</v>
      </c>
      <c r="AP26" s="228">
        <v>307.41000000000003</v>
      </c>
      <c r="AQ26" s="228">
        <v>0</v>
      </c>
      <c r="AR26" s="230">
        <v>70261425</v>
      </c>
      <c r="AS26" s="230">
        <v>50049675</v>
      </c>
      <c r="AT26" s="230">
        <v>20211750</v>
      </c>
      <c r="AU26" s="229">
        <v>0.40379999999999999</v>
      </c>
      <c r="AV26" s="230">
        <v>36243675</v>
      </c>
      <c r="AW26" s="230">
        <v>28548000</v>
      </c>
      <c r="AX26" s="230">
        <v>7695675</v>
      </c>
      <c r="AY26" s="229">
        <v>0.26960000000000001</v>
      </c>
      <c r="AZ26" s="230">
        <v>33505875</v>
      </c>
      <c r="BA26" s="230">
        <v>20890350</v>
      </c>
      <c r="BB26" s="230">
        <v>12615525</v>
      </c>
      <c r="BC26" s="229">
        <v>0.60389999999999999</v>
      </c>
      <c r="BD26" s="230">
        <v>511875</v>
      </c>
      <c r="BE26" s="230">
        <v>611325</v>
      </c>
      <c r="BF26" s="230">
        <v>-99450</v>
      </c>
      <c r="BG26" s="229">
        <v>-0.16270000000000001</v>
      </c>
      <c r="BH26" s="230">
        <v>72607275</v>
      </c>
      <c r="BI26" s="230">
        <v>82113525</v>
      </c>
      <c r="BJ26" s="230">
        <v>-9506250</v>
      </c>
      <c r="BK26" s="229">
        <v>-0.1158</v>
      </c>
      <c r="BL26" s="230">
        <v>44869500</v>
      </c>
      <c r="BM26" s="230">
        <v>59427225</v>
      </c>
      <c r="BN26" s="230">
        <v>-14557725</v>
      </c>
      <c r="BO26" s="229">
        <v>-0.245</v>
      </c>
      <c r="BP26" s="230">
        <v>187738200</v>
      </c>
      <c r="BQ26" s="230">
        <v>191590425</v>
      </c>
      <c r="BR26" s="230">
        <v>-3852225</v>
      </c>
      <c r="BS26" s="229">
        <v>-2.01E-2</v>
      </c>
      <c r="BT26" s="230">
        <v>8385427</v>
      </c>
      <c r="BU26" s="230">
        <v>8377124</v>
      </c>
      <c r="BV26" s="230">
        <v>8303</v>
      </c>
      <c r="BW26" s="229">
        <v>1E-3</v>
      </c>
      <c r="BX26" s="230">
        <v>79276275</v>
      </c>
      <c r="BY26" s="230">
        <v>78641550</v>
      </c>
      <c r="BZ26" s="230">
        <v>634725</v>
      </c>
      <c r="CA26" s="229">
        <v>8.0999999999999996E-3</v>
      </c>
      <c r="CB26" s="230">
        <v>29601000</v>
      </c>
      <c r="CC26" s="230">
        <v>52369200</v>
      </c>
      <c r="CD26" s="230">
        <v>-22768200</v>
      </c>
      <c r="CE26" s="229">
        <v>-0.43480000000000002</v>
      </c>
      <c r="CF26" s="230">
        <v>48593025</v>
      </c>
      <c r="CG26" s="230">
        <v>25304175</v>
      </c>
      <c r="CH26" s="230">
        <v>23288850</v>
      </c>
      <c r="CI26" s="229">
        <v>0.9204</v>
      </c>
      <c r="CJ26" s="230">
        <v>1082250</v>
      </c>
      <c r="CK26" s="230">
        <v>968175</v>
      </c>
      <c r="CL26" s="230">
        <v>114075</v>
      </c>
      <c r="CM26" s="229">
        <v>0.1178</v>
      </c>
      <c r="CN26" s="230">
        <v>57268575</v>
      </c>
      <c r="CO26" s="230">
        <v>65651625</v>
      </c>
      <c r="CP26" s="230">
        <v>-8383050</v>
      </c>
      <c r="CQ26" s="229">
        <v>-0.12770000000000001</v>
      </c>
      <c r="CR26" s="230">
        <v>42313050</v>
      </c>
      <c r="CS26" s="230">
        <v>43462575</v>
      </c>
      <c r="CT26" s="230">
        <v>-1149525</v>
      </c>
      <c r="CU26" s="229">
        <v>-2.64E-2</v>
      </c>
      <c r="CV26" s="230">
        <v>178857900</v>
      </c>
      <c r="CW26" s="230">
        <v>187755750</v>
      </c>
      <c r="CX26" s="230">
        <v>-8897850</v>
      </c>
      <c r="CY26" s="229">
        <v>-4.7399999999999998E-2</v>
      </c>
      <c r="CZ26" s="228">
        <v>30.31</v>
      </c>
      <c r="DA26" s="228">
        <v>28.27</v>
      </c>
      <c r="DB26" s="228">
        <v>2.04</v>
      </c>
      <c r="DC26" s="228">
        <v>2.04</v>
      </c>
      <c r="DD26" s="228">
        <v>32.950000000000003</v>
      </c>
      <c r="DE26" s="228">
        <v>32.92</v>
      </c>
      <c r="DF26" s="228">
        <v>-2.64</v>
      </c>
      <c r="DG26" s="228">
        <v>0.03</v>
      </c>
      <c r="DH26" s="228">
        <v>30.18</v>
      </c>
      <c r="DI26" s="228">
        <v>28.33</v>
      </c>
      <c r="DJ26" s="228">
        <v>1.85</v>
      </c>
      <c r="DK26" s="228">
        <v>1.85</v>
      </c>
      <c r="DL26" s="228">
        <v>30.47</v>
      </c>
      <c r="DM26" s="228">
        <v>28.18</v>
      </c>
      <c r="DN26" s="228">
        <v>2.29</v>
      </c>
      <c r="DO26" s="228">
        <v>2.29</v>
      </c>
      <c r="DP26" s="228">
        <v>0.74</v>
      </c>
      <c r="DQ26" s="228">
        <v>0.66</v>
      </c>
      <c r="DR26" s="228">
        <v>0.08</v>
      </c>
      <c r="DS26" s="229">
        <v>0.1212</v>
      </c>
      <c r="DT26" s="228">
        <v>320</v>
      </c>
      <c r="DU26" s="228">
        <v>300</v>
      </c>
      <c r="DV26" s="228">
        <v>0.62</v>
      </c>
      <c r="DW26" s="228">
        <v>0.72</v>
      </c>
      <c r="DX26" s="228">
        <v>-0.1</v>
      </c>
      <c r="DY26" s="229">
        <v>-0.1389</v>
      </c>
      <c r="DZ26" s="229">
        <v>0.62660000000000005</v>
      </c>
      <c r="EA26" s="230">
        <v>26272350</v>
      </c>
      <c r="EB26" s="229">
        <v>5.1999999999999998E-3</v>
      </c>
      <c r="EC26" s="229">
        <v>0.62660000000000005</v>
      </c>
      <c r="ED26" s="228">
        <v>1.52</v>
      </c>
      <c r="EE26" s="229">
        <v>5.0000000000000001E-3</v>
      </c>
      <c r="EF26" s="230">
        <v>4193806</v>
      </c>
      <c r="EG26" s="230">
        <v>3168475</v>
      </c>
      <c r="EH26" s="229">
        <v>0.3236</v>
      </c>
      <c r="EI26" s="229">
        <v>0.50009999999999999</v>
      </c>
      <c r="EJ26" s="231">
        <v>228458.61</v>
      </c>
      <c r="EK26" s="231">
        <v>135138.62</v>
      </c>
      <c r="EL26" s="231">
        <v>215450.88</v>
      </c>
      <c r="EM26" s="231">
        <v>12758</v>
      </c>
      <c r="EN26" s="231">
        <v>579048.11</v>
      </c>
      <c r="EO26" s="231">
        <v>583470.91</v>
      </c>
      <c r="EP26" s="231">
        <v>-4422.8</v>
      </c>
      <c r="EQ26" s="229">
        <v>-7.6E-3</v>
      </c>
      <c r="ER26" s="231">
        <v>179656</v>
      </c>
      <c r="ES26" s="231">
        <v>124366</v>
      </c>
      <c r="ET26" s="231">
        <v>243127</v>
      </c>
      <c r="EU26" s="231">
        <v>279476623</v>
      </c>
      <c r="EV26" s="231">
        <v>547150</v>
      </c>
      <c r="EW26" s="231">
        <v>569788</v>
      </c>
      <c r="EX26" s="231">
        <v>-22638</v>
      </c>
      <c r="EY26" s="229">
        <v>-3.9699999999999999E-2</v>
      </c>
      <c r="EZ26" s="229">
        <v>0.64</v>
      </c>
      <c r="FA26" s="227" t="s">
        <v>555</v>
      </c>
      <c r="FB26" s="161">
        <f t="shared" si="0"/>
        <v>49675275</v>
      </c>
    </row>
    <row r="27" spans="1:158" ht="17.25" hidden="1" thickBot="1" x14ac:dyDescent="0.3">
      <c r="A27" s="226">
        <v>46044</v>
      </c>
      <c r="B27" s="227" t="s">
        <v>172</v>
      </c>
      <c r="C27" s="227" t="s">
        <v>602</v>
      </c>
      <c r="D27" s="228">
        <v>5200</v>
      </c>
      <c r="E27" s="228">
        <v>166.26</v>
      </c>
      <c r="F27" s="228">
        <v>157.44999999999999</v>
      </c>
      <c r="G27" s="228">
        <v>8.81</v>
      </c>
      <c r="H27" s="229">
        <v>5.6000000000000001E-2</v>
      </c>
      <c r="I27" s="228">
        <v>166.42</v>
      </c>
      <c r="J27" s="228">
        <v>157.47999999999999</v>
      </c>
      <c r="K27" s="228">
        <v>8.94</v>
      </c>
      <c r="L27" s="229">
        <v>5.6800000000000003E-2</v>
      </c>
      <c r="M27" s="228">
        <v>166.26</v>
      </c>
      <c r="N27" s="228">
        <v>157.44999999999999</v>
      </c>
      <c r="O27" s="228">
        <v>8.81</v>
      </c>
      <c r="P27" s="229">
        <v>5.6000000000000001E-2</v>
      </c>
      <c r="Q27" s="228">
        <v>167.2</v>
      </c>
      <c r="R27" s="228">
        <v>158.26</v>
      </c>
      <c r="S27" s="228">
        <v>8.94</v>
      </c>
      <c r="T27" s="229">
        <v>5.6500000000000002E-2</v>
      </c>
      <c r="U27" s="228">
        <v>168.18</v>
      </c>
      <c r="V27" s="228">
        <v>159.38</v>
      </c>
      <c r="W27" s="228">
        <v>8.8000000000000007</v>
      </c>
      <c r="X27" s="229">
        <v>5.5199999999999999E-2</v>
      </c>
      <c r="Y27" s="228">
        <v>-0.16</v>
      </c>
      <c r="Z27" s="228">
        <v>-0.03</v>
      </c>
      <c r="AA27" s="228">
        <v>-0.13</v>
      </c>
      <c r="AB27" s="229">
        <v>-1E-3</v>
      </c>
      <c r="AC27" s="228">
        <v>-0.16</v>
      </c>
      <c r="AD27" s="228">
        <v>-0.03</v>
      </c>
      <c r="AE27" s="228">
        <v>-0.13</v>
      </c>
      <c r="AF27" s="229">
        <v>-1E-3</v>
      </c>
      <c r="AG27" s="228">
        <v>0.78</v>
      </c>
      <c r="AH27" s="228">
        <v>0.78</v>
      </c>
      <c r="AI27" s="228">
        <v>0</v>
      </c>
      <c r="AJ27" s="229">
        <v>4.7000000000000002E-3</v>
      </c>
      <c r="AK27" s="228">
        <v>1.76</v>
      </c>
      <c r="AL27" s="228">
        <v>1.9</v>
      </c>
      <c r="AM27" s="228">
        <v>-0.14000000000000001</v>
      </c>
      <c r="AN27" s="229">
        <v>1.06E-2</v>
      </c>
      <c r="AO27" s="228">
        <v>165.55</v>
      </c>
      <c r="AP27" s="228">
        <v>166.56</v>
      </c>
      <c r="AQ27" s="228">
        <v>0</v>
      </c>
      <c r="AR27" s="230">
        <v>91286000</v>
      </c>
      <c r="AS27" s="230">
        <v>46009600</v>
      </c>
      <c r="AT27" s="230">
        <v>45276400</v>
      </c>
      <c r="AU27" s="229">
        <v>0.98409999999999997</v>
      </c>
      <c r="AV27" s="230">
        <v>45479200</v>
      </c>
      <c r="AW27" s="230">
        <v>27253200</v>
      </c>
      <c r="AX27" s="230">
        <v>18226000</v>
      </c>
      <c r="AY27" s="229">
        <v>0.66879999999999995</v>
      </c>
      <c r="AZ27" s="230">
        <v>44678400</v>
      </c>
      <c r="BA27" s="230">
        <v>18023200</v>
      </c>
      <c r="BB27" s="230">
        <v>26655200</v>
      </c>
      <c r="BC27" s="229">
        <v>1.4789000000000001</v>
      </c>
      <c r="BD27" s="230">
        <v>1128400</v>
      </c>
      <c r="BE27" s="230">
        <v>733200</v>
      </c>
      <c r="BF27" s="230">
        <v>395200</v>
      </c>
      <c r="BG27" s="229">
        <v>0.53900000000000003</v>
      </c>
      <c r="BH27" s="230">
        <v>225066400</v>
      </c>
      <c r="BI27" s="230">
        <v>77552800</v>
      </c>
      <c r="BJ27" s="230">
        <v>147513600</v>
      </c>
      <c r="BK27" s="229">
        <v>1.9020999999999999</v>
      </c>
      <c r="BL27" s="230">
        <v>96028400</v>
      </c>
      <c r="BM27" s="230">
        <v>54594800</v>
      </c>
      <c r="BN27" s="230">
        <v>41433600</v>
      </c>
      <c r="BO27" s="229">
        <v>0.75890000000000002</v>
      </c>
      <c r="BP27" s="230">
        <v>412380800</v>
      </c>
      <c r="BQ27" s="230">
        <v>178157200</v>
      </c>
      <c r="BR27" s="230">
        <v>234223600</v>
      </c>
      <c r="BS27" s="229">
        <v>1.3147</v>
      </c>
      <c r="BT27" s="230">
        <v>44972291</v>
      </c>
      <c r="BU27" s="230">
        <v>18186924</v>
      </c>
      <c r="BV27" s="230">
        <v>26785367</v>
      </c>
      <c r="BW27" s="229">
        <v>1.4728000000000001</v>
      </c>
      <c r="BX27" s="230">
        <v>56061200</v>
      </c>
      <c r="BY27" s="230">
        <v>54906800</v>
      </c>
      <c r="BZ27" s="230">
        <v>1154400</v>
      </c>
      <c r="CA27" s="229">
        <v>2.1000000000000001E-2</v>
      </c>
      <c r="CB27" s="230">
        <v>20774000</v>
      </c>
      <c r="CC27" s="230">
        <v>39577200</v>
      </c>
      <c r="CD27" s="230">
        <v>-18803200</v>
      </c>
      <c r="CE27" s="229">
        <v>-0.47510000000000002</v>
      </c>
      <c r="CF27" s="230">
        <v>34522800</v>
      </c>
      <c r="CG27" s="230">
        <v>14554800</v>
      </c>
      <c r="CH27" s="230">
        <v>19968000</v>
      </c>
      <c r="CI27" s="229">
        <v>1.3718999999999999</v>
      </c>
      <c r="CJ27" s="230">
        <v>764400</v>
      </c>
      <c r="CK27" s="230">
        <v>774800</v>
      </c>
      <c r="CL27" s="230">
        <v>-10400</v>
      </c>
      <c r="CM27" s="229">
        <v>-1.34E-2</v>
      </c>
      <c r="CN27" s="230">
        <v>42712800</v>
      </c>
      <c r="CO27" s="230">
        <v>46254000</v>
      </c>
      <c r="CP27" s="230">
        <v>-3541200</v>
      </c>
      <c r="CQ27" s="229">
        <v>-7.6600000000000001E-2</v>
      </c>
      <c r="CR27" s="230">
        <v>34398000</v>
      </c>
      <c r="CS27" s="230">
        <v>35438000</v>
      </c>
      <c r="CT27" s="230">
        <v>-1040000</v>
      </c>
      <c r="CU27" s="229">
        <v>-2.93E-2</v>
      </c>
      <c r="CV27" s="230">
        <v>133172000</v>
      </c>
      <c r="CW27" s="230">
        <v>136598800</v>
      </c>
      <c r="CX27" s="230">
        <v>-3426800</v>
      </c>
      <c r="CY27" s="229">
        <v>-2.5100000000000001E-2</v>
      </c>
      <c r="CZ27" s="228">
        <v>36.49</v>
      </c>
      <c r="DA27" s="228">
        <v>50.1</v>
      </c>
      <c r="DB27" s="228">
        <v>-13.61</v>
      </c>
      <c r="DC27" s="228">
        <v>-13.61</v>
      </c>
      <c r="DD27" s="228">
        <v>38.69</v>
      </c>
      <c r="DE27" s="228">
        <v>38.08</v>
      </c>
      <c r="DF27" s="228">
        <v>-2.2000000000000002</v>
      </c>
      <c r="DG27" s="228">
        <v>0.61</v>
      </c>
      <c r="DH27" s="228">
        <v>36.409999999999997</v>
      </c>
      <c r="DI27" s="228">
        <v>50.26</v>
      </c>
      <c r="DJ27" s="228">
        <v>-13.85</v>
      </c>
      <c r="DK27" s="228">
        <v>-13.85</v>
      </c>
      <c r="DL27" s="228">
        <v>36.630000000000003</v>
      </c>
      <c r="DM27" s="228">
        <v>49.86</v>
      </c>
      <c r="DN27" s="228">
        <v>-13.23</v>
      </c>
      <c r="DO27" s="228">
        <v>-13.23</v>
      </c>
      <c r="DP27" s="228">
        <v>0.81</v>
      </c>
      <c r="DQ27" s="228">
        <v>0.77</v>
      </c>
      <c r="DR27" s="228">
        <v>0.04</v>
      </c>
      <c r="DS27" s="229">
        <v>5.1900000000000002E-2</v>
      </c>
      <c r="DT27" s="228">
        <v>170</v>
      </c>
      <c r="DU27" s="228">
        <v>160</v>
      </c>
      <c r="DV27" s="228">
        <v>0.43</v>
      </c>
      <c r="DW27" s="228">
        <v>0.7</v>
      </c>
      <c r="DX27" s="228">
        <v>-0.27</v>
      </c>
      <c r="DY27" s="229">
        <v>-0.38569999999999999</v>
      </c>
      <c r="DZ27" s="229">
        <v>0.62939999999999996</v>
      </c>
      <c r="EA27" s="230">
        <v>15329600</v>
      </c>
      <c r="EB27" s="229">
        <v>5.7000000000000002E-3</v>
      </c>
      <c r="EC27" s="229">
        <v>0.62939999999999996</v>
      </c>
      <c r="ED27" s="228">
        <v>1.01</v>
      </c>
      <c r="EE27" s="229">
        <v>6.1000000000000004E-3</v>
      </c>
      <c r="EF27" s="230">
        <v>14896298</v>
      </c>
      <c r="EG27" s="230">
        <v>5851125</v>
      </c>
      <c r="EH27" s="229">
        <v>1.5459000000000001</v>
      </c>
      <c r="EI27" s="229">
        <v>0.33119999999999999</v>
      </c>
      <c r="EJ27" s="231">
        <v>385250.19</v>
      </c>
      <c r="EK27" s="231">
        <v>152398.04999999999</v>
      </c>
      <c r="EL27" s="231">
        <v>151594.51</v>
      </c>
      <c r="EM27" s="231">
        <v>7909</v>
      </c>
      <c r="EN27" s="231">
        <v>689242.75</v>
      </c>
      <c r="EO27" s="231">
        <v>288127.73</v>
      </c>
      <c r="EP27" s="231">
        <v>401115.02</v>
      </c>
      <c r="EQ27" s="229">
        <v>1.3920999999999999</v>
      </c>
      <c r="ER27" s="231">
        <v>70180</v>
      </c>
      <c r="ES27" s="231">
        <v>52128</v>
      </c>
      <c r="ET27" s="231">
        <v>93547</v>
      </c>
      <c r="EU27" s="231">
        <v>181770921</v>
      </c>
      <c r="EV27" s="231">
        <v>215854</v>
      </c>
      <c r="EW27" s="231">
        <v>214680</v>
      </c>
      <c r="EX27" s="231">
        <v>1174</v>
      </c>
      <c r="EY27" s="229">
        <v>5.4999999999999997E-3</v>
      </c>
      <c r="EZ27" s="229">
        <v>0.73260000000000003</v>
      </c>
      <c r="FA27" s="227" t="s">
        <v>555</v>
      </c>
      <c r="FB27" s="161">
        <f t="shared" si="0"/>
        <v>35287200</v>
      </c>
    </row>
    <row r="28" spans="1:158" ht="17.25" hidden="1" thickBot="1" x14ac:dyDescent="0.3">
      <c r="A28" s="226">
        <v>46044</v>
      </c>
      <c r="B28" s="227" t="s">
        <v>181</v>
      </c>
      <c r="C28" s="227" t="s">
        <v>182</v>
      </c>
      <c r="D28" s="228">
        <v>30</v>
      </c>
      <c r="E28" s="231">
        <v>59343.199999999997</v>
      </c>
      <c r="F28" s="231">
        <v>58855.8</v>
      </c>
      <c r="G28" s="228">
        <v>487.4</v>
      </c>
      <c r="H28" s="229">
        <v>8.3000000000000001E-3</v>
      </c>
      <c r="I28" s="231">
        <v>59200.1</v>
      </c>
      <c r="J28" s="231">
        <v>58800.3</v>
      </c>
      <c r="K28" s="228">
        <v>399.8</v>
      </c>
      <c r="L28" s="229">
        <v>6.7999999999999996E-3</v>
      </c>
      <c r="M28" s="231">
        <v>59343.199999999997</v>
      </c>
      <c r="N28" s="231">
        <v>58855.8</v>
      </c>
      <c r="O28" s="228">
        <v>487.4</v>
      </c>
      <c r="P28" s="229">
        <v>8.3000000000000001E-3</v>
      </c>
      <c r="Q28" s="231">
        <v>59627.6</v>
      </c>
      <c r="R28" s="231">
        <v>59201.599999999999</v>
      </c>
      <c r="S28" s="228">
        <v>426</v>
      </c>
      <c r="T28" s="229">
        <v>7.1999999999999998E-3</v>
      </c>
      <c r="U28" s="231">
        <v>60035.4</v>
      </c>
      <c r="V28" s="231">
        <v>59614.6</v>
      </c>
      <c r="W28" s="228">
        <v>420.8</v>
      </c>
      <c r="X28" s="229">
        <v>7.1000000000000004E-3</v>
      </c>
      <c r="Y28" s="228">
        <v>143.1</v>
      </c>
      <c r="Z28" s="228">
        <v>55.5</v>
      </c>
      <c r="AA28" s="228">
        <v>87.6</v>
      </c>
      <c r="AB28" s="229">
        <v>2.3999999999999998E-3</v>
      </c>
      <c r="AC28" s="228">
        <v>143.1</v>
      </c>
      <c r="AD28" s="228">
        <v>55.5</v>
      </c>
      <c r="AE28" s="228">
        <v>87.6</v>
      </c>
      <c r="AF28" s="229">
        <v>2.3999999999999998E-3</v>
      </c>
      <c r="AG28" s="228">
        <v>427.5</v>
      </c>
      <c r="AH28" s="228">
        <v>401.3</v>
      </c>
      <c r="AI28" s="228">
        <v>26.2</v>
      </c>
      <c r="AJ28" s="229">
        <v>7.1999999999999998E-3</v>
      </c>
      <c r="AK28" s="228">
        <v>835.3</v>
      </c>
      <c r="AL28" s="228">
        <v>814.3</v>
      </c>
      <c r="AM28" s="228">
        <v>21</v>
      </c>
      <c r="AN28" s="229">
        <v>1.41E-2</v>
      </c>
      <c r="AO28" s="231">
        <v>59290.46</v>
      </c>
      <c r="AP28" s="231">
        <v>59570.67</v>
      </c>
      <c r="AQ28" s="228">
        <v>0</v>
      </c>
      <c r="AR28" s="230">
        <v>1616370</v>
      </c>
      <c r="AS28" s="230">
        <v>1830840</v>
      </c>
      <c r="AT28" s="230">
        <v>-214470</v>
      </c>
      <c r="AU28" s="229">
        <v>-0.1171</v>
      </c>
      <c r="AV28" s="230">
        <v>1094250</v>
      </c>
      <c r="AW28" s="230">
        <v>1301430</v>
      </c>
      <c r="AX28" s="230">
        <v>-207180</v>
      </c>
      <c r="AY28" s="229">
        <v>-0.15920000000000001</v>
      </c>
      <c r="AZ28" s="230">
        <v>470640</v>
      </c>
      <c r="BA28" s="230">
        <v>453420</v>
      </c>
      <c r="BB28" s="230">
        <v>17220</v>
      </c>
      <c r="BC28" s="229">
        <v>3.7999999999999999E-2</v>
      </c>
      <c r="BD28" s="230">
        <v>51480</v>
      </c>
      <c r="BE28" s="230">
        <v>75990</v>
      </c>
      <c r="BF28" s="230">
        <v>-24510</v>
      </c>
      <c r="BG28" s="229">
        <v>-0.32250000000000001</v>
      </c>
      <c r="BH28" s="230">
        <v>129420480</v>
      </c>
      <c r="BI28" s="230">
        <v>160221210</v>
      </c>
      <c r="BJ28" s="230">
        <v>-30800730</v>
      </c>
      <c r="BK28" s="229">
        <v>-0.19220000000000001</v>
      </c>
      <c r="BL28" s="230">
        <v>116408340</v>
      </c>
      <c r="BM28" s="230">
        <v>156768330</v>
      </c>
      <c r="BN28" s="230">
        <v>-40359990</v>
      </c>
      <c r="BO28" s="229">
        <v>-0.25740000000000002</v>
      </c>
      <c r="BP28" s="230">
        <v>247445190</v>
      </c>
      <c r="BQ28" s="230">
        <v>318820380</v>
      </c>
      <c r="BR28" s="230">
        <v>-71375190</v>
      </c>
      <c r="BS28" s="229">
        <v>-0.22389999999999999</v>
      </c>
      <c r="BT28" s="228">
        <v>0</v>
      </c>
      <c r="BU28" s="228">
        <v>0</v>
      </c>
      <c r="BV28" s="228">
        <v>0</v>
      </c>
      <c r="BW28" s="229">
        <v>0</v>
      </c>
      <c r="BX28" s="230">
        <v>1577730</v>
      </c>
      <c r="BY28" s="230">
        <v>1593240</v>
      </c>
      <c r="BZ28" s="230">
        <v>-15510</v>
      </c>
      <c r="CA28" s="229">
        <v>-9.7000000000000003E-3</v>
      </c>
      <c r="CB28" s="230">
        <v>924900</v>
      </c>
      <c r="CC28" s="230">
        <v>1126530</v>
      </c>
      <c r="CD28" s="230">
        <v>-201630</v>
      </c>
      <c r="CE28" s="229">
        <v>-0.17899999999999999</v>
      </c>
      <c r="CF28" s="230">
        <v>567840</v>
      </c>
      <c r="CG28" s="230">
        <v>382020</v>
      </c>
      <c r="CH28" s="230">
        <v>185820</v>
      </c>
      <c r="CI28" s="229">
        <v>0.4864</v>
      </c>
      <c r="CJ28" s="230">
        <v>84990</v>
      </c>
      <c r="CK28" s="230">
        <v>84690</v>
      </c>
      <c r="CL28" s="228">
        <v>300</v>
      </c>
      <c r="CM28" s="229">
        <v>3.5000000000000001E-3</v>
      </c>
      <c r="CN28" s="230">
        <v>21700675</v>
      </c>
      <c r="CO28" s="230">
        <v>21670040</v>
      </c>
      <c r="CP28" s="230">
        <v>30635</v>
      </c>
      <c r="CQ28" s="229">
        <v>1.4E-3</v>
      </c>
      <c r="CR28" s="230">
        <v>17579320</v>
      </c>
      <c r="CS28" s="230">
        <v>15992465</v>
      </c>
      <c r="CT28" s="230">
        <v>1586855</v>
      </c>
      <c r="CU28" s="229">
        <v>9.9199999999999997E-2</v>
      </c>
      <c r="CV28" s="230">
        <v>40857725</v>
      </c>
      <c r="CW28" s="230">
        <v>39255745</v>
      </c>
      <c r="CX28" s="230">
        <v>1601980</v>
      </c>
      <c r="CY28" s="229">
        <v>4.0800000000000003E-2</v>
      </c>
      <c r="CZ28" s="228">
        <v>13.84</v>
      </c>
      <c r="DA28" s="228">
        <v>14.61</v>
      </c>
      <c r="DB28" s="228">
        <v>-0.77</v>
      </c>
      <c r="DC28" s="228">
        <v>-0.77</v>
      </c>
      <c r="DD28" s="228">
        <v>15.41</v>
      </c>
      <c r="DE28" s="228">
        <v>15.42</v>
      </c>
      <c r="DF28" s="228">
        <v>-1.57</v>
      </c>
      <c r="DG28" s="228">
        <v>-0.01</v>
      </c>
      <c r="DH28" s="228">
        <v>13.22</v>
      </c>
      <c r="DI28" s="228">
        <v>14.73</v>
      </c>
      <c r="DJ28" s="228">
        <v>-1.51</v>
      </c>
      <c r="DK28" s="228">
        <v>-1.51</v>
      </c>
      <c r="DL28" s="228">
        <v>14.42</v>
      </c>
      <c r="DM28" s="228">
        <v>14.49</v>
      </c>
      <c r="DN28" s="228">
        <v>-7.0000000000000007E-2</v>
      </c>
      <c r="DO28" s="228">
        <v>-7.0000000000000007E-2</v>
      </c>
      <c r="DP28" s="228">
        <v>0.81</v>
      </c>
      <c r="DQ28" s="228">
        <v>0.74</v>
      </c>
      <c r="DR28" s="228">
        <v>7.0000000000000007E-2</v>
      </c>
      <c r="DS28" s="229">
        <v>9.4600000000000004E-2</v>
      </c>
      <c r="DT28" s="231">
        <v>60000</v>
      </c>
      <c r="DU28" s="231">
        <v>60000</v>
      </c>
      <c r="DV28" s="228">
        <v>0.9</v>
      </c>
      <c r="DW28" s="228">
        <v>0.98</v>
      </c>
      <c r="DX28" s="228">
        <v>-0.08</v>
      </c>
      <c r="DY28" s="229">
        <v>-8.1600000000000006E-2</v>
      </c>
      <c r="DZ28" s="229">
        <v>0.4138</v>
      </c>
      <c r="EA28" s="230">
        <v>466710</v>
      </c>
      <c r="EB28" s="229">
        <v>4.7999999999999996E-3</v>
      </c>
      <c r="EC28" s="229">
        <v>0.4138</v>
      </c>
      <c r="ED28" s="228">
        <v>280.20999999999998</v>
      </c>
      <c r="EE28" s="229">
        <v>4.7000000000000002E-3</v>
      </c>
      <c r="EF28" s="228">
        <v>0</v>
      </c>
      <c r="EG28" s="228">
        <v>0</v>
      </c>
      <c r="EH28" s="229">
        <v>0</v>
      </c>
      <c r="EI28" s="229">
        <v>0</v>
      </c>
      <c r="EJ28" s="231">
        <v>77993201.359999999</v>
      </c>
      <c r="EK28" s="231">
        <v>68236574.109999999</v>
      </c>
      <c r="EL28" s="231">
        <v>960045.06</v>
      </c>
      <c r="EM28" s="228">
        <v>0</v>
      </c>
      <c r="EN28" s="231">
        <v>147189820.53</v>
      </c>
      <c r="EO28" s="231">
        <v>189415385.03999999</v>
      </c>
      <c r="EP28" s="231">
        <v>-42225564.509999998</v>
      </c>
      <c r="EQ28" s="229">
        <v>-0.22289999999999999</v>
      </c>
      <c r="ER28" s="231">
        <v>13224858</v>
      </c>
      <c r="ES28" s="231">
        <v>10199228</v>
      </c>
      <c r="ET28" s="231">
        <v>938479</v>
      </c>
      <c r="EU28" s="228">
        <v>0</v>
      </c>
      <c r="EV28" s="231">
        <v>24362565</v>
      </c>
      <c r="EW28" s="231">
        <v>23407428</v>
      </c>
      <c r="EX28" s="231">
        <v>955137</v>
      </c>
      <c r="EY28" s="229">
        <v>4.0800000000000003E-2</v>
      </c>
      <c r="EZ28" s="229">
        <v>0</v>
      </c>
      <c r="FA28" s="227" t="s">
        <v>556</v>
      </c>
      <c r="FB28" s="161">
        <f t="shared" si="0"/>
        <v>652830</v>
      </c>
    </row>
    <row r="29" spans="1:158" ht="17.25" thickBot="1" x14ac:dyDescent="0.3">
      <c r="A29" s="226">
        <v>46044</v>
      </c>
      <c r="B29" s="227" t="s">
        <v>184</v>
      </c>
      <c r="C29" s="227" t="s">
        <v>671</v>
      </c>
      <c r="D29" s="228">
        <v>350</v>
      </c>
      <c r="E29" s="231">
        <v>1452.9</v>
      </c>
      <c r="F29" s="231">
        <v>1423.8</v>
      </c>
      <c r="G29" s="228">
        <v>29.1</v>
      </c>
      <c r="H29" s="229">
        <v>2.0400000000000001E-2</v>
      </c>
      <c r="I29" s="231">
        <v>1451.2</v>
      </c>
      <c r="J29" s="231">
        <v>1419.2</v>
      </c>
      <c r="K29" s="228">
        <v>32</v>
      </c>
      <c r="L29" s="229">
        <v>2.2499999999999999E-2</v>
      </c>
      <c r="M29" s="231">
        <v>1452.9</v>
      </c>
      <c r="N29" s="231">
        <v>1423.8</v>
      </c>
      <c r="O29" s="228">
        <v>29.1</v>
      </c>
      <c r="P29" s="229">
        <v>2.0400000000000001E-2</v>
      </c>
      <c r="Q29" s="231">
        <v>1455.7</v>
      </c>
      <c r="R29" s="231">
        <v>1425.8</v>
      </c>
      <c r="S29" s="228">
        <v>29.9</v>
      </c>
      <c r="T29" s="229">
        <v>2.1000000000000001E-2</v>
      </c>
      <c r="U29" s="231">
        <v>1463.8</v>
      </c>
      <c r="V29" s="231">
        <v>1435.4</v>
      </c>
      <c r="W29" s="228">
        <v>28.4</v>
      </c>
      <c r="X29" s="229">
        <v>1.9800000000000002E-2</v>
      </c>
      <c r="Y29" s="228">
        <v>1.7</v>
      </c>
      <c r="Z29" s="228">
        <v>4.5999999999999996</v>
      </c>
      <c r="AA29" s="228">
        <v>-2.9</v>
      </c>
      <c r="AB29" s="229">
        <v>1.1999999999999999E-3</v>
      </c>
      <c r="AC29" s="228">
        <v>1.7</v>
      </c>
      <c r="AD29" s="228">
        <v>4.5999999999999996</v>
      </c>
      <c r="AE29" s="228">
        <v>-2.9</v>
      </c>
      <c r="AF29" s="229">
        <v>1.1999999999999999E-3</v>
      </c>
      <c r="AG29" s="228">
        <v>4.5</v>
      </c>
      <c r="AH29" s="228">
        <v>6.6</v>
      </c>
      <c r="AI29" s="228">
        <v>-2.1</v>
      </c>
      <c r="AJ29" s="229">
        <v>3.0999999999999999E-3</v>
      </c>
      <c r="AK29" s="228">
        <v>12.6</v>
      </c>
      <c r="AL29" s="228">
        <v>16.2</v>
      </c>
      <c r="AM29" s="228">
        <v>-3.6</v>
      </c>
      <c r="AN29" s="229">
        <v>8.6999999999999994E-3</v>
      </c>
      <c r="AO29" s="231">
        <v>1449.46</v>
      </c>
      <c r="AP29" s="231">
        <v>1451.21</v>
      </c>
      <c r="AQ29" s="228">
        <v>0</v>
      </c>
      <c r="AR29" s="230">
        <v>3584700</v>
      </c>
      <c r="AS29" s="230">
        <v>2703050</v>
      </c>
      <c r="AT29" s="230">
        <v>881650</v>
      </c>
      <c r="AU29" s="229">
        <v>0.32619999999999999</v>
      </c>
      <c r="AV29" s="230">
        <v>2027550</v>
      </c>
      <c r="AW29" s="230">
        <v>1491350</v>
      </c>
      <c r="AX29" s="230">
        <v>536200</v>
      </c>
      <c r="AY29" s="229">
        <v>0.35949999999999999</v>
      </c>
      <c r="AZ29" s="230">
        <v>1534400</v>
      </c>
      <c r="BA29" s="230">
        <v>1184050</v>
      </c>
      <c r="BB29" s="230">
        <v>350350</v>
      </c>
      <c r="BC29" s="229">
        <v>0.2959</v>
      </c>
      <c r="BD29" s="230">
        <v>22750</v>
      </c>
      <c r="BE29" s="230">
        <v>27650</v>
      </c>
      <c r="BF29" s="230">
        <v>-4900</v>
      </c>
      <c r="BG29" s="229">
        <v>-0.1772</v>
      </c>
      <c r="BH29" s="230">
        <v>5780600</v>
      </c>
      <c r="BI29" s="230">
        <v>10515750</v>
      </c>
      <c r="BJ29" s="230">
        <v>-4735150</v>
      </c>
      <c r="BK29" s="229">
        <v>-0.45029999999999998</v>
      </c>
      <c r="BL29" s="230">
        <v>2235450</v>
      </c>
      <c r="BM29" s="230">
        <v>5083050</v>
      </c>
      <c r="BN29" s="230">
        <v>-2847600</v>
      </c>
      <c r="BO29" s="229">
        <v>-0.56020000000000003</v>
      </c>
      <c r="BP29" s="230">
        <v>11600750</v>
      </c>
      <c r="BQ29" s="230">
        <v>18301850</v>
      </c>
      <c r="BR29" s="230">
        <v>-6701100</v>
      </c>
      <c r="BS29" s="229">
        <v>-0.36609999999999998</v>
      </c>
      <c r="BT29" s="230">
        <v>865809</v>
      </c>
      <c r="BU29" s="230">
        <v>1587560</v>
      </c>
      <c r="BV29" s="230">
        <v>-721751</v>
      </c>
      <c r="BW29" s="229">
        <v>-0.4546</v>
      </c>
      <c r="BX29" s="230">
        <v>5140800</v>
      </c>
      <c r="BY29" s="230">
        <v>5448100</v>
      </c>
      <c r="BZ29" s="230">
        <v>-307300</v>
      </c>
      <c r="CA29" s="229">
        <v>-5.6399999999999999E-2</v>
      </c>
      <c r="CB29" s="230">
        <v>2926000</v>
      </c>
      <c r="CC29" s="230">
        <v>3878350</v>
      </c>
      <c r="CD29" s="230">
        <v>-952350</v>
      </c>
      <c r="CE29" s="229">
        <v>-0.24560000000000001</v>
      </c>
      <c r="CF29" s="230">
        <v>2079350</v>
      </c>
      <c r="CG29" s="230">
        <v>1444450</v>
      </c>
      <c r="CH29" s="230">
        <v>634900</v>
      </c>
      <c r="CI29" s="229">
        <v>0.4395</v>
      </c>
      <c r="CJ29" s="230">
        <v>135450</v>
      </c>
      <c r="CK29" s="230">
        <v>125300</v>
      </c>
      <c r="CL29" s="230">
        <v>10150</v>
      </c>
      <c r="CM29" s="229">
        <v>8.1000000000000003E-2</v>
      </c>
      <c r="CN29" s="230">
        <v>5072900</v>
      </c>
      <c r="CO29" s="230">
        <v>5159700</v>
      </c>
      <c r="CP29" s="230">
        <v>-86800</v>
      </c>
      <c r="CQ29" s="229">
        <v>-1.6799999999999999E-2</v>
      </c>
      <c r="CR29" s="230">
        <v>2707250</v>
      </c>
      <c r="CS29" s="230">
        <v>2752400</v>
      </c>
      <c r="CT29" s="230">
        <v>-45150</v>
      </c>
      <c r="CU29" s="229">
        <v>-1.6400000000000001E-2</v>
      </c>
      <c r="CV29" s="230">
        <v>12920950</v>
      </c>
      <c r="CW29" s="230">
        <v>13360200</v>
      </c>
      <c r="CX29" s="230">
        <v>-439250</v>
      </c>
      <c r="CY29" s="229">
        <v>-3.2899999999999999E-2</v>
      </c>
      <c r="CZ29" s="228">
        <v>41.8</v>
      </c>
      <c r="DA29" s="228">
        <v>34.76</v>
      </c>
      <c r="DB29" s="228">
        <v>7.04</v>
      </c>
      <c r="DC29" s="228">
        <v>7.04</v>
      </c>
      <c r="DD29" s="228">
        <v>49.63</v>
      </c>
      <c r="DE29" s="228">
        <v>49.68</v>
      </c>
      <c r="DF29" s="228">
        <v>-7.83</v>
      </c>
      <c r="DG29" s="228">
        <v>-0.05</v>
      </c>
      <c r="DH29" s="228">
        <v>41.85</v>
      </c>
      <c r="DI29" s="228">
        <v>37.19</v>
      </c>
      <c r="DJ29" s="228">
        <v>4.66</v>
      </c>
      <c r="DK29" s="228">
        <v>4.66</v>
      </c>
      <c r="DL29" s="228">
        <v>41.69</v>
      </c>
      <c r="DM29" s="228">
        <v>29.74</v>
      </c>
      <c r="DN29" s="228">
        <v>11.95</v>
      </c>
      <c r="DO29" s="228">
        <v>11.95</v>
      </c>
      <c r="DP29" s="228">
        <v>0.53</v>
      </c>
      <c r="DQ29" s="228">
        <v>0.53</v>
      </c>
      <c r="DR29" s="228">
        <v>0</v>
      </c>
      <c r="DS29" s="229">
        <v>0</v>
      </c>
      <c r="DT29" s="231">
        <v>1600</v>
      </c>
      <c r="DU29" s="231">
        <v>1380</v>
      </c>
      <c r="DV29" s="228">
        <v>0.39</v>
      </c>
      <c r="DW29" s="228">
        <v>0.48</v>
      </c>
      <c r="DX29" s="228">
        <v>-0.09</v>
      </c>
      <c r="DY29" s="229">
        <v>-0.1875</v>
      </c>
      <c r="DZ29" s="229">
        <v>0.43080000000000002</v>
      </c>
      <c r="EA29" s="230">
        <v>1569750</v>
      </c>
      <c r="EB29" s="229">
        <v>1.9E-3</v>
      </c>
      <c r="EC29" s="229">
        <v>0.43080000000000002</v>
      </c>
      <c r="ED29" s="228">
        <v>1.75</v>
      </c>
      <c r="EE29" s="229">
        <v>1.1999999999999999E-3</v>
      </c>
      <c r="EF29" s="230">
        <v>235453</v>
      </c>
      <c r="EG29" s="230">
        <v>336310</v>
      </c>
      <c r="EH29" s="229">
        <v>-0.2999</v>
      </c>
      <c r="EI29" s="229">
        <v>0.27189999999999998</v>
      </c>
      <c r="EJ29" s="231">
        <v>88477.84</v>
      </c>
      <c r="EK29" s="231">
        <v>32211.040000000001</v>
      </c>
      <c r="EL29" s="231">
        <v>51988.41</v>
      </c>
      <c r="EM29" s="231">
        <v>6737</v>
      </c>
      <c r="EN29" s="231">
        <v>172677.29</v>
      </c>
      <c r="EO29" s="231">
        <v>272188.65000000002</v>
      </c>
      <c r="EP29" s="231">
        <v>-99511.360000000001</v>
      </c>
      <c r="EQ29" s="229">
        <v>-0.36559999999999998</v>
      </c>
      <c r="ER29" s="231">
        <v>78950</v>
      </c>
      <c r="ES29" s="231">
        <v>39056</v>
      </c>
      <c r="ET29" s="231">
        <v>74764</v>
      </c>
      <c r="EU29" s="231">
        <v>13786716</v>
      </c>
      <c r="EV29" s="231">
        <v>192770</v>
      </c>
      <c r="EW29" s="231">
        <v>197627</v>
      </c>
      <c r="EX29" s="231">
        <v>-4857</v>
      </c>
      <c r="EY29" s="229">
        <v>-2.46E-2</v>
      </c>
      <c r="EZ29" s="229">
        <v>0.93720000000000003</v>
      </c>
      <c r="FA29" s="227" t="s">
        <v>556</v>
      </c>
      <c r="FB29" s="161">
        <f t="shared" si="0"/>
        <v>2214800</v>
      </c>
    </row>
    <row r="30" spans="1:158" ht="17.25" hidden="1" thickBot="1" x14ac:dyDescent="0.3">
      <c r="A30" s="226">
        <v>46044</v>
      </c>
      <c r="B30" s="227" t="s">
        <v>184</v>
      </c>
      <c r="C30" s="227" t="s">
        <v>185</v>
      </c>
      <c r="D30" s="228">
        <v>1425</v>
      </c>
      <c r="E30" s="228">
        <v>417.15</v>
      </c>
      <c r="F30" s="228">
        <v>402.5</v>
      </c>
      <c r="G30" s="228">
        <v>14.65</v>
      </c>
      <c r="H30" s="229">
        <v>3.6400000000000002E-2</v>
      </c>
      <c r="I30" s="228">
        <v>417.3</v>
      </c>
      <c r="J30" s="228">
        <v>402.65</v>
      </c>
      <c r="K30" s="228">
        <v>14.65</v>
      </c>
      <c r="L30" s="229">
        <v>3.6400000000000002E-2</v>
      </c>
      <c r="M30" s="228">
        <v>417.15</v>
      </c>
      <c r="N30" s="228">
        <v>402.5</v>
      </c>
      <c r="O30" s="228">
        <v>14.65</v>
      </c>
      <c r="P30" s="229">
        <v>3.6400000000000002E-2</v>
      </c>
      <c r="Q30" s="228">
        <v>419.1</v>
      </c>
      <c r="R30" s="228">
        <v>404.6</v>
      </c>
      <c r="S30" s="228">
        <v>14.5</v>
      </c>
      <c r="T30" s="229">
        <v>3.5799999999999998E-2</v>
      </c>
      <c r="U30" s="228">
        <v>420.3</v>
      </c>
      <c r="V30" s="228">
        <v>405.95</v>
      </c>
      <c r="W30" s="228">
        <v>14.35</v>
      </c>
      <c r="X30" s="229">
        <v>3.5299999999999998E-2</v>
      </c>
      <c r="Y30" s="228">
        <v>-0.15</v>
      </c>
      <c r="Z30" s="228">
        <v>-0.15</v>
      </c>
      <c r="AA30" s="228">
        <v>0</v>
      </c>
      <c r="AB30" s="229">
        <v>-4.0000000000000002E-4</v>
      </c>
      <c r="AC30" s="228">
        <v>-0.15</v>
      </c>
      <c r="AD30" s="228">
        <v>-0.15</v>
      </c>
      <c r="AE30" s="228">
        <v>0</v>
      </c>
      <c r="AF30" s="229">
        <v>-4.0000000000000002E-4</v>
      </c>
      <c r="AG30" s="228">
        <v>1.8</v>
      </c>
      <c r="AH30" s="228">
        <v>1.95</v>
      </c>
      <c r="AI30" s="228">
        <v>-0.15</v>
      </c>
      <c r="AJ30" s="229">
        <v>4.3E-3</v>
      </c>
      <c r="AK30" s="228">
        <v>3</v>
      </c>
      <c r="AL30" s="228">
        <v>3.3</v>
      </c>
      <c r="AM30" s="228">
        <v>-0.3</v>
      </c>
      <c r="AN30" s="229">
        <v>7.1999999999999998E-3</v>
      </c>
      <c r="AO30" s="228">
        <v>413.44</v>
      </c>
      <c r="AP30" s="228">
        <v>415.59</v>
      </c>
      <c r="AQ30" s="228">
        <v>0</v>
      </c>
      <c r="AR30" s="230">
        <v>80214675</v>
      </c>
      <c r="AS30" s="230">
        <v>53226600</v>
      </c>
      <c r="AT30" s="230">
        <v>26988075</v>
      </c>
      <c r="AU30" s="229">
        <v>0.50700000000000001</v>
      </c>
      <c r="AV30" s="230">
        <v>42075975</v>
      </c>
      <c r="AW30" s="230">
        <v>28491450</v>
      </c>
      <c r="AX30" s="230">
        <v>13584525</v>
      </c>
      <c r="AY30" s="229">
        <v>0.4768</v>
      </c>
      <c r="AZ30" s="230">
        <v>37449000</v>
      </c>
      <c r="BA30" s="230">
        <v>23992725</v>
      </c>
      <c r="BB30" s="230">
        <v>13456275</v>
      </c>
      <c r="BC30" s="229">
        <v>0.56079999999999997</v>
      </c>
      <c r="BD30" s="230">
        <v>689700</v>
      </c>
      <c r="BE30" s="230">
        <v>742425</v>
      </c>
      <c r="BF30" s="230">
        <v>-52725</v>
      </c>
      <c r="BG30" s="229">
        <v>-7.0999999999999994E-2</v>
      </c>
      <c r="BH30" s="230">
        <v>166053825</v>
      </c>
      <c r="BI30" s="230">
        <v>162687975</v>
      </c>
      <c r="BJ30" s="230">
        <v>3365850</v>
      </c>
      <c r="BK30" s="229">
        <v>2.07E-2</v>
      </c>
      <c r="BL30" s="230">
        <v>83416650</v>
      </c>
      <c r="BM30" s="230">
        <v>112858575</v>
      </c>
      <c r="BN30" s="230">
        <v>-29441925</v>
      </c>
      <c r="BO30" s="229">
        <v>-0.26090000000000002</v>
      </c>
      <c r="BP30" s="230">
        <v>329685150</v>
      </c>
      <c r="BQ30" s="230">
        <v>328773150</v>
      </c>
      <c r="BR30" s="230">
        <v>912000</v>
      </c>
      <c r="BS30" s="229">
        <v>2.8E-3</v>
      </c>
      <c r="BT30" s="230">
        <v>20541979</v>
      </c>
      <c r="BU30" s="230">
        <v>20128972</v>
      </c>
      <c r="BV30" s="230">
        <v>413007</v>
      </c>
      <c r="BW30" s="229">
        <v>2.0500000000000001E-2</v>
      </c>
      <c r="BX30" s="230">
        <v>122501550</v>
      </c>
      <c r="BY30" s="230">
        <v>126728100</v>
      </c>
      <c r="BZ30" s="230">
        <v>-4226550</v>
      </c>
      <c r="CA30" s="229">
        <v>-3.3399999999999999E-2</v>
      </c>
      <c r="CB30" s="230">
        <v>58439250</v>
      </c>
      <c r="CC30" s="230">
        <v>90128400</v>
      </c>
      <c r="CD30" s="230">
        <v>-31689150</v>
      </c>
      <c r="CE30" s="229">
        <v>-0.35160000000000002</v>
      </c>
      <c r="CF30" s="230">
        <v>61510125</v>
      </c>
      <c r="CG30" s="230">
        <v>34084575</v>
      </c>
      <c r="CH30" s="230">
        <v>27425550</v>
      </c>
      <c r="CI30" s="229">
        <v>0.80459999999999998</v>
      </c>
      <c r="CJ30" s="230">
        <v>2552175</v>
      </c>
      <c r="CK30" s="230">
        <v>2515125</v>
      </c>
      <c r="CL30" s="230">
        <v>37050</v>
      </c>
      <c r="CM30" s="229">
        <v>1.47E-2</v>
      </c>
      <c r="CN30" s="230">
        <v>57252225</v>
      </c>
      <c r="CO30" s="230">
        <v>61481625</v>
      </c>
      <c r="CP30" s="230">
        <v>-4229400</v>
      </c>
      <c r="CQ30" s="229">
        <v>-6.88E-2</v>
      </c>
      <c r="CR30" s="230">
        <v>35508150</v>
      </c>
      <c r="CS30" s="230">
        <v>35055000</v>
      </c>
      <c r="CT30" s="230">
        <v>453150</v>
      </c>
      <c r="CU30" s="229">
        <v>1.29E-2</v>
      </c>
      <c r="CV30" s="230">
        <v>215261925</v>
      </c>
      <c r="CW30" s="230">
        <v>223264725</v>
      </c>
      <c r="CX30" s="230">
        <v>-8002800</v>
      </c>
      <c r="CY30" s="229">
        <v>-3.5799999999999998E-2</v>
      </c>
      <c r="CZ30" s="228">
        <v>33.880000000000003</v>
      </c>
      <c r="DA30" s="228">
        <v>29.04</v>
      </c>
      <c r="DB30" s="228">
        <v>4.84</v>
      </c>
      <c r="DC30" s="228">
        <v>4.84</v>
      </c>
      <c r="DD30" s="228">
        <v>35.18</v>
      </c>
      <c r="DE30" s="228">
        <v>34.93</v>
      </c>
      <c r="DF30" s="228">
        <v>-1.3</v>
      </c>
      <c r="DG30" s="228">
        <v>0.25</v>
      </c>
      <c r="DH30" s="228">
        <v>33.82</v>
      </c>
      <c r="DI30" s="228">
        <v>29.62</v>
      </c>
      <c r="DJ30" s="228">
        <v>4.2</v>
      </c>
      <c r="DK30" s="228">
        <v>4.2</v>
      </c>
      <c r="DL30" s="228">
        <v>34.04</v>
      </c>
      <c r="DM30" s="228">
        <v>28.2</v>
      </c>
      <c r="DN30" s="228">
        <v>5.84</v>
      </c>
      <c r="DO30" s="228">
        <v>5.84</v>
      </c>
      <c r="DP30" s="228">
        <v>0.62</v>
      </c>
      <c r="DQ30" s="228">
        <v>0.56999999999999995</v>
      </c>
      <c r="DR30" s="228">
        <v>0.05</v>
      </c>
      <c r="DS30" s="229">
        <v>8.77E-2</v>
      </c>
      <c r="DT30" s="228">
        <v>420</v>
      </c>
      <c r="DU30" s="228">
        <v>400</v>
      </c>
      <c r="DV30" s="228">
        <v>0.5</v>
      </c>
      <c r="DW30" s="228">
        <v>0.69</v>
      </c>
      <c r="DX30" s="228">
        <v>-0.19</v>
      </c>
      <c r="DY30" s="229">
        <v>-0.27539999999999998</v>
      </c>
      <c r="DZ30" s="229">
        <v>0.52300000000000002</v>
      </c>
      <c r="EA30" s="230">
        <v>36599700</v>
      </c>
      <c r="EB30" s="229">
        <v>4.7000000000000002E-3</v>
      </c>
      <c r="EC30" s="229">
        <v>0.52300000000000002</v>
      </c>
      <c r="ED30" s="228">
        <v>2.15</v>
      </c>
      <c r="EE30" s="229">
        <v>5.1999999999999998E-3</v>
      </c>
      <c r="EF30" s="230">
        <v>11822657</v>
      </c>
      <c r="EG30" s="230">
        <v>8356275</v>
      </c>
      <c r="EH30" s="229">
        <v>0.4148</v>
      </c>
      <c r="EI30" s="229">
        <v>0.57550000000000001</v>
      </c>
      <c r="EJ30" s="231">
        <v>706878.21</v>
      </c>
      <c r="EK30" s="231">
        <v>340193.64</v>
      </c>
      <c r="EL30" s="231">
        <v>332464.26</v>
      </c>
      <c r="EM30" s="231">
        <v>22375</v>
      </c>
      <c r="EN30" s="231">
        <v>1379536.11</v>
      </c>
      <c r="EO30" s="231">
        <v>1351515.99</v>
      </c>
      <c r="EP30" s="231">
        <v>28020.12</v>
      </c>
      <c r="EQ30" s="229">
        <v>2.07E-2</v>
      </c>
      <c r="ER30" s="231">
        <v>244187</v>
      </c>
      <c r="ES30" s="231">
        <v>141631</v>
      </c>
      <c r="ET30" s="231">
        <v>512295</v>
      </c>
      <c r="EU30" s="231">
        <v>535778534</v>
      </c>
      <c r="EV30" s="231">
        <v>898113</v>
      </c>
      <c r="EW30" s="231">
        <v>911383</v>
      </c>
      <c r="EX30" s="231">
        <v>-13270</v>
      </c>
      <c r="EY30" s="229">
        <v>-1.46E-2</v>
      </c>
      <c r="EZ30" s="229">
        <v>0.40179999999999999</v>
      </c>
      <c r="FA30" s="227" t="s">
        <v>556</v>
      </c>
      <c r="FB30" s="161">
        <f t="shared" si="0"/>
        <v>64062300</v>
      </c>
    </row>
    <row r="31" spans="1:158" ht="17.25" hidden="1" thickBot="1" x14ac:dyDescent="0.3">
      <c r="A31" s="226">
        <v>46044</v>
      </c>
      <c r="B31" s="227" t="s">
        <v>162</v>
      </c>
      <c r="C31" s="227" t="s">
        <v>187</v>
      </c>
      <c r="D31" s="228">
        <v>500</v>
      </c>
      <c r="E31" s="231">
        <v>1433.5</v>
      </c>
      <c r="F31" s="231">
        <v>1382.6</v>
      </c>
      <c r="G31" s="228">
        <v>50.9</v>
      </c>
      <c r="H31" s="229">
        <v>3.6799999999999999E-2</v>
      </c>
      <c r="I31" s="231">
        <v>1431.5</v>
      </c>
      <c r="J31" s="231">
        <v>1380</v>
      </c>
      <c r="K31" s="228">
        <v>51.5</v>
      </c>
      <c r="L31" s="229">
        <v>3.73E-2</v>
      </c>
      <c r="M31" s="231">
        <v>1433.5</v>
      </c>
      <c r="N31" s="231">
        <v>1382.6</v>
      </c>
      <c r="O31" s="228">
        <v>50.9</v>
      </c>
      <c r="P31" s="229">
        <v>3.6799999999999999E-2</v>
      </c>
      <c r="Q31" s="231">
        <v>1435.6</v>
      </c>
      <c r="R31" s="231">
        <v>1387.6</v>
      </c>
      <c r="S31" s="228">
        <v>48</v>
      </c>
      <c r="T31" s="229">
        <v>3.4599999999999999E-2</v>
      </c>
      <c r="U31" s="231">
        <v>1443.1</v>
      </c>
      <c r="V31" s="231">
        <v>1393.3</v>
      </c>
      <c r="W31" s="228">
        <v>49.8</v>
      </c>
      <c r="X31" s="229">
        <v>3.5700000000000003E-2</v>
      </c>
      <c r="Y31" s="228">
        <v>2</v>
      </c>
      <c r="Z31" s="228">
        <v>2.6</v>
      </c>
      <c r="AA31" s="228">
        <v>-0.6</v>
      </c>
      <c r="AB31" s="229">
        <v>1.4E-3</v>
      </c>
      <c r="AC31" s="228">
        <v>2</v>
      </c>
      <c r="AD31" s="228">
        <v>2.6</v>
      </c>
      <c r="AE31" s="228">
        <v>-0.6</v>
      </c>
      <c r="AF31" s="229">
        <v>1.4E-3</v>
      </c>
      <c r="AG31" s="228">
        <v>4.0999999999999996</v>
      </c>
      <c r="AH31" s="228">
        <v>7.6</v>
      </c>
      <c r="AI31" s="228">
        <v>-3.5</v>
      </c>
      <c r="AJ31" s="229">
        <v>2.8999999999999998E-3</v>
      </c>
      <c r="AK31" s="228">
        <v>11.6</v>
      </c>
      <c r="AL31" s="228">
        <v>13.3</v>
      </c>
      <c r="AM31" s="228">
        <v>-1.7</v>
      </c>
      <c r="AN31" s="229">
        <v>8.0999999999999996E-3</v>
      </c>
      <c r="AO31" s="231">
        <v>1423.6</v>
      </c>
      <c r="AP31" s="231">
        <v>1427.46</v>
      </c>
      <c r="AQ31" s="228">
        <v>0</v>
      </c>
      <c r="AR31" s="230">
        <v>8812500</v>
      </c>
      <c r="AS31" s="230">
        <v>5096500</v>
      </c>
      <c r="AT31" s="230">
        <v>3716000</v>
      </c>
      <c r="AU31" s="229">
        <v>0.72909999999999997</v>
      </c>
      <c r="AV31" s="230">
        <v>4527000</v>
      </c>
      <c r="AW31" s="230">
        <v>2989500</v>
      </c>
      <c r="AX31" s="230">
        <v>1537500</v>
      </c>
      <c r="AY31" s="229">
        <v>0.51429999999999998</v>
      </c>
      <c r="AZ31" s="230">
        <v>4273500</v>
      </c>
      <c r="BA31" s="230">
        <v>2091500</v>
      </c>
      <c r="BB31" s="230">
        <v>2182000</v>
      </c>
      <c r="BC31" s="229">
        <v>1.0432999999999999</v>
      </c>
      <c r="BD31" s="230">
        <v>12000</v>
      </c>
      <c r="BE31" s="230">
        <v>15500</v>
      </c>
      <c r="BF31" s="230">
        <v>-3500</v>
      </c>
      <c r="BG31" s="229">
        <v>-0.2258</v>
      </c>
      <c r="BH31" s="230">
        <v>10385000</v>
      </c>
      <c r="BI31" s="230">
        <v>5292500</v>
      </c>
      <c r="BJ31" s="230">
        <v>5092500</v>
      </c>
      <c r="BK31" s="229">
        <v>0.96220000000000006</v>
      </c>
      <c r="BL31" s="230">
        <v>4236500</v>
      </c>
      <c r="BM31" s="230">
        <v>3207500</v>
      </c>
      <c r="BN31" s="230">
        <v>1029000</v>
      </c>
      <c r="BO31" s="229">
        <v>0.32079999999999997</v>
      </c>
      <c r="BP31" s="230">
        <v>23434000</v>
      </c>
      <c r="BQ31" s="230">
        <v>13596500</v>
      </c>
      <c r="BR31" s="230">
        <v>9837500</v>
      </c>
      <c r="BS31" s="229">
        <v>0.72350000000000003</v>
      </c>
      <c r="BT31" s="230">
        <v>701093</v>
      </c>
      <c r="BU31" s="230">
        <v>922901</v>
      </c>
      <c r="BV31" s="230">
        <v>-221808</v>
      </c>
      <c r="BW31" s="229">
        <v>-0.24030000000000001</v>
      </c>
      <c r="BX31" s="230">
        <v>7504500</v>
      </c>
      <c r="BY31" s="230">
        <v>7635000</v>
      </c>
      <c r="BZ31" s="230">
        <v>-130500</v>
      </c>
      <c r="CA31" s="229">
        <v>-1.7100000000000001E-2</v>
      </c>
      <c r="CB31" s="230">
        <v>3185500</v>
      </c>
      <c r="CC31" s="230">
        <v>5923000</v>
      </c>
      <c r="CD31" s="230">
        <v>-2737500</v>
      </c>
      <c r="CE31" s="229">
        <v>-0.4622</v>
      </c>
      <c r="CF31" s="230">
        <v>4281500</v>
      </c>
      <c r="CG31" s="230">
        <v>1676500</v>
      </c>
      <c r="CH31" s="230">
        <v>2605000</v>
      </c>
      <c r="CI31" s="229">
        <v>1.5538000000000001</v>
      </c>
      <c r="CJ31" s="230">
        <v>37500</v>
      </c>
      <c r="CK31" s="230">
        <v>35500</v>
      </c>
      <c r="CL31" s="230">
        <v>2000</v>
      </c>
      <c r="CM31" s="229">
        <v>5.6300000000000003E-2</v>
      </c>
      <c r="CN31" s="230">
        <v>4168500</v>
      </c>
      <c r="CO31" s="230">
        <v>4562000</v>
      </c>
      <c r="CP31" s="230">
        <v>-393500</v>
      </c>
      <c r="CQ31" s="229">
        <v>-8.6300000000000002E-2</v>
      </c>
      <c r="CR31" s="230">
        <v>2231500</v>
      </c>
      <c r="CS31" s="230">
        <v>2501500</v>
      </c>
      <c r="CT31" s="230">
        <v>-270000</v>
      </c>
      <c r="CU31" s="229">
        <v>-0.1079</v>
      </c>
      <c r="CV31" s="230">
        <v>13904500</v>
      </c>
      <c r="CW31" s="230">
        <v>14698500</v>
      </c>
      <c r="CX31" s="230">
        <v>-794000</v>
      </c>
      <c r="CY31" s="229">
        <v>-5.3999999999999999E-2</v>
      </c>
      <c r="CZ31" s="228">
        <v>31.75</v>
      </c>
      <c r="DA31" s="228">
        <v>30.11</v>
      </c>
      <c r="DB31" s="228">
        <v>1.64</v>
      </c>
      <c r="DC31" s="228">
        <v>1.64</v>
      </c>
      <c r="DD31" s="228">
        <v>36.01</v>
      </c>
      <c r="DE31" s="228">
        <v>35.76</v>
      </c>
      <c r="DF31" s="228">
        <v>-4.26</v>
      </c>
      <c r="DG31" s="228">
        <v>0.25</v>
      </c>
      <c r="DH31" s="228">
        <v>31.59</v>
      </c>
      <c r="DI31" s="228">
        <v>31.42</v>
      </c>
      <c r="DJ31" s="228">
        <v>0.17</v>
      </c>
      <c r="DK31" s="228">
        <v>0.17</v>
      </c>
      <c r="DL31" s="228">
        <v>31.99</v>
      </c>
      <c r="DM31" s="228">
        <v>27.93</v>
      </c>
      <c r="DN31" s="228">
        <v>4.0599999999999996</v>
      </c>
      <c r="DO31" s="228">
        <v>4.0599999999999996</v>
      </c>
      <c r="DP31" s="228">
        <v>0.54</v>
      </c>
      <c r="DQ31" s="228">
        <v>0.55000000000000004</v>
      </c>
      <c r="DR31" s="228">
        <v>-0.01</v>
      </c>
      <c r="DS31" s="229">
        <v>-1.8200000000000001E-2</v>
      </c>
      <c r="DT31" s="231">
        <v>1500</v>
      </c>
      <c r="DU31" s="231">
        <v>1400</v>
      </c>
      <c r="DV31" s="228">
        <v>0.41</v>
      </c>
      <c r="DW31" s="228">
        <v>0.61</v>
      </c>
      <c r="DX31" s="228">
        <v>-0.2</v>
      </c>
      <c r="DY31" s="229">
        <v>-0.32790000000000002</v>
      </c>
      <c r="DZ31" s="229">
        <v>0.57550000000000001</v>
      </c>
      <c r="EA31" s="230">
        <v>1712000</v>
      </c>
      <c r="EB31" s="229">
        <v>1.5E-3</v>
      </c>
      <c r="EC31" s="229">
        <v>0.57550000000000001</v>
      </c>
      <c r="ED31" s="228">
        <v>3.86</v>
      </c>
      <c r="EE31" s="229">
        <v>2.7000000000000001E-3</v>
      </c>
      <c r="EF31" s="230">
        <v>239090</v>
      </c>
      <c r="EG31" s="230">
        <v>472656</v>
      </c>
      <c r="EH31" s="229">
        <v>-0.49419999999999997</v>
      </c>
      <c r="EI31" s="229">
        <v>0.34100000000000003</v>
      </c>
      <c r="EJ31" s="231">
        <v>154387.92000000001</v>
      </c>
      <c r="EK31" s="231">
        <v>59986.99</v>
      </c>
      <c r="EL31" s="231">
        <v>125620.63</v>
      </c>
      <c r="EM31" s="231">
        <v>5429</v>
      </c>
      <c r="EN31" s="231">
        <v>339995.54</v>
      </c>
      <c r="EO31" s="231">
        <v>192356.42</v>
      </c>
      <c r="EP31" s="231">
        <v>147639.12</v>
      </c>
      <c r="EQ31" s="229">
        <v>0.76749999999999996</v>
      </c>
      <c r="ER31" s="231">
        <v>62467</v>
      </c>
      <c r="ES31" s="231">
        <v>31203</v>
      </c>
      <c r="ET31" s="231">
        <v>107671</v>
      </c>
      <c r="EU31" s="231">
        <v>40107751</v>
      </c>
      <c r="EV31" s="231">
        <v>201340</v>
      </c>
      <c r="EW31" s="231">
        <v>208782</v>
      </c>
      <c r="EX31" s="231">
        <v>-7442</v>
      </c>
      <c r="EY31" s="229">
        <v>-3.56E-2</v>
      </c>
      <c r="EZ31" s="229">
        <v>0.34670000000000001</v>
      </c>
      <c r="FA31" s="227" t="s">
        <v>556</v>
      </c>
      <c r="FB31" s="161">
        <f t="shared" si="0"/>
        <v>4319000</v>
      </c>
    </row>
    <row r="32" spans="1:158" ht="17.25" hidden="1" thickBot="1" x14ac:dyDescent="0.3">
      <c r="A32" s="226">
        <v>46044</v>
      </c>
      <c r="B32" s="227" t="s">
        <v>188</v>
      </c>
      <c r="C32" s="227" t="s">
        <v>189</v>
      </c>
      <c r="D32" s="228">
        <v>475</v>
      </c>
      <c r="E32" s="231">
        <v>2006</v>
      </c>
      <c r="F32" s="231">
        <v>1995.5</v>
      </c>
      <c r="G32" s="228">
        <v>10.5</v>
      </c>
      <c r="H32" s="229">
        <v>5.3E-3</v>
      </c>
      <c r="I32" s="231">
        <v>2002.2</v>
      </c>
      <c r="J32" s="231">
        <v>1996.1</v>
      </c>
      <c r="K32" s="228">
        <v>6.1</v>
      </c>
      <c r="L32" s="229">
        <v>3.0999999999999999E-3</v>
      </c>
      <c r="M32" s="231">
        <v>2006</v>
      </c>
      <c r="N32" s="231">
        <v>1995.5</v>
      </c>
      <c r="O32" s="228">
        <v>10.5</v>
      </c>
      <c r="P32" s="229">
        <v>5.3E-3</v>
      </c>
      <c r="Q32" s="231">
        <v>2017</v>
      </c>
      <c r="R32" s="231">
        <v>2006.2</v>
      </c>
      <c r="S32" s="228">
        <v>10.8</v>
      </c>
      <c r="T32" s="229">
        <v>5.4000000000000003E-3</v>
      </c>
      <c r="U32" s="231">
        <v>2025.2</v>
      </c>
      <c r="V32" s="231">
        <v>2014.7</v>
      </c>
      <c r="W32" s="228">
        <v>10.5</v>
      </c>
      <c r="X32" s="229">
        <v>5.1999999999999998E-3</v>
      </c>
      <c r="Y32" s="228">
        <v>3.8</v>
      </c>
      <c r="Z32" s="228">
        <v>-0.6</v>
      </c>
      <c r="AA32" s="228">
        <v>4.4000000000000004</v>
      </c>
      <c r="AB32" s="229">
        <v>1.9E-3</v>
      </c>
      <c r="AC32" s="228">
        <v>3.8</v>
      </c>
      <c r="AD32" s="228">
        <v>-0.6</v>
      </c>
      <c r="AE32" s="228">
        <v>4.4000000000000004</v>
      </c>
      <c r="AF32" s="229">
        <v>1.9E-3</v>
      </c>
      <c r="AG32" s="228">
        <v>14.8</v>
      </c>
      <c r="AH32" s="228">
        <v>10.1</v>
      </c>
      <c r="AI32" s="228">
        <v>4.7</v>
      </c>
      <c r="AJ32" s="229">
        <v>7.4000000000000003E-3</v>
      </c>
      <c r="AK32" s="228">
        <v>23</v>
      </c>
      <c r="AL32" s="228">
        <v>18.600000000000001</v>
      </c>
      <c r="AM32" s="228">
        <v>4.4000000000000004</v>
      </c>
      <c r="AN32" s="229">
        <v>1.15E-2</v>
      </c>
      <c r="AO32" s="231">
        <v>2003.64</v>
      </c>
      <c r="AP32" s="231">
        <v>2014.3</v>
      </c>
      <c r="AQ32" s="228">
        <v>0</v>
      </c>
      <c r="AR32" s="230">
        <v>39267775</v>
      </c>
      <c r="AS32" s="230">
        <v>24777900</v>
      </c>
      <c r="AT32" s="230">
        <v>14489875</v>
      </c>
      <c r="AU32" s="229">
        <v>0.58479999999999999</v>
      </c>
      <c r="AV32" s="230">
        <v>19988950</v>
      </c>
      <c r="AW32" s="230">
        <v>13180775</v>
      </c>
      <c r="AX32" s="230">
        <v>6808175</v>
      </c>
      <c r="AY32" s="229">
        <v>0.51649999999999996</v>
      </c>
      <c r="AZ32" s="230">
        <v>18863675</v>
      </c>
      <c r="BA32" s="230">
        <v>11412825</v>
      </c>
      <c r="BB32" s="230">
        <v>7450850</v>
      </c>
      <c r="BC32" s="229">
        <v>0.65280000000000005</v>
      </c>
      <c r="BD32" s="230">
        <v>415150</v>
      </c>
      <c r="BE32" s="230">
        <v>184300</v>
      </c>
      <c r="BF32" s="230">
        <v>230850</v>
      </c>
      <c r="BG32" s="229">
        <v>1.2525999999999999</v>
      </c>
      <c r="BH32" s="230">
        <v>29536925</v>
      </c>
      <c r="BI32" s="230">
        <v>31251675</v>
      </c>
      <c r="BJ32" s="230">
        <v>-1714750</v>
      </c>
      <c r="BK32" s="229">
        <v>-5.4899999999999997E-2</v>
      </c>
      <c r="BL32" s="230">
        <v>15150125</v>
      </c>
      <c r="BM32" s="230">
        <v>19242250</v>
      </c>
      <c r="BN32" s="230">
        <v>-4092125</v>
      </c>
      <c r="BO32" s="229">
        <v>-0.2127</v>
      </c>
      <c r="BP32" s="230">
        <v>83954825</v>
      </c>
      <c r="BQ32" s="230">
        <v>75271825</v>
      </c>
      <c r="BR32" s="230">
        <v>8683000</v>
      </c>
      <c r="BS32" s="229">
        <v>0.1154</v>
      </c>
      <c r="BT32" s="230">
        <v>7416968</v>
      </c>
      <c r="BU32" s="230">
        <v>8262799</v>
      </c>
      <c r="BV32" s="230">
        <v>-845831</v>
      </c>
      <c r="BW32" s="229">
        <v>-0.1024</v>
      </c>
      <c r="BX32" s="230">
        <v>53711100</v>
      </c>
      <c r="BY32" s="230">
        <v>53041350</v>
      </c>
      <c r="BZ32" s="230">
        <v>669750</v>
      </c>
      <c r="CA32" s="229">
        <v>1.26E-2</v>
      </c>
      <c r="CB32" s="230">
        <v>20281075</v>
      </c>
      <c r="CC32" s="230">
        <v>36699925</v>
      </c>
      <c r="CD32" s="230">
        <v>-16418850</v>
      </c>
      <c r="CE32" s="229">
        <v>-0.44740000000000002</v>
      </c>
      <c r="CF32" s="230">
        <v>31828325</v>
      </c>
      <c r="CG32" s="230">
        <v>15013325</v>
      </c>
      <c r="CH32" s="230">
        <v>16815000</v>
      </c>
      <c r="CI32" s="229">
        <v>1.1200000000000001</v>
      </c>
      <c r="CJ32" s="230">
        <v>1601700</v>
      </c>
      <c r="CK32" s="230">
        <v>1328100</v>
      </c>
      <c r="CL32" s="230">
        <v>273600</v>
      </c>
      <c r="CM32" s="229">
        <v>0.20599999999999999</v>
      </c>
      <c r="CN32" s="230">
        <v>15474550</v>
      </c>
      <c r="CO32" s="230">
        <v>16611700</v>
      </c>
      <c r="CP32" s="230">
        <v>-1137150</v>
      </c>
      <c r="CQ32" s="229">
        <v>-6.8500000000000005E-2</v>
      </c>
      <c r="CR32" s="230">
        <v>7233775</v>
      </c>
      <c r="CS32" s="230">
        <v>7486000</v>
      </c>
      <c r="CT32" s="230">
        <v>-252225</v>
      </c>
      <c r="CU32" s="229">
        <v>-3.3700000000000001E-2</v>
      </c>
      <c r="CV32" s="230">
        <v>76419425</v>
      </c>
      <c r="CW32" s="230">
        <v>77139050</v>
      </c>
      <c r="CX32" s="230">
        <v>-719625</v>
      </c>
      <c r="CY32" s="229">
        <v>-9.2999999999999992E-3</v>
      </c>
      <c r="CZ32" s="228">
        <v>21.58</v>
      </c>
      <c r="DA32" s="228">
        <v>19.88</v>
      </c>
      <c r="DB32" s="228">
        <v>1.7</v>
      </c>
      <c r="DC32" s="228">
        <v>1.7</v>
      </c>
      <c r="DD32" s="228">
        <v>23.81</v>
      </c>
      <c r="DE32" s="228">
        <v>23.87</v>
      </c>
      <c r="DF32" s="228">
        <v>-2.23</v>
      </c>
      <c r="DG32" s="228">
        <v>-0.06</v>
      </c>
      <c r="DH32" s="228">
        <v>21.26</v>
      </c>
      <c r="DI32" s="228">
        <v>19.54</v>
      </c>
      <c r="DJ32" s="228">
        <v>1.72</v>
      </c>
      <c r="DK32" s="228">
        <v>1.72</v>
      </c>
      <c r="DL32" s="228">
        <v>22.04</v>
      </c>
      <c r="DM32" s="228">
        <v>20.440000000000001</v>
      </c>
      <c r="DN32" s="228">
        <v>1.6</v>
      </c>
      <c r="DO32" s="228">
        <v>1.6</v>
      </c>
      <c r="DP32" s="228">
        <v>0.47</v>
      </c>
      <c r="DQ32" s="228">
        <v>0.45</v>
      </c>
      <c r="DR32" s="228">
        <v>0.02</v>
      </c>
      <c r="DS32" s="229">
        <v>4.4400000000000002E-2</v>
      </c>
      <c r="DT32" s="231">
        <v>2100</v>
      </c>
      <c r="DU32" s="231">
        <v>2000</v>
      </c>
      <c r="DV32" s="228">
        <v>0.51</v>
      </c>
      <c r="DW32" s="228">
        <v>0.62</v>
      </c>
      <c r="DX32" s="228">
        <v>-0.11</v>
      </c>
      <c r="DY32" s="229">
        <v>-0.1774</v>
      </c>
      <c r="DZ32" s="229">
        <v>0.62239999999999995</v>
      </c>
      <c r="EA32" s="230">
        <v>16341425</v>
      </c>
      <c r="EB32" s="229">
        <v>5.4999999999999997E-3</v>
      </c>
      <c r="EC32" s="229">
        <v>0.62239999999999995</v>
      </c>
      <c r="ED32" s="228">
        <v>10.66</v>
      </c>
      <c r="EE32" s="229">
        <v>5.3E-3</v>
      </c>
      <c r="EF32" s="230">
        <v>4391282</v>
      </c>
      <c r="EG32" s="230">
        <v>4784310</v>
      </c>
      <c r="EH32" s="229">
        <v>-8.2100000000000006E-2</v>
      </c>
      <c r="EI32" s="229">
        <v>0.59209999999999996</v>
      </c>
      <c r="EJ32" s="231">
        <v>608608.54</v>
      </c>
      <c r="EK32" s="231">
        <v>302182.28000000003</v>
      </c>
      <c r="EL32" s="231">
        <v>788882.73</v>
      </c>
      <c r="EM32" s="231">
        <v>22857</v>
      </c>
      <c r="EN32" s="231">
        <v>1699673.55</v>
      </c>
      <c r="EO32" s="231">
        <v>1517536.11</v>
      </c>
      <c r="EP32" s="231">
        <v>182137.44</v>
      </c>
      <c r="EQ32" s="229">
        <v>0.12</v>
      </c>
      <c r="ER32" s="231">
        <v>328537</v>
      </c>
      <c r="ES32" s="231">
        <v>144821</v>
      </c>
      <c r="ET32" s="231">
        <v>1081253</v>
      </c>
      <c r="EU32" s="231">
        <v>367085962</v>
      </c>
      <c r="EV32" s="231">
        <v>1554611</v>
      </c>
      <c r="EW32" s="231">
        <v>1562711</v>
      </c>
      <c r="EX32" s="231">
        <v>-8100</v>
      </c>
      <c r="EY32" s="229">
        <v>-5.1999999999999998E-3</v>
      </c>
      <c r="EZ32" s="229">
        <v>0.2082</v>
      </c>
      <c r="FA32" s="227" t="s">
        <v>555</v>
      </c>
      <c r="FB32" s="161">
        <f t="shared" si="0"/>
        <v>33430025</v>
      </c>
    </row>
    <row r="33" spans="1:158" ht="17.25" hidden="1" thickBot="1" x14ac:dyDescent="0.3">
      <c r="A33" s="226">
        <v>46044</v>
      </c>
      <c r="B33" s="227" t="s">
        <v>184</v>
      </c>
      <c r="C33" s="227" t="s">
        <v>190</v>
      </c>
      <c r="D33" s="228">
        <v>2625</v>
      </c>
      <c r="E33" s="228">
        <v>251.75</v>
      </c>
      <c r="F33" s="228">
        <v>252.45</v>
      </c>
      <c r="G33" s="228">
        <v>-0.7</v>
      </c>
      <c r="H33" s="229">
        <v>-2.8E-3</v>
      </c>
      <c r="I33" s="228">
        <v>251.55</v>
      </c>
      <c r="J33" s="228">
        <v>252.35</v>
      </c>
      <c r="K33" s="228">
        <v>-0.8</v>
      </c>
      <c r="L33" s="229">
        <v>-3.2000000000000002E-3</v>
      </c>
      <c r="M33" s="228">
        <v>251.75</v>
      </c>
      <c r="N33" s="228">
        <v>252.45</v>
      </c>
      <c r="O33" s="228">
        <v>-0.7</v>
      </c>
      <c r="P33" s="229">
        <v>-2.8E-3</v>
      </c>
      <c r="Q33" s="228">
        <v>252.95</v>
      </c>
      <c r="R33" s="228">
        <v>253.7</v>
      </c>
      <c r="S33" s="228">
        <v>-0.75</v>
      </c>
      <c r="T33" s="229">
        <v>-3.0000000000000001E-3</v>
      </c>
      <c r="U33" s="228">
        <v>254.65</v>
      </c>
      <c r="V33" s="228">
        <v>255.3</v>
      </c>
      <c r="W33" s="228">
        <v>-0.65</v>
      </c>
      <c r="X33" s="229">
        <v>-2.5000000000000001E-3</v>
      </c>
      <c r="Y33" s="228">
        <v>0.2</v>
      </c>
      <c r="Z33" s="228">
        <v>0.1</v>
      </c>
      <c r="AA33" s="228">
        <v>0.1</v>
      </c>
      <c r="AB33" s="229">
        <v>8.0000000000000004E-4</v>
      </c>
      <c r="AC33" s="228">
        <v>0.2</v>
      </c>
      <c r="AD33" s="228">
        <v>0.1</v>
      </c>
      <c r="AE33" s="228">
        <v>0.1</v>
      </c>
      <c r="AF33" s="229">
        <v>8.0000000000000004E-4</v>
      </c>
      <c r="AG33" s="228">
        <v>1.4</v>
      </c>
      <c r="AH33" s="228">
        <v>1.35</v>
      </c>
      <c r="AI33" s="228">
        <v>0.05</v>
      </c>
      <c r="AJ33" s="229">
        <v>5.5999999999999999E-3</v>
      </c>
      <c r="AK33" s="228">
        <v>3.1</v>
      </c>
      <c r="AL33" s="228">
        <v>2.95</v>
      </c>
      <c r="AM33" s="228">
        <v>0.15</v>
      </c>
      <c r="AN33" s="229">
        <v>1.23E-2</v>
      </c>
      <c r="AO33" s="228">
        <v>252.63</v>
      </c>
      <c r="AP33" s="228">
        <v>253.83</v>
      </c>
      <c r="AQ33" s="228">
        <v>0</v>
      </c>
      <c r="AR33" s="230">
        <v>49885500</v>
      </c>
      <c r="AS33" s="230">
        <v>50313375</v>
      </c>
      <c r="AT33" s="230">
        <v>-427875</v>
      </c>
      <c r="AU33" s="229">
        <v>-8.5000000000000006E-3</v>
      </c>
      <c r="AV33" s="230">
        <v>26055750</v>
      </c>
      <c r="AW33" s="230">
        <v>32389875</v>
      </c>
      <c r="AX33" s="230">
        <v>-6334125</v>
      </c>
      <c r="AY33" s="229">
        <v>-0.1956</v>
      </c>
      <c r="AZ33" s="230">
        <v>23548875</v>
      </c>
      <c r="BA33" s="230">
        <v>17372250</v>
      </c>
      <c r="BB33" s="230">
        <v>6176625</v>
      </c>
      <c r="BC33" s="229">
        <v>0.35549999999999998</v>
      </c>
      <c r="BD33" s="230">
        <v>280875</v>
      </c>
      <c r="BE33" s="230">
        <v>551250</v>
      </c>
      <c r="BF33" s="230">
        <v>-270375</v>
      </c>
      <c r="BG33" s="229">
        <v>-0.49049999999999999</v>
      </c>
      <c r="BH33" s="230">
        <v>113092875</v>
      </c>
      <c r="BI33" s="230">
        <v>223986000</v>
      </c>
      <c r="BJ33" s="230">
        <v>-110893125</v>
      </c>
      <c r="BK33" s="229">
        <v>-0.49509999999999998</v>
      </c>
      <c r="BL33" s="230">
        <v>49911750</v>
      </c>
      <c r="BM33" s="230">
        <v>115019625</v>
      </c>
      <c r="BN33" s="230">
        <v>-65107875</v>
      </c>
      <c r="BO33" s="229">
        <v>-0.56610000000000005</v>
      </c>
      <c r="BP33" s="230">
        <v>212890125</v>
      </c>
      <c r="BQ33" s="230">
        <v>389319000</v>
      </c>
      <c r="BR33" s="230">
        <v>-176428875</v>
      </c>
      <c r="BS33" s="229">
        <v>-0.45319999999999999</v>
      </c>
      <c r="BT33" s="230">
        <v>6605120</v>
      </c>
      <c r="BU33" s="230">
        <v>15071485</v>
      </c>
      <c r="BV33" s="230">
        <v>-8466365</v>
      </c>
      <c r="BW33" s="229">
        <v>-0.56169999999999998</v>
      </c>
      <c r="BX33" s="230">
        <v>86790375</v>
      </c>
      <c r="BY33" s="230">
        <v>86821875</v>
      </c>
      <c r="BZ33" s="230">
        <v>-31500</v>
      </c>
      <c r="CA33" s="229">
        <v>-4.0000000000000002E-4</v>
      </c>
      <c r="CB33" s="230">
        <v>48544125</v>
      </c>
      <c r="CC33" s="230">
        <v>63393750</v>
      </c>
      <c r="CD33" s="230">
        <v>-14849625</v>
      </c>
      <c r="CE33" s="229">
        <v>-0.23419999999999999</v>
      </c>
      <c r="CF33" s="230">
        <v>36841875</v>
      </c>
      <c r="CG33" s="230">
        <v>22073625</v>
      </c>
      <c r="CH33" s="230">
        <v>14768250</v>
      </c>
      <c r="CI33" s="229">
        <v>0.66900000000000004</v>
      </c>
      <c r="CJ33" s="230">
        <v>1404375</v>
      </c>
      <c r="CK33" s="230">
        <v>1354500</v>
      </c>
      <c r="CL33" s="230">
        <v>49875</v>
      </c>
      <c r="CM33" s="229">
        <v>3.6799999999999999E-2</v>
      </c>
      <c r="CN33" s="230">
        <v>109798500</v>
      </c>
      <c r="CO33" s="230">
        <v>111680625</v>
      </c>
      <c r="CP33" s="230">
        <v>-1882125</v>
      </c>
      <c r="CQ33" s="229">
        <v>-1.6899999999999998E-2</v>
      </c>
      <c r="CR33" s="230">
        <v>43451625</v>
      </c>
      <c r="CS33" s="230">
        <v>45864000</v>
      </c>
      <c r="CT33" s="230">
        <v>-2412375</v>
      </c>
      <c r="CU33" s="229">
        <v>-5.2600000000000001E-2</v>
      </c>
      <c r="CV33" s="230">
        <v>240040500</v>
      </c>
      <c r="CW33" s="230">
        <v>244366500</v>
      </c>
      <c r="CX33" s="230">
        <v>-4326000</v>
      </c>
      <c r="CY33" s="229">
        <v>-1.77E-2</v>
      </c>
      <c r="CZ33" s="228">
        <v>38.770000000000003</v>
      </c>
      <c r="DA33" s="228">
        <v>36.21</v>
      </c>
      <c r="DB33" s="228">
        <v>2.56</v>
      </c>
      <c r="DC33" s="228">
        <v>2.56</v>
      </c>
      <c r="DD33" s="228">
        <v>45.46</v>
      </c>
      <c r="DE33" s="228">
        <v>45.57</v>
      </c>
      <c r="DF33" s="228">
        <v>-6.69</v>
      </c>
      <c r="DG33" s="228">
        <v>-0.11</v>
      </c>
      <c r="DH33" s="228">
        <v>38.950000000000003</v>
      </c>
      <c r="DI33" s="228">
        <v>38</v>
      </c>
      <c r="DJ33" s="228">
        <v>0.95</v>
      </c>
      <c r="DK33" s="228">
        <v>0.95</v>
      </c>
      <c r="DL33" s="228">
        <v>38.25</v>
      </c>
      <c r="DM33" s="228">
        <v>32.74</v>
      </c>
      <c r="DN33" s="228">
        <v>5.51</v>
      </c>
      <c r="DO33" s="228">
        <v>5.51</v>
      </c>
      <c r="DP33" s="228">
        <v>0.4</v>
      </c>
      <c r="DQ33" s="228">
        <v>0.41</v>
      </c>
      <c r="DR33" s="228">
        <v>-0.01</v>
      </c>
      <c r="DS33" s="229">
        <v>-2.4400000000000002E-2</v>
      </c>
      <c r="DT33" s="228">
        <v>300</v>
      </c>
      <c r="DU33" s="228">
        <v>250</v>
      </c>
      <c r="DV33" s="228">
        <v>0.44</v>
      </c>
      <c r="DW33" s="228">
        <v>0.51</v>
      </c>
      <c r="DX33" s="228">
        <v>-7.0000000000000007E-2</v>
      </c>
      <c r="DY33" s="229">
        <v>-0.13730000000000001</v>
      </c>
      <c r="DZ33" s="229">
        <v>0.44069999999999998</v>
      </c>
      <c r="EA33" s="230">
        <v>23428125</v>
      </c>
      <c r="EB33" s="229">
        <v>4.7999999999999996E-3</v>
      </c>
      <c r="EC33" s="229">
        <v>0.44069999999999998</v>
      </c>
      <c r="ED33" s="228">
        <v>1.2</v>
      </c>
      <c r="EE33" s="229">
        <v>4.7999999999999996E-3</v>
      </c>
      <c r="EF33" s="230">
        <v>2031417</v>
      </c>
      <c r="EG33" s="230">
        <v>2937886</v>
      </c>
      <c r="EH33" s="229">
        <v>-0.3085</v>
      </c>
      <c r="EI33" s="229">
        <v>0.30759999999999998</v>
      </c>
      <c r="EJ33" s="231">
        <v>305777.18</v>
      </c>
      <c r="EK33" s="231">
        <v>126901.77</v>
      </c>
      <c r="EL33" s="231">
        <v>126318.92</v>
      </c>
      <c r="EM33" s="231">
        <v>17125</v>
      </c>
      <c r="EN33" s="231">
        <v>558997.87</v>
      </c>
      <c r="EO33" s="231">
        <v>1022257.01</v>
      </c>
      <c r="EP33" s="231">
        <v>-463259.14</v>
      </c>
      <c r="EQ33" s="229">
        <v>-0.45319999999999999</v>
      </c>
      <c r="ER33" s="231">
        <v>314589</v>
      </c>
      <c r="ES33" s="231">
        <v>114244</v>
      </c>
      <c r="ET33" s="231">
        <v>218978</v>
      </c>
      <c r="EU33" s="231">
        <v>192361942</v>
      </c>
      <c r="EV33" s="231">
        <v>647810</v>
      </c>
      <c r="EW33" s="231">
        <v>660424</v>
      </c>
      <c r="EX33" s="231">
        <v>-12614</v>
      </c>
      <c r="EY33" s="229">
        <v>-1.9099999999999999E-2</v>
      </c>
      <c r="EZ33" s="229">
        <v>1.2479</v>
      </c>
      <c r="FA33" s="227" t="s">
        <v>568</v>
      </c>
      <c r="FB33" s="161">
        <f t="shared" si="0"/>
        <v>38246250</v>
      </c>
    </row>
    <row r="34" spans="1:158" ht="17.25" hidden="1" thickBot="1" x14ac:dyDescent="0.3">
      <c r="A34" s="226">
        <v>46044</v>
      </c>
      <c r="B34" s="227" t="s">
        <v>170</v>
      </c>
      <c r="C34" s="227" t="s">
        <v>191</v>
      </c>
      <c r="D34" s="228">
        <v>2500</v>
      </c>
      <c r="E34" s="228">
        <v>372.95</v>
      </c>
      <c r="F34" s="228">
        <v>364.95</v>
      </c>
      <c r="G34" s="228">
        <v>8</v>
      </c>
      <c r="H34" s="229">
        <v>2.1899999999999999E-2</v>
      </c>
      <c r="I34" s="228">
        <v>373</v>
      </c>
      <c r="J34" s="228">
        <v>364.85</v>
      </c>
      <c r="K34" s="228">
        <v>8.15</v>
      </c>
      <c r="L34" s="229">
        <v>2.23E-2</v>
      </c>
      <c r="M34" s="228">
        <v>372.95</v>
      </c>
      <c r="N34" s="228">
        <v>364.95</v>
      </c>
      <c r="O34" s="228">
        <v>8</v>
      </c>
      <c r="P34" s="229">
        <v>2.1899999999999999E-2</v>
      </c>
      <c r="Q34" s="228">
        <v>374.8</v>
      </c>
      <c r="R34" s="228">
        <v>366.75</v>
      </c>
      <c r="S34" s="228">
        <v>8.0500000000000007</v>
      </c>
      <c r="T34" s="229">
        <v>2.1899999999999999E-2</v>
      </c>
      <c r="U34" s="228">
        <v>377.35</v>
      </c>
      <c r="V34" s="228">
        <v>369.65</v>
      </c>
      <c r="W34" s="228">
        <v>7.7</v>
      </c>
      <c r="X34" s="229">
        <v>2.0799999999999999E-2</v>
      </c>
      <c r="Y34" s="228">
        <v>-0.05</v>
      </c>
      <c r="Z34" s="228">
        <v>0.1</v>
      </c>
      <c r="AA34" s="228">
        <v>-0.15</v>
      </c>
      <c r="AB34" s="229">
        <v>-1E-4</v>
      </c>
      <c r="AC34" s="228">
        <v>-0.05</v>
      </c>
      <c r="AD34" s="228">
        <v>0.1</v>
      </c>
      <c r="AE34" s="228">
        <v>-0.15</v>
      </c>
      <c r="AF34" s="229">
        <v>-1E-4</v>
      </c>
      <c r="AG34" s="228">
        <v>1.8</v>
      </c>
      <c r="AH34" s="228">
        <v>1.9</v>
      </c>
      <c r="AI34" s="228">
        <v>-0.1</v>
      </c>
      <c r="AJ34" s="229">
        <v>4.7999999999999996E-3</v>
      </c>
      <c r="AK34" s="228">
        <v>4.3499999999999996</v>
      </c>
      <c r="AL34" s="228">
        <v>4.8</v>
      </c>
      <c r="AM34" s="228">
        <v>-0.45</v>
      </c>
      <c r="AN34" s="229">
        <v>1.17E-2</v>
      </c>
      <c r="AO34" s="228">
        <v>372.09</v>
      </c>
      <c r="AP34" s="228">
        <v>374.07</v>
      </c>
      <c r="AQ34" s="228">
        <v>0</v>
      </c>
      <c r="AR34" s="230">
        <v>21210000</v>
      </c>
      <c r="AS34" s="230">
        <v>16692500</v>
      </c>
      <c r="AT34" s="230">
        <v>4517500</v>
      </c>
      <c r="AU34" s="229">
        <v>0.27060000000000001</v>
      </c>
      <c r="AV34" s="230">
        <v>11062500</v>
      </c>
      <c r="AW34" s="230">
        <v>9857500</v>
      </c>
      <c r="AX34" s="230">
        <v>1205000</v>
      </c>
      <c r="AY34" s="229">
        <v>0.1222</v>
      </c>
      <c r="AZ34" s="230">
        <v>10012500</v>
      </c>
      <c r="BA34" s="230">
        <v>6732500</v>
      </c>
      <c r="BB34" s="230">
        <v>3280000</v>
      </c>
      <c r="BC34" s="229">
        <v>0.48720000000000002</v>
      </c>
      <c r="BD34" s="230">
        <v>135000</v>
      </c>
      <c r="BE34" s="230">
        <v>102500</v>
      </c>
      <c r="BF34" s="230">
        <v>32500</v>
      </c>
      <c r="BG34" s="229">
        <v>0.31709999999999999</v>
      </c>
      <c r="BH34" s="230">
        <v>25520000</v>
      </c>
      <c r="BI34" s="230">
        <v>36535000</v>
      </c>
      <c r="BJ34" s="230">
        <v>-11015000</v>
      </c>
      <c r="BK34" s="229">
        <v>-0.30149999999999999</v>
      </c>
      <c r="BL34" s="230">
        <v>13675000</v>
      </c>
      <c r="BM34" s="230">
        <v>18107500</v>
      </c>
      <c r="BN34" s="230">
        <v>-4432500</v>
      </c>
      <c r="BO34" s="229">
        <v>-0.24479999999999999</v>
      </c>
      <c r="BP34" s="230">
        <v>60405000</v>
      </c>
      <c r="BQ34" s="230">
        <v>71335000</v>
      </c>
      <c r="BR34" s="230">
        <v>-10930000</v>
      </c>
      <c r="BS34" s="229">
        <v>-0.1532</v>
      </c>
      <c r="BT34" s="230">
        <v>1739712</v>
      </c>
      <c r="BU34" s="230">
        <v>2732250</v>
      </c>
      <c r="BV34" s="230">
        <v>-992538</v>
      </c>
      <c r="BW34" s="229">
        <v>-0.36330000000000001</v>
      </c>
      <c r="BX34" s="230">
        <v>50660000</v>
      </c>
      <c r="BY34" s="230">
        <v>50927500</v>
      </c>
      <c r="BZ34" s="230">
        <v>-267500</v>
      </c>
      <c r="CA34" s="229">
        <v>-5.3E-3</v>
      </c>
      <c r="CB34" s="230">
        <v>33135000</v>
      </c>
      <c r="CC34" s="230">
        <v>39635000</v>
      </c>
      <c r="CD34" s="230">
        <v>-6500000</v>
      </c>
      <c r="CE34" s="229">
        <v>-0.16400000000000001</v>
      </c>
      <c r="CF34" s="230">
        <v>17055000</v>
      </c>
      <c r="CG34" s="230">
        <v>10882500</v>
      </c>
      <c r="CH34" s="230">
        <v>6172500</v>
      </c>
      <c r="CI34" s="229">
        <v>0.56720000000000004</v>
      </c>
      <c r="CJ34" s="230">
        <v>470000</v>
      </c>
      <c r="CK34" s="230">
        <v>410000</v>
      </c>
      <c r="CL34" s="230">
        <v>60000</v>
      </c>
      <c r="CM34" s="229">
        <v>0.14630000000000001</v>
      </c>
      <c r="CN34" s="230">
        <v>29702500</v>
      </c>
      <c r="CO34" s="230">
        <v>32450000</v>
      </c>
      <c r="CP34" s="230">
        <v>-2747500</v>
      </c>
      <c r="CQ34" s="229">
        <v>-8.4699999999999998E-2</v>
      </c>
      <c r="CR34" s="230">
        <v>13550000</v>
      </c>
      <c r="CS34" s="230">
        <v>13985000</v>
      </c>
      <c r="CT34" s="230">
        <v>-435000</v>
      </c>
      <c r="CU34" s="229">
        <v>-3.1099999999999999E-2</v>
      </c>
      <c r="CV34" s="230">
        <v>93912500</v>
      </c>
      <c r="CW34" s="230">
        <v>97362500</v>
      </c>
      <c r="CX34" s="230">
        <v>-3450000</v>
      </c>
      <c r="CY34" s="229">
        <v>-3.5400000000000001E-2</v>
      </c>
      <c r="CZ34" s="228">
        <v>31.37</v>
      </c>
      <c r="DA34" s="228">
        <v>30.55</v>
      </c>
      <c r="DB34" s="228">
        <v>0.82</v>
      </c>
      <c r="DC34" s="228">
        <v>0.82</v>
      </c>
      <c r="DD34" s="228">
        <v>37.25</v>
      </c>
      <c r="DE34" s="228">
        <v>37.229999999999997</v>
      </c>
      <c r="DF34" s="228">
        <v>-5.88</v>
      </c>
      <c r="DG34" s="228">
        <v>0.02</v>
      </c>
      <c r="DH34" s="228">
        <v>31.28</v>
      </c>
      <c r="DI34" s="228">
        <v>31.56</v>
      </c>
      <c r="DJ34" s="228">
        <v>-0.28000000000000003</v>
      </c>
      <c r="DK34" s="228">
        <v>-0.28000000000000003</v>
      </c>
      <c r="DL34" s="228">
        <v>31.5</v>
      </c>
      <c r="DM34" s="228">
        <v>28.53</v>
      </c>
      <c r="DN34" s="228">
        <v>2.97</v>
      </c>
      <c r="DO34" s="228">
        <v>2.97</v>
      </c>
      <c r="DP34" s="228">
        <v>0.46</v>
      </c>
      <c r="DQ34" s="228">
        <v>0.43</v>
      </c>
      <c r="DR34" s="228">
        <v>0.03</v>
      </c>
      <c r="DS34" s="229">
        <v>6.9800000000000001E-2</v>
      </c>
      <c r="DT34" s="228">
        <v>400</v>
      </c>
      <c r="DU34" s="228">
        <v>380</v>
      </c>
      <c r="DV34" s="228">
        <v>0.54</v>
      </c>
      <c r="DW34" s="228">
        <v>0.5</v>
      </c>
      <c r="DX34" s="228">
        <v>0.04</v>
      </c>
      <c r="DY34" s="229">
        <v>0.08</v>
      </c>
      <c r="DZ34" s="229">
        <v>0.34589999999999999</v>
      </c>
      <c r="EA34" s="230">
        <v>11292500</v>
      </c>
      <c r="EB34" s="229">
        <v>5.0000000000000001E-3</v>
      </c>
      <c r="EC34" s="229">
        <v>0.34589999999999999</v>
      </c>
      <c r="ED34" s="228">
        <v>1.98</v>
      </c>
      <c r="EE34" s="229">
        <v>5.3E-3</v>
      </c>
      <c r="EF34" s="230">
        <v>768385</v>
      </c>
      <c r="EG34" s="230">
        <v>1204240</v>
      </c>
      <c r="EH34" s="229">
        <v>-0.3619</v>
      </c>
      <c r="EI34" s="229">
        <v>0.44169999999999998</v>
      </c>
      <c r="EJ34" s="231">
        <v>99473.52</v>
      </c>
      <c r="EK34" s="231">
        <v>51069.83</v>
      </c>
      <c r="EL34" s="231">
        <v>79124.88</v>
      </c>
      <c r="EM34" s="231">
        <v>5400</v>
      </c>
      <c r="EN34" s="231">
        <v>229668.23</v>
      </c>
      <c r="EO34" s="231">
        <v>267763.17</v>
      </c>
      <c r="EP34" s="231">
        <v>-38094.94</v>
      </c>
      <c r="EQ34" s="229">
        <v>-0.14230000000000001</v>
      </c>
      <c r="ER34" s="231">
        <v>119038</v>
      </c>
      <c r="ES34" s="231">
        <v>50532</v>
      </c>
      <c r="ET34" s="231">
        <v>189273</v>
      </c>
      <c r="EU34" s="231">
        <v>91057772</v>
      </c>
      <c r="EV34" s="231">
        <v>358843</v>
      </c>
      <c r="EW34" s="231">
        <v>368415</v>
      </c>
      <c r="EX34" s="231">
        <v>-9572</v>
      </c>
      <c r="EY34" s="229">
        <v>-2.5999999999999999E-2</v>
      </c>
      <c r="EZ34" s="229">
        <v>1.0314000000000001</v>
      </c>
      <c r="FA34" s="227" t="s">
        <v>556</v>
      </c>
      <c r="FB34" s="161">
        <f t="shared" si="0"/>
        <v>17525000</v>
      </c>
    </row>
    <row r="35" spans="1:158" ht="17.25" hidden="1" thickBot="1" x14ac:dyDescent="0.3">
      <c r="A35" s="226">
        <v>46044</v>
      </c>
      <c r="B35" s="227" t="s">
        <v>184</v>
      </c>
      <c r="C35" s="227" t="s">
        <v>679</v>
      </c>
      <c r="D35" s="228">
        <v>325</v>
      </c>
      <c r="E35" s="231">
        <v>1714.4</v>
      </c>
      <c r="F35" s="231">
        <v>1710.7</v>
      </c>
      <c r="G35" s="228">
        <v>3.7</v>
      </c>
      <c r="H35" s="229">
        <v>2.2000000000000001E-3</v>
      </c>
      <c r="I35" s="231">
        <v>1709.3</v>
      </c>
      <c r="J35" s="231">
        <v>1713.7</v>
      </c>
      <c r="K35" s="228">
        <v>-4.4000000000000004</v>
      </c>
      <c r="L35" s="229">
        <v>-2.5999999999999999E-3</v>
      </c>
      <c r="M35" s="231">
        <v>1714.4</v>
      </c>
      <c r="N35" s="231">
        <v>1710.7</v>
      </c>
      <c r="O35" s="228">
        <v>3.7</v>
      </c>
      <c r="P35" s="229">
        <v>2.2000000000000001E-3</v>
      </c>
      <c r="Q35" s="231">
        <v>1717.6</v>
      </c>
      <c r="R35" s="231">
        <v>1707.5</v>
      </c>
      <c r="S35" s="228">
        <v>10.1</v>
      </c>
      <c r="T35" s="229">
        <v>5.8999999999999999E-3</v>
      </c>
      <c r="U35" s="231">
        <v>1740.5</v>
      </c>
      <c r="V35" s="231">
        <v>1721</v>
      </c>
      <c r="W35" s="228">
        <v>19.5</v>
      </c>
      <c r="X35" s="229">
        <v>1.1299999999999999E-2</v>
      </c>
      <c r="Y35" s="228">
        <v>5.0999999999999996</v>
      </c>
      <c r="Z35" s="228">
        <v>-3</v>
      </c>
      <c r="AA35" s="228">
        <v>8.1</v>
      </c>
      <c r="AB35" s="229">
        <v>3.0000000000000001E-3</v>
      </c>
      <c r="AC35" s="228">
        <v>5.0999999999999996</v>
      </c>
      <c r="AD35" s="228">
        <v>-3</v>
      </c>
      <c r="AE35" s="228">
        <v>8.1</v>
      </c>
      <c r="AF35" s="229">
        <v>3.0000000000000001E-3</v>
      </c>
      <c r="AG35" s="228">
        <v>8.3000000000000007</v>
      </c>
      <c r="AH35" s="228">
        <v>-6.2</v>
      </c>
      <c r="AI35" s="228">
        <v>14.5</v>
      </c>
      <c r="AJ35" s="229">
        <v>4.8999999999999998E-3</v>
      </c>
      <c r="AK35" s="228">
        <v>31.2</v>
      </c>
      <c r="AL35" s="228">
        <v>7.3</v>
      </c>
      <c r="AM35" s="228">
        <v>23.9</v>
      </c>
      <c r="AN35" s="229">
        <v>1.83E-2</v>
      </c>
      <c r="AO35" s="231">
        <v>1726.66</v>
      </c>
      <c r="AP35" s="231">
        <v>1727.74</v>
      </c>
      <c r="AQ35" s="228">
        <v>0</v>
      </c>
      <c r="AR35" s="230">
        <v>2191150</v>
      </c>
      <c r="AS35" s="230">
        <v>2933450</v>
      </c>
      <c r="AT35" s="230">
        <v>-742300</v>
      </c>
      <c r="AU35" s="229">
        <v>-0.253</v>
      </c>
      <c r="AV35" s="230">
        <v>1139125</v>
      </c>
      <c r="AW35" s="230">
        <v>1634100</v>
      </c>
      <c r="AX35" s="230">
        <v>-494975</v>
      </c>
      <c r="AY35" s="229">
        <v>-0.3029</v>
      </c>
      <c r="AZ35" s="230">
        <v>1051050</v>
      </c>
      <c r="BA35" s="230">
        <v>1298375</v>
      </c>
      <c r="BB35" s="230">
        <v>-247325</v>
      </c>
      <c r="BC35" s="229">
        <v>-0.1905</v>
      </c>
      <c r="BD35" s="228">
        <v>975</v>
      </c>
      <c r="BE35" s="228">
        <v>975</v>
      </c>
      <c r="BF35" s="228">
        <v>0</v>
      </c>
      <c r="BG35" s="229">
        <v>0</v>
      </c>
      <c r="BH35" s="230">
        <v>1017575</v>
      </c>
      <c r="BI35" s="230">
        <v>2051725</v>
      </c>
      <c r="BJ35" s="230">
        <v>-1034150</v>
      </c>
      <c r="BK35" s="229">
        <v>-0.504</v>
      </c>
      <c r="BL35" s="230">
        <v>676000</v>
      </c>
      <c r="BM35" s="230">
        <v>3318250</v>
      </c>
      <c r="BN35" s="230">
        <v>-2642250</v>
      </c>
      <c r="BO35" s="229">
        <v>-0.79630000000000001</v>
      </c>
      <c r="BP35" s="230">
        <v>3884725</v>
      </c>
      <c r="BQ35" s="230">
        <v>8303425</v>
      </c>
      <c r="BR35" s="230">
        <v>-4418700</v>
      </c>
      <c r="BS35" s="229">
        <v>-0.53220000000000001</v>
      </c>
      <c r="BT35" s="230">
        <v>253506</v>
      </c>
      <c r="BU35" s="230">
        <v>720117</v>
      </c>
      <c r="BV35" s="230">
        <v>-466611</v>
      </c>
      <c r="BW35" s="229">
        <v>-0.64800000000000002</v>
      </c>
      <c r="BX35" s="230">
        <v>2857725</v>
      </c>
      <c r="BY35" s="230">
        <v>2992925</v>
      </c>
      <c r="BZ35" s="230">
        <v>-135200</v>
      </c>
      <c r="CA35" s="229">
        <v>-4.5199999999999997E-2</v>
      </c>
      <c r="CB35" s="230">
        <v>970125</v>
      </c>
      <c r="CC35" s="230">
        <v>1759550</v>
      </c>
      <c r="CD35" s="230">
        <v>-789425</v>
      </c>
      <c r="CE35" s="229">
        <v>-0.44869999999999999</v>
      </c>
      <c r="CF35" s="230">
        <v>1886300</v>
      </c>
      <c r="CG35" s="230">
        <v>1232725</v>
      </c>
      <c r="CH35" s="230">
        <v>653575</v>
      </c>
      <c r="CI35" s="229">
        <v>0.5302</v>
      </c>
      <c r="CJ35" s="230">
        <v>1300</v>
      </c>
      <c r="CK35" s="228">
        <v>650</v>
      </c>
      <c r="CL35" s="228">
        <v>650</v>
      </c>
      <c r="CM35" s="229">
        <v>1</v>
      </c>
      <c r="CN35" s="230">
        <v>965575</v>
      </c>
      <c r="CO35" s="230">
        <v>944125</v>
      </c>
      <c r="CP35" s="230">
        <v>21450</v>
      </c>
      <c r="CQ35" s="229">
        <v>2.2700000000000001E-2</v>
      </c>
      <c r="CR35" s="230">
        <v>944450</v>
      </c>
      <c r="CS35" s="230">
        <v>947375</v>
      </c>
      <c r="CT35" s="230">
        <v>-2925</v>
      </c>
      <c r="CU35" s="229">
        <v>-3.0999999999999999E-3</v>
      </c>
      <c r="CV35" s="230">
        <v>4767750</v>
      </c>
      <c r="CW35" s="230">
        <v>4884425</v>
      </c>
      <c r="CX35" s="230">
        <v>-116675</v>
      </c>
      <c r="CY35" s="229">
        <v>-2.3900000000000001E-2</v>
      </c>
      <c r="CZ35" s="228">
        <v>33.56</v>
      </c>
      <c r="DA35" s="228">
        <v>25.76</v>
      </c>
      <c r="DB35" s="228">
        <v>7.8</v>
      </c>
      <c r="DC35" s="228">
        <v>7.8</v>
      </c>
      <c r="DD35" s="228">
        <v>38.85</v>
      </c>
      <c r="DE35" s="228">
        <v>38.950000000000003</v>
      </c>
      <c r="DF35" s="228">
        <v>-5.29</v>
      </c>
      <c r="DG35" s="228">
        <v>-0.1</v>
      </c>
      <c r="DH35" s="228">
        <v>34.58</v>
      </c>
      <c r="DI35" s="228">
        <v>27.2</v>
      </c>
      <c r="DJ35" s="228">
        <v>7.38</v>
      </c>
      <c r="DK35" s="228">
        <v>7.38</v>
      </c>
      <c r="DL35" s="228">
        <v>32.79</v>
      </c>
      <c r="DM35" s="228">
        <v>24.87</v>
      </c>
      <c r="DN35" s="228">
        <v>7.92</v>
      </c>
      <c r="DO35" s="228">
        <v>7.92</v>
      </c>
      <c r="DP35" s="228">
        <v>0.98</v>
      </c>
      <c r="DQ35" s="228">
        <v>1</v>
      </c>
      <c r="DR35" s="228">
        <v>-0.02</v>
      </c>
      <c r="DS35" s="229">
        <v>-0.02</v>
      </c>
      <c r="DT35" s="231">
        <v>1760</v>
      </c>
      <c r="DU35" s="231">
        <v>1660</v>
      </c>
      <c r="DV35" s="228">
        <v>0.66</v>
      </c>
      <c r="DW35" s="228">
        <v>1.62</v>
      </c>
      <c r="DX35" s="228">
        <v>-0.96</v>
      </c>
      <c r="DY35" s="229">
        <v>-0.59260000000000002</v>
      </c>
      <c r="DZ35" s="229">
        <v>0.66049999999999998</v>
      </c>
      <c r="EA35" s="230">
        <v>1233375</v>
      </c>
      <c r="EB35" s="229">
        <v>1.9E-3</v>
      </c>
      <c r="EC35" s="229">
        <v>0.66049999999999998</v>
      </c>
      <c r="ED35" s="228">
        <v>1.08</v>
      </c>
      <c r="EE35" s="229">
        <v>5.9999999999999995E-4</v>
      </c>
      <c r="EF35" s="230">
        <v>132185</v>
      </c>
      <c r="EG35" s="230">
        <v>383233</v>
      </c>
      <c r="EH35" s="229">
        <v>-0.65510000000000002</v>
      </c>
      <c r="EI35" s="229">
        <v>0.52139999999999997</v>
      </c>
      <c r="EJ35" s="231">
        <v>18327.91</v>
      </c>
      <c r="EK35" s="231">
        <v>11280.99</v>
      </c>
      <c r="EL35" s="231">
        <v>37845.11</v>
      </c>
      <c r="EM35" s="231">
        <v>3771</v>
      </c>
      <c r="EN35" s="231">
        <v>67454.009999999995</v>
      </c>
      <c r="EO35" s="231">
        <v>142456.34</v>
      </c>
      <c r="EP35" s="231">
        <v>-75002.33</v>
      </c>
      <c r="EQ35" s="229">
        <v>-0.52649999999999997</v>
      </c>
      <c r="ER35" s="231">
        <v>17829</v>
      </c>
      <c r="ES35" s="231">
        <v>15948</v>
      </c>
      <c r="ET35" s="231">
        <v>49054</v>
      </c>
      <c r="EU35" s="231">
        <v>17213286</v>
      </c>
      <c r="EV35" s="231">
        <v>82830</v>
      </c>
      <c r="EW35" s="231">
        <v>84587</v>
      </c>
      <c r="EX35" s="231">
        <v>-1757</v>
      </c>
      <c r="EY35" s="229">
        <v>-2.0799999999999999E-2</v>
      </c>
      <c r="EZ35" s="229">
        <v>0.27700000000000002</v>
      </c>
      <c r="FA35" s="227" t="s">
        <v>556</v>
      </c>
      <c r="FB35" s="161">
        <f t="shared" si="0"/>
        <v>1887600</v>
      </c>
    </row>
    <row r="36" spans="1:158" ht="17.25" hidden="1" thickBot="1" x14ac:dyDescent="0.3">
      <c r="A36" s="226">
        <v>46044</v>
      </c>
      <c r="B36" s="227" t="s">
        <v>162</v>
      </c>
      <c r="C36" s="227" t="s">
        <v>192</v>
      </c>
      <c r="D36" s="228">
        <v>25</v>
      </c>
      <c r="E36" s="231">
        <v>35825</v>
      </c>
      <c r="F36" s="231">
        <v>35175</v>
      </c>
      <c r="G36" s="228">
        <v>650</v>
      </c>
      <c r="H36" s="229">
        <v>1.8499999999999999E-2</v>
      </c>
      <c r="I36" s="231">
        <v>35710</v>
      </c>
      <c r="J36" s="231">
        <v>35130</v>
      </c>
      <c r="K36" s="228">
        <v>580</v>
      </c>
      <c r="L36" s="229">
        <v>1.6500000000000001E-2</v>
      </c>
      <c r="M36" s="231">
        <v>35825</v>
      </c>
      <c r="N36" s="231">
        <v>35175</v>
      </c>
      <c r="O36" s="228">
        <v>650</v>
      </c>
      <c r="P36" s="229">
        <v>1.8499999999999999E-2</v>
      </c>
      <c r="Q36" s="231">
        <v>35885</v>
      </c>
      <c r="R36" s="231">
        <v>35230</v>
      </c>
      <c r="S36" s="228">
        <v>655</v>
      </c>
      <c r="T36" s="229">
        <v>1.8599999999999998E-2</v>
      </c>
      <c r="U36" s="231">
        <v>35910</v>
      </c>
      <c r="V36" s="231">
        <v>35365</v>
      </c>
      <c r="W36" s="228">
        <v>545</v>
      </c>
      <c r="X36" s="229">
        <v>1.54E-2</v>
      </c>
      <c r="Y36" s="228">
        <v>115</v>
      </c>
      <c r="Z36" s="228">
        <v>45</v>
      </c>
      <c r="AA36" s="228">
        <v>70</v>
      </c>
      <c r="AB36" s="229">
        <v>3.2000000000000002E-3</v>
      </c>
      <c r="AC36" s="228">
        <v>115</v>
      </c>
      <c r="AD36" s="228">
        <v>45</v>
      </c>
      <c r="AE36" s="228">
        <v>70</v>
      </c>
      <c r="AF36" s="229">
        <v>3.2000000000000002E-3</v>
      </c>
      <c r="AG36" s="228">
        <v>175</v>
      </c>
      <c r="AH36" s="228">
        <v>100</v>
      </c>
      <c r="AI36" s="228">
        <v>75</v>
      </c>
      <c r="AJ36" s="229">
        <v>4.8999999999999998E-3</v>
      </c>
      <c r="AK36" s="228">
        <v>200</v>
      </c>
      <c r="AL36" s="228">
        <v>235</v>
      </c>
      <c r="AM36" s="228">
        <v>-35</v>
      </c>
      <c r="AN36" s="229">
        <v>5.5999999999999999E-3</v>
      </c>
      <c r="AO36" s="231">
        <v>35683.56</v>
      </c>
      <c r="AP36" s="231">
        <v>35750.9</v>
      </c>
      <c r="AQ36" s="228">
        <v>0</v>
      </c>
      <c r="AR36" s="230">
        <v>175200</v>
      </c>
      <c r="AS36" s="230">
        <v>151075</v>
      </c>
      <c r="AT36" s="230">
        <v>24125</v>
      </c>
      <c r="AU36" s="229">
        <v>0.15970000000000001</v>
      </c>
      <c r="AV36" s="230">
        <v>102575</v>
      </c>
      <c r="AW36" s="230">
        <v>91425</v>
      </c>
      <c r="AX36" s="230">
        <v>11150</v>
      </c>
      <c r="AY36" s="229">
        <v>0.122</v>
      </c>
      <c r="AZ36" s="230">
        <v>72400</v>
      </c>
      <c r="BA36" s="230">
        <v>59075</v>
      </c>
      <c r="BB36" s="230">
        <v>13325</v>
      </c>
      <c r="BC36" s="229">
        <v>0.22559999999999999</v>
      </c>
      <c r="BD36" s="228">
        <v>225</v>
      </c>
      <c r="BE36" s="228">
        <v>575</v>
      </c>
      <c r="BF36" s="228">
        <v>-350</v>
      </c>
      <c r="BG36" s="229">
        <v>-0.60870000000000002</v>
      </c>
      <c r="BH36" s="230">
        <v>733050</v>
      </c>
      <c r="BI36" s="230">
        <v>623550</v>
      </c>
      <c r="BJ36" s="230">
        <v>109500</v>
      </c>
      <c r="BK36" s="229">
        <v>0.17560000000000001</v>
      </c>
      <c r="BL36" s="230">
        <v>124125</v>
      </c>
      <c r="BM36" s="230">
        <v>214775</v>
      </c>
      <c r="BN36" s="230">
        <v>-90650</v>
      </c>
      <c r="BO36" s="229">
        <v>-0.42209999999999998</v>
      </c>
      <c r="BP36" s="230">
        <v>1032375</v>
      </c>
      <c r="BQ36" s="230">
        <v>989400</v>
      </c>
      <c r="BR36" s="230">
        <v>42975</v>
      </c>
      <c r="BS36" s="229">
        <v>4.3400000000000001E-2</v>
      </c>
      <c r="BT36" s="230">
        <v>21826</v>
      </c>
      <c r="BU36" s="230">
        <v>35327</v>
      </c>
      <c r="BV36" s="230">
        <v>-13501</v>
      </c>
      <c r="BW36" s="229">
        <v>-0.38219999999999998</v>
      </c>
      <c r="BX36" s="230">
        <v>218075</v>
      </c>
      <c r="BY36" s="230">
        <v>218975</v>
      </c>
      <c r="BZ36" s="228">
        <v>-900</v>
      </c>
      <c r="CA36" s="229">
        <v>-4.1000000000000003E-3</v>
      </c>
      <c r="CB36" s="230">
        <v>127150</v>
      </c>
      <c r="CC36" s="230">
        <v>171600</v>
      </c>
      <c r="CD36" s="230">
        <v>-44450</v>
      </c>
      <c r="CE36" s="229">
        <v>-0.25900000000000001</v>
      </c>
      <c r="CF36" s="230">
        <v>89525</v>
      </c>
      <c r="CG36" s="230">
        <v>46100</v>
      </c>
      <c r="CH36" s="230">
        <v>43425</v>
      </c>
      <c r="CI36" s="229">
        <v>0.94199999999999995</v>
      </c>
      <c r="CJ36" s="230">
        <v>1400</v>
      </c>
      <c r="CK36" s="230">
        <v>1275</v>
      </c>
      <c r="CL36" s="228">
        <v>125</v>
      </c>
      <c r="CM36" s="229">
        <v>9.8000000000000004E-2</v>
      </c>
      <c r="CN36" s="230">
        <v>414175</v>
      </c>
      <c r="CO36" s="230">
        <v>418800</v>
      </c>
      <c r="CP36" s="230">
        <v>-4625</v>
      </c>
      <c r="CQ36" s="229">
        <v>-1.0999999999999999E-2</v>
      </c>
      <c r="CR36" s="230">
        <v>112175</v>
      </c>
      <c r="CS36" s="230">
        <v>114350</v>
      </c>
      <c r="CT36" s="230">
        <v>-2175</v>
      </c>
      <c r="CU36" s="229">
        <v>-1.9E-2</v>
      </c>
      <c r="CV36" s="230">
        <v>744425</v>
      </c>
      <c r="CW36" s="230">
        <v>752125</v>
      </c>
      <c r="CX36" s="230">
        <v>-7700</v>
      </c>
      <c r="CY36" s="229">
        <v>-1.0200000000000001E-2</v>
      </c>
      <c r="CZ36" s="228">
        <v>28.92</v>
      </c>
      <c r="DA36" s="228">
        <v>29.32</v>
      </c>
      <c r="DB36" s="228">
        <v>-0.4</v>
      </c>
      <c r="DC36" s="228">
        <v>-0.4</v>
      </c>
      <c r="DD36" s="228">
        <v>29.18</v>
      </c>
      <c r="DE36" s="228">
        <v>29.15</v>
      </c>
      <c r="DF36" s="228">
        <v>-0.26</v>
      </c>
      <c r="DG36" s="228">
        <v>0.03</v>
      </c>
      <c r="DH36" s="228">
        <v>28.37</v>
      </c>
      <c r="DI36" s="228">
        <v>30.66</v>
      </c>
      <c r="DJ36" s="228">
        <v>-2.29</v>
      </c>
      <c r="DK36" s="228">
        <v>-2.29</v>
      </c>
      <c r="DL36" s="228">
        <v>30.03</v>
      </c>
      <c r="DM36" s="228">
        <v>25.41</v>
      </c>
      <c r="DN36" s="228">
        <v>4.62</v>
      </c>
      <c r="DO36" s="228">
        <v>4.62</v>
      </c>
      <c r="DP36" s="228">
        <v>0.27</v>
      </c>
      <c r="DQ36" s="228">
        <v>0.27</v>
      </c>
      <c r="DR36" s="228">
        <v>0</v>
      </c>
      <c r="DS36" s="229">
        <v>0</v>
      </c>
      <c r="DT36" s="231">
        <v>40000</v>
      </c>
      <c r="DU36" s="231">
        <v>38000</v>
      </c>
      <c r="DV36" s="228">
        <v>0.17</v>
      </c>
      <c r="DW36" s="228">
        <v>0.34</v>
      </c>
      <c r="DX36" s="228">
        <v>-0.17</v>
      </c>
      <c r="DY36" s="229">
        <v>-0.5</v>
      </c>
      <c r="DZ36" s="229">
        <v>0.41689999999999999</v>
      </c>
      <c r="EA36" s="230">
        <v>47375</v>
      </c>
      <c r="EB36" s="229">
        <v>1.6999999999999999E-3</v>
      </c>
      <c r="EC36" s="229">
        <v>0.41689999999999999</v>
      </c>
      <c r="ED36" s="228">
        <v>67.34</v>
      </c>
      <c r="EE36" s="229">
        <v>1.9E-3</v>
      </c>
      <c r="EF36" s="230">
        <v>7397</v>
      </c>
      <c r="EG36" s="230">
        <v>9985</v>
      </c>
      <c r="EH36" s="229">
        <v>-0.25919999999999999</v>
      </c>
      <c r="EI36" s="229">
        <v>0.33889999999999998</v>
      </c>
      <c r="EJ36" s="231">
        <v>284373.81</v>
      </c>
      <c r="EK36" s="231">
        <v>43354.45</v>
      </c>
      <c r="EL36" s="231">
        <v>62566.87</v>
      </c>
      <c r="EM36" s="231">
        <v>3240</v>
      </c>
      <c r="EN36" s="231">
        <v>390295.13</v>
      </c>
      <c r="EO36" s="231">
        <v>371485.07</v>
      </c>
      <c r="EP36" s="231">
        <v>18810.060000000001</v>
      </c>
      <c r="EQ36" s="229">
        <v>5.0599999999999999E-2</v>
      </c>
      <c r="ER36" s="231">
        <v>164972</v>
      </c>
      <c r="ES36" s="231">
        <v>40497</v>
      </c>
      <c r="ET36" s="231">
        <v>78180</v>
      </c>
      <c r="EU36" s="231">
        <v>882048</v>
      </c>
      <c r="EV36" s="231">
        <v>283649</v>
      </c>
      <c r="EW36" s="231">
        <v>285057</v>
      </c>
      <c r="EX36" s="231">
        <v>-1408</v>
      </c>
      <c r="EY36" s="229">
        <v>-4.8999999999999998E-3</v>
      </c>
      <c r="EZ36" s="229">
        <v>0.84399999999999997</v>
      </c>
      <c r="FA36" s="227" t="s">
        <v>556</v>
      </c>
      <c r="FB36" s="161">
        <f t="shared" si="0"/>
        <v>90925</v>
      </c>
    </row>
    <row r="37" spans="1:158" ht="17.25" hidden="1" thickBot="1" x14ac:dyDescent="0.3">
      <c r="A37" s="226">
        <v>46044</v>
      </c>
      <c r="B37" s="227" t="s">
        <v>193</v>
      </c>
      <c r="C37" s="227" t="s">
        <v>194</v>
      </c>
      <c r="D37" s="228">
        <v>1975</v>
      </c>
      <c r="E37" s="228">
        <v>354.1</v>
      </c>
      <c r="F37" s="228">
        <v>351.3</v>
      </c>
      <c r="G37" s="228">
        <v>2.8</v>
      </c>
      <c r="H37" s="229">
        <v>8.0000000000000002E-3</v>
      </c>
      <c r="I37" s="228">
        <v>354.15</v>
      </c>
      <c r="J37" s="228">
        <v>351.95</v>
      </c>
      <c r="K37" s="228">
        <v>2.2000000000000002</v>
      </c>
      <c r="L37" s="229">
        <v>6.3E-3</v>
      </c>
      <c r="M37" s="228">
        <v>354.1</v>
      </c>
      <c r="N37" s="228">
        <v>351.3</v>
      </c>
      <c r="O37" s="228">
        <v>2.8</v>
      </c>
      <c r="P37" s="229">
        <v>8.0000000000000002E-3</v>
      </c>
      <c r="Q37" s="228">
        <v>353.75</v>
      </c>
      <c r="R37" s="228">
        <v>348.45</v>
      </c>
      <c r="S37" s="228">
        <v>5.3</v>
      </c>
      <c r="T37" s="229">
        <v>1.52E-2</v>
      </c>
      <c r="U37" s="228">
        <v>355.95</v>
      </c>
      <c r="V37" s="228">
        <v>350</v>
      </c>
      <c r="W37" s="228">
        <v>5.95</v>
      </c>
      <c r="X37" s="229">
        <v>1.7000000000000001E-2</v>
      </c>
      <c r="Y37" s="228">
        <v>-0.05</v>
      </c>
      <c r="Z37" s="228">
        <v>-0.65</v>
      </c>
      <c r="AA37" s="228">
        <v>0.6</v>
      </c>
      <c r="AB37" s="229">
        <v>-1E-4</v>
      </c>
      <c r="AC37" s="228">
        <v>-0.05</v>
      </c>
      <c r="AD37" s="228">
        <v>-0.65</v>
      </c>
      <c r="AE37" s="228">
        <v>0.6</v>
      </c>
      <c r="AF37" s="229">
        <v>-1E-4</v>
      </c>
      <c r="AG37" s="228">
        <v>-0.4</v>
      </c>
      <c r="AH37" s="228">
        <v>-3.5</v>
      </c>
      <c r="AI37" s="228">
        <v>3.1</v>
      </c>
      <c r="AJ37" s="229">
        <v>-1.1000000000000001E-3</v>
      </c>
      <c r="AK37" s="228">
        <v>1.8</v>
      </c>
      <c r="AL37" s="228">
        <v>-1.95</v>
      </c>
      <c r="AM37" s="228">
        <v>3.75</v>
      </c>
      <c r="AN37" s="229">
        <v>5.1000000000000004E-3</v>
      </c>
      <c r="AO37" s="228">
        <v>355.25</v>
      </c>
      <c r="AP37" s="228">
        <v>354.12</v>
      </c>
      <c r="AQ37" s="228">
        <v>0</v>
      </c>
      <c r="AR37" s="230">
        <v>18164075</v>
      </c>
      <c r="AS37" s="230">
        <v>21981750</v>
      </c>
      <c r="AT37" s="230">
        <v>-3817675</v>
      </c>
      <c r="AU37" s="229">
        <v>-0.17369999999999999</v>
      </c>
      <c r="AV37" s="230">
        <v>10270000</v>
      </c>
      <c r="AW37" s="230">
        <v>12179825</v>
      </c>
      <c r="AX37" s="230">
        <v>-1909825</v>
      </c>
      <c r="AY37" s="229">
        <v>-0.15679999999999999</v>
      </c>
      <c r="AZ37" s="230">
        <v>7854575</v>
      </c>
      <c r="BA37" s="230">
        <v>9659725</v>
      </c>
      <c r="BB37" s="230">
        <v>-1805150</v>
      </c>
      <c r="BC37" s="229">
        <v>-0.18690000000000001</v>
      </c>
      <c r="BD37" s="230">
        <v>39500</v>
      </c>
      <c r="BE37" s="230">
        <v>142200</v>
      </c>
      <c r="BF37" s="230">
        <v>-102700</v>
      </c>
      <c r="BG37" s="229">
        <v>-0.72219999999999995</v>
      </c>
      <c r="BH37" s="230">
        <v>23956750</v>
      </c>
      <c r="BI37" s="230">
        <v>30029875</v>
      </c>
      <c r="BJ37" s="230">
        <v>-6073125</v>
      </c>
      <c r="BK37" s="229">
        <v>-0.20219999999999999</v>
      </c>
      <c r="BL37" s="230">
        <v>19530775</v>
      </c>
      <c r="BM37" s="230">
        <v>22856675</v>
      </c>
      <c r="BN37" s="230">
        <v>-3325900</v>
      </c>
      <c r="BO37" s="229">
        <v>-0.14549999999999999</v>
      </c>
      <c r="BP37" s="230">
        <v>61651600</v>
      </c>
      <c r="BQ37" s="230">
        <v>74868300</v>
      </c>
      <c r="BR37" s="230">
        <v>-13216700</v>
      </c>
      <c r="BS37" s="229">
        <v>-0.17649999999999999</v>
      </c>
      <c r="BT37" s="230">
        <v>4769810</v>
      </c>
      <c r="BU37" s="230">
        <v>6328761</v>
      </c>
      <c r="BV37" s="230">
        <v>-1558951</v>
      </c>
      <c r="BW37" s="229">
        <v>-0.24629999999999999</v>
      </c>
      <c r="BX37" s="230">
        <v>30207625</v>
      </c>
      <c r="BY37" s="230">
        <v>30553250</v>
      </c>
      <c r="BZ37" s="230">
        <v>-345625</v>
      </c>
      <c r="CA37" s="229">
        <v>-1.1299999999999999E-2</v>
      </c>
      <c r="CB37" s="230">
        <v>17697975</v>
      </c>
      <c r="CC37" s="230">
        <v>22479450</v>
      </c>
      <c r="CD37" s="230">
        <v>-4781475</v>
      </c>
      <c r="CE37" s="229">
        <v>-0.2127</v>
      </c>
      <c r="CF37" s="230">
        <v>12146250</v>
      </c>
      <c r="CG37" s="230">
        <v>7724225</v>
      </c>
      <c r="CH37" s="230">
        <v>4422025</v>
      </c>
      <c r="CI37" s="229">
        <v>0.57250000000000001</v>
      </c>
      <c r="CJ37" s="230">
        <v>363400</v>
      </c>
      <c r="CK37" s="230">
        <v>349575</v>
      </c>
      <c r="CL37" s="230">
        <v>13825</v>
      </c>
      <c r="CM37" s="229">
        <v>3.95E-2</v>
      </c>
      <c r="CN37" s="230">
        <v>21898800</v>
      </c>
      <c r="CO37" s="230">
        <v>23968600</v>
      </c>
      <c r="CP37" s="230">
        <v>-2069800</v>
      </c>
      <c r="CQ37" s="229">
        <v>-8.6400000000000005E-2</v>
      </c>
      <c r="CR37" s="230">
        <v>12365475</v>
      </c>
      <c r="CS37" s="230">
        <v>12726900</v>
      </c>
      <c r="CT37" s="230">
        <v>-361425</v>
      </c>
      <c r="CU37" s="229">
        <v>-2.8400000000000002E-2</v>
      </c>
      <c r="CV37" s="230">
        <v>64471900</v>
      </c>
      <c r="CW37" s="230">
        <v>67248750</v>
      </c>
      <c r="CX37" s="230">
        <v>-2776850</v>
      </c>
      <c r="CY37" s="229">
        <v>-4.1300000000000003E-2</v>
      </c>
      <c r="CZ37" s="228">
        <v>29.81</v>
      </c>
      <c r="DA37" s="228">
        <v>35.03</v>
      </c>
      <c r="DB37" s="228">
        <v>-5.22</v>
      </c>
      <c r="DC37" s="228">
        <v>-5.22</v>
      </c>
      <c r="DD37" s="228">
        <v>32.07</v>
      </c>
      <c r="DE37" s="228">
        <v>32.14</v>
      </c>
      <c r="DF37" s="228">
        <v>-2.2599999999999998</v>
      </c>
      <c r="DG37" s="228">
        <v>-7.0000000000000007E-2</v>
      </c>
      <c r="DH37" s="228">
        <v>29.44</v>
      </c>
      <c r="DI37" s="228">
        <v>35.42</v>
      </c>
      <c r="DJ37" s="228">
        <v>-5.98</v>
      </c>
      <c r="DK37" s="228">
        <v>-5.98</v>
      </c>
      <c r="DL37" s="228">
        <v>30.22</v>
      </c>
      <c r="DM37" s="228">
        <v>34.5</v>
      </c>
      <c r="DN37" s="228">
        <v>-4.28</v>
      </c>
      <c r="DO37" s="228">
        <v>-4.28</v>
      </c>
      <c r="DP37" s="228">
        <v>0.56000000000000005</v>
      </c>
      <c r="DQ37" s="228">
        <v>0.53</v>
      </c>
      <c r="DR37" s="228">
        <v>0.03</v>
      </c>
      <c r="DS37" s="229">
        <v>5.6599999999999998E-2</v>
      </c>
      <c r="DT37" s="228">
        <v>380</v>
      </c>
      <c r="DU37" s="228">
        <v>360</v>
      </c>
      <c r="DV37" s="228">
        <v>0.82</v>
      </c>
      <c r="DW37" s="228">
        <v>0.76</v>
      </c>
      <c r="DX37" s="228">
        <v>0.06</v>
      </c>
      <c r="DY37" s="229">
        <v>7.8899999999999998E-2</v>
      </c>
      <c r="DZ37" s="229">
        <v>0.41410000000000002</v>
      </c>
      <c r="EA37" s="230">
        <v>8073800</v>
      </c>
      <c r="EB37" s="229">
        <v>-1E-3</v>
      </c>
      <c r="EC37" s="229">
        <v>0.41410000000000002</v>
      </c>
      <c r="ED37" s="228">
        <v>-1.1299999999999999</v>
      </c>
      <c r="EE37" s="229">
        <v>-3.2000000000000002E-3</v>
      </c>
      <c r="EF37" s="230">
        <v>2752287</v>
      </c>
      <c r="EG37" s="230">
        <v>2846030</v>
      </c>
      <c r="EH37" s="229">
        <v>-3.2899999999999999E-2</v>
      </c>
      <c r="EI37" s="229">
        <v>0.57699999999999996</v>
      </c>
      <c r="EJ37" s="231">
        <v>88500.52</v>
      </c>
      <c r="EK37" s="231">
        <v>68747.58</v>
      </c>
      <c r="EL37" s="231">
        <v>64439.34</v>
      </c>
      <c r="EM37" s="231">
        <v>6233</v>
      </c>
      <c r="EN37" s="231">
        <v>221687.44</v>
      </c>
      <c r="EO37" s="231">
        <v>267908.09999999998</v>
      </c>
      <c r="EP37" s="231">
        <v>-46220.66</v>
      </c>
      <c r="EQ37" s="229">
        <v>-0.17249999999999999</v>
      </c>
      <c r="ER37" s="231">
        <v>83130</v>
      </c>
      <c r="ES37" s="231">
        <v>43318</v>
      </c>
      <c r="ET37" s="231">
        <v>106929</v>
      </c>
      <c r="EU37" s="231">
        <v>306020745</v>
      </c>
      <c r="EV37" s="231">
        <v>233377</v>
      </c>
      <c r="EW37" s="231">
        <v>242465</v>
      </c>
      <c r="EX37" s="231">
        <v>-9088</v>
      </c>
      <c r="EY37" s="229">
        <v>-3.7499999999999999E-2</v>
      </c>
      <c r="EZ37" s="229">
        <v>0.2107</v>
      </c>
      <c r="FA37" s="227" t="s">
        <v>556</v>
      </c>
      <c r="FB37" s="161">
        <f t="shared" si="0"/>
        <v>12509650</v>
      </c>
    </row>
    <row r="38" spans="1:158" ht="17.25" hidden="1" thickBot="1" x14ac:dyDescent="0.3">
      <c r="A38" s="226">
        <v>46044</v>
      </c>
      <c r="B38" s="227" t="s">
        <v>168</v>
      </c>
      <c r="C38" s="227" t="s">
        <v>195</v>
      </c>
      <c r="D38" s="228">
        <v>125</v>
      </c>
      <c r="E38" s="231">
        <v>5937.5</v>
      </c>
      <c r="F38" s="231">
        <v>5818</v>
      </c>
      <c r="G38" s="228">
        <v>119.5</v>
      </c>
      <c r="H38" s="229">
        <v>2.0500000000000001E-2</v>
      </c>
      <c r="I38" s="231">
        <v>5932</v>
      </c>
      <c r="J38" s="231">
        <v>5802.5</v>
      </c>
      <c r="K38" s="228">
        <v>129.5</v>
      </c>
      <c r="L38" s="229">
        <v>2.23E-2</v>
      </c>
      <c r="M38" s="231">
        <v>5937.5</v>
      </c>
      <c r="N38" s="231">
        <v>5818</v>
      </c>
      <c r="O38" s="228">
        <v>119.5</v>
      </c>
      <c r="P38" s="229">
        <v>2.0500000000000001E-2</v>
      </c>
      <c r="Q38" s="231">
        <v>5969.5</v>
      </c>
      <c r="R38" s="231">
        <v>5846.5</v>
      </c>
      <c r="S38" s="228">
        <v>123</v>
      </c>
      <c r="T38" s="229">
        <v>2.1000000000000001E-2</v>
      </c>
      <c r="U38" s="231">
        <v>6030</v>
      </c>
      <c r="V38" s="231">
        <v>5885</v>
      </c>
      <c r="W38" s="228">
        <v>145</v>
      </c>
      <c r="X38" s="229">
        <v>2.46E-2</v>
      </c>
      <c r="Y38" s="228">
        <v>5.5</v>
      </c>
      <c r="Z38" s="228">
        <v>15.5</v>
      </c>
      <c r="AA38" s="228">
        <v>-10</v>
      </c>
      <c r="AB38" s="229">
        <v>8.9999999999999998E-4</v>
      </c>
      <c r="AC38" s="228">
        <v>5.5</v>
      </c>
      <c r="AD38" s="228">
        <v>15.5</v>
      </c>
      <c r="AE38" s="228">
        <v>-10</v>
      </c>
      <c r="AF38" s="229">
        <v>8.9999999999999998E-4</v>
      </c>
      <c r="AG38" s="228">
        <v>37.5</v>
      </c>
      <c r="AH38" s="228">
        <v>44</v>
      </c>
      <c r="AI38" s="228">
        <v>-6.5</v>
      </c>
      <c r="AJ38" s="229">
        <v>6.3E-3</v>
      </c>
      <c r="AK38" s="228">
        <v>98</v>
      </c>
      <c r="AL38" s="228">
        <v>82.5</v>
      </c>
      <c r="AM38" s="228">
        <v>15.5</v>
      </c>
      <c r="AN38" s="229">
        <v>1.6500000000000001E-2</v>
      </c>
      <c r="AO38" s="231">
        <v>5924.65</v>
      </c>
      <c r="AP38" s="231">
        <v>5957.1</v>
      </c>
      <c r="AQ38" s="228">
        <v>0</v>
      </c>
      <c r="AR38" s="230">
        <v>3168500</v>
      </c>
      <c r="AS38" s="230">
        <v>2026875</v>
      </c>
      <c r="AT38" s="230">
        <v>1141625</v>
      </c>
      <c r="AU38" s="229">
        <v>0.56320000000000003</v>
      </c>
      <c r="AV38" s="230">
        <v>1558000</v>
      </c>
      <c r="AW38" s="230">
        <v>1024000</v>
      </c>
      <c r="AX38" s="230">
        <v>534000</v>
      </c>
      <c r="AY38" s="229">
        <v>0.52149999999999996</v>
      </c>
      <c r="AZ38" s="230">
        <v>1608125</v>
      </c>
      <c r="BA38" s="230">
        <v>1000875</v>
      </c>
      <c r="BB38" s="230">
        <v>607250</v>
      </c>
      <c r="BC38" s="229">
        <v>0.60670000000000002</v>
      </c>
      <c r="BD38" s="230">
        <v>2375</v>
      </c>
      <c r="BE38" s="230">
        <v>2000</v>
      </c>
      <c r="BF38" s="228">
        <v>375</v>
      </c>
      <c r="BG38" s="229">
        <v>0.1875</v>
      </c>
      <c r="BH38" s="230">
        <v>1919625</v>
      </c>
      <c r="BI38" s="230">
        <v>1345875</v>
      </c>
      <c r="BJ38" s="230">
        <v>573750</v>
      </c>
      <c r="BK38" s="229">
        <v>0.42630000000000001</v>
      </c>
      <c r="BL38" s="230">
        <v>946625</v>
      </c>
      <c r="BM38" s="230">
        <v>940250</v>
      </c>
      <c r="BN38" s="230">
        <v>6375</v>
      </c>
      <c r="BO38" s="229">
        <v>6.7999999999999996E-3</v>
      </c>
      <c r="BP38" s="230">
        <v>6034750</v>
      </c>
      <c r="BQ38" s="230">
        <v>4313000</v>
      </c>
      <c r="BR38" s="230">
        <v>1721750</v>
      </c>
      <c r="BS38" s="229">
        <v>0.3992</v>
      </c>
      <c r="BT38" s="230">
        <v>443913</v>
      </c>
      <c r="BU38" s="230">
        <v>670344</v>
      </c>
      <c r="BV38" s="230">
        <v>-226431</v>
      </c>
      <c r="BW38" s="229">
        <v>-0.33779999999999999</v>
      </c>
      <c r="BX38" s="230">
        <v>3085000</v>
      </c>
      <c r="BY38" s="230">
        <v>3167000</v>
      </c>
      <c r="BZ38" s="230">
        <v>-82000</v>
      </c>
      <c r="CA38" s="229">
        <v>-2.5899999999999999E-2</v>
      </c>
      <c r="CB38" s="230">
        <v>1057625</v>
      </c>
      <c r="CC38" s="230">
        <v>2345000</v>
      </c>
      <c r="CD38" s="230">
        <v>-1287375</v>
      </c>
      <c r="CE38" s="229">
        <v>-0.54900000000000004</v>
      </c>
      <c r="CF38" s="230">
        <v>2022375</v>
      </c>
      <c r="CG38" s="230">
        <v>817625</v>
      </c>
      <c r="CH38" s="230">
        <v>1204750</v>
      </c>
      <c r="CI38" s="229">
        <v>1.4735</v>
      </c>
      <c r="CJ38" s="230">
        <v>5000</v>
      </c>
      <c r="CK38" s="230">
        <v>4375</v>
      </c>
      <c r="CL38" s="228">
        <v>625</v>
      </c>
      <c r="CM38" s="229">
        <v>0.1429</v>
      </c>
      <c r="CN38" s="230">
        <v>962875</v>
      </c>
      <c r="CO38" s="230">
        <v>1150500</v>
      </c>
      <c r="CP38" s="230">
        <v>-187625</v>
      </c>
      <c r="CQ38" s="229">
        <v>-0.16309999999999999</v>
      </c>
      <c r="CR38" s="230">
        <v>581250</v>
      </c>
      <c r="CS38" s="230">
        <v>540375</v>
      </c>
      <c r="CT38" s="230">
        <v>40875</v>
      </c>
      <c r="CU38" s="229">
        <v>7.5600000000000001E-2</v>
      </c>
      <c r="CV38" s="230">
        <v>4629125</v>
      </c>
      <c r="CW38" s="230">
        <v>4857875</v>
      </c>
      <c r="CX38" s="230">
        <v>-228750</v>
      </c>
      <c r="CY38" s="229">
        <v>-4.7100000000000003E-2</v>
      </c>
      <c r="CZ38" s="228">
        <v>24.76</v>
      </c>
      <c r="DA38" s="228">
        <v>22.83</v>
      </c>
      <c r="DB38" s="228">
        <v>1.93</v>
      </c>
      <c r="DC38" s="228">
        <v>1.93</v>
      </c>
      <c r="DD38" s="228">
        <v>23.63</v>
      </c>
      <c r="DE38" s="228">
        <v>23.5</v>
      </c>
      <c r="DF38" s="228">
        <v>1.1299999999999999</v>
      </c>
      <c r="DG38" s="228">
        <v>0.13</v>
      </c>
      <c r="DH38" s="228">
        <v>24.87</v>
      </c>
      <c r="DI38" s="228">
        <v>24.23</v>
      </c>
      <c r="DJ38" s="228">
        <v>0.64</v>
      </c>
      <c r="DK38" s="228">
        <v>0.64</v>
      </c>
      <c r="DL38" s="228">
        <v>24.49</v>
      </c>
      <c r="DM38" s="228">
        <v>20.83</v>
      </c>
      <c r="DN38" s="228">
        <v>3.66</v>
      </c>
      <c r="DO38" s="228">
        <v>3.66</v>
      </c>
      <c r="DP38" s="228">
        <v>0.6</v>
      </c>
      <c r="DQ38" s="228">
        <v>0.47</v>
      </c>
      <c r="DR38" s="228">
        <v>0.13</v>
      </c>
      <c r="DS38" s="229">
        <v>0.27660000000000001</v>
      </c>
      <c r="DT38" s="231">
        <v>6600</v>
      </c>
      <c r="DU38" s="231">
        <v>5800</v>
      </c>
      <c r="DV38" s="228">
        <v>0.49</v>
      </c>
      <c r="DW38" s="228">
        <v>0.7</v>
      </c>
      <c r="DX38" s="228">
        <v>-0.21</v>
      </c>
      <c r="DY38" s="229">
        <v>-0.3</v>
      </c>
      <c r="DZ38" s="229">
        <v>0.65720000000000001</v>
      </c>
      <c r="EA38" s="230">
        <v>822000</v>
      </c>
      <c r="EB38" s="229">
        <v>5.4000000000000003E-3</v>
      </c>
      <c r="EC38" s="229">
        <v>0.65720000000000001</v>
      </c>
      <c r="ED38" s="228">
        <v>32.450000000000003</v>
      </c>
      <c r="EE38" s="229">
        <v>5.4999999999999997E-3</v>
      </c>
      <c r="EF38" s="230">
        <v>265136</v>
      </c>
      <c r="EG38" s="230">
        <v>462886</v>
      </c>
      <c r="EH38" s="229">
        <v>-0.42720000000000002</v>
      </c>
      <c r="EI38" s="229">
        <v>0.59730000000000005</v>
      </c>
      <c r="EJ38" s="231">
        <v>117618.3</v>
      </c>
      <c r="EK38" s="231">
        <v>55423.45</v>
      </c>
      <c r="EL38" s="231">
        <v>188246.03</v>
      </c>
      <c r="EM38" s="231">
        <v>6050</v>
      </c>
      <c r="EN38" s="231">
        <v>361287.78</v>
      </c>
      <c r="EO38" s="231">
        <v>255863.23</v>
      </c>
      <c r="EP38" s="231">
        <v>105424.55</v>
      </c>
      <c r="EQ38" s="229">
        <v>0.41199999999999998</v>
      </c>
      <c r="ER38" s="231">
        <v>60543</v>
      </c>
      <c r="ES38" s="231">
        <v>33971</v>
      </c>
      <c r="ET38" s="231">
        <v>183824</v>
      </c>
      <c r="EU38" s="231">
        <v>16370935</v>
      </c>
      <c r="EV38" s="231">
        <v>278338</v>
      </c>
      <c r="EW38" s="231">
        <v>288137</v>
      </c>
      <c r="EX38" s="231">
        <v>-9799</v>
      </c>
      <c r="EY38" s="229">
        <v>-3.4000000000000002E-2</v>
      </c>
      <c r="EZ38" s="229">
        <v>0.2828</v>
      </c>
      <c r="FA38" s="227" t="s">
        <v>556</v>
      </c>
      <c r="FB38" s="161">
        <f t="shared" si="0"/>
        <v>2027375</v>
      </c>
    </row>
    <row r="39" spans="1:158" ht="17.25" hidden="1" thickBot="1" x14ac:dyDescent="0.3">
      <c r="A39" s="226">
        <v>46044</v>
      </c>
      <c r="B39" s="227" t="s">
        <v>175</v>
      </c>
      <c r="C39" s="227" t="s">
        <v>584</v>
      </c>
      <c r="D39" s="228">
        <v>375</v>
      </c>
      <c r="E39" s="231">
        <v>2707.5</v>
      </c>
      <c r="F39" s="231">
        <v>2627.6</v>
      </c>
      <c r="G39" s="228">
        <v>79.900000000000006</v>
      </c>
      <c r="H39" s="229">
        <v>3.04E-2</v>
      </c>
      <c r="I39" s="231">
        <v>2708.6</v>
      </c>
      <c r="J39" s="231">
        <v>2628.8</v>
      </c>
      <c r="K39" s="228">
        <v>79.8</v>
      </c>
      <c r="L39" s="229">
        <v>3.04E-2</v>
      </c>
      <c r="M39" s="231">
        <v>2707.5</v>
      </c>
      <c r="N39" s="231">
        <v>2627.6</v>
      </c>
      <c r="O39" s="228">
        <v>79.900000000000006</v>
      </c>
      <c r="P39" s="229">
        <v>3.04E-2</v>
      </c>
      <c r="Q39" s="231">
        <v>2721</v>
      </c>
      <c r="R39" s="231">
        <v>2641.1</v>
      </c>
      <c r="S39" s="228">
        <v>79.900000000000006</v>
      </c>
      <c r="T39" s="229">
        <v>3.0300000000000001E-2</v>
      </c>
      <c r="U39" s="231">
        <v>2737.6</v>
      </c>
      <c r="V39" s="231">
        <v>2661.9</v>
      </c>
      <c r="W39" s="228">
        <v>75.7</v>
      </c>
      <c r="X39" s="229">
        <v>2.8400000000000002E-2</v>
      </c>
      <c r="Y39" s="228">
        <v>-1.1000000000000001</v>
      </c>
      <c r="Z39" s="228">
        <v>-1.2</v>
      </c>
      <c r="AA39" s="228">
        <v>0.1</v>
      </c>
      <c r="AB39" s="229">
        <v>-4.0000000000000002E-4</v>
      </c>
      <c r="AC39" s="228">
        <v>-1.1000000000000001</v>
      </c>
      <c r="AD39" s="228">
        <v>-1.2</v>
      </c>
      <c r="AE39" s="228">
        <v>0.1</v>
      </c>
      <c r="AF39" s="229">
        <v>-4.0000000000000002E-4</v>
      </c>
      <c r="AG39" s="228">
        <v>12.4</v>
      </c>
      <c r="AH39" s="228">
        <v>12.3</v>
      </c>
      <c r="AI39" s="228">
        <v>0.1</v>
      </c>
      <c r="AJ39" s="229">
        <v>4.5999999999999999E-3</v>
      </c>
      <c r="AK39" s="228">
        <v>29</v>
      </c>
      <c r="AL39" s="228">
        <v>33.1</v>
      </c>
      <c r="AM39" s="228">
        <v>-4.0999999999999996</v>
      </c>
      <c r="AN39" s="229">
        <v>1.0699999999999999E-2</v>
      </c>
      <c r="AO39" s="231">
        <v>2701.19</v>
      </c>
      <c r="AP39" s="231">
        <v>2715.3</v>
      </c>
      <c r="AQ39" s="228">
        <v>0</v>
      </c>
      <c r="AR39" s="230">
        <v>8477625</v>
      </c>
      <c r="AS39" s="230">
        <v>8119500</v>
      </c>
      <c r="AT39" s="230">
        <v>358125</v>
      </c>
      <c r="AU39" s="229">
        <v>4.41E-2</v>
      </c>
      <c r="AV39" s="230">
        <v>4451625</v>
      </c>
      <c r="AW39" s="230">
        <v>4785375</v>
      </c>
      <c r="AX39" s="230">
        <v>-333750</v>
      </c>
      <c r="AY39" s="229">
        <v>-6.9699999999999998E-2</v>
      </c>
      <c r="AZ39" s="230">
        <v>3924000</v>
      </c>
      <c r="BA39" s="230">
        <v>3223125</v>
      </c>
      <c r="BB39" s="230">
        <v>700875</v>
      </c>
      <c r="BC39" s="229">
        <v>0.2175</v>
      </c>
      <c r="BD39" s="230">
        <v>102000</v>
      </c>
      <c r="BE39" s="230">
        <v>111000</v>
      </c>
      <c r="BF39" s="230">
        <v>-9000</v>
      </c>
      <c r="BG39" s="229">
        <v>-8.1100000000000005E-2</v>
      </c>
      <c r="BH39" s="230">
        <v>27139500</v>
      </c>
      <c r="BI39" s="230">
        <v>27328500</v>
      </c>
      <c r="BJ39" s="230">
        <v>-189000</v>
      </c>
      <c r="BK39" s="229">
        <v>-6.8999999999999999E-3</v>
      </c>
      <c r="BL39" s="230">
        <v>13283625</v>
      </c>
      <c r="BM39" s="230">
        <v>21099375</v>
      </c>
      <c r="BN39" s="230">
        <v>-7815750</v>
      </c>
      <c r="BO39" s="229">
        <v>-0.37040000000000001</v>
      </c>
      <c r="BP39" s="230">
        <v>48900750</v>
      </c>
      <c r="BQ39" s="230">
        <v>56547375</v>
      </c>
      <c r="BR39" s="230">
        <v>-7646625</v>
      </c>
      <c r="BS39" s="229">
        <v>-0.13519999999999999</v>
      </c>
      <c r="BT39" s="230">
        <v>3689628</v>
      </c>
      <c r="BU39" s="230">
        <v>3743082</v>
      </c>
      <c r="BV39" s="230">
        <v>-53454</v>
      </c>
      <c r="BW39" s="229">
        <v>-1.43E-2</v>
      </c>
      <c r="BX39" s="230">
        <v>11439375</v>
      </c>
      <c r="BY39" s="230">
        <v>11888625</v>
      </c>
      <c r="BZ39" s="230">
        <v>-449250</v>
      </c>
      <c r="CA39" s="229">
        <v>-3.78E-2</v>
      </c>
      <c r="CB39" s="230">
        <v>5479500</v>
      </c>
      <c r="CC39" s="230">
        <v>7987125</v>
      </c>
      <c r="CD39" s="230">
        <v>-2507625</v>
      </c>
      <c r="CE39" s="229">
        <v>-0.314</v>
      </c>
      <c r="CF39" s="230">
        <v>5758875</v>
      </c>
      <c r="CG39" s="230">
        <v>3716625</v>
      </c>
      <c r="CH39" s="230">
        <v>2042250</v>
      </c>
      <c r="CI39" s="229">
        <v>0.54949999999999999</v>
      </c>
      <c r="CJ39" s="230">
        <v>201000</v>
      </c>
      <c r="CK39" s="230">
        <v>184875</v>
      </c>
      <c r="CL39" s="230">
        <v>16125</v>
      </c>
      <c r="CM39" s="229">
        <v>8.72E-2</v>
      </c>
      <c r="CN39" s="230">
        <v>8788500</v>
      </c>
      <c r="CO39" s="230">
        <v>11022375</v>
      </c>
      <c r="CP39" s="230">
        <v>-2233875</v>
      </c>
      <c r="CQ39" s="229">
        <v>-0.20269999999999999</v>
      </c>
      <c r="CR39" s="230">
        <v>5215500</v>
      </c>
      <c r="CS39" s="230">
        <v>5553375</v>
      </c>
      <c r="CT39" s="230">
        <v>-337875</v>
      </c>
      <c r="CU39" s="229">
        <v>-6.08E-2</v>
      </c>
      <c r="CV39" s="230">
        <v>25443375</v>
      </c>
      <c r="CW39" s="230">
        <v>28464375</v>
      </c>
      <c r="CX39" s="230">
        <v>-3021000</v>
      </c>
      <c r="CY39" s="229">
        <v>-0.1061</v>
      </c>
      <c r="CZ39" s="228">
        <v>41.82</v>
      </c>
      <c r="DA39" s="228">
        <v>38.68</v>
      </c>
      <c r="DB39" s="228">
        <v>3.14</v>
      </c>
      <c r="DC39" s="228">
        <v>3.14</v>
      </c>
      <c r="DD39" s="228">
        <v>58.44</v>
      </c>
      <c r="DE39" s="228">
        <v>58.45</v>
      </c>
      <c r="DF39" s="228">
        <v>-16.62</v>
      </c>
      <c r="DG39" s="228">
        <v>-0.01</v>
      </c>
      <c r="DH39" s="228">
        <v>41.63</v>
      </c>
      <c r="DI39" s="228">
        <v>40.54</v>
      </c>
      <c r="DJ39" s="228">
        <v>1.0900000000000001</v>
      </c>
      <c r="DK39" s="228">
        <v>1.0900000000000001</v>
      </c>
      <c r="DL39" s="228">
        <v>42.17</v>
      </c>
      <c r="DM39" s="228">
        <v>36.270000000000003</v>
      </c>
      <c r="DN39" s="228">
        <v>5.9</v>
      </c>
      <c r="DO39" s="228">
        <v>5.9</v>
      </c>
      <c r="DP39" s="228">
        <v>0.59</v>
      </c>
      <c r="DQ39" s="228">
        <v>0.5</v>
      </c>
      <c r="DR39" s="228">
        <v>0.09</v>
      </c>
      <c r="DS39" s="229">
        <v>0.18</v>
      </c>
      <c r="DT39" s="231">
        <v>2900</v>
      </c>
      <c r="DU39" s="231">
        <v>2600</v>
      </c>
      <c r="DV39" s="228">
        <v>0.49</v>
      </c>
      <c r="DW39" s="228">
        <v>0.77</v>
      </c>
      <c r="DX39" s="228">
        <v>-0.28000000000000003</v>
      </c>
      <c r="DY39" s="229">
        <v>-0.36359999999999998</v>
      </c>
      <c r="DZ39" s="229">
        <v>0.52100000000000002</v>
      </c>
      <c r="EA39" s="230">
        <v>3901500</v>
      </c>
      <c r="EB39" s="229">
        <v>5.0000000000000001E-3</v>
      </c>
      <c r="EC39" s="229">
        <v>0.52100000000000002</v>
      </c>
      <c r="ED39" s="228">
        <v>14.11</v>
      </c>
      <c r="EE39" s="229">
        <v>5.1999999999999998E-3</v>
      </c>
      <c r="EF39" s="230">
        <v>1182956</v>
      </c>
      <c r="EG39" s="230">
        <v>789081</v>
      </c>
      <c r="EH39" s="229">
        <v>0.49919999999999998</v>
      </c>
      <c r="EI39" s="229">
        <v>0.3206</v>
      </c>
      <c r="EJ39" s="231">
        <v>773695.98</v>
      </c>
      <c r="EK39" s="231">
        <v>350242.15</v>
      </c>
      <c r="EL39" s="231">
        <v>229582.23</v>
      </c>
      <c r="EM39" s="231">
        <v>14689</v>
      </c>
      <c r="EN39" s="231">
        <v>1353520.36</v>
      </c>
      <c r="EO39" s="231">
        <v>1526538.24</v>
      </c>
      <c r="EP39" s="231">
        <v>-173017.88</v>
      </c>
      <c r="EQ39" s="229">
        <v>-0.1133</v>
      </c>
      <c r="ER39" s="231">
        <v>254146</v>
      </c>
      <c r="ES39" s="231">
        <v>136390</v>
      </c>
      <c r="ET39" s="231">
        <v>310559</v>
      </c>
      <c r="EU39" s="231">
        <v>61094861</v>
      </c>
      <c r="EV39" s="231">
        <v>701094</v>
      </c>
      <c r="EW39" s="231">
        <v>777550</v>
      </c>
      <c r="EX39" s="231">
        <v>-76456</v>
      </c>
      <c r="EY39" s="229">
        <v>-9.8299999999999998E-2</v>
      </c>
      <c r="EZ39" s="229">
        <v>0.41649999999999998</v>
      </c>
      <c r="FA39" s="227" t="s">
        <v>556</v>
      </c>
      <c r="FB39" s="161">
        <f t="shared" si="0"/>
        <v>5959875</v>
      </c>
    </row>
    <row r="40" spans="1:158" ht="17.25" hidden="1" thickBot="1" x14ac:dyDescent="0.3">
      <c r="A40" s="226">
        <v>46044</v>
      </c>
      <c r="B40" s="227" t="s">
        <v>175</v>
      </c>
      <c r="C40" s="227" t="s">
        <v>611</v>
      </c>
      <c r="D40" s="228">
        <v>750</v>
      </c>
      <c r="E40" s="228">
        <v>710.4</v>
      </c>
      <c r="F40" s="228">
        <v>701.25</v>
      </c>
      <c r="G40" s="228">
        <v>9.15</v>
      </c>
      <c r="H40" s="229">
        <v>1.2999999999999999E-2</v>
      </c>
      <c r="I40" s="228">
        <v>707.75</v>
      </c>
      <c r="J40" s="228">
        <v>700.6</v>
      </c>
      <c r="K40" s="228">
        <v>7.15</v>
      </c>
      <c r="L40" s="229">
        <v>1.0200000000000001E-2</v>
      </c>
      <c r="M40" s="228">
        <v>710.4</v>
      </c>
      <c r="N40" s="228">
        <v>701.25</v>
      </c>
      <c r="O40" s="228">
        <v>9.15</v>
      </c>
      <c r="P40" s="229">
        <v>1.2999999999999999E-2</v>
      </c>
      <c r="Q40" s="228">
        <v>709.2</v>
      </c>
      <c r="R40" s="228">
        <v>697.8</v>
      </c>
      <c r="S40" s="228">
        <v>11.4</v>
      </c>
      <c r="T40" s="229">
        <v>1.6299999999999999E-2</v>
      </c>
      <c r="U40" s="228">
        <v>712.5</v>
      </c>
      <c r="V40" s="228">
        <v>699.75</v>
      </c>
      <c r="W40" s="228">
        <v>12.75</v>
      </c>
      <c r="X40" s="229">
        <v>1.8200000000000001E-2</v>
      </c>
      <c r="Y40" s="228">
        <v>2.65</v>
      </c>
      <c r="Z40" s="228">
        <v>0.65</v>
      </c>
      <c r="AA40" s="228">
        <v>2</v>
      </c>
      <c r="AB40" s="229">
        <v>3.7000000000000002E-3</v>
      </c>
      <c r="AC40" s="228">
        <v>2.65</v>
      </c>
      <c r="AD40" s="228">
        <v>0.65</v>
      </c>
      <c r="AE40" s="228">
        <v>2</v>
      </c>
      <c r="AF40" s="229">
        <v>3.7000000000000002E-3</v>
      </c>
      <c r="AG40" s="228">
        <v>1.45</v>
      </c>
      <c r="AH40" s="228">
        <v>-2.8</v>
      </c>
      <c r="AI40" s="228">
        <v>4.25</v>
      </c>
      <c r="AJ40" s="229">
        <v>2E-3</v>
      </c>
      <c r="AK40" s="228">
        <v>4.75</v>
      </c>
      <c r="AL40" s="228">
        <v>-0.85</v>
      </c>
      <c r="AM40" s="228">
        <v>5.6</v>
      </c>
      <c r="AN40" s="229">
        <v>6.7000000000000002E-3</v>
      </c>
      <c r="AO40" s="228">
        <v>719.67</v>
      </c>
      <c r="AP40" s="228">
        <v>718.58</v>
      </c>
      <c r="AQ40" s="228">
        <v>0</v>
      </c>
      <c r="AR40" s="230">
        <v>11976000</v>
      </c>
      <c r="AS40" s="230">
        <v>6354750</v>
      </c>
      <c r="AT40" s="230">
        <v>5621250</v>
      </c>
      <c r="AU40" s="229">
        <v>0.88460000000000005</v>
      </c>
      <c r="AV40" s="230">
        <v>5778750</v>
      </c>
      <c r="AW40" s="230">
        <v>3509250</v>
      </c>
      <c r="AX40" s="230">
        <v>2269500</v>
      </c>
      <c r="AY40" s="229">
        <v>0.64670000000000005</v>
      </c>
      <c r="AZ40" s="230">
        <v>6094500</v>
      </c>
      <c r="BA40" s="230">
        <v>2786250</v>
      </c>
      <c r="BB40" s="230">
        <v>3308250</v>
      </c>
      <c r="BC40" s="229">
        <v>1.1873</v>
      </c>
      <c r="BD40" s="230">
        <v>102750</v>
      </c>
      <c r="BE40" s="230">
        <v>59250</v>
      </c>
      <c r="BF40" s="230">
        <v>43500</v>
      </c>
      <c r="BG40" s="229">
        <v>0.73419999999999996</v>
      </c>
      <c r="BH40" s="230">
        <v>34713750</v>
      </c>
      <c r="BI40" s="230">
        <v>5502000</v>
      </c>
      <c r="BJ40" s="230">
        <v>29211750</v>
      </c>
      <c r="BK40" s="229">
        <v>5.3093000000000004</v>
      </c>
      <c r="BL40" s="230">
        <v>17513250</v>
      </c>
      <c r="BM40" s="230">
        <v>6680250</v>
      </c>
      <c r="BN40" s="230">
        <v>10833000</v>
      </c>
      <c r="BO40" s="229">
        <v>1.6215999999999999</v>
      </c>
      <c r="BP40" s="230">
        <v>64203000</v>
      </c>
      <c r="BQ40" s="230">
        <v>18537000</v>
      </c>
      <c r="BR40" s="230">
        <v>45666000</v>
      </c>
      <c r="BS40" s="229">
        <v>2.4634999999999998</v>
      </c>
      <c r="BT40" s="230">
        <v>4090185</v>
      </c>
      <c r="BU40" s="230">
        <v>1421062</v>
      </c>
      <c r="BV40" s="230">
        <v>2669123</v>
      </c>
      <c r="BW40" s="229">
        <v>1.8783000000000001</v>
      </c>
      <c r="BX40" s="230">
        <v>7254000</v>
      </c>
      <c r="BY40" s="230">
        <v>6968250</v>
      </c>
      <c r="BZ40" s="230">
        <v>285750</v>
      </c>
      <c r="CA40" s="229">
        <v>4.1000000000000002E-2</v>
      </c>
      <c r="CB40" s="230">
        <v>3026250</v>
      </c>
      <c r="CC40" s="230">
        <v>4838250</v>
      </c>
      <c r="CD40" s="230">
        <v>-1812000</v>
      </c>
      <c r="CE40" s="229">
        <v>-0.3745</v>
      </c>
      <c r="CF40" s="230">
        <v>4136250</v>
      </c>
      <c r="CG40" s="230">
        <v>2043750</v>
      </c>
      <c r="CH40" s="230">
        <v>2092500</v>
      </c>
      <c r="CI40" s="229">
        <v>1.0239</v>
      </c>
      <c r="CJ40" s="230">
        <v>91500</v>
      </c>
      <c r="CK40" s="230">
        <v>86250</v>
      </c>
      <c r="CL40" s="230">
        <v>5250</v>
      </c>
      <c r="CM40" s="229">
        <v>6.0900000000000003E-2</v>
      </c>
      <c r="CN40" s="230">
        <v>5443500</v>
      </c>
      <c r="CO40" s="230">
        <v>4530000</v>
      </c>
      <c r="CP40" s="230">
        <v>913500</v>
      </c>
      <c r="CQ40" s="229">
        <v>0.20169999999999999</v>
      </c>
      <c r="CR40" s="230">
        <v>3671250</v>
      </c>
      <c r="CS40" s="230">
        <v>3388500</v>
      </c>
      <c r="CT40" s="230">
        <v>282750</v>
      </c>
      <c r="CU40" s="229">
        <v>8.3400000000000002E-2</v>
      </c>
      <c r="CV40" s="230">
        <v>16368750</v>
      </c>
      <c r="CW40" s="230">
        <v>14886750</v>
      </c>
      <c r="CX40" s="230">
        <v>1482000</v>
      </c>
      <c r="CY40" s="229">
        <v>9.9599999999999994E-2</v>
      </c>
      <c r="CZ40" s="228">
        <v>31.16</v>
      </c>
      <c r="DA40" s="228">
        <v>37.5</v>
      </c>
      <c r="DB40" s="228">
        <v>-6.34</v>
      </c>
      <c r="DC40" s="228">
        <v>-6.34</v>
      </c>
      <c r="DD40" s="228">
        <v>39.28</v>
      </c>
      <c r="DE40" s="228">
        <v>39.340000000000003</v>
      </c>
      <c r="DF40" s="228">
        <v>-8.1199999999999992</v>
      </c>
      <c r="DG40" s="228">
        <v>-0.06</v>
      </c>
      <c r="DH40" s="228">
        <v>31.63</v>
      </c>
      <c r="DI40" s="228">
        <v>38.700000000000003</v>
      </c>
      <c r="DJ40" s="228">
        <v>-7.07</v>
      </c>
      <c r="DK40" s="228">
        <v>-7.07</v>
      </c>
      <c r="DL40" s="228">
        <v>30.42</v>
      </c>
      <c r="DM40" s="228">
        <v>36.51</v>
      </c>
      <c r="DN40" s="228">
        <v>-6.09</v>
      </c>
      <c r="DO40" s="228">
        <v>-6.09</v>
      </c>
      <c r="DP40" s="228">
        <v>0.67</v>
      </c>
      <c r="DQ40" s="228">
        <v>0.75</v>
      </c>
      <c r="DR40" s="228">
        <v>-0.08</v>
      </c>
      <c r="DS40" s="229">
        <v>-0.1067</v>
      </c>
      <c r="DT40" s="228">
        <v>760</v>
      </c>
      <c r="DU40" s="228">
        <v>680</v>
      </c>
      <c r="DV40" s="228">
        <v>0.5</v>
      </c>
      <c r="DW40" s="228">
        <v>1.21</v>
      </c>
      <c r="DX40" s="228">
        <v>-0.71</v>
      </c>
      <c r="DY40" s="229">
        <v>-0.58679999999999999</v>
      </c>
      <c r="DZ40" s="229">
        <v>0.58279999999999998</v>
      </c>
      <c r="EA40" s="230">
        <v>2130000</v>
      </c>
      <c r="EB40" s="229">
        <v>-1.6999999999999999E-3</v>
      </c>
      <c r="EC40" s="229">
        <v>0.58279999999999998</v>
      </c>
      <c r="ED40" s="228">
        <v>-1.0900000000000001</v>
      </c>
      <c r="EE40" s="229">
        <v>-1.5E-3</v>
      </c>
      <c r="EF40" s="230">
        <v>1074494</v>
      </c>
      <c r="EG40" s="230">
        <v>474311</v>
      </c>
      <c r="EH40" s="229">
        <v>1.2654000000000001</v>
      </c>
      <c r="EI40" s="229">
        <v>0.26269999999999999</v>
      </c>
      <c r="EJ40" s="231">
        <v>263016.32000000001</v>
      </c>
      <c r="EK40" s="231">
        <v>124472.49</v>
      </c>
      <c r="EL40" s="231">
        <v>86121.49</v>
      </c>
      <c r="EM40" s="231">
        <v>4356</v>
      </c>
      <c r="EN40" s="231">
        <v>473610.3</v>
      </c>
      <c r="EO40" s="231">
        <v>132599.03</v>
      </c>
      <c r="EP40" s="231">
        <v>341011.27</v>
      </c>
      <c r="EQ40" s="229">
        <v>2.5716999999999999</v>
      </c>
      <c r="ER40" s="231">
        <v>41660</v>
      </c>
      <c r="ES40" s="231">
        <v>26136</v>
      </c>
      <c r="ET40" s="231">
        <v>51485</v>
      </c>
      <c r="EU40" s="231">
        <v>37122288</v>
      </c>
      <c r="EV40" s="231">
        <v>119280</v>
      </c>
      <c r="EW40" s="231">
        <v>107645</v>
      </c>
      <c r="EX40" s="231">
        <v>11635</v>
      </c>
      <c r="EY40" s="229">
        <v>0.1081</v>
      </c>
      <c r="EZ40" s="229">
        <v>0.44090000000000001</v>
      </c>
      <c r="FA40" s="227" t="s">
        <v>555</v>
      </c>
      <c r="FB40" s="161">
        <f t="shared" si="0"/>
        <v>4227750</v>
      </c>
    </row>
    <row r="41" spans="1:158" ht="17.25" hidden="1" thickBot="1" x14ac:dyDescent="0.3">
      <c r="A41" s="226">
        <v>46044</v>
      </c>
      <c r="B41" s="227" t="s">
        <v>172</v>
      </c>
      <c r="C41" s="227" t="s">
        <v>196</v>
      </c>
      <c r="D41" s="228">
        <v>6750</v>
      </c>
      <c r="E41" s="228">
        <v>154.6</v>
      </c>
      <c r="F41" s="228">
        <v>151.21</v>
      </c>
      <c r="G41" s="228">
        <v>3.39</v>
      </c>
      <c r="H41" s="229">
        <v>2.24E-2</v>
      </c>
      <c r="I41" s="228">
        <v>154.68</v>
      </c>
      <c r="J41" s="228">
        <v>150.76</v>
      </c>
      <c r="K41" s="228">
        <v>3.92</v>
      </c>
      <c r="L41" s="229">
        <v>2.5999999999999999E-2</v>
      </c>
      <c r="M41" s="228">
        <v>154.6</v>
      </c>
      <c r="N41" s="228">
        <v>151.21</v>
      </c>
      <c r="O41" s="228">
        <v>3.39</v>
      </c>
      <c r="P41" s="229">
        <v>2.24E-2</v>
      </c>
      <c r="Q41" s="228">
        <v>154.75</v>
      </c>
      <c r="R41" s="228">
        <v>151.09</v>
      </c>
      <c r="S41" s="228">
        <v>3.66</v>
      </c>
      <c r="T41" s="229">
        <v>2.4199999999999999E-2</v>
      </c>
      <c r="U41" s="228">
        <v>155.31</v>
      </c>
      <c r="V41" s="228">
        <v>151.53</v>
      </c>
      <c r="W41" s="228">
        <v>3.78</v>
      </c>
      <c r="X41" s="229">
        <v>2.4899999999999999E-2</v>
      </c>
      <c r="Y41" s="228">
        <v>-0.08</v>
      </c>
      <c r="Z41" s="228">
        <v>0.45</v>
      </c>
      <c r="AA41" s="228">
        <v>-0.53</v>
      </c>
      <c r="AB41" s="229">
        <v>-5.0000000000000001E-4</v>
      </c>
      <c r="AC41" s="228">
        <v>-0.08</v>
      </c>
      <c r="AD41" s="228">
        <v>0.45</v>
      </c>
      <c r="AE41" s="228">
        <v>-0.53</v>
      </c>
      <c r="AF41" s="229">
        <v>-5.0000000000000001E-4</v>
      </c>
      <c r="AG41" s="228">
        <v>7.0000000000000007E-2</v>
      </c>
      <c r="AH41" s="228">
        <v>0.33</v>
      </c>
      <c r="AI41" s="228">
        <v>-0.26</v>
      </c>
      <c r="AJ41" s="229">
        <v>5.0000000000000001E-4</v>
      </c>
      <c r="AK41" s="228">
        <v>0.63</v>
      </c>
      <c r="AL41" s="228">
        <v>0.77</v>
      </c>
      <c r="AM41" s="228">
        <v>-0.14000000000000001</v>
      </c>
      <c r="AN41" s="229">
        <v>4.1000000000000003E-3</v>
      </c>
      <c r="AO41" s="228">
        <v>154.54</v>
      </c>
      <c r="AP41" s="228">
        <v>154.66</v>
      </c>
      <c r="AQ41" s="228">
        <v>0</v>
      </c>
      <c r="AR41" s="230">
        <v>128493000</v>
      </c>
      <c r="AS41" s="230">
        <v>155337750</v>
      </c>
      <c r="AT41" s="230">
        <v>-26844750</v>
      </c>
      <c r="AU41" s="229">
        <v>-0.17280000000000001</v>
      </c>
      <c r="AV41" s="230">
        <v>65063250</v>
      </c>
      <c r="AW41" s="230">
        <v>87081750</v>
      </c>
      <c r="AX41" s="230">
        <v>-22018500</v>
      </c>
      <c r="AY41" s="229">
        <v>-0.25280000000000002</v>
      </c>
      <c r="AZ41" s="230">
        <v>61863750</v>
      </c>
      <c r="BA41" s="230">
        <v>66568500</v>
      </c>
      <c r="BB41" s="230">
        <v>-4704750</v>
      </c>
      <c r="BC41" s="229">
        <v>-7.0699999999999999E-2</v>
      </c>
      <c r="BD41" s="230">
        <v>1566000</v>
      </c>
      <c r="BE41" s="230">
        <v>1687500</v>
      </c>
      <c r="BF41" s="230">
        <v>-121500</v>
      </c>
      <c r="BG41" s="229">
        <v>-7.1999999999999995E-2</v>
      </c>
      <c r="BH41" s="230">
        <v>163113750</v>
      </c>
      <c r="BI41" s="230">
        <v>274630500</v>
      </c>
      <c r="BJ41" s="230">
        <v>-111516750</v>
      </c>
      <c r="BK41" s="229">
        <v>-0.40610000000000002</v>
      </c>
      <c r="BL41" s="230">
        <v>106548750</v>
      </c>
      <c r="BM41" s="230">
        <v>147197250</v>
      </c>
      <c r="BN41" s="230">
        <v>-40648500</v>
      </c>
      <c r="BO41" s="229">
        <v>-0.27610000000000001</v>
      </c>
      <c r="BP41" s="230">
        <v>398155500</v>
      </c>
      <c r="BQ41" s="230">
        <v>577165500</v>
      </c>
      <c r="BR41" s="230">
        <v>-179010000</v>
      </c>
      <c r="BS41" s="229">
        <v>-0.31019999999999998</v>
      </c>
      <c r="BT41" s="230">
        <v>19843641</v>
      </c>
      <c r="BU41" s="230">
        <v>25079668</v>
      </c>
      <c r="BV41" s="230">
        <v>-5236027</v>
      </c>
      <c r="BW41" s="229">
        <v>-0.20880000000000001</v>
      </c>
      <c r="BX41" s="230">
        <v>165078000</v>
      </c>
      <c r="BY41" s="230">
        <v>159522750</v>
      </c>
      <c r="BZ41" s="230">
        <v>5555250</v>
      </c>
      <c r="CA41" s="229">
        <v>3.4799999999999998E-2</v>
      </c>
      <c r="CB41" s="230">
        <v>59845500</v>
      </c>
      <c r="CC41" s="230">
        <v>85401000</v>
      </c>
      <c r="CD41" s="230">
        <v>-25555500</v>
      </c>
      <c r="CE41" s="229">
        <v>-0.29920000000000002</v>
      </c>
      <c r="CF41" s="230">
        <v>101999250</v>
      </c>
      <c r="CG41" s="230">
        <v>71172000</v>
      </c>
      <c r="CH41" s="230">
        <v>30827250</v>
      </c>
      <c r="CI41" s="229">
        <v>0.43309999999999998</v>
      </c>
      <c r="CJ41" s="230">
        <v>3233250</v>
      </c>
      <c r="CK41" s="230">
        <v>2949750</v>
      </c>
      <c r="CL41" s="230">
        <v>283500</v>
      </c>
      <c r="CM41" s="229">
        <v>9.6100000000000005E-2</v>
      </c>
      <c r="CN41" s="230">
        <v>103673250</v>
      </c>
      <c r="CO41" s="230">
        <v>114986250</v>
      </c>
      <c r="CP41" s="230">
        <v>-11313000</v>
      </c>
      <c r="CQ41" s="229">
        <v>-9.8400000000000001E-2</v>
      </c>
      <c r="CR41" s="230">
        <v>93588750</v>
      </c>
      <c r="CS41" s="230">
        <v>92616750</v>
      </c>
      <c r="CT41" s="230">
        <v>972000</v>
      </c>
      <c r="CU41" s="229">
        <v>1.0500000000000001E-2</v>
      </c>
      <c r="CV41" s="230">
        <v>362340000</v>
      </c>
      <c r="CW41" s="230">
        <v>367125750</v>
      </c>
      <c r="CX41" s="230">
        <v>-4785750</v>
      </c>
      <c r="CY41" s="229">
        <v>-1.2999999999999999E-2</v>
      </c>
      <c r="CZ41" s="228">
        <v>34.78</v>
      </c>
      <c r="DA41" s="228">
        <v>32.56</v>
      </c>
      <c r="DB41" s="228">
        <v>2.2200000000000002</v>
      </c>
      <c r="DC41" s="228">
        <v>2.2200000000000002</v>
      </c>
      <c r="DD41" s="228">
        <v>34.840000000000003</v>
      </c>
      <c r="DE41" s="228">
        <v>34.75</v>
      </c>
      <c r="DF41" s="228">
        <v>-0.06</v>
      </c>
      <c r="DG41" s="228">
        <v>0.09</v>
      </c>
      <c r="DH41" s="228">
        <v>34.56</v>
      </c>
      <c r="DI41" s="228">
        <v>32.130000000000003</v>
      </c>
      <c r="DJ41" s="228">
        <v>2.4300000000000002</v>
      </c>
      <c r="DK41" s="228">
        <v>2.4300000000000002</v>
      </c>
      <c r="DL41" s="228">
        <v>35.11</v>
      </c>
      <c r="DM41" s="228">
        <v>33.340000000000003</v>
      </c>
      <c r="DN41" s="228">
        <v>1.77</v>
      </c>
      <c r="DO41" s="228">
        <v>1.77</v>
      </c>
      <c r="DP41" s="228">
        <v>0.9</v>
      </c>
      <c r="DQ41" s="228">
        <v>0.81</v>
      </c>
      <c r="DR41" s="228">
        <v>0.09</v>
      </c>
      <c r="DS41" s="229">
        <v>0.1111</v>
      </c>
      <c r="DT41" s="228">
        <v>160</v>
      </c>
      <c r="DU41" s="228">
        <v>150</v>
      </c>
      <c r="DV41" s="228">
        <v>0.65</v>
      </c>
      <c r="DW41" s="228">
        <v>0.54</v>
      </c>
      <c r="DX41" s="228">
        <v>0.11</v>
      </c>
      <c r="DY41" s="229">
        <v>0.20369999999999999</v>
      </c>
      <c r="DZ41" s="229">
        <v>0.63749999999999996</v>
      </c>
      <c r="EA41" s="230">
        <v>74121750</v>
      </c>
      <c r="EB41" s="229">
        <v>1E-3</v>
      </c>
      <c r="EC41" s="229">
        <v>0.63749999999999996</v>
      </c>
      <c r="ED41" s="228">
        <v>0.12</v>
      </c>
      <c r="EE41" s="229">
        <v>8.0000000000000004E-4</v>
      </c>
      <c r="EF41" s="230">
        <v>8174155</v>
      </c>
      <c r="EG41" s="230">
        <v>9382018</v>
      </c>
      <c r="EH41" s="229">
        <v>-0.12870000000000001</v>
      </c>
      <c r="EI41" s="229">
        <v>0.41189999999999999</v>
      </c>
      <c r="EJ41" s="231">
        <v>260523.61</v>
      </c>
      <c r="EK41" s="231">
        <v>160457.51</v>
      </c>
      <c r="EL41" s="231">
        <v>198654.89</v>
      </c>
      <c r="EM41" s="231">
        <v>15915</v>
      </c>
      <c r="EN41" s="231">
        <v>619636.01</v>
      </c>
      <c r="EO41" s="231">
        <v>892799.32</v>
      </c>
      <c r="EP41" s="231">
        <v>-273163.31</v>
      </c>
      <c r="EQ41" s="229">
        <v>-0.30599999999999999</v>
      </c>
      <c r="ER41" s="231">
        <v>164679</v>
      </c>
      <c r="ES41" s="231">
        <v>138417</v>
      </c>
      <c r="ET41" s="231">
        <v>255387</v>
      </c>
      <c r="EU41" s="231">
        <v>504315430</v>
      </c>
      <c r="EV41" s="231">
        <v>558483</v>
      </c>
      <c r="EW41" s="231">
        <v>560285</v>
      </c>
      <c r="EX41" s="231">
        <v>-1802</v>
      </c>
      <c r="EY41" s="229">
        <v>-3.2000000000000002E-3</v>
      </c>
      <c r="EZ41" s="229">
        <v>0.71850000000000003</v>
      </c>
      <c r="FA41" s="227" t="s">
        <v>555</v>
      </c>
      <c r="FB41" s="161">
        <f t="shared" si="0"/>
        <v>105232500</v>
      </c>
    </row>
    <row r="42" spans="1:158" ht="17.25" hidden="1" thickBot="1" x14ac:dyDescent="0.3">
      <c r="A42" s="226">
        <v>46044</v>
      </c>
      <c r="B42" s="227" t="s">
        <v>175</v>
      </c>
      <c r="C42" s="227" t="s">
        <v>597</v>
      </c>
      <c r="D42" s="228">
        <v>475</v>
      </c>
      <c r="E42" s="231">
        <v>1359.6</v>
      </c>
      <c r="F42" s="231">
        <v>1337.6</v>
      </c>
      <c r="G42" s="228">
        <v>22</v>
      </c>
      <c r="H42" s="229">
        <v>1.6400000000000001E-2</v>
      </c>
      <c r="I42" s="231">
        <v>1356.6</v>
      </c>
      <c r="J42" s="231">
        <v>1333.8</v>
      </c>
      <c r="K42" s="228">
        <v>22.8</v>
      </c>
      <c r="L42" s="229">
        <v>1.7100000000000001E-2</v>
      </c>
      <c r="M42" s="231">
        <v>1359.6</v>
      </c>
      <c r="N42" s="231">
        <v>1337.6</v>
      </c>
      <c r="O42" s="228">
        <v>22</v>
      </c>
      <c r="P42" s="229">
        <v>1.6400000000000001E-2</v>
      </c>
      <c r="Q42" s="231">
        <v>1361</v>
      </c>
      <c r="R42" s="231">
        <v>1339.3</v>
      </c>
      <c r="S42" s="228">
        <v>21.7</v>
      </c>
      <c r="T42" s="229">
        <v>1.6199999999999999E-2</v>
      </c>
      <c r="U42" s="231">
        <v>1366</v>
      </c>
      <c r="V42" s="231">
        <v>1346.9</v>
      </c>
      <c r="W42" s="228">
        <v>19.100000000000001</v>
      </c>
      <c r="X42" s="229">
        <v>1.4200000000000001E-2</v>
      </c>
      <c r="Y42" s="228">
        <v>3</v>
      </c>
      <c r="Z42" s="228">
        <v>3.8</v>
      </c>
      <c r="AA42" s="228">
        <v>-0.8</v>
      </c>
      <c r="AB42" s="229">
        <v>2.2000000000000001E-3</v>
      </c>
      <c r="AC42" s="228">
        <v>3</v>
      </c>
      <c r="AD42" s="228">
        <v>3.8</v>
      </c>
      <c r="AE42" s="228">
        <v>-0.8</v>
      </c>
      <c r="AF42" s="229">
        <v>2.2000000000000001E-3</v>
      </c>
      <c r="AG42" s="228">
        <v>4.4000000000000004</v>
      </c>
      <c r="AH42" s="228">
        <v>5.5</v>
      </c>
      <c r="AI42" s="228">
        <v>-1.1000000000000001</v>
      </c>
      <c r="AJ42" s="229">
        <v>3.2000000000000002E-3</v>
      </c>
      <c r="AK42" s="228">
        <v>9.4</v>
      </c>
      <c r="AL42" s="228">
        <v>13.1</v>
      </c>
      <c r="AM42" s="228">
        <v>-3.7</v>
      </c>
      <c r="AN42" s="229">
        <v>6.8999999999999999E-3</v>
      </c>
      <c r="AO42" s="231">
        <v>1368.47</v>
      </c>
      <c r="AP42" s="231">
        <v>1369.78</v>
      </c>
      <c r="AQ42" s="228">
        <v>0</v>
      </c>
      <c r="AR42" s="230">
        <v>9083900</v>
      </c>
      <c r="AS42" s="230">
        <v>8350975</v>
      </c>
      <c r="AT42" s="230">
        <v>732925</v>
      </c>
      <c r="AU42" s="229">
        <v>8.7800000000000003E-2</v>
      </c>
      <c r="AV42" s="230">
        <v>4615575</v>
      </c>
      <c r="AW42" s="230">
        <v>4408000</v>
      </c>
      <c r="AX42" s="230">
        <v>207575</v>
      </c>
      <c r="AY42" s="229">
        <v>4.7100000000000003E-2</v>
      </c>
      <c r="AZ42" s="230">
        <v>4370475</v>
      </c>
      <c r="BA42" s="230">
        <v>3866025</v>
      </c>
      <c r="BB42" s="230">
        <v>504450</v>
      </c>
      <c r="BC42" s="229">
        <v>0.1305</v>
      </c>
      <c r="BD42" s="230">
        <v>97850</v>
      </c>
      <c r="BE42" s="230">
        <v>76950</v>
      </c>
      <c r="BF42" s="230">
        <v>20900</v>
      </c>
      <c r="BG42" s="229">
        <v>0.27160000000000001</v>
      </c>
      <c r="BH42" s="230">
        <v>15672625</v>
      </c>
      <c r="BI42" s="230">
        <v>19168625</v>
      </c>
      <c r="BJ42" s="230">
        <v>-3496000</v>
      </c>
      <c r="BK42" s="229">
        <v>-0.18240000000000001</v>
      </c>
      <c r="BL42" s="230">
        <v>5492425</v>
      </c>
      <c r="BM42" s="230">
        <v>11894475</v>
      </c>
      <c r="BN42" s="230">
        <v>-6402050</v>
      </c>
      <c r="BO42" s="229">
        <v>-0.53820000000000001</v>
      </c>
      <c r="BP42" s="230">
        <v>30248950</v>
      </c>
      <c r="BQ42" s="230">
        <v>39414075</v>
      </c>
      <c r="BR42" s="230">
        <v>-9165125</v>
      </c>
      <c r="BS42" s="229">
        <v>-0.23250000000000001</v>
      </c>
      <c r="BT42" s="230">
        <v>1454883</v>
      </c>
      <c r="BU42" s="230">
        <v>2164548</v>
      </c>
      <c r="BV42" s="230">
        <v>-709665</v>
      </c>
      <c r="BW42" s="229">
        <v>-0.32790000000000002</v>
      </c>
      <c r="BX42" s="230">
        <v>11618975</v>
      </c>
      <c r="BY42" s="230">
        <v>11679775</v>
      </c>
      <c r="BZ42" s="230">
        <v>-60800</v>
      </c>
      <c r="CA42" s="229">
        <v>-5.1999999999999998E-3</v>
      </c>
      <c r="CB42" s="230">
        <v>5142350</v>
      </c>
      <c r="CC42" s="230">
        <v>7421875</v>
      </c>
      <c r="CD42" s="230">
        <v>-2279525</v>
      </c>
      <c r="CE42" s="229">
        <v>-0.30709999999999998</v>
      </c>
      <c r="CF42" s="230">
        <v>6257175</v>
      </c>
      <c r="CG42" s="230">
        <v>4059825</v>
      </c>
      <c r="CH42" s="230">
        <v>2197350</v>
      </c>
      <c r="CI42" s="229">
        <v>0.54120000000000001</v>
      </c>
      <c r="CJ42" s="230">
        <v>219450</v>
      </c>
      <c r="CK42" s="230">
        <v>198075</v>
      </c>
      <c r="CL42" s="230">
        <v>21375</v>
      </c>
      <c r="CM42" s="229">
        <v>0.1079</v>
      </c>
      <c r="CN42" s="230">
        <v>9295275</v>
      </c>
      <c r="CO42" s="230">
        <v>10741175</v>
      </c>
      <c r="CP42" s="230">
        <v>-1445900</v>
      </c>
      <c r="CQ42" s="229">
        <v>-0.1346</v>
      </c>
      <c r="CR42" s="230">
        <v>5890950</v>
      </c>
      <c r="CS42" s="230">
        <v>5745600</v>
      </c>
      <c r="CT42" s="230">
        <v>145350</v>
      </c>
      <c r="CU42" s="229">
        <v>2.53E-2</v>
      </c>
      <c r="CV42" s="230">
        <v>26805200</v>
      </c>
      <c r="CW42" s="230">
        <v>28166550</v>
      </c>
      <c r="CX42" s="230">
        <v>-1361350</v>
      </c>
      <c r="CY42" s="229">
        <v>-4.8300000000000003E-2</v>
      </c>
      <c r="CZ42" s="228">
        <v>36.11</v>
      </c>
      <c r="DA42" s="228">
        <v>35</v>
      </c>
      <c r="DB42" s="228">
        <v>1.1100000000000001</v>
      </c>
      <c r="DC42" s="228">
        <v>1.1100000000000001</v>
      </c>
      <c r="DD42" s="228">
        <v>43.75</v>
      </c>
      <c r="DE42" s="228">
        <v>43.8</v>
      </c>
      <c r="DF42" s="228">
        <v>-7.64</v>
      </c>
      <c r="DG42" s="228">
        <v>-0.05</v>
      </c>
      <c r="DH42" s="228">
        <v>36.36</v>
      </c>
      <c r="DI42" s="228">
        <v>35.799999999999997</v>
      </c>
      <c r="DJ42" s="228">
        <v>0.56000000000000005</v>
      </c>
      <c r="DK42" s="228">
        <v>0.56000000000000005</v>
      </c>
      <c r="DL42" s="228">
        <v>35.700000000000003</v>
      </c>
      <c r="DM42" s="228">
        <v>33.72</v>
      </c>
      <c r="DN42" s="228">
        <v>1.98</v>
      </c>
      <c r="DO42" s="228">
        <v>1.98</v>
      </c>
      <c r="DP42" s="228">
        <v>0.63</v>
      </c>
      <c r="DQ42" s="228">
        <v>0.53</v>
      </c>
      <c r="DR42" s="228">
        <v>0.1</v>
      </c>
      <c r="DS42" s="229">
        <v>0.18870000000000001</v>
      </c>
      <c r="DT42" s="231">
        <v>1400</v>
      </c>
      <c r="DU42" s="231">
        <v>1500</v>
      </c>
      <c r="DV42" s="228">
        <v>0.35</v>
      </c>
      <c r="DW42" s="228">
        <v>0.62</v>
      </c>
      <c r="DX42" s="228">
        <v>-0.27</v>
      </c>
      <c r="DY42" s="229">
        <v>-0.4355</v>
      </c>
      <c r="DZ42" s="229">
        <v>0.55740000000000001</v>
      </c>
      <c r="EA42" s="230">
        <v>4257900</v>
      </c>
      <c r="EB42" s="229">
        <v>1E-3</v>
      </c>
      <c r="EC42" s="229">
        <v>0.55740000000000001</v>
      </c>
      <c r="ED42" s="228">
        <v>1.31</v>
      </c>
      <c r="EE42" s="229">
        <v>1E-3</v>
      </c>
      <c r="EF42" s="230">
        <v>374825</v>
      </c>
      <c r="EG42" s="230">
        <v>555011</v>
      </c>
      <c r="EH42" s="229">
        <v>-0.32469999999999999</v>
      </c>
      <c r="EI42" s="229">
        <v>0.2576</v>
      </c>
      <c r="EJ42" s="231">
        <v>227900.99</v>
      </c>
      <c r="EK42" s="231">
        <v>75575.87</v>
      </c>
      <c r="EL42" s="231">
        <v>124373.65</v>
      </c>
      <c r="EM42" s="231">
        <v>10370</v>
      </c>
      <c r="EN42" s="231">
        <v>427850.51</v>
      </c>
      <c r="EO42" s="231">
        <v>545238.97</v>
      </c>
      <c r="EP42" s="231">
        <v>-117388.46</v>
      </c>
      <c r="EQ42" s="229">
        <v>-0.21529999999999999</v>
      </c>
      <c r="ER42" s="231">
        <v>137911</v>
      </c>
      <c r="ES42" s="231">
        <v>83528</v>
      </c>
      <c r="ET42" s="231">
        <v>158073</v>
      </c>
      <c r="EU42" s="231">
        <v>26647500</v>
      </c>
      <c r="EV42" s="231">
        <v>379512</v>
      </c>
      <c r="EW42" s="231">
        <v>398069</v>
      </c>
      <c r="EX42" s="231">
        <v>-18557</v>
      </c>
      <c r="EY42" s="229">
        <v>-4.6600000000000003E-2</v>
      </c>
      <c r="EZ42" s="229">
        <v>1.0059</v>
      </c>
      <c r="FA42" s="227" t="s">
        <v>556</v>
      </c>
      <c r="FB42" s="161">
        <f t="shared" si="0"/>
        <v>6476625</v>
      </c>
    </row>
    <row r="43" spans="1:158" ht="17.25" hidden="1" thickBot="1" x14ac:dyDescent="0.3">
      <c r="A43" s="226">
        <v>46044</v>
      </c>
      <c r="B43" s="227" t="s">
        <v>161</v>
      </c>
      <c r="C43" s="227" t="s">
        <v>612</v>
      </c>
      <c r="D43" s="228">
        <v>850</v>
      </c>
      <c r="E43" s="228">
        <v>575.1</v>
      </c>
      <c r="F43" s="228">
        <v>575.15</v>
      </c>
      <c r="G43" s="228">
        <v>-0.05</v>
      </c>
      <c r="H43" s="229">
        <v>-1E-4</v>
      </c>
      <c r="I43" s="228">
        <v>574.25</v>
      </c>
      <c r="J43" s="228">
        <v>575.29999999999995</v>
      </c>
      <c r="K43" s="228">
        <v>-1.05</v>
      </c>
      <c r="L43" s="229">
        <v>-1.8E-3</v>
      </c>
      <c r="M43" s="228">
        <v>575.1</v>
      </c>
      <c r="N43" s="228">
        <v>575.15</v>
      </c>
      <c r="O43" s="228">
        <v>-0.05</v>
      </c>
      <c r="P43" s="229">
        <v>-1E-4</v>
      </c>
      <c r="Q43" s="228">
        <v>576.65</v>
      </c>
      <c r="R43" s="228">
        <v>576.70000000000005</v>
      </c>
      <c r="S43" s="228">
        <v>-0.05</v>
      </c>
      <c r="T43" s="229">
        <v>-1E-4</v>
      </c>
      <c r="U43" s="228">
        <v>579.85</v>
      </c>
      <c r="V43" s="228">
        <v>579.95000000000005</v>
      </c>
      <c r="W43" s="228">
        <v>-0.1</v>
      </c>
      <c r="X43" s="229">
        <v>-2.0000000000000001E-4</v>
      </c>
      <c r="Y43" s="228">
        <v>0.85</v>
      </c>
      <c r="Z43" s="228">
        <v>-0.15</v>
      </c>
      <c r="AA43" s="228">
        <v>1</v>
      </c>
      <c r="AB43" s="229">
        <v>1.5E-3</v>
      </c>
      <c r="AC43" s="228">
        <v>0.85</v>
      </c>
      <c r="AD43" s="228">
        <v>-0.15</v>
      </c>
      <c r="AE43" s="228">
        <v>1</v>
      </c>
      <c r="AF43" s="229">
        <v>1.5E-3</v>
      </c>
      <c r="AG43" s="228">
        <v>2.4</v>
      </c>
      <c r="AH43" s="228">
        <v>1.4</v>
      </c>
      <c r="AI43" s="228">
        <v>1</v>
      </c>
      <c r="AJ43" s="229">
        <v>4.1999999999999997E-3</v>
      </c>
      <c r="AK43" s="228">
        <v>5.6</v>
      </c>
      <c r="AL43" s="228">
        <v>4.6500000000000004</v>
      </c>
      <c r="AM43" s="228">
        <v>0.95</v>
      </c>
      <c r="AN43" s="229">
        <v>9.7999999999999997E-3</v>
      </c>
      <c r="AO43" s="228">
        <v>572.88</v>
      </c>
      <c r="AP43" s="228">
        <v>574.5</v>
      </c>
      <c r="AQ43" s="228">
        <v>0</v>
      </c>
      <c r="AR43" s="230">
        <v>15674850</v>
      </c>
      <c r="AS43" s="230">
        <v>13458050</v>
      </c>
      <c r="AT43" s="230">
        <v>2216800</v>
      </c>
      <c r="AU43" s="229">
        <v>0.16470000000000001</v>
      </c>
      <c r="AV43" s="230">
        <v>8245000</v>
      </c>
      <c r="AW43" s="230">
        <v>8238200</v>
      </c>
      <c r="AX43" s="230">
        <v>6800</v>
      </c>
      <c r="AY43" s="229">
        <v>8.0000000000000004E-4</v>
      </c>
      <c r="AZ43" s="230">
        <v>7385650</v>
      </c>
      <c r="BA43" s="230">
        <v>5174800</v>
      </c>
      <c r="BB43" s="230">
        <v>2210850</v>
      </c>
      <c r="BC43" s="229">
        <v>0.42720000000000002</v>
      </c>
      <c r="BD43" s="230">
        <v>44200</v>
      </c>
      <c r="BE43" s="230">
        <v>45050</v>
      </c>
      <c r="BF43" s="228">
        <v>-850</v>
      </c>
      <c r="BG43" s="229">
        <v>-1.89E-2</v>
      </c>
      <c r="BH43" s="230">
        <v>14228150</v>
      </c>
      <c r="BI43" s="230">
        <v>27126050</v>
      </c>
      <c r="BJ43" s="230">
        <v>-12897900</v>
      </c>
      <c r="BK43" s="229">
        <v>-0.47549999999999998</v>
      </c>
      <c r="BL43" s="230">
        <v>6478700</v>
      </c>
      <c r="BM43" s="230">
        <v>16951550</v>
      </c>
      <c r="BN43" s="230">
        <v>-10472850</v>
      </c>
      <c r="BO43" s="229">
        <v>-0.61780000000000002</v>
      </c>
      <c r="BP43" s="230">
        <v>36381700</v>
      </c>
      <c r="BQ43" s="230">
        <v>57535650</v>
      </c>
      <c r="BR43" s="230">
        <v>-21153950</v>
      </c>
      <c r="BS43" s="229">
        <v>-0.36770000000000003</v>
      </c>
      <c r="BT43" s="230">
        <v>1699974</v>
      </c>
      <c r="BU43" s="230">
        <v>5524916</v>
      </c>
      <c r="BV43" s="230">
        <v>-3824942</v>
      </c>
      <c r="BW43" s="229">
        <v>-0.69230000000000003</v>
      </c>
      <c r="BX43" s="230">
        <v>18567400</v>
      </c>
      <c r="BY43" s="230">
        <v>19687700</v>
      </c>
      <c r="BZ43" s="230">
        <v>-1120300</v>
      </c>
      <c r="CA43" s="229">
        <v>-5.6899999999999999E-2</v>
      </c>
      <c r="CB43" s="230">
        <v>8784750</v>
      </c>
      <c r="CC43" s="230">
        <v>14404950</v>
      </c>
      <c r="CD43" s="230">
        <v>-5620200</v>
      </c>
      <c r="CE43" s="229">
        <v>-0.39019999999999999</v>
      </c>
      <c r="CF43" s="230">
        <v>9573550</v>
      </c>
      <c r="CG43" s="230">
        <v>5096600</v>
      </c>
      <c r="CH43" s="230">
        <v>4476950</v>
      </c>
      <c r="CI43" s="229">
        <v>0.87839999999999996</v>
      </c>
      <c r="CJ43" s="230">
        <v>209100</v>
      </c>
      <c r="CK43" s="230">
        <v>186150</v>
      </c>
      <c r="CL43" s="230">
        <v>22950</v>
      </c>
      <c r="CM43" s="229">
        <v>0.12330000000000001</v>
      </c>
      <c r="CN43" s="230">
        <v>15294900</v>
      </c>
      <c r="CO43" s="230">
        <v>16592850</v>
      </c>
      <c r="CP43" s="230">
        <v>-1297950</v>
      </c>
      <c r="CQ43" s="229">
        <v>-7.8200000000000006E-2</v>
      </c>
      <c r="CR43" s="230">
        <v>7850600</v>
      </c>
      <c r="CS43" s="230">
        <v>8402250</v>
      </c>
      <c r="CT43" s="230">
        <v>-551650</v>
      </c>
      <c r="CU43" s="229">
        <v>-6.5699999999999995E-2</v>
      </c>
      <c r="CV43" s="230">
        <v>41712900</v>
      </c>
      <c r="CW43" s="230">
        <v>44682800</v>
      </c>
      <c r="CX43" s="230">
        <v>-2969900</v>
      </c>
      <c r="CY43" s="229">
        <v>-6.6500000000000004E-2</v>
      </c>
      <c r="CZ43" s="228">
        <v>40.65</v>
      </c>
      <c r="DA43" s="228">
        <v>36.5</v>
      </c>
      <c r="DB43" s="228">
        <v>4.1500000000000004</v>
      </c>
      <c r="DC43" s="228">
        <v>4.1500000000000004</v>
      </c>
      <c r="DD43" s="228">
        <v>38.9</v>
      </c>
      <c r="DE43" s="228">
        <v>39</v>
      </c>
      <c r="DF43" s="228">
        <v>1.75</v>
      </c>
      <c r="DG43" s="228">
        <v>-0.1</v>
      </c>
      <c r="DH43" s="228">
        <v>39.950000000000003</v>
      </c>
      <c r="DI43" s="228">
        <v>37.43</v>
      </c>
      <c r="DJ43" s="228">
        <v>2.52</v>
      </c>
      <c r="DK43" s="228">
        <v>2.52</v>
      </c>
      <c r="DL43" s="228">
        <v>41.77</v>
      </c>
      <c r="DM43" s="228">
        <v>35</v>
      </c>
      <c r="DN43" s="228">
        <v>6.77</v>
      </c>
      <c r="DO43" s="228">
        <v>6.77</v>
      </c>
      <c r="DP43" s="228">
        <v>0.51</v>
      </c>
      <c r="DQ43" s="228">
        <v>0.51</v>
      </c>
      <c r="DR43" s="228">
        <v>0</v>
      </c>
      <c r="DS43" s="229">
        <v>0</v>
      </c>
      <c r="DT43" s="228">
        <v>650</v>
      </c>
      <c r="DU43" s="228">
        <v>550</v>
      </c>
      <c r="DV43" s="228">
        <v>0.46</v>
      </c>
      <c r="DW43" s="228">
        <v>0.62</v>
      </c>
      <c r="DX43" s="228">
        <v>-0.16</v>
      </c>
      <c r="DY43" s="229">
        <v>-0.2581</v>
      </c>
      <c r="DZ43" s="229">
        <v>0.52690000000000003</v>
      </c>
      <c r="EA43" s="230">
        <v>5282750</v>
      </c>
      <c r="EB43" s="229">
        <v>2.7000000000000001E-3</v>
      </c>
      <c r="EC43" s="229">
        <v>0.52690000000000003</v>
      </c>
      <c r="ED43" s="228">
        <v>1.62</v>
      </c>
      <c r="EE43" s="229">
        <v>2.8E-3</v>
      </c>
      <c r="EF43" s="230">
        <v>681438</v>
      </c>
      <c r="EG43" s="230">
        <v>2305807</v>
      </c>
      <c r="EH43" s="229">
        <v>-0.70450000000000002</v>
      </c>
      <c r="EI43" s="229">
        <v>0.40089999999999998</v>
      </c>
      <c r="EJ43" s="231">
        <v>87158.12</v>
      </c>
      <c r="EK43" s="231">
        <v>37314.050000000003</v>
      </c>
      <c r="EL43" s="231">
        <v>89922.1</v>
      </c>
      <c r="EM43" s="231">
        <v>10968</v>
      </c>
      <c r="EN43" s="231">
        <v>214394.27</v>
      </c>
      <c r="EO43" s="231">
        <v>336255.97</v>
      </c>
      <c r="EP43" s="231">
        <v>-121861.7</v>
      </c>
      <c r="EQ43" s="229">
        <v>-0.3624</v>
      </c>
      <c r="ER43" s="231">
        <v>98222</v>
      </c>
      <c r="ES43" s="231">
        <v>46821</v>
      </c>
      <c r="ET43" s="231">
        <v>106939</v>
      </c>
      <c r="EU43" s="231">
        <v>103060454</v>
      </c>
      <c r="EV43" s="231">
        <v>251982</v>
      </c>
      <c r="EW43" s="231">
        <v>269817</v>
      </c>
      <c r="EX43" s="231">
        <v>-17835</v>
      </c>
      <c r="EY43" s="229">
        <v>-6.6100000000000006E-2</v>
      </c>
      <c r="EZ43" s="229">
        <v>0.4047</v>
      </c>
      <c r="FA43" s="227" t="s">
        <v>568</v>
      </c>
      <c r="FB43" s="161">
        <f t="shared" si="0"/>
        <v>9782650</v>
      </c>
    </row>
    <row r="44" spans="1:158" ht="17.25" hidden="1" thickBot="1" x14ac:dyDescent="0.3">
      <c r="A44" s="226">
        <v>46044</v>
      </c>
      <c r="B44" s="227" t="s">
        <v>175</v>
      </c>
      <c r="C44" s="227" t="s">
        <v>198</v>
      </c>
      <c r="D44" s="228">
        <v>625</v>
      </c>
      <c r="E44" s="231">
        <v>1665.2</v>
      </c>
      <c r="F44" s="231">
        <v>1629.8</v>
      </c>
      <c r="G44" s="228">
        <v>35.4</v>
      </c>
      <c r="H44" s="229">
        <v>2.1700000000000001E-2</v>
      </c>
      <c r="I44" s="231">
        <v>1664</v>
      </c>
      <c r="J44" s="231">
        <v>1627.8</v>
      </c>
      <c r="K44" s="228">
        <v>36.200000000000003</v>
      </c>
      <c r="L44" s="229">
        <v>2.2200000000000001E-2</v>
      </c>
      <c r="M44" s="231">
        <v>1665.2</v>
      </c>
      <c r="N44" s="231">
        <v>1629.8</v>
      </c>
      <c r="O44" s="228">
        <v>35.4</v>
      </c>
      <c r="P44" s="229">
        <v>2.1700000000000001E-2</v>
      </c>
      <c r="Q44" s="231">
        <v>1673</v>
      </c>
      <c r="R44" s="231">
        <v>1637.6</v>
      </c>
      <c r="S44" s="228">
        <v>35.4</v>
      </c>
      <c r="T44" s="229">
        <v>2.1600000000000001E-2</v>
      </c>
      <c r="U44" s="231">
        <v>1676.9</v>
      </c>
      <c r="V44" s="231">
        <v>1646</v>
      </c>
      <c r="W44" s="228">
        <v>30.9</v>
      </c>
      <c r="X44" s="229">
        <v>1.8800000000000001E-2</v>
      </c>
      <c r="Y44" s="228">
        <v>1.2</v>
      </c>
      <c r="Z44" s="228">
        <v>2</v>
      </c>
      <c r="AA44" s="228">
        <v>-0.8</v>
      </c>
      <c r="AB44" s="229">
        <v>6.9999999999999999E-4</v>
      </c>
      <c r="AC44" s="228">
        <v>1.2</v>
      </c>
      <c r="AD44" s="228">
        <v>2</v>
      </c>
      <c r="AE44" s="228">
        <v>-0.8</v>
      </c>
      <c r="AF44" s="229">
        <v>6.9999999999999999E-4</v>
      </c>
      <c r="AG44" s="228">
        <v>9</v>
      </c>
      <c r="AH44" s="228">
        <v>9.8000000000000007</v>
      </c>
      <c r="AI44" s="228">
        <v>-0.8</v>
      </c>
      <c r="AJ44" s="229">
        <v>5.4000000000000003E-3</v>
      </c>
      <c r="AK44" s="228">
        <v>12.9</v>
      </c>
      <c r="AL44" s="228">
        <v>18.2</v>
      </c>
      <c r="AM44" s="228">
        <v>-5.3</v>
      </c>
      <c r="AN44" s="229">
        <v>7.7999999999999996E-3</v>
      </c>
      <c r="AO44" s="231">
        <v>1654.51</v>
      </c>
      <c r="AP44" s="231">
        <v>1662.27</v>
      </c>
      <c r="AQ44" s="228">
        <v>0</v>
      </c>
      <c r="AR44" s="230">
        <v>12888750</v>
      </c>
      <c r="AS44" s="230">
        <v>8292500</v>
      </c>
      <c r="AT44" s="230">
        <v>4596250</v>
      </c>
      <c r="AU44" s="229">
        <v>0.55430000000000001</v>
      </c>
      <c r="AV44" s="230">
        <v>6339375</v>
      </c>
      <c r="AW44" s="230">
        <v>4445000</v>
      </c>
      <c r="AX44" s="230">
        <v>1894375</v>
      </c>
      <c r="AY44" s="229">
        <v>0.42620000000000002</v>
      </c>
      <c r="AZ44" s="230">
        <v>6536875</v>
      </c>
      <c r="BA44" s="230">
        <v>3836875</v>
      </c>
      <c r="BB44" s="230">
        <v>2700000</v>
      </c>
      <c r="BC44" s="229">
        <v>0.70369999999999999</v>
      </c>
      <c r="BD44" s="230">
        <v>12500</v>
      </c>
      <c r="BE44" s="230">
        <v>10625</v>
      </c>
      <c r="BF44" s="230">
        <v>1875</v>
      </c>
      <c r="BG44" s="229">
        <v>0.17649999999999999</v>
      </c>
      <c r="BH44" s="230">
        <v>5832500</v>
      </c>
      <c r="BI44" s="230">
        <v>6128750</v>
      </c>
      <c r="BJ44" s="230">
        <v>-296250</v>
      </c>
      <c r="BK44" s="229">
        <v>-4.8300000000000003E-2</v>
      </c>
      <c r="BL44" s="230">
        <v>3317500</v>
      </c>
      <c r="BM44" s="230">
        <v>4476875</v>
      </c>
      <c r="BN44" s="230">
        <v>-1159375</v>
      </c>
      <c r="BO44" s="229">
        <v>-0.25900000000000001</v>
      </c>
      <c r="BP44" s="230">
        <v>22038750</v>
      </c>
      <c r="BQ44" s="230">
        <v>18898125</v>
      </c>
      <c r="BR44" s="230">
        <v>3140625</v>
      </c>
      <c r="BS44" s="229">
        <v>0.16619999999999999</v>
      </c>
      <c r="BT44" s="230">
        <v>1272980</v>
      </c>
      <c r="BU44" s="230">
        <v>1071437</v>
      </c>
      <c r="BV44" s="230">
        <v>201543</v>
      </c>
      <c r="BW44" s="229">
        <v>0.18809999999999999</v>
      </c>
      <c r="BX44" s="230">
        <v>15633750</v>
      </c>
      <c r="BY44" s="230">
        <v>15478125</v>
      </c>
      <c r="BZ44" s="230">
        <v>155625</v>
      </c>
      <c r="CA44" s="229">
        <v>1.01E-2</v>
      </c>
      <c r="CB44" s="230">
        <v>6341875</v>
      </c>
      <c r="CC44" s="230">
        <v>11533750</v>
      </c>
      <c r="CD44" s="230">
        <v>-5191875</v>
      </c>
      <c r="CE44" s="229">
        <v>-0.4501</v>
      </c>
      <c r="CF44" s="230">
        <v>9243125</v>
      </c>
      <c r="CG44" s="230">
        <v>3897500</v>
      </c>
      <c r="CH44" s="230">
        <v>5345625</v>
      </c>
      <c r="CI44" s="229">
        <v>1.3715999999999999</v>
      </c>
      <c r="CJ44" s="230">
        <v>48750</v>
      </c>
      <c r="CK44" s="230">
        <v>46875</v>
      </c>
      <c r="CL44" s="230">
        <v>1875</v>
      </c>
      <c r="CM44" s="229">
        <v>0.04</v>
      </c>
      <c r="CN44" s="230">
        <v>4818125</v>
      </c>
      <c r="CO44" s="230">
        <v>5523125</v>
      </c>
      <c r="CP44" s="230">
        <v>-705000</v>
      </c>
      <c r="CQ44" s="229">
        <v>-0.12759999999999999</v>
      </c>
      <c r="CR44" s="230">
        <v>3453750</v>
      </c>
      <c r="CS44" s="230">
        <v>3640000</v>
      </c>
      <c r="CT44" s="230">
        <v>-186250</v>
      </c>
      <c r="CU44" s="229">
        <v>-5.1200000000000002E-2</v>
      </c>
      <c r="CV44" s="230">
        <v>23905625</v>
      </c>
      <c r="CW44" s="230">
        <v>24641250</v>
      </c>
      <c r="CX44" s="230">
        <v>-735625</v>
      </c>
      <c r="CY44" s="229">
        <v>-2.9899999999999999E-2</v>
      </c>
      <c r="CZ44" s="228">
        <v>32.979999999999997</v>
      </c>
      <c r="DA44" s="228">
        <v>30.63</v>
      </c>
      <c r="DB44" s="228">
        <v>2.35</v>
      </c>
      <c r="DC44" s="228">
        <v>2.35</v>
      </c>
      <c r="DD44" s="228">
        <v>37.07</v>
      </c>
      <c r="DE44" s="228">
        <v>37.04</v>
      </c>
      <c r="DF44" s="228">
        <v>-4.09</v>
      </c>
      <c r="DG44" s="228">
        <v>0.03</v>
      </c>
      <c r="DH44" s="228">
        <v>32.22</v>
      </c>
      <c r="DI44" s="228">
        <v>31.47</v>
      </c>
      <c r="DJ44" s="228">
        <v>0.75</v>
      </c>
      <c r="DK44" s="228">
        <v>0.75</v>
      </c>
      <c r="DL44" s="228">
        <v>33.93</v>
      </c>
      <c r="DM44" s="228">
        <v>29.48</v>
      </c>
      <c r="DN44" s="228">
        <v>4.45</v>
      </c>
      <c r="DO44" s="228">
        <v>4.45</v>
      </c>
      <c r="DP44" s="228">
        <v>0.72</v>
      </c>
      <c r="DQ44" s="228">
        <v>0.66</v>
      </c>
      <c r="DR44" s="228">
        <v>0.06</v>
      </c>
      <c r="DS44" s="229">
        <v>9.0899999999999995E-2</v>
      </c>
      <c r="DT44" s="231">
        <v>1720</v>
      </c>
      <c r="DU44" s="231">
        <v>1600</v>
      </c>
      <c r="DV44" s="228">
        <v>0.56999999999999995</v>
      </c>
      <c r="DW44" s="228">
        <v>0.73</v>
      </c>
      <c r="DX44" s="228">
        <v>-0.16</v>
      </c>
      <c r="DY44" s="229">
        <v>-0.21920000000000001</v>
      </c>
      <c r="DZ44" s="229">
        <v>0.59430000000000005</v>
      </c>
      <c r="EA44" s="230">
        <v>3944375</v>
      </c>
      <c r="EB44" s="229">
        <v>4.7000000000000002E-3</v>
      </c>
      <c r="EC44" s="229">
        <v>0.59430000000000005</v>
      </c>
      <c r="ED44" s="228">
        <v>7.76</v>
      </c>
      <c r="EE44" s="229">
        <v>4.7000000000000002E-3</v>
      </c>
      <c r="EF44" s="230">
        <v>812437</v>
      </c>
      <c r="EG44" s="230">
        <v>570410</v>
      </c>
      <c r="EH44" s="229">
        <v>0.42430000000000001</v>
      </c>
      <c r="EI44" s="229">
        <v>0.63819999999999999</v>
      </c>
      <c r="EJ44" s="231">
        <v>101175.33</v>
      </c>
      <c r="EK44" s="231">
        <v>53620.99</v>
      </c>
      <c r="EL44" s="231">
        <v>213754.27</v>
      </c>
      <c r="EM44" s="231">
        <v>6302</v>
      </c>
      <c r="EN44" s="231">
        <v>368550.59</v>
      </c>
      <c r="EO44" s="231">
        <v>314389.05</v>
      </c>
      <c r="EP44" s="231">
        <v>54161.54</v>
      </c>
      <c r="EQ44" s="229">
        <v>0.17230000000000001</v>
      </c>
      <c r="ER44" s="231">
        <v>85611</v>
      </c>
      <c r="ES44" s="231">
        <v>56457</v>
      </c>
      <c r="ET44" s="231">
        <v>261060</v>
      </c>
      <c r="EU44" s="231">
        <v>63257923</v>
      </c>
      <c r="EV44" s="231">
        <v>403128</v>
      </c>
      <c r="EW44" s="231">
        <v>409804</v>
      </c>
      <c r="EX44" s="231">
        <v>-6676</v>
      </c>
      <c r="EY44" s="229">
        <v>-1.6299999999999999E-2</v>
      </c>
      <c r="EZ44" s="229">
        <v>0.37790000000000001</v>
      </c>
      <c r="FA44" s="227" t="s">
        <v>555</v>
      </c>
      <c r="FB44" s="161">
        <f t="shared" si="0"/>
        <v>9291875</v>
      </c>
    </row>
    <row r="45" spans="1:158" ht="17.25" hidden="1" thickBot="1" x14ac:dyDescent="0.3">
      <c r="A45" s="226">
        <v>46044</v>
      </c>
      <c r="B45" s="227" t="s">
        <v>170</v>
      </c>
      <c r="C45" s="227" t="s">
        <v>199</v>
      </c>
      <c r="D45" s="228">
        <v>375</v>
      </c>
      <c r="E45" s="231">
        <v>1373.3</v>
      </c>
      <c r="F45" s="231">
        <v>1368.2</v>
      </c>
      <c r="G45" s="228">
        <v>5.0999999999999996</v>
      </c>
      <c r="H45" s="229">
        <v>3.7000000000000002E-3</v>
      </c>
      <c r="I45" s="231">
        <v>1370.4</v>
      </c>
      <c r="J45" s="231">
        <v>1369.6</v>
      </c>
      <c r="K45" s="228">
        <v>0.8</v>
      </c>
      <c r="L45" s="229">
        <v>5.9999999999999995E-4</v>
      </c>
      <c r="M45" s="231">
        <v>1373.3</v>
      </c>
      <c r="N45" s="231">
        <v>1368.2</v>
      </c>
      <c r="O45" s="228">
        <v>5.0999999999999996</v>
      </c>
      <c r="P45" s="229">
        <v>3.7000000000000002E-3</v>
      </c>
      <c r="Q45" s="231">
        <v>1379.7</v>
      </c>
      <c r="R45" s="231">
        <v>1374.8</v>
      </c>
      <c r="S45" s="228">
        <v>4.9000000000000004</v>
      </c>
      <c r="T45" s="229">
        <v>3.5999999999999999E-3</v>
      </c>
      <c r="U45" s="231">
        <v>1389.4</v>
      </c>
      <c r="V45" s="231">
        <v>1383.5</v>
      </c>
      <c r="W45" s="228">
        <v>5.9</v>
      </c>
      <c r="X45" s="229">
        <v>4.3E-3</v>
      </c>
      <c r="Y45" s="228">
        <v>2.9</v>
      </c>
      <c r="Z45" s="228">
        <v>-1.4</v>
      </c>
      <c r="AA45" s="228">
        <v>4.3</v>
      </c>
      <c r="AB45" s="229">
        <v>2.0999999999999999E-3</v>
      </c>
      <c r="AC45" s="228">
        <v>2.9</v>
      </c>
      <c r="AD45" s="228">
        <v>-1.4</v>
      </c>
      <c r="AE45" s="228">
        <v>4.3</v>
      </c>
      <c r="AF45" s="229">
        <v>2.0999999999999999E-3</v>
      </c>
      <c r="AG45" s="228">
        <v>9.3000000000000007</v>
      </c>
      <c r="AH45" s="228">
        <v>5.2</v>
      </c>
      <c r="AI45" s="228">
        <v>4.0999999999999996</v>
      </c>
      <c r="AJ45" s="229">
        <v>6.7999999999999996E-3</v>
      </c>
      <c r="AK45" s="228">
        <v>19</v>
      </c>
      <c r="AL45" s="228">
        <v>13.9</v>
      </c>
      <c r="AM45" s="228">
        <v>5.0999999999999996</v>
      </c>
      <c r="AN45" s="229">
        <v>1.3899999999999999E-2</v>
      </c>
      <c r="AO45" s="231">
        <v>1375.24</v>
      </c>
      <c r="AP45" s="231">
        <v>1381.68</v>
      </c>
      <c r="AQ45" s="228">
        <v>0</v>
      </c>
      <c r="AR45" s="230">
        <v>9754500</v>
      </c>
      <c r="AS45" s="230">
        <v>9153375</v>
      </c>
      <c r="AT45" s="230">
        <v>601125</v>
      </c>
      <c r="AU45" s="229">
        <v>6.5699999999999995E-2</v>
      </c>
      <c r="AV45" s="230">
        <v>5018250</v>
      </c>
      <c r="AW45" s="230">
        <v>4842000</v>
      </c>
      <c r="AX45" s="230">
        <v>176250</v>
      </c>
      <c r="AY45" s="229">
        <v>3.6400000000000002E-2</v>
      </c>
      <c r="AZ45" s="230">
        <v>4712250</v>
      </c>
      <c r="BA45" s="230">
        <v>4281750</v>
      </c>
      <c r="BB45" s="230">
        <v>430500</v>
      </c>
      <c r="BC45" s="229">
        <v>0.10050000000000001</v>
      </c>
      <c r="BD45" s="230">
        <v>24000</v>
      </c>
      <c r="BE45" s="230">
        <v>29625</v>
      </c>
      <c r="BF45" s="230">
        <v>-5625</v>
      </c>
      <c r="BG45" s="229">
        <v>-0.18990000000000001</v>
      </c>
      <c r="BH45" s="230">
        <v>8251500</v>
      </c>
      <c r="BI45" s="230">
        <v>9140250</v>
      </c>
      <c r="BJ45" s="230">
        <v>-888750</v>
      </c>
      <c r="BK45" s="229">
        <v>-9.7199999999999995E-2</v>
      </c>
      <c r="BL45" s="230">
        <v>4960500</v>
      </c>
      <c r="BM45" s="230">
        <v>6834750</v>
      </c>
      <c r="BN45" s="230">
        <v>-1874250</v>
      </c>
      <c r="BO45" s="229">
        <v>-0.2742</v>
      </c>
      <c r="BP45" s="230">
        <v>22966500</v>
      </c>
      <c r="BQ45" s="230">
        <v>25128375</v>
      </c>
      <c r="BR45" s="230">
        <v>-2161875</v>
      </c>
      <c r="BS45" s="229">
        <v>-8.5999999999999993E-2</v>
      </c>
      <c r="BT45" s="230">
        <v>1619714</v>
      </c>
      <c r="BU45" s="230">
        <v>2345885</v>
      </c>
      <c r="BV45" s="230">
        <v>-726171</v>
      </c>
      <c r="BW45" s="229">
        <v>-0.30959999999999999</v>
      </c>
      <c r="BX45" s="230">
        <v>14762250</v>
      </c>
      <c r="BY45" s="230">
        <v>14506500</v>
      </c>
      <c r="BZ45" s="230">
        <v>255750</v>
      </c>
      <c r="CA45" s="229">
        <v>1.7600000000000001E-2</v>
      </c>
      <c r="CB45" s="230">
        <v>6237750</v>
      </c>
      <c r="CC45" s="230">
        <v>9682500</v>
      </c>
      <c r="CD45" s="230">
        <v>-3444750</v>
      </c>
      <c r="CE45" s="229">
        <v>-0.35580000000000001</v>
      </c>
      <c r="CF45" s="230">
        <v>8294250</v>
      </c>
      <c r="CG45" s="230">
        <v>4602375</v>
      </c>
      <c r="CH45" s="230">
        <v>3691875</v>
      </c>
      <c r="CI45" s="229">
        <v>0.80220000000000002</v>
      </c>
      <c r="CJ45" s="230">
        <v>230250</v>
      </c>
      <c r="CK45" s="230">
        <v>221625</v>
      </c>
      <c r="CL45" s="230">
        <v>8625</v>
      </c>
      <c r="CM45" s="229">
        <v>3.8899999999999997E-2</v>
      </c>
      <c r="CN45" s="230">
        <v>7841250</v>
      </c>
      <c r="CO45" s="230">
        <v>7925250</v>
      </c>
      <c r="CP45" s="230">
        <v>-84000</v>
      </c>
      <c r="CQ45" s="229">
        <v>-1.06E-2</v>
      </c>
      <c r="CR45" s="230">
        <v>5990250</v>
      </c>
      <c r="CS45" s="230">
        <v>6069750</v>
      </c>
      <c r="CT45" s="230">
        <v>-79500</v>
      </c>
      <c r="CU45" s="229">
        <v>-1.3100000000000001E-2</v>
      </c>
      <c r="CV45" s="230">
        <v>28593750</v>
      </c>
      <c r="CW45" s="230">
        <v>28501500</v>
      </c>
      <c r="CX45" s="230">
        <v>92250</v>
      </c>
      <c r="CY45" s="229">
        <v>3.2000000000000002E-3</v>
      </c>
      <c r="CZ45" s="228">
        <v>25.02</v>
      </c>
      <c r="DA45" s="228">
        <v>29.37</v>
      </c>
      <c r="DB45" s="228">
        <v>-4.3499999999999996</v>
      </c>
      <c r="DC45" s="228">
        <v>-4.3499999999999996</v>
      </c>
      <c r="DD45" s="228">
        <v>25.49</v>
      </c>
      <c r="DE45" s="228">
        <v>25.54</v>
      </c>
      <c r="DF45" s="228">
        <v>-0.47</v>
      </c>
      <c r="DG45" s="228">
        <v>-0.05</v>
      </c>
      <c r="DH45" s="228">
        <v>25.31</v>
      </c>
      <c r="DI45" s="228">
        <v>29.67</v>
      </c>
      <c r="DJ45" s="228">
        <v>-4.3600000000000003</v>
      </c>
      <c r="DK45" s="228">
        <v>-4.3600000000000003</v>
      </c>
      <c r="DL45" s="228">
        <v>24.46</v>
      </c>
      <c r="DM45" s="228">
        <v>28.96</v>
      </c>
      <c r="DN45" s="228">
        <v>-4.5</v>
      </c>
      <c r="DO45" s="228">
        <v>-4.5</v>
      </c>
      <c r="DP45" s="228">
        <v>0.76</v>
      </c>
      <c r="DQ45" s="228">
        <v>0.77</v>
      </c>
      <c r="DR45" s="228">
        <v>-0.01</v>
      </c>
      <c r="DS45" s="229">
        <v>-1.2999999999999999E-2</v>
      </c>
      <c r="DT45" s="231">
        <v>1540</v>
      </c>
      <c r="DU45" s="231">
        <v>1500</v>
      </c>
      <c r="DV45" s="228">
        <v>0.6</v>
      </c>
      <c r="DW45" s="228">
        <v>0.75</v>
      </c>
      <c r="DX45" s="228">
        <v>-0.15</v>
      </c>
      <c r="DY45" s="229">
        <v>-0.2</v>
      </c>
      <c r="DZ45" s="229">
        <v>0.57750000000000001</v>
      </c>
      <c r="EA45" s="230">
        <v>4824000</v>
      </c>
      <c r="EB45" s="229">
        <v>4.7000000000000002E-3</v>
      </c>
      <c r="EC45" s="229">
        <v>0.57750000000000001</v>
      </c>
      <c r="ED45" s="228">
        <v>6.44</v>
      </c>
      <c r="EE45" s="229">
        <v>4.7000000000000002E-3</v>
      </c>
      <c r="EF45" s="230">
        <v>848697</v>
      </c>
      <c r="EG45" s="230">
        <v>1156086</v>
      </c>
      <c r="EH45" s="229">
        <v>-0.26590000000000003</v>
      </c>
      <c r="EI45" s="229">
        <v>0.52400000000000002</v>
      </c>
      <c r="EJ45" s="231">
        <v>117927.28</v>
      </c>
      <c r="EK45" s="231">
        <v>69102.39</v>
      </c>
      <c r="EL45" s="231">
        <v>134454.96</v>
      </c>
      <c r="EM45" s="231">
        <v>12596</v>
      </c>
      <c r="EN45" s="231">
        <v>321484.63</v>
      </c>
      <c r="EO45" s="231">
        <v>352007.71</v>
      </c>
      <c r="EP45" s="231">
        <v>-30523.08</v>
      </c>
      <c r="EQ45" s="229">
        <v>-8.6699999999999999E-2</v>
      </c>
      <c r="ER45" s="231">
        <v>117114</v>
      </c>
      <c r="ES45" s="231">
        <v>84213</v>
      </c>
      <c r="ET45" s="231">
        <v>203298</v>
      </c>
      <c r="EU45" s="231">
        <v>59297360</v>
      </c>
      <c r="EV45" s="231">
        <v>404624</v>
      </c>
      <c r="EW45" s="231">
        <v>402674</v>
      </c>
      <c r="EX45" s="231">
        <v>1950</v>
      </c>
      <c r="EY45" s="229">
        <v>4.7999999999999996E-3</v>
      </c>
      <c r="EZ45" s="229">
        <v>0.48220000000000002</v>
      </c>
      <c r="FA45" s="227" t="s">
        <v>555</v>
      </c>
      <c r="FB45" s="161">
        <f t="shared" si="0"/>
        <v>8524500</v>
      </c>
    </row>
    <row r="46" spans="1:158" ht="17.25" hidden="1" thickBot="1" x14ac:dyDescent="0.3">
      <c r="A46" s="226">
        <v>46044</v>
      </c>
      <c r="B46" s="227" t="s">
        <v>227</v>
      </c>
      <c r="C46" s="227" t="s">
        <v>200</v>
      </c>
      <c r="D46" s="228">
        <v>1350</v>
      </c>
      <c r="E46" s="228">
        <v>422.95</v>
      </c>
      <c r="F46" s="228">
        <v>414.1</v>
      </c>
      <c r="G46" s="228">
        <v>8.85</v>
      </c>
      <c r="H46" s="229">
        <v>2.1399999999999999E-2</v>
      </c>
      <c r="I46" s="228">
        <v>423.2</v>
      </c>
      <c r="J46" s="228">
        <v>414.05</v>
      </c>
      <c r="K46" s="228">
        <v>9.15</v>
      </c>
      <c r="L46" s="229">
        <v>2.2100000000000002E-2</v>
      </c>
      <c r="M46" s="228">
        <v>422.95</v>
      </c>
      <c r="N46" s="228">
        <v>414.1</v>
      </c>
      <c r="O46" s="228">
        <v>8.85</v>
      </c>
      <c r="P46" s="229">
        <v>2.1399999999999999E-2</v>
      </c>
      <c r="Q46" s="228">
        <v>419</v>
      </c>
      <c r="R46" s="228">
        <v>410.05</v>
      </c>
      <c r="S46" s="228">
        <v>8.9499999999999993</v>
      </c>
      <c r="T46" s="229">
        <v>2.18E-2</v>
      </c>
      <c r="U46" s="228">
        <v>421.85</v>
      </c>
      <c r="V46" s="228">
        <v>412.4</v>
      </c>
      <c r="W46" s="228">
        <v>9.4499999999999993</v>
      </c>
      <c r="X46" s="229">
        <v>2.29E-2</v>
      </c>
      <c r="Y46" s="228">
        <v>-0.25</v>
      </c>
      <c r="Z46" s="228">
        <v>0.05</v>
      </c>
      <c r="AA46" s="228">
        <v>-0.3</v>
      </c>
      <c r="AB46" s="229">
        <v>-5.9999999999999995E-4</v>
      </c>
      <c r="AC46" s="228">
        <v>-0.25</v>
      </c>
      <c r="AD46" s="228">
        <v>0.05</v>
      </c>
      <c r="AE46" s="228">
        <v>-0.3</v>
      </c>
      <c r="AF46" s="229">
        <v>-5.9999999999999995E-4</v>
      </c>
      <c r="AG46" s="228">
        <v>-4.2</v>
      </c>
      <c r="AH46" s="228">
        <v>-4</v>
      </c>
      <c r="AI46" s="228">
        <v>-0.2</v>
      </c>
      <c r="AJ46" s="229">
        <v>-9.9000000000000008E-3</v>
      </c>
      <c r="AK46" s="228">
        <v>-1.35</v>
      </c>
      <c r="AL46" s="228">
        <v>-1.65</v>
      </c>
      <c r="AM46" s="228">
        <v>0.3</v>
      </c>
      <c r="AN46" s="229">
        <v>-3.2000000000000002E-3</v>
      </c>
      <c r="AO46" s="228">
        <v>422.04</v>
      </c>
      <c r="AP46" s="228">
        <v>417.95</v>
      </c>
      <c r="AQ46" s="228">
        <v>0</v>
      </c>
      <c r="AR46" s="230">
        <v>32906250</v>
      </c>
      <c r="AS46" s="230">
        <v>34082100</v>
      </c>
      <c r="AT46" s="230">
        <v>-1175850</v>
      </c>
      <c r="AU46" s="229">
        <v>-3.4500000000000003E-2</v>
      </c>
      <c r="AV46" s="230">
        <v>17702550</v>
      </c>
      <c r="AW46" s="230">
        <v>19566900</v>
      </c>
      <c r="AX46" s="230">
        <v>-1864350</v>
      </c>
      <c r="AY46" s="229">
        <v>-9.5299999999999996E-2</v>
      </c>
      <c r="AZ46" s="230">
        <v>15024150</v>
      </c>
      <c r="BA46" s="230">
        <v>14251950</v>
      </c>
      <c r="BB46" s="230">
        <v>772200</v>
      </c>
      <c r="BC46" s="229">
        <v>5.4199999999999998E-2</v>
      </c>
      <c r="BD46" s="230">
        <v>179550</v>
      </c>
      <c r="BE46" s="230">
        <v>263250</v>
      </c>
      <c r="BF46" s="230">
        <v>-83700</v>
      </c>
      <c r="BG46" s="229">
        <v>-0.31790000000000002</v>
      </c>
      <c r="BH46" s="230">
        <v>90513450</v>
      </c>
      <c r="BI46" s="230">
        <v>77629050</v>
      </c>
      <c r="BJ46" s="230">
        <v>12884400</v>
      </c>
      <c r="BK46" s="229">
        <v>0.16600000000000001</v>
      </c>
      <c r="BL46" s="230">
        <v>38813850</v>
      </c>
      <c r="BM46" s="230">
        <v>36811800</v>
      </c>
      <c r="BN46" s="230">
        <v>2002050</v>
      </c>
      <c r="BO46" s="229">
        <v>5.4399999999999997E-2</v>
      </c>
      <c r="BP46" s="230">
        <v>162233550</v>
      </c>
      <c r="BQ46" s="230">
        <v>148522950</v>
      </c>
      <c r="BR46" s="230">
        <v>13710600</v>
      </c>
      <c r="BS46" s="229">
        <v>9.2299999999999993E-2</v>
      </c>
      <c r="BT46" s="230">
        <v>12041981</v>
      </c>
      <c r="BU46" s="230">
        <v>7677466</v>
      </c>
      <c r="BV46" s="230">
        <v>4364515</v>
      </c>
      <c r="BW46" s="229">
        <v>0.56850000000000001</v>
      </c>
      <c r="BX46" s="230">
        <v>57202200</v>
      </c>
      <c r="BY46" s="230">
        <v>56872800</v>
      </c>
      <c r="BZ46" s="230">
        <v>329400</v>
      </c>
      <c r="CA46" s="229">
        <v>5.7999999999999996E-3</v>
      </c>
      <c r="CB46" s="230">
        <v>32651100</v>
      </c>
      <c r="CC46" s="230">
        <v>41053500</v>
      </c>
      <c r="CD46" s="230">
        <v>-8402400</v>
      </c>
      <c r="CE46" s="229">
        <v>-0.20469999999999999</v>
      </c>
      <c r="CF46" s="230">
        <v>23766750</v>
      </c>
      <c r="CG46" s="230">
        <v>15068700</v>
      </c>
      <c r="CH46" s="230">
        <v>8698050</v>
      </c>
      <c r="CI46" s="229">
        <v>0.57720000000000005</v>
      </c>
      <c r="CJ46" s="230">
        <v>784350</v>
      </c>
      <c r="CK46" s="230">
        <v>750600</v>
      </c>
      <c r="CL46" s="230">
        <v>33750</v>
      </c>
      <c r="CM46" s="229">
        <v>4.4999999999999998E-2</v>
      </c>
      <c r="CN46" s="230">
        <v>52323300</v>
      </c>
      <c r="CO46" s="230">
        <v>56548800</v>
      </c>
      <c r="CP46" s="230">
        <v>-4225500</v>
      </c>
      <c r="CQ46" s="229">
        <v>-7.4700000000000003E-2</v>
      </c>
      <c r="CR46" s="230">
        <v>26190000</v>
      </c>
      <c r="CS46" s="230">
        <v>26254800</v>
      </c>
      <c r="CT46" s="230">
        <v>-64800</v>
      </c>
      <c r="CU46" s="229">
        <v>-2.5000000000000001E-3</v>
      </c>
      <c r="CV46" s="230">
        <v>135715500</v>
      </c>
      <c r="CW46" s="230">
        <v>139676400</v>
      </c>
      <c r="CX46" s="230">
        <v>-3960900</v>
      </c>
      <c r="CY46" s="229">
        <v>-2.8400000000000002E-2</v>
      </c>
      <c r="CZ46" s="228">
        <v>24.28</v>
      </c>
      <c r="DA46" s="228">
        <v>21.11</v>
      </c>
      <c r="DB46" s="228">
        <v>3.17</v>
      </c>
      <c r="DC46" s="228">
        <v>3.17</v>
      </c>
      <c r="DD46" s="228">
        <v>28.32</v>
      </c>
      <c r="DE46" s="228">
        <v>28.25</v>
      </c>
      <c r="DF46" s="228">
        <v>-4.04</v>
      </c>
      <c r="DG46" s="228">
        <v>7.0000000000000007E-2</v>
      </c>
      <c r="DH46" s="228">
        <v>24.31</v>
      </c>
      <c r="DI46" s="228">
        <v>21.77</v>
      </c>
      <c r="DJ46" s="228">
        <v>2.54</v>
      </c>
      <c r="DK46" s="228">
        <v>2.54</v>
      </c>
      <c r="DL46" s="228">
        <v>24.23</v>
      </c>
      <c r="DM46" s="228">
        <v>19.73</v>
      </c>
      <c r="DN46" s="228">
        <v>4.5</v>
      </c>
      <c r="DO46" s="228">
        <v>4.5</v>
      </c>
      <c r="DP46" s="228">
        <v>0.5</v>
      </c>
      <c r="DQ46" s="228">
        <v>0.46</v>
      </c>
      <c r="DR46" s="228">
        <v>0.04</v>
      </c>
      <c r="DS46" s="229">
        <v>8.6999999999999994E-2</v>
      </c>
      <c r="DT46" s="228">
        <v>440</v>
      </c>
      <c r="DU46" s="228">
        <v>400</v>
      </c>
      <c r="DV46" s="228">
        <v>0.43</v>
      </c>
      <c r="DW46" s="228">
        <v>0.47</v>
      </c>
      <c r="DX46" s="228">
        <v>-0.04</v>
      </c>
      <c r="DY46" s="229">
        <v>-8.5099999999999995E-2</v>
      </c>
      <c r="DZ46" s="229">
        <v>0.42920000000000003</v>
      </c>
      <c r="EA46" s="230">
        <v>15819300</v>
      </c>
      <c r="EB46" s="229">
        <v>-9.2999999999999992E-3</v>
      </c>
      <c r="EC46" s="229">
        <v>0.42920000000000003</v>
      </c>
      <c r="ED46" s="228">
        <v>-4.09</v>
      </c>
      <c r="EE46" s="229">
        <v>-9.7000000000000003E-3</v>
      </c>
      <c r="EF46" s="230">
        <v>6938172</v>
      </c>
      <c r="EG46" s="230">
        <v>4105819</v>
      </c>
      <c r="EH46" s="229">
        <v>0.68979999999999997</v>
      </c>
      <c r="EI46" s="229">
        <v>0.57620000000000005</v>
      </c>
      <c r="EJ46" s="231">
        <v>391763.5</v>
      </c>
      <c r="EK46" s="231">
        <v>161787.94</v>
      </c>
      <c r="EL46" s="231">
        <v>138260.37</v>
      </c>
      <c r="EM46" s="231">
        <v>13497</v>
      </c>
      <c r="EN46" s="231">
        <v>691811.81</v>
      </c>
      <c r="EO46" s="231">
        <v>625920.59</v>
      </c>
      <c r="EP46" s="231">
        <v>65891.22</v>
      </c>
      <c r="EQ46" s="229">
        <v>0.1053</v>
      </c>
      <c r="ER46" s="231">
        <v>230261</v>
      </c>
      <c r="ES46" s="231">
        <v>107082</v>
      </c>
      <c r="ET46" s="231">
        <v>240989</v>
      </c>
      <c r="EU46" s="231">
        <v>278206904</v>
      </c>
      <c r="EV46" s="231">
        <v>578332</v>
      </c>
      <c r="EW46" s="231">
        <v>590479</v>
      </c>
      <c r="EX46" s="231">
        <v>-12147</v>
      </c>
      <c r="EY46" s="229">
        <v>-2.06E-2</v>
      </c>
      <c r="EZ46" s="229">
        <v>0.48780000000000001</v>
      </c>
      <c r="FA46" s="227" t="s">
        <v>555</v>
      </c>
      <c r="FB46" s="161">
        <f t="shared" si="0"/>
        <v>24551100</v>
      </c>
    </row>
    <row r="47" spans="1:158" ht="17.25" hidden="1" thickBot="1" x14ac:dyDescent="0.3">
      <c r="A47" s="226">
        <v>46044</v>
      </c>
      <c r="B47" s="227" t="s">
        <v>221</v>
      </c>
      <c r="C47" s="227" t="s">
        <v>470</v>
      </c>
      <c r="D47" s="228">
        <v>375</v>
      </c>
      <c r="E47" s="231">
        <v>1692.3</v>
      </c>
      <c r="F47" s="231">
        <v>1664.1</v>
      </c>
      <c r="G47" s="228">
        <v>28.2</v>
      </c>
      <c r="H47" s="229">
        <v>1.6899999999999998E-2</v>
      </c>
      <c r="I47" s="231">
        <v>1687.7</v>
      </c>
      <c r="J47" s="231">
        <v>1669.2</v>
      </c>
      <c r="K47" s="228">
        <v>18.5</v>
      </c>
      <c r="L47" s="229">
        <v>1.11E-2</v>
      </c>
      <c r="M47" s="231">
        <v>1692.3</v>
      </c>
      <c r="N47" s="231">
        <v>1664.1</v>
      </c>
      <c r="O47" s="228">
        <v>28.2</v>
      </c>
      <c r="P47" s="229">
        <v>1.6899999999999998E-2</v>
      </c>
      <c r="Q47" s="231">
        <v>1695.6</v>
      </c>
      <c r="R47" s="231">
        <v>1663.2</v>
      </c>
      <c r="S47" s="228">
        <v>32.4</v>
      </c>
      <c r="T47" s="229">
        <v>1.95E-2</v>
      </c>
      <c r="U47" s="231">
        <v>1704.6</v>
      </c>
      <c r="V47" s="231">
        <v>1669.3</v>
      </c>
      <c r="W47" s="228">
        <v>35.299999999999997</v>
      </c>
      <c r="X47" s="229">
        <v>2.1100000000000001E-2</v>
      </c>
      <c r="Y47" s="228">
        <v>4.5999999999999996</v>
      </c>
      <c r="Z47" s="228">
        <v>-5.0999999999999996</v>
      </c>
      <c r="AA47" s="228">
        <v>9.6999999999999993</v>
      </c>
      <c r="AB47" s="229">
        <v>2.7000000000000001E-3</v>
      </c>
      <c r="AC47" s="228">
        <v>4.5999999999999996</v>
      </c>
      <c r="AD47" s="228">
        <v>-5.0999999999999996</v>
      </c>
      <c r="AE47" s="228">
        <v>9.6999999999999993</v>
      </c>
      <c r="AF47" s="229">
        <v>2.7000000000000001E-3</v>
      </c>
      <c r="AG47" s="228">
        <v>7.9</v>
      </c>
      <c r="AH47" s="228">
        <v>-6</v>
      </c>
      <c r="AI47" s="228">
        <v>13.9</v>
      </c>
      <c r="AJ47" s="229">
        <v>4.7000000000000002E-3</v>
      </c>
      <c r="AK47" s="228">
        <v>16.899999999999999</v>
      </c>
      <c r="AL47" s="228">
        <v>0.1</v>
      </c>
      <c r="AM47" s="228">
        <v>16.8</v>
      </c>
      <c r="AN47" s="229">
        <v>0.01</v>
      </c>
      <c r="AO47" s="231">
        <v>1696.9</v>
      </c>
      <c r="AP47" s="231">
        <v>1694.43</v>
      </c>
      <c r="AQ47" s="228">
        <v>0</v>
      </c>
      <c r="AR47" s="230">
        <v>15165000</v>
      </c>
      <c r="AS47" s="230">
        <v>15497250</v>
      </c>
      <c r="AT47" s="230">
        <v>-332250</v>
      </c>
      <c r="AU47" s="229">
        <v>-2.1399999999999999E-2</v>
      </c>
      <c r="AV47" s="230">
        <v>7802625</v>
      </c>
      <c r="AW47" s="230">
        <v>9591000</v>
      </c>
      <c r="AX47" s="230">
        <v>-1788375</v>
      </c>
      <c r="AY47" s="229">
        <v>-0.1865</v>
      </c>
      <c r="AZ47" s="230">
        <v>7297125</v>
      </c>
      <c r="BA47" s="230">
        <v>5803125</v>
      </c>
      <c r="BB47" s="230">
        <v>1494000</v>
      </c>
      <c r="BC47" s="229">
        <v>0.25740000000000002</v>
      </c>
      <c r="BD47" s="230">
        <v>65250</v>
      </c>
      <c r="BE47" s="230">
        <v>103125</v>
      </c>
      <c r="BF47" s="230">
        <v>-37875</v>
      </c>
      <c r="BG47" s="229">
        <v>-0.36730000000000002</v>
      </c>
      <c r="BH47" s="230">
        <v>21050250</v>
      </c>
      <c r="BI47" s="230">
        <v>20940000</v>
      </c>
      <c r="BJ47" s="230">
        <v>110250</v>
      </c>
      <c r="BK47" s="229">
        <v>5.3E-3</v>
      </c>
      <c r="BL47" s="230">
        <v>13864875</v>
      </c>
      <c r="BM47" s="230">
        <v>18651000</v>
      </c>
      <c r="BN47" s="230">
        <v>-4786125</v>
      </c>
      <c r="BO47" s="229">
        <v>-0.25659999999999999</v>
      </c>
      <c r="BP47" s="230">
        <v>50080125</v>
      </c>
      <c r="BQ47" s="230">
        <v>55088250</v>
      </c>
      <c r="BR47" s="230">
        <v>-5008125</v>
      </c>
      <c r="BS47" s="229">
        <v>-9.0899999999999995E-2</v>
      </c>
      <c r="BT47" s="230">
        <v>2187506</v>
      </c>
      <c r="BU47" s="230">
        <v>4090209</v>
      </c>
      <c r="BV47" s="230">
        <v>-1902703</v>
      </c>
      <c r="BW47" s="229">
        <v>-0.4652</v>
      </c>
      <c r="BX47" s="230">
        <v>14464125</v>
      </c>
      <c r="BY47" s="230">
        <v>14171625</v>
      </c>
      <c r="BZ47" s="230">
        <v>292500</v>
      </c>
      <c r="CA47" s="229">
        <v>2.06E-2</v>
      </c>
      <c r="CB47" s="230">
        <v>6622875</v>
      </c>
      <c r="CC47" s="230">
        <v>10310250</v>
      </c>
      <c r="CD47" s="230">
        <v>-3687375</v>
      </c>
      <c r="CE47" s="229">
        <v>-0.35759999999999997</v>
      </c>
      <c r="CF47" s="230">
        <v>7758000</v>
      </c>
      <c r="CG47" s="230">
        <v>3782250</v>
      </c>
      <c r="CH47" s="230">
        <v>3975750</v>
      </c>
      <c r="CI47" s="229">
        <v>1.0511999999999999</v>
      </c>
      <c r="CJ47" s="230">
        <v>83250</v>
      </c>
      <c r="CK47" s="230">
        <v>79125</v>
      </c>
      <c r="CL47" s="230">
        <v>4125</v>
      </c>
      <c r="CM47" s="229">
        <v>5.21E-2</v>
      </c>
      <c r="CN47" s="230">
        <v>9026625</v>
      </c>
      <c r="CO47" s="230">
        <v>8549250</v>
      </c>
      <c r="CP47" s="230">
        <v>477375</v>
      </c>
      <c r="CQ47" s="229">
        <v>5.5800000000000002E-2</v>
      </c>
      <c r="CR47" s="230">
        <v>5109000</v>
      </c>
      <c r="CS47" s="230">
        <v>4914750</v>
      </c>
      <c r="CT47" s="230">
        <v>194250</v>
      </c>
      <c r="CU47" s="229">
        <v>3.95E-2</v>
      </c>
      <c r="CV47" s="230">
        <v>28599750</v>
      </c>
      <c r="CW47" s="230">
        <v>27635625</v>
      </c>
      <c r="CX47" s="230">
        <v>964125</v>
      </c>
      <c r="CY47" s="229">
        <v>3.49E-2</v>
      </c>
      <c r="CZ47" s="228">
        <v>38.64</v>
      </c>
      <c r="DA47" s="228">
        <v>51.04</v>
      </c>
      <c r="DB47" s="228">
        <v>-12.4</v>
      </c>
      <c r="DC47" s="228">
        <v>-12.4</v>
      </c>
      <c r="DD47" s="228">
        <v>40.71</v>
      </c>
      <c r="DE47" s="228">
        <v>40.78</v>
      </c>
      <c r="DF47" s="228">
        <v>-2.0699999999999998</v>
      </c>
      <c r="DG47" s="228">
        <v>-7.0000000000000007E-2</v>
      </c>
      <c r="DH47" s="228">
        <v>38.51</v>
      </c>
      <c r="DI47" s="228">
        <v>50.84</v>
      </c>
      <c r="DJ47" s="228">
        <v>-12.33</v>
      </c>
      <c r="DK47" s="228">
        <v>-12.33</v>
      </c>
      <c r="DL47" s="228">
        <v>38.799999999999997</v>
      </c>
      <c r="DM47" s="228">
        <v>51.26</v>
      </c>
      <c r="DN47" s="228">
        <v>-12.46</v>
      </c>
      <c r="DO47" s="228">
        <v>-12.46</v>
      </c>
      <c r="DP47" s="228">
        <v>0.56999999999999995</v>
      </c>
      <c r="DQ47" s="228">
        <v>0.56999999999999995</v>
      </c>
      <c r="DR47" s="228">
        <v>0</v>
      </c>
      <c r="DS47" s="229">
        <v>0</v>
      </c>
      <c r="DT47" s="231">
        <v>1700</v>
      </c>
      <c r="DU47" s="231">
        <v>1600</v>
      </c>
      <c r="DV47" s="228">
        <v>0.66</v>
      </c>
      <c r="DW47" s="228">
        <v>0.89</v>
      </c>
      <c r="DX47" s="228">
        <v>-0.23</v>
      </c>
      <c r="DY47" s="229">
        <v>-0.25840000000000002</v>
      </c>
      <c r="DZ47" s="229">
        <v>0.54210000000000003</v>
      </c>
      <c r="EA47" s="230">
        <v>3861375</v>
      </c>
      <c r="EB47" s="229">
        <v>2E-3</v>
      </c>
      <c r="EC47" s="229">
        <v>0.54210000000000003</v>
      </c>
      <c r="ED47" s="228">
        <v>-2.4700000000000002</v>
      </c>
      <c r="EE47" s="229">
        <v>-1.5E-3</v>
      </c>
      <c r="EF47" s="230">
        <v>941061</v>
      </c>
      <c r="EG47" s="230">
        <v>1739364</v>
      </c>
      <c r="EH47" s="229">
        <v>-0.45900000000000002</v>
      </c>
      <c r="EI47" s="229">
        <v>0.43020000000000003</v>
      </c>
      <c r="EJ47" s="231">
        <v>376473.72</v>
      </c>
      <c r="EK47" s="231">
        <v>231032.1</v>
      </c>
      <c r="EL47" s="231">
        <v>257158.68</v>
      </c>
      <c r="EM47" s="231">
        <v>17133</v>
      </c>
      <c r="EN47" s="231">
        <v>864664.5</v>
      </c>
      <c r="EO47" s="231">
        <v>920507.25</v>
      </c>
      <c r="EP47" s="231">
        <v>-55842.75</v>
      </c>
      <c r="EQ47" s="229">
        <v>-6.0699999999999997E-2</v>
      </c>
      <c r="ER47" s="231">
        <v>159810</v>
      </c>
      <c r="ES47" s="231">
        <v>83198</v>
      </c>
      <c r="ET47" s="231">
        <v>245043</v>
      </c>
      <c r="EU47" s="231">
        <v>50189409</v>
      </c>
      <c r="EV47" s="231">
        <v>488050</v>
      </c>
      <c r="EW47" s="231">
        <v>466521</v>
      </c>
      <c r="EX47" s="231">
        <v>21529</v>
      </c>
      <c r="EY47" s="229">
        <v>4.6100000000000002E-2</v>
      </c>
      <c r="EZ47" s="229">
        <v>0.56979999999999997</v>
      </c>
      <c r="FA47" s="227" t="s">
        <v>555</v>
      </c>
      <c r="FB47" s="161">
        <f t="shared" si="0"/>
        <v>7841250</v>
      </c>
    </row>
    <row r="48" spans="1:158" ht="17.25" hidden="1" thickBot="1" x14ac:dyDescent="0.3">
      <c r="A48" s="226">
        <v>46044</v>
      </c>
      <c r="B48" s="227" t="s">
        <v>168</v>
      </c>
      <c r="C48" s="227" t="s">
        <v>201</v>
      </c>
      <c r="D48" s="228">
        <v>225</v>
      </c>
      <c r="E48" s="231">
        <v>2182.1999999999998</v>
      </c>
      <c r="F48" s="231">
        <v>2130.8000000000002</v>
      </c>
      <c r="G48" s="228">
        <v>51.4</v>
      </c>
      <c r="H48" s="229">
        <v>2.41E-2</v>
      </c>
      <c r="I48" s="231">
        <v>2179.6</v>
      </c>
      <c r="J48" s="231">
        <v>2123.1</v>
      </c>
      <c r="K48" s="228">
        <v>56.5</v>
      </c>
      <c r="L48" s="229">
        <v>2.6599999999999999E-2</v>
      </c>
      <c r="M48" s="231">
        <v>2182.1999999999998</v>
      </c>
      <c r="N48" s="231">
        <v>2130.8000000000002</v>
      </c>
      <c r="O48" s="228">
        <v>51.4</v>
      </c>
      <c r="P48" s="229">
        <v>2.41E-2</v>
      </c>
      <c r="Q48" s="231">
        <v>2188</v>
      </c>
      <c r="R48" s="231">
        <v>2136.1</v>
      </c>
      <c r="S48" s="228">
        <v>51.9</v>
      </c>
      <c r="T48" s="229">
        <v>2.4299999999999999E-2</v>
      </c>
      <c r="U48" s="231">
        <v>2196</v>
      </c>
      <c r="V48" s="231">
        <v>2144.8000000000002</v>
      </c>
      <c r="W48" s="228">
        <v>51.2</v>
      </c>
      <c r="X48" s="229">
        <v>2.3900000000000001E-2</v>
      </c>
      <c r="Y48" s="228">
        <v>2.6</v>
      </c>
      <c r="Z48" s="228">
        <v>7.7</v>
      </c>
      <c r="AA48" s="228">
        <v>-5.0999999999999996</v>
      </c>
      <c r="AB48" s="229">
        <v>1.1999999999999999E-3</v>
      </c>
      <c r="AC48" s="228">
        <v>2.6</v>
      </c>
      <c r="AD48" s="228">
        <v>7.7</v>
      </c>
      <c r="AE48" s="228">
        <v>-5.0999999999999996</v>
      </c>
      <c r="AF48" s="229">
        <v>1.1999999999999999E-3</v>
      </c>
      <c r="AG48" s="228">
        <v>8.4</v>
      </c>
      <c r="AH48" s="228">
        <v>13</v>
      </c>
      <c r="AI48" s="228">
        <v>-4.5999999999999996</v>
      </c>
      <c r="AJ48" s="229">
        <v>3.8999999999999998E-3</v>
      </c>
      <c r="AK48" s="228">
        <v>16.399999999999999</v>
      </c>
      <c r="AL48" s="228">
        <v>21.7</v>
      </c>
      <c r="AM48" s="228">
        <v>-5.3</v>
      </c>
      <c r="AN48" s="229">
        <v>7.4999999999999997E-3</v>
      </c>
      <c r="AO48" s="231">
        <v>2168.13</v>
      </c>
      <c r="AP48" s="231">
        <v>2174.0100000000002</v>
      </c>
      <c r="AQ48" s="228">
        <v>0</v>
      </c>
      <c r="AR48" s="230">
        <v>5375250</v>
      </c>
      <c r="AS48" s="230">
        <v>4767975</v>
      </c>
      <c r="AT48" s="230">
        <v>607275</v>
      </c>
      <c r="AU48" s="229">
        <v>0.12740000000000001</v>
      </c>
      <c r="AV48" s="230">
        <v>2756025</v>
      </c>
      <c r="AW48" s="230">
        <v>2473425</v>
      </c>
      <c r="AX48" s="230">
        <v>282600</v>
      </c>
      <c r="AY48" s="229">
        <v>0.1143</v>
      </c>
      <c r="AZ48" s="230">
        <v>2586825</v>
      </c>
      <c r="BA48" s="230">
        <v>2275200</v>
      </c>
      <c r="BB48" s="230">
        <v>311625</v>
      </c>
      <c r="BC48" s="229">
        <v>0.13700000000000001</v>
      </c>
      <c r="BD48" s="230">
        <v>32400</v>
      </c>
      <c r="BE48" s="230">
        <v>19350</v>
      </c>
      <c r="BF48" s="230">
        <v>13050</v>
      </c>
      <c r="BG48" s="229">
        <v>0.6744</v>
      </c>
      <c r="BH48" s="230">
        <v>6379875</v>
      </c>
      <c r="BI48" s="230">
        <v>4534200</v>
      </c>
      <c r="BJ48" s="230">
        <v>1845675</v>
      </c>
      <c r="BK48" s="229">
        <v>0.40710000000000002</v>
      </c>
      <c r="BL48" s="230">
        <v>2894625</v>
      </c>
      <c r="BM48" s="230">
        <v>2231325</v>
      </c>
      <c r="BN48" s="230">
        <v>663300</v>
      </c>
      <c r="BO48" s="229">
        <v>0.29730000000000001</v>
      </c>
      <c r="BP48" s="230">
        <v>14649750</v>
      </c>
      <c r="BQ48" s="230">
        <v>11533500</v>
      </c>
      <c r="BR48" s="230">
        <v>3116250</v>
      </c>
      <c r="BS48" s="229">
        <v>0.2702</v>
      </c>
      <c r="BT48" s="230">
        <v>663334</v>
      </c>
      <c r="BU48" s="230">
        <v>491470</v>
      </c>
      <c r="BV48" s="230">
        <v>171864</v>
      </c>
      <c r="BW48" s="229">
        <v>0.34970000000000001</v>
      </c>
      <c r="BX48" s="230">
        <v>6299550</v>
      </c>
      <c r="BY48" s="230">
        <v>6768675</v>
      </c>
      <c r="BZ48" s="230">
        <v>-469125</v>
      </c>
      <c r="CA48" s="229">
        <v>-6.93E-2</v>
      </c>
      <c r="CB48" s="230">
        <v>2868075</v>
      </c>
      <c r="CC48" s="230">
        <v>4760775</v>
      </c>
      <c r="CD48" s="230">
        <v>-1892700</v>
      </c>
      <c r="CE48" s="229">
        <v>-0.39760000000000001</v>
      </c>
      <c r="CF48" s="230">
        <v>3363975</v>
      </c>
      <c r="CG48" s="230">
        <v>1935000</v>
      </c>
      <c r="CH48" s="230">
        <v>1428975</v>
      </c>
      <c r="CI48" s="229">
        <v>0.73850000000000005</v>
      </c>
      <c r="CJ48" s="230">
        <v>67500</v>
      </c>
      <c r="CK48" s="230">
        <v>72900</v>
      </c>
      <c r="CL48" s="230">
        <v>-5400</v>
      </c>
      <c r="CM48" s="229">
        <v>-7.4099999999999999E-2</v>
      </c>
      <c r="CN48" s="230">
        <v>2282400</v>
      </c>
      <c r="CO48" s="230">
        <v>2717775</v>
      </c>
      <c r="CP48" s="230">
        <v>-435375</v>
      </c>
      <c r="CQ48" s="229">
        <v>-0.16020000000000001</v>
      </c>
      <c r="CR48" s="230">
        <v>1683450</v>
      </c>
      <c r="CS48" s="230">
        <v>1769625</v>
      </c>
      <c r="CT48" s="230">
        <v>-86175</v>
      </c>
      <c r="CU48" s="229">
        <v>-4.87E-2</v>
      </c>
      <c r="CV48" s="230">
        <v>10265400</v>
      </c>
      <c r="CW48" s="230">
        <v>11256075</v>
      </c>
      <c r="CX48" s="230">
        <v>-990675</v>
      </c>
      <c r="CY48" s="229">
        <v>-8.7999999999999995E-2</v>
      </c>
      <c r="CZ48" s="228">
        <v>27.27</v>
      </c>
      <c r="DA48" s="228">
        <v>24.01</v>
      </c>
      <c r="DB48" s="228">
        <v>3.26</v>
      </c>
      <c r="DC48" s="228">
        <v>3.26</v>
      </c>
      <c r="DD48" s="228">
        <v>27.01</v>
      </c>
      <c r="DE48" s="228">
        <v>26.89</v>
      </c>
      <c r="DF48" s="228">
        <v>0.26</v>
      </c>
      <c r="DG48" s="228">
        <v>0.12</v>
      </c>
      <c r="DH48" s="228">
        <v>27.34</v>
      </c>
      <c r="DI48" s="228">
        <v>24.13</v>
      </c>
      <c r="DJ48" s="228">
        <v>3.21</v>
      </c>
      <c r="DK48" s="228">
        <v>3.21</v>
      </c>
      <c r="DL48" s="228">
        <v>27.02</v>
      </c>
      <c r="DM48" s="228">
        <v>23.76</v>
      </c>
      <c r="DN48" s="228">
        <v>3.26</v>
      </c>
      <c r="DO48" s="228">
        <v>3.26</v>
      </c>
      <c r="DP48" s="228">
        <v>0.74</v>
      </c>
      <c r="DQ48" s="228">
        <v>0.65</v>
      </c>
      <c r="DR48" s="228">
        <v>0.09</v>
      </c>
      <c r="DS48" s="229">
        <v>0.13850000000000001</v>
      </c>
      <c r="DT48" s="231">
        <v>2200</v>
      </c>
      <c r="DU48" s="231">
        <v>2060</v>
      </c>
      <c r="DV48" s="228">
        <v>0.45</v>
      </c>
      <c r="DW48" s="228">
        <v>0.49</v>
      </c>
      <c r="DX48" s="228">
        <v>-0.04</v>
      </c>
      <c r="DY48" s="229">
        <v>-8.1600000000000006E-2</v>
      </c>
      <c r="DZ48" s="229">
        <v>0.54469999999999996</v>
      </c>
      <c r="EA48" s="230">
        <v>2007900</v>
      </c>
      <c r="EB48" s="229">
        <v>2.7000000000000001E-3</v>
      </c>
      <c r="EC48" s="229">
        <v>0.54469999999999996</v>
      </c>
      <c r="ED48" s="228">
        <v>5.88</v>
      </c>
      <c r="EE48" s="229">
        <v>2.7000000000000001E-3</v>
      </c>
      <c r="EF48" s="230">
        <v>366109</v>
      </c>
      <c r="EG48" s="230">
        <v>232733</v>
      </c>
      <c r="EH48" s="229">
        <v>0.57310000000000005</v>
      </c>
      <c r="EI48" s="229">
        <v>0.55189999999999995</v>
      </c>
      <c r="EJ48" s="231">
        <v>141766.57</v>
      </c>
      <c r="EK48" s="231">
        <v>61257.47</v>
      </c>
      <c r="EL48" s="231">
        <v>116700.33</v>
      </c>
      <c r="EM48" s="231">
        <v>13515</v>
      </c>
      <c r="EN48" s="231">
        <v>319724.37</v>
      </c>
      <c r="EO48" s="231">
        <v>247645.07</v>
      </c>
      <c r="EP48" s="231">
        <v>72079.3</v>
      </c>
      <c r="EQ48" s="229">
        <v>0.29110000000000003</v>
      </c>
      <c r="ER48" s="231">
        <v>50495</v>
      </c>
      <c r="ES48" s="231">
        <v>35355</v>
      </c>
      <c r="ET48" s="231">
        <v>137673</v>
      </c>
      <c r="EU48" s="231">
        <v>19546143</v>
      </c>
      <c r="EV48" s="231">
        <v>223523</v>
      </c>
      <c r="EW48" s="231">
        <v>241246</v>
      </c>
      <c r="EX48" s="231">
        <v>-17723</v>
      </c>
      <c r="EY48" s="229">
        <v>-7.3499999999999996E-2</v>
      </c>
      <c r="EZ48" s="229">
        <v>0.5252</v>
      </c>
      <c r="FA48" s="227" t="s">
        <v>556</v>
      </c>
      <c r="FB48" s="161">
        <f t="shared" si="0"/>
        <v>3431475</v>
      </c>
    </row>
    <row r="49" spans="1:158" ht="17.25" hidden="1" thickBot="1" x14ac:dyDescent="0.3">
      <c r="A49" s="226">
        <v>46044</v>
      </c>
      <c r="B49" s="227" t="s">
        <v>215</v>
      </c>
      <c r="C49" s="227" t="s">
        <v>202</v>
      </c>
      <c r="D49" s="228">
        <v>1250</v>
      </c>
      <c r="E49" s="228">
        <v>495</v>
      </c>
      <c r="F49" s="228">
        <v>495.65</v>
      </c>
      <c r="G49" s="228">
        <v>-0.65</v>
      </c>
      <c r="H49" s="229">
        <v>-1.2999999999999999E-3</v>
      </c>
      <c r="I49" s="228">
        <v>494.35</v>
      </c>
      <c r="J49" s="228">
        <v>496.15</v>
      </c>
      <c r="K49" s="228">
        <v>-1.8</v>
      </c>
      <c r="L49" s="229">
        <v>-3.5999999999999999E-3</v>
      </c>
      <c r="M49" s="228">
        <v>495</v>
      </c>
      <c r="N49" s="228">
        <v>495.65</v>
      </c>
      <c r="O49" s="228">
        <v>-0.65</v>
      </c>
      <c r="P49" s="229">
        <v>-1.2999999999999999E-3</v>
      </c>
      <c r="Q49" s="228">
        <v>494.6</v>
      </c>
      <c r="R49" s="228">
        <v>495.25</v>
      </c>
      <c r="S49" s="228">
        <v>-0.65</v>
      </c>
      <c r="T49" s="229">
        <v>-1.2999999999999999E-3</v>
      </c>
      <c r="U49" s="228">
        <v>498.4</v>
      </c>
      <c r="V49" s="228">
        <v>498.55</v>
      </c>
      <c r="W49" s="228">
        <v>-0.15</v>
      </c>
      <c r="X49" s="229">
        <v>-2.9999999999999997E-4</v>
      </c>
      <c r="Y49" s="228">
        <v>0.65</v>
      </c>
      <c r="Z49" s="228">
        <v>-0.5</v>
      </c>
      <c r="AA49" s="228">
        <v>1.1499999999999999</v>
      </c>
      <c r="AB49" s="229">
        <v>1.2999999999999999E-3</v>
      </c>
      <c r="AC49" s="228">
        <v>0.65</v>
      </c>
      <c r="AD49" s="228">
        <v>-0.5</v>
      </c>
      <c r="AE49" s="228">
        <v>1.1499999999999999</v>
      </c>
      <c r="AF49" s="229">
        <v>1.2999999999999999E-3</v>
      </c>
      <c r="AG49" s="228">
        <v>0.25</v>
      </c>
      <c r="AH49" s="228">
        <v>-0.9</v>
      </c>
      <c r="AI49" s="228">
        <v>1.1499999999999999</v>
      </c>
      <c r="AJ49" s="229">
        <v>5.0000000000000001E-4</v>
      </c>
      <c r="AK49" s="228">
        <v>4.05</v>
      </c>
      <c r="AL49" s="228">
        <v>2.4</v>
      </c>
      <c r="AM49" s="228">
        <v>1.65</v>
      </c>
      <c r="AN49" s="229">
        <v>8.2000000000000007E-3</v>
      </c>
      <c r="AO49" s="228">
        <v>499.63</v>
      </c>
      <c r="AP49" s="228">
        <v>499.29</v>
      </c>
      <c r="AQ49" s="228">
        <v>0</v>
      </c>
      <c r="AR49" s="230">
        <v>16870000</v>
      </c>
      <c r="AS49" s="230">
        <v>13991250</v>
      </c>
      <c r="AT49" s="230">
        <v>2878750</v>
      </c>
      <c r="AU49" s="229">
        <v>0.20580000000000001</v>
      </c>
      <c r="AV49" s="230">
        <v>8161250</v>
      </c>
      <c r="AW49" s="230">
        <v>7387500</v>
      </c>
      <c r="AX49" s="230">
        <v>773750</v>
      </c>
      <c r="AY49" s="229">
        <v>0.1047</v>
      </c>
      <c r="AZ49" s="230">
        <v>8572500</v>
      </c>
      <c r="BA49" s="230">
        <v>6495000</v>
      </c>
      <c r="BB49" s="230">
        <v>2077500</v>
      </c>
      <c r="BC49" s="229">
        <v>0.31990000000000002</v>
      </c>
      <c r="BD49" s="230">
        <v>136250</v>
      </c>
      <c r="BE49" s="230">
        <v>108750</v>
      </c>
      <c r="BF49" s="230">
        <v>27500</v>
      </c>
      <c r="BG49" s="229">
        <v>0.25290000000000001</v>
      </c>
      <c r="BH49" s="230">
        <v>11147500</v>
      </c>
      <c r="BI49" s="230">
        <v>13075000</v>
      </c>
      <c r="BJ49" s="230">
        <v>-1927500</v>
      </c>
      <c r="BK49" s="229">
        <v>-0.1474</v>
      </c>
      <c r="BL49" s="230">
        <v>7122500</v>
      </c>
      <c r="BM49" s="230">
        <v>6951250</v>
      </c>
      <c r="BN49" s="230">
        <v>171250</v>
      </c>
      <c r="BO49" s="229">
        <v>2.46E-2</v>
      </c>
      <c r="BP49" s="230">
        <v>35140000</v>
      </c>
      <c r="BQ49" s="230">
        <v>34017500</v>
      </c>
      <c r="BR49" s="230">
        <v>1122500</v>
      </c>
      <c r="BS49" s="229">
        <v>3.3000000000000002E-2</v>
      </c>
      <c r="BT49" s="230">
        <v>2169074</v>
      </c>
      <c r="BU49" s="230">
        <v>1660738</v>
      </c>
      <c r="BV49" s="230">
        <v>508336</v>
      </c>
      <c r="BW49" s="229">
        <v>0.30609999999999998</v>
      </c>
      <c r="BX49" s="230">
        <v>34170000</v>
      </c>
      <c r="BY49" s="230">
        <v>33837500</v>
      </c>
      <c r="BZ49" s="230">
        <v>332500</v>
      </c>
      <c r="CA49" s="229">
        <v>9.7999999999999997E-3</v>
      </c>
      <c r="CB49" s="230">
        <v>15753750</v>
      </c>
      <c r="CC49" s="230">
        <v>22033750</v>
      </c>
      <c r="CD49" s="230">
        <v>-6280000</v>
      </c>
      <c r="CE49" s="229">
        <v>-0.28499999999999998</v>
      </c>
      <c r="CF49" s="230">
        <v>17906250</v>
      </c>
      <c r="CG49" s="230">
        <v>11378750</v>
      </c>
      <c r="CH49" s="230">
        <v>6527500</v>
      </c>
      <c r="CI49" s="229">
        <v>0.57369999999999999</v>
      </c>
      <c r="CJ49" s="230">
        <v>510000</v>
      </c>
      <c r="CK49" s="230">
        <v>425000</v>
      </c>
      <c r="CL49" s="230">
        <v>85000</v>
      </c>
      <c r="CM49" s="229">
        <v>0.2</v>
      </c>
      <c r="CN49" s="230">
        <v>12691250</v>
      </c>
      <c r="CO49" s="230">
        <v>12016250</v>
      </c>
      <c r="CP49" s="230">
        <v>675000</v>
      </c>
      <c r="CQ49" s="229">
        <v>5.62E-2</v>
      </c>
      <c r="CR49" s="230">
        <v>9781250</v>
      </c>
      <c r="CS49" s="230">
        <v>9058750</v>
      </c>
      <c r="CT49" s="230">
        <v>722500</v>
      </c>
      <c r="CU49" s="229">
        <v>7.9799999999999996E-2</v>
      </c>
      <c r="CV49" s="230">
        <v>56642500</v>
      </c>
      <c r="CW49" s="230">
        <v>54912500</v>
      </c>
      <c r="CX49" s="230">
        <v>1730000</v>
      </c>
      <c r="CY49" s="229">
        <v>3.15E-2</v>
      </c>
      <c r="CZ49" s="228">
        <v>29.63</v>
      </c>
      <c r="DA49" s="228">
        <v>26.42</v>
      </c>
      <c r="DB49" s="228">
        <v>3.21</v>
      </c>
      <c r="DC49" s="228">
        <v>3.21</v>
      </c>
      <c r="DD49" s="228">
        <v>33.06</v>
      </c>
      <c r="DE49" s="228">
        <v>33.14</v>
      </c>
      <c r="DF49" s="228">
        <v>-3.43</v>
      </c>
      <c r="DG49" s="228">
        <v>-0.08</v>
      </c>
      <c r="DH49" s="228">
        <v>30.03</v>
      </c>
      <c r="DI49" s="228">
        <v>27.1</v>
      </c>
      <c r="DJ49" s="228">
        <v>2.93</v>
      </c>
      <c r="DK49" s="228">
        <v>2.93</v>
      </c>
      <c r="DL49" s="228">
        <v>29.13</v>
      </c>
      <c r="DM49" s="228">
        <v>25.15</v>
      </c>
      <c r="DN49" s="228">
        <v>3.98</v>
      </c>
      <c r="DO49" s="228">
        <v>3.98</v>
      </c>
      <c r="DP49" s="228">
        <v>0.77</v>
      </c>
      <c r="DQ49" s="228">
        <v>0.75</v>
      </c>
      <c r="DR49" s="228">
        <v>0.02</v>
      </c>
      <c r="DS49" s="229">
        <v>2.6700000000000002E-2</v>
      </c>
      <c r="DT49" s="228">
        <v>520</v>
      </c>
      <c r="DU49" s="228">
        <v>520</v>
      </c>
      <c r="DV49" s="228">
        <v>0.64</v>
      </c>
      <c r="DW49" s="228">
        <v>0.53</v>
      </c>
      <c r="DX49" s="228">
        <v>0.11</v>
      </c>
      <c r="DY49" s="229">
        <v>0.20749999999999999</v>
      </c>
      <c r="DZ49" s="229">
        <v>0.53900000000000003</v>
      </c>
      <c r="EA49" s="230">
        <v>11803750</v>
      </c>
      <c r="EB49" s="229">
        <v>-8.0000000000000004E-4</v>
      </c>
      <c r="EC49" s="229">
        <v>0.53900000000000003</v>
      </c>
      <c r="ED49" s="228">
        <v>-0.34</v>
      </c>
      <c r="EE49" s="229">
        <v>-6.9999999999999999E-4</v>
      </c>
      <c r="EF49" s="230">
        <v>1711074</v>
      </c>
      <c r="EG49" s="230">
        <v>756477</v>
      </c>
      <c r="EH49" s="229">
        <v>1.2619</v>
      </c>
      <c r="EI49" s="229">
        <v>0.78879999999999995</v>
      </c>
      <c r="EJ49" s="231">
        <v>58504.39</v>
      </c>
      <c r="EK49" s="231">
        <v>37707.54</v>
      </c>
      <c r="EL49" s="231">
        <v>84263.84</v>
      </c>
      <c r="EM49" s="231">
        <v>5877</v>
      </c>
      <c r="EN49" s="231">
        <v>180475.77</v>
      </c>
      <c r="EO49" s="231">
        <v>172180.55</v>
      </c>
      <c r="EP49" s="231">
        <v>8295.2199999999993</v>
      </c>
      <c r="EQ49" s="229">
        <v>4.82E-2</v>
      </c>
      <c r="ER49" s="231">
        <v>68207</v>
      </c>
      <c r="ES49" s="231">
        <v>50336</v>
      </c>
      <c r="ET49" s="231">
        <v>169087</v>
      </c>
      <c r="EU49" s="231">
        <v>51639257</v>
      </c>
      <c r="EV49" s="231">
        <v>287630</v>
      </c>
      <c r="EW49" s="231">
        <v>279377</v>
      </c>
      <c r="EX49" s="231">
        <v>8253</v>
      </c>
      <c r="EY49" s="229">
        <v>2.9499999999999998E-2</v>
      </c>
      <c r="EZ49" s="229">
        <v>1.0969</v>
      </c>
      <c r="FA49" s="227" t="s">
        <v>567</v>
      </c>
      <c r="FB49" s="161">
        <f t="shared" si="0"/>
        <v>18416250</v>
      </c>
    </row>
    <row r="50" spans="1:158" ht="17.25" hidden="1" thickBot="1" x14ac:dyDescent="0.3">
      <c r="A50" s="226">
        <v>46044</v>
      </c>
      <c r="B50" s="227" t="s">
        <v>184</v>
      </c>
      <c r="C50" s="227" t="s">
        <v>523</v>
      </c>
      <c r="D50" s="228">
        <v>1800</v>
      </c>
      <c r="E50" s="228">
        <v>230</v>
      </c>
      <c r="F50" s="228">
        <v>232.25</v>
      </c>
      <c r="G50" s="228">
        <v>-2.25</v>
      </c>
      <c r="H50" s="229">
        <v>-9.7000000000000003E-3</v>
      </c>
      <c r="I50" s="228">
        <v>229.65</v>
      </c>
      <c r="J50" s="228">
        <v>232.25</v>
      </c>
      <c r="K50" s="228">
        <v>-2.6</v>
      </c>
      <c r="L50" s="229">
        <v>-1.12E-2</v>
      </c>
      <c r="M50" s="228">
        <v>230</v>
      </c>
      <c r="N50" s="228">
        <v>232.25</v>
      </c>
      <c r="O50" s="228">
        <v>-2.25</v>
      </c>
      <c r="P50" s="229">
        <v>-9.7000000000000003E-3</v>
      </c>
      <c r="Q50" s="228">
        <v>231.2</v>
      </c>
      <c r="R50" s="228">
        <v>233.5</v>
      </c>
      <c r="S50" s="228">
        <v>-2.2999999999999998</v>
      </c>
      <c r="T50" s="229">
        <v>-9.9000000000000008E-3</v>
      </c>
      <c r="U50" s="228">
        <v>233.05</v>
      </c>
      <c r="V50" s="228">
        <v>235.5</v>
      </c>
      <c r="W50" s="228">
        <v>-2.4500000000000002</v>
      </c>
      <c r="X50" s="229">
        <v>-1.04E-2</v>
      </c>
      <c r="Y50" s="228">
        <v>0.35</v>
      </c>
      <c r="Z50" s="228">
        <v>0</v>
      </c>
      <c r="AA50" s="228">
        <v>0.35</v>
      </c>
      <c r="AB50" s="229">
        <v>1.5E-3</v>
      </c>
      <c r="AC50" s="228">
        <v>0.35</v>
      </c>
      <c r="AD50" s="228">
        <v>0</v>
      </c>
      <c r="AE50" s="228">
        <v>0.35</v>
      </c>
      <c r="AF50" s="229">
        <v>1.5E-3</v>
      </c>
      <c r="AG50" s="228">
        <v>1.55</v>
      </c>
      <c r="AH50" s="228">
        <v>1.25</v>
      </c>
      <c r="AI50" s="228">
        <v>0.3</v>
      </c>
      <c r="AJ50" s="229">
        <v>6.7000000000000002E-3</v>
      </c>
      <c r="AK50" s="228">
        <v>3.4</v>
      </c>
      <c r="AL50" s="228">
        <v>3.25</v>
      </c>
      <c r="AM50" s="228">
        <v>0.15</v>
      </c>
      <c r="AN50" s="229">
        <v>1.4800000000000001E-2</v>
      </c>
      <c r="AO50" s="228">
        <v>231.5</v>
      </c>
      <c r="AP50" s="228">
        <v>232.77</v>
      </c>
      <c r="AQ50" s="228">
        <v>0</v>
      </c>
      <c r="AR50" s="230">
        <v>35895600</v>
      </c>
      <c r="AS50" s="230">
        <v>25243200</v>
      </c>
      <c r="AT50" s="230">
        <v>10652400</v>
      </c>
      <c r="AU50" s="229">
        <v>0.42199999999999999</v>
      </c>
      <c r="AV50" s="230">
        <v>17521200</v>
      </c>
      <c r="AW50" s="230">
        <v>13852800</v>
      </c>
      <c r="AX50" s="230">
        <v>3668400</v>
      </c>
      <c r="AY50" s="229">
        <v>0.26479999999999998</v>
      </c>
      <c r="AZ50" s="230">
        <v>18095400</v>
      </c>
      <c r="BA50" s="230">
        <v>11205000</v>
      </c>
      <c r="BB50" s="230">
        <v>6890400</v>
      </c>
      <c r="BC50" s="229">
        <v>0.6149</v>
      </c>
      <c r="BD50" s="230">
        <v>279000</v>
      </c>
      <c r="BE50" s="230">
        <v>185400</v>
      </c>
      <c r="BF50" s="230">
        <v>93600</v>
      </c>
      <c r="BG50" s="229">
        <v>0.50490000000000002</v>
      </c>
      <c r="BH50" s="230">
        <v>22510800</v>
      </c>
      <c r="BI50" s="230">
        <v>41770800</v>
      </c>
      <c r="BJ50" s="230">
        <v>-19260000</v>
      </c>
      <c r="BK50" s="229">
        <v>-0.46110000000000001</v>
      </c>
      <c r="BL50" s="230">
        <v>9354600</v>
      </c>
      <c r="BM50" s="230">
        <v>22039200</v>
      </c>
      <c r="BN50" s="230">
        <v>-12684600</v>
      </c>
      <c r="BO50" s="229">
        <v>-0.57550000000000001</v>
      </c>
      <c r="BP50" s="230">
        <v>67761000</v>
      </c>
      <c r="BQ50" s="230">
        <v>89053200</v>
      </c>
      <c r="BR50" s="230">
        <v>-21292200</v>
      </c>
      <c r="BS50" s="229">
        <v>-0.23910000000000001</v>
      </c>
      <c r="BT50" s="230">
        <v>3096155</v>
      </c>
      <c r="BU50" s="230">
        <v>4473898</v>
      </c>
      <c r="BV50" s="230">
        <v>-1377743</v>
      </c>
      <c r="BW50" s="229">
        <v>-0.308</v>
      </c>
      <c r="BX50" s="230">
        <v>56223000</v>
      </c>
      <c r="BY50" s="230">
        <v>54984600</v>
      </c>
      <c r="BZ50" s="230">
        <v>1238400</v>
      </c>
      <c r="CA50" s="229">
        <v>2.2499999999999999E-2</v>
      </c>
      <c r="CB50" s="230">
        <v>26991000</v>
      </c>
      <c r="CC50" s="230">
        <v>40302000</v>
      </c>
      <c r="CD50" s="230">
        <v>-13311000</v>
      </c>
      <c r="CE50" s="229">
        <v>-0.33029999999999998</v>
      </c>
      <c r="CF50" s="230">
        <v>28501200</v>
      </c>
      <c r="CG50" s="230">
        <v>14104800</v>
      </c>
      <c r="CH50" s="230">
        <v>14396400</v>
      </c>
      <c r="CI50" s="229">
        <v>1.0206999999999999</v>
      </c>
      <c r="CJ50" s="230">
        <v>730800</v>
      </c>
      <c r="CK50" s="230">
        <v>577800</v>
      </c>
      <c r="CL50" s="230">
        <v>153000</v>
      </c>
      <c r="CM50" s="229">
        <v>0.26479999999999998</v>
      </c>
      <c r="CN50" s="230">
        <v>22813200</v>
      </c>
      <c r="CO50" s="230">
        <v>22561200</v>
      </c>
      <c r="CP50" s="230">
        <v>252000</v>
      </c>
      <c r="CQ50" s="229">
        <v>1.12E-2</v>
      </c>
      <c r="CR50" s="230">
        <v>12081600</v>
      </c>
      <c r="CS50" s="230">
        <v>12571200</v>
      </c>
      <c r="CT50" s="230">
        <v>-489600</v>
      </c>
      <c r="CU50" s="229">
        <v>-3.8899999999999997E-2</v>
      </c>
      <c r="CV50" s="230">
        <v>91117800</v>
      </c>
      <c r="CW50" s="230">
        <v>90117000</v>
      </c>
      <c r="CX50" s="230">
        <v>1000800</v>
      </c>
      <c r="CY50" s="229">
        <v>1.11E-2</v>
      </c>
      <c r="CZ50" s="228">
        <v>34.96</v>
      </c>
      <c r="DA50" s="228">
        <v>27.8</v>
      </c>
      <c r="DB50" s="228">
        <v>7.16</v>
      </c>
      <c r="DC50" s="228">
        <v>7.16</v>
      </c>
      <c r="DD50" s="228">
        <v>30.87</v>
      </c>
      <c r="DE50" s="228">
        <v>30.92</v>
      </c>
      <c r="DF50" s="228">
        <v>4.09</v>
      </c>
      <c r="DG50" s="228">
        <v>-0.05</v>
      </c>
      <c r="DH50" s="228">
        <v>35.1</v>
      </c>
      <c r="DI50" s="228">
        <v>29.43</v>
      </c>
      <c r="DJ50" s="228">
        <v>5.67</v>
      </c>
      <c r="DK50" s="228">
        <v>5.67</v>
      </c>
      <c r="DL50" s="228">
        <v>34.51</v>
      </c>
      <c r="DM50" s="228">
        <v>24.71</v>
      </c>
      <c r="DN50" s="228">
        <v>9.8000000000000007</v>
      </c>
      <c r="DO50" s="228">
        <v>9.8000000000000007</v>
      </c>
      <c r="DP50" s="228">
        <v>0.53</v>
      </c>
      <c r="DQ50" s="228">
        <v>0.56000000000000005</v>
      </c>
      <c r="DR50" s="228">
        <v>-0.03</v>
      </c>
      <c r="DS50" s="229">
        <v>-5.3600000000000002E-2</v>
      </c>
      <c r="DT50" s="228">
        <v>260</v>
      </c>
      <c r="DU50" s="228">
        <v>225</v>
      </c>
      <c r="DV50" s="228">
        <v>0.42</v>
      </c>
      <c r="DW50" s="228">
        <v>0.53</v>
      </c>
      <c r="DX50" s="228">
        <v>-0.11</v>
      </c>
      <c r="DY50" s="229">
        <v>-0.20749999999999999</v>
      </c>
      <c r="DZ50" s="229">
        <v>0.51990000000000003</v>
      </c>
      <c r="EA50" s="230">
        <v>14682600</v>
      </c>
      <c r="EB50" s="229">
        <v>5.1999999999999998E-3</v>
      </c>
      <c r="EC50" s="229">
        <v>0.51990000000000003</v>
      </c>
      <c r="ED50" s="228">
        <v>1.27</v>
      </c>
      <c r="EE50" s="229">
        <v>5.4999999999999997E-3</v>
      </c>
      <c r="EF50" s="230">
        <v>1328947</v>
      </c>
      <c r="EG50" s="230">
        <v>1752243</v>
      </c>
      <c r="EH50" s="229">
        <v>-0.24160000000000001</v>
      </c>
      <c r="EI50" s="229">
        <v>0.42920000000000003</v>
      </c>
      <c r="EJ50" s="231">
        <v>55758.45</v>
      </c>
      <c r="EK50" s="231">
        <v>22408.49</v>
      </c>
      <c r="EL50" s="231">
        <v>83339.199999999997</v>
      </c>
      <c r="EM50" s="231">
        <v>7095</v>
      </c>
      <c r="EN50" s="231">
        <v>161506.14000000001</v>
      </c>
      <c r="EO50" s="231">
        <v>213517.09</v>
      </c>
      <c r="EP50" s="231">
        <v>-52010.95</v>
      </c>
      <c r="EQ50" s="229">
        <v>-0.24360000000000001</v>
      </c>
      <c r="ER50" s="231">
        <v>58948</v>
      </c>
      <c r="ES50" s="231">
        <v>29638</v>
      </c>
      <c r="ET50" s="231">
        <v>129677</v>
      </c>
      <c r="EU50" s="231">
        <v>96587231</v>
      </c>
      <c r="EV50" s="231">
        <v>218263</v>
      </c>
      <c r="EW50" s="231">
        <v>217819</v>
      </c>
      <c r="EX50" s="228">
        <v>444</v>
      </c>
      <c r="EY50" s="229">
        <v>2E-3</v>
      </c>
      <c r="EZ50" s="229">
        <v>0.94340000000000002</v>
      </c>
      <c r="FA50" s="227" t="s">
        <v>567</v>
      </c>
      <c r="FB50" s="161">
        <f t="shared" si="0"/>
        <v>29232000</v>
      </c>
    </row>
    <row r="51" spans="1:158" ht="17.25" hidden="1" thickBot="1" x14ac:dyDescent="0.3">
      <c r="A51" s="226">
        <v>46044</v>
      </c>
      <c r="B51" s="227" t="s">
        <v>184</v>
      </c>
      <c r="C51" s="227" t="s">
        <v>203</v>
      </c>
      <c r="D51" s="228">
        <v>200</v>
      </c>
      <c r="E51" s="231">
        <v>4066.1</v>
      </c>
      <c r="F51" s="231">
        <v>3997.9</v>
      </c>
      <c r="G51" s="228">
        <v>68.2</v>
      </c>
      <c r="H51" s="229">
        <v>1.7100000000000001E-2</v>
      </c>
      <c r="I51" s="231">
        <v>4067.8</v>
      </c>
      <c r="J51" s="231">
        <v>4000.7</v>
      </c>
      <c r="K51" s="228">
        <v>67.099999999999994</v>
      </c>
      <c r="L51" s="229">
        <v>1.6799999999999999E-2</v>
      </c>
      <c r="M51" s="231">
        <v>4066.1</v>
      </c>
      <c r="N51" s="231">
        <v>3997.9</v>
      </c>
      <c r="O51" s="228">
        <v>68.2</v>
      </c>
      <c r="P51" s="229">
        <v>1.7100000000000001E-2</v>
      </c>
      <c r="Q51" s="231">
        <v>4064.8</v>
      </c>
      <c r="R51" s="231">
        <v>3998.7</v>
      </c>
      <c r="S51" s="228">
        <v>66.099999999999994</v>
      </c>
      <c r="T51" s="229">
        <v>1.6500000000000001E-2</v>
      </c>
      <c r="U51" s="231">
        <v>4095.9</v>
      </c>
      <c r="V51" s="231">
        <v>4022.6</v>
      </c>
      <c r="W51" s="228">
        <v>73.3</v>
      </c>
      <c r="X51" s="229">
        <v>1.8200000000000001E-2</v>
      </c>
      <c r="Y51" s="228">
        <v>-1.7</v>
      </c>
      <c r="Z51" s="228">
        <v>-2.8</v>
      </c>
      <c r="AA51" s="228">
        <v>1.1000000000000001</v>
      </c>
      <c r="AB51" s="229">
        <v>-4.0000000000000002E-4</v>
      </c>
      <c r="AC51" s="228">
        <v>-1.7</v>
      </c>
      <c r="AD51" s="228">
        <v>-2.8</v>
      </c>
      <c r="AE51" s="228">
        <v>1.1000000000000001</v>
      </c>
      <c r="AF51" s="229">
        <v>-4.0000000000000002E-4</v>
      </c>
      <c r="AG51" s="228">
        <v>-3</v>
      </c>
      <c r="AH51" s="228">
        <v>-2</v>
      </c>
      <c r="AI51" s="228">
        <v>-1</v>
      </c>
      <c r="AJ51" s="229">
        <v>-6.9999999999999999E-4</v>
      </c>
      <c r="AK51" s="228">
        <v>28.1</v>
      </c>
      <c r="AL51" s="228">
        <v>21.9</v>
      </c>
      <c r="AM51" s="228">
        <v>6.2</v>
      </c>
      <c r="AN51" s="229">
        <v>6.8999999999999999E-3</v>
      </c>
      <c r="AO51" s="231">
        <v>4031.15</v>
      </c>
      <c r="AP51" s="231">
        <v>4031.69</v>
      </c>
      <c r="AQ51" s="228">
        <v>0</v>
      </c>
      <c r="AR51" s="230">
        <v>3571000</v>
      </c>
      <c r="AS51" s="230">
        <v>2128000</v>
      </c>
      <c r="AT51" s="230">
        <v>1443000</v>
      </c>
      <c r="AU51" s="229">
        <v>0.67810000000000004</v>
      </c>
      <c r="AV51" s="230">
        <v>1791200</v>
      </c>
      <c r="AW51" s="230">
        <v>1254000</v>
      </c>
      <c r="AX51" s="230">
        <v>537200</v>
      </c>
      <c r="AY51" s="229">
        <v>0.4284</v>
      </c>
      <c r="AZ51" s="230">
        <v>1773200</v>
      </c>
      <c r="BA51" s="230">
        <v>871800</v>
      </c>
      <c r="BB51" s="230">
        <v>901400</v>
      </c>
      <c r="BC51" s="229">
        <v>1.034</v>
      </c>
      <c r="BD51" s="230">
        <v>6600</v>
      </c>
      <c r="BE51" s="230">
        <v>2200</v>
      </c>
      <c r="BF51" s="230">
        <v>4400</v>
      </c>
      <c r="BG51" s="229">
        <v>2</v>
      </c>
      <c r="BH51" s="230">
        <v>1614200</v>
      </c>
      <c r="BI51" s="230">
        <v>1934200</v>
      </c>
      <c r="BJ51" s="230">
        <v>-320000</v>
      </c>
      <c r="BK51" s="229">
        <v>-0.16539999999999999</v>
      </c>
      <c r="BL51" s="230">
        <v>694600</v>
      </c>
      <c r="BM51" s="230">
        <v>1080400</v>
      </c>
      <c r="BN51" s="230">
        <v>-385800</v>
      </c>
      <c r="BO51" s="229">
        <v>-0.35709999999999997</v>
      </c>
      <c r="BP51" s="230">
        <v>5879800</v>
      </c>
      <c r="BQ51" s="230">
        <v>5142600</v>
      </c>
      <c r="BR51" s="230">
        <v>737200</v>
      </c>
      <c r="BS51" s="229">
        <v>0.1434</v>
      </c>
      <c r="BT51" s="230">
        <v>462933</v>
      </c>
      <c r="BU51" s="230">
        <v>395701</v>
      </c>
      <c r="BV51" s="230">
        <v>67232</v>
      </c>
      <c r="BW51" s="229">
        <v>0.1699</v>
      </c>
      <c r="BX51" s="230">
        <v>3806000</v>
      </c>
      <c r="BY51" s="230">
        <v>3773800</v>
      </c>
      <c r="BZ51" s="230">
        <v>32200</v>
      </c>
      <c r="CA51" s="229">
        <v>8.5000000000000006E-3</v>
      </c>
      <c r="CB51" s="230">
        <v>1460800</v>
      </c>
      <c r="CC51" s="230">
        <v>2809200</v>
      </c>
      <c r="CD51" s="230">
        <v>-1348400</v>
      </c>
      <c r="CE51" s="229">
        <v>-0.48</v>
      </c>
      <c r="CF51" s="230">
        <v>2325400</v>
      </c>
      <c r="CG51" s="230">
        <v>945600</v>
      </c>
      <c r="CH51" s="230">
        <v>1379800</v>
      </c>
      <c r="CI51" s="229">
        <v>1.4592000000000001</v>
      </c>
      <c r="CJ51" s="230">
        <v>19800</v>
      </c>
      <c r="CK51" s="230">
        <v>19000</v>
      </c>
      <c r="CL51" s="228">
        <v>800</v>
      </c>
      <c r="CM51" s="229">
        <v>4.2099999999999999E-2</v>
      </c>
      <c r="CN51" s="230">
        <v>1713200</v>
      </c>
      <c r="CO51" s="230">
        <v>1832000</v>
      </c>
      <c r="CP51" s="230">
        <v>-118800</v>
      </c>
      <c r="CQ51" s="229">
        <v>-6.4799999999999996E-2</v>
      </c>
      <c r="CR51" s="230">
        <v>1024000</v>
      </c>
      <c r="CS51" s="230">
        <v>1055400</v>
      </c>
      <c r="CT51" s="230">
        <v>-31400</v>
      </c>
      <c r="CU51" s="229">
        <v>-2.98E-2</v>
      </c>
      <c r="CV51" s="230">
        <v>6543200</v>
      </c>
      <c r="CW51" s="230">
        <v>6661200</v>
      </c>
      <c r="CX51" s="230">
        <v>-118000</v>
      </c>
      <c r="CY51" s="229">
        <v>-1.77E-2</v>
      </c>
      <c r="CZ51" s="228">
        <v>31.33</v>
      </c>
      <c r="DA51" s="228">
        <v>27.4</v>
      </c>
      <c r="DB51" s="228">
        <v>3.93</v>
      </c>
      <c r="DC51" s="228">
        <v>3.93</v>
      </c>
      <c r="DD51" s="228">
        <v>33.54</v>
      </c>
      <c r="DE51" s="228">
        <v>33.549999999999997</v>
      </c>
      <c r="DF51" s="228">
        <v>-2.21</v>
      </c>
      <c r="DG51" s="228">
        <v>-0.01</v>
      </c>
      <c r="DH51" s="228">
        <v>30.94</v>
      </c>
      <c r="DI51" s="228">
        <v>27.02</v>
      </c>
      <c r="DJ51" s="228">
        <v>3.92</v>
      </c>
      <c r="DK51" s="228">
        <v>3.92</v>
      </c>
      <c r="DL51" s="228">
        <v>31.68</v>
      </c>
      <c r="DM51" s="228">
        <v>28.09</v>
      </c>
      <c r="DN51" s="228">
        <v>3.59</v>
      </c>
      <c r="DO51" s="228">
        <v>3.59</v>
      </c>
      <c r="DP51" s="228">
        <v>0.6</v>
      </c>
      <c r="DQ51" s="228">
        <v>0.57999999999999996</v>
      </c>
      <c r="DR51" s="228">
        <v>0.02</v>
      </c>
      <c r="DS51" s="229">
        <v>3.4500000000000003E-2</v>
      </c>
      <c r="DT51" s="231">
        <v>4500</v>
      </c>
      <c r="DU51" s="231">
        <v>4000</v>
      </c>
      <c r="DV51" s="228">
        <v>0.43</v>
      </c>
      <c r="DW51" s="228">
        <v>0.56000000000000005</v>
      </c>
      <c r="DX51" s="228">
        <v>-0.13</v>
      </c>
      <c r="DY51" s="229">
        <v>-0.2321</v>
      </c>
      <c r="DZ51" s="229">
        <v>0.61619999999999997</v>
      </c>
      <c r="EA51" s="230">
        <v>964600</v>
      </c>
      <c r="EB51" s="229">
        <v>-2.9999999999999997E-4</v>
      </c>
      <c r="EC51" s="229">
        <v>0.61619999999999997</v>
      </c>
      <c r="ED51" s="228">
        <v>0.54</v>
      </c>
      <c r="EE51" s="229">
        <v>1E-4</v>
      </c>
      <c r="EF51" s="230">
        <v>312173</v>
      </c>
      <c r="EG51" s="230">
        <v>200919</v>
      </c>
      <c r="EH51" s="229">
        <v>0.55369999999999997</v>
      </c>
      <c r="EI51" s="229">
        <v>0.67430000000000001</v>
      </c>
      <c r="EJ51" s="231">
        <v>68417.81</v>
      </c>
      <c r="EK51" s="231">
        <v>27657.17</v>
      </c>
      <c r="EL51" s="231">
        <v>143963.54</v>
      </c>
      <c r="EM51" s="231">
        <v>4896</v>
      </c>
      <c r="EN51" s="231">
        <v>240038.52</v>
      </c>
      <c r="EO51" s="231">
        <v>208376.48</v>
      </c>
      <c r="EP51" s="231">
        <v>31662.04</v>
      </c>
      <c r="EQ51" s="229">
        <v>0.15190000000000001</v>
      </c>
      <c r="ER51" s="231">
        <v>75431</v>
      </c>
      <c r="ES51" s="231">
        <v>41028</v>
      </c>
      <c r="ET51" s="231">
        <v>154731</v>
      </c>
      <c r="EU51" s="231">
        <v>19131188</v>
      </c>
      <c r="EV51" s="231">
        <v>271190</v>
      </c>
      <c r="EW51" s="231">
        <v>273777</v>
      </c>
      <c r="EX51" s="231">
        <v>-2587</v>
      </c>
      <c r="EY51" s="229">
        <v>-9.4000000000000004E-3</v>
      </c>
      <c r="EZ51" s="229">
        <v>0.34200000000000003</v>
      </c>
      <c r="FA51" s="227" t="s">
        <v>555</v>
      </c>
      <c r="FB51" s="161">
        <f t="shared" si="0"/>
        <v>2345200</v>
      </c>
    </row>
    <row r="52" spans="1:158" ht="17.25" hidden="1" thickBot="1" x14ac:dyDescent="0.3">
      <c r="A52" s="226">
        <v>46044</v>
      </c>
      <c r="B52" s="227" t="s">
        <v>168</v>
      </c>
      <c r="C52" s="227" t="s">
        <v>204</v>
      </c>
      <c r="D52" s="228">
        <v>1250</v>
      </c>
      <c r="E52" s="228">
        <v>526</v>
      </c>
      <c r="F52" s="228">
        <v>518.04999999999995</v>
      </c>
      <c r="G52" s="228">
        <v>7.95</v>
      </c>
      <c r="H52" s="229">
        <v>1.5299999999999999E-2</v>
      </c>
      <c r="I52" s="228">
        <v>525.35</v>
      </c>
      <c r="J52" s="228">
        <v>516.20000000000005</v>
      </c>
      <c r="K52" s="228">
        <v>9.15</v>
      </c>
      <c r="L52" s="229">
        <v>1.77E-2</v>
      </c>
      <c r="M52" s="228">
        <v>526</v>
      </c>
      <c r="N52" s="228">
        <v>518.04999999999995</v>
      </c>
      <c r="O52" s="228">
        <v>7.95</v>
      </c>
      <c r="P52" s="229">
        <v>1.5299999999999999E-2</v>
      </c>
      <c r="Q52" s="228">
        <v>528.54999999999995</v>
      </c>
      <c r="R52" s="228">
        <v>519.95000000000005</v>
      </c>
      <c r="S52" s="228">
        <v>8.6</v>
      </c>
      <c r="T52" s="229">
        <v>1.6500000000000001E-2</v>
      </c>
      <c r="U52" s="228">
        <v>531.5</v>
      </c>
      <c r="V52" s="228">
        <v>523.35</v>
      </c>
      <c r="W52" s="228">
        <v>8.15</v>
      </c>
      <c r="X52" s="229">
        <v>1.5599999999999999E-2</v>
      </c>
      <c r="Y52" s="228">
        <v>0.65</v>
      </c>
      <c r="Z52" s="228">
        <v>1.85</v>
      </c>
      <c r="AA52" s="228">
        <v>-1.2</v>
      </c>
      <c r="AB52" s="229">
        <v>1.1999999999999999E-3</v>
      </c>
      <c r="AC52" s="228">
        <v>0.65</v>
      </c>
      <c r="AD52" s="228">
        <v>1.85</v>
      </c>
      <c r="AE52" s="228">
        <v>-1.2</v>
      </c>
      <c r="AF52" s="229">
        <v>1.1999999999999999E-3</v>
      </c>
      <c r="AG52" s="228">
        <v>3.2</v>
      </c>
      <c r="AH52" s="228">
        <v>3.75</v>
      </c>
      <c r="AI52" s="228">
        <v>-0.55000000000000004</v>
      </c>
      <c r="AJ52" s="229">
        <v>6.1000000000000004E-3</v>
      </c>
      <c r="AK52" s="228">
        <v>6.15</v>
      </c>
      <c r="AL52" s="228">
        <v>7.15</v>
      </c>
      <c r="AM52" s="228">
        <v>-1</v>
      </c>
      <c r="AN52" s="229">
        <v>1.17E-2</v>
      </c>
      <c r="AO52" s="228">
        <v>526.91999999999996</v>
      </c>
      <c r="AP52" s="228">
        <v>529.58000000000004</v>
      </c>
      <c r="AQ52" s="228">
        <v>0</v>
      </c>
      <c r="AR52" s="230">
        <v>23061250</v>
      </c>
      <c r="AS52" s="230">
        <v>17201250</v>
      </c>
      <c r="AT52" s="230">
        <v>5860000</v>
      </c>
      <c r="AU52" s="229">
        <v>0.3407</v>
      </c>
      <c r="AV52" s="230">
        <v>11287500</v>
      </c>
      <c r="AW52" s="230">
        <v>8635000</v>
      </c>
      <c r="AX52" s="230">
        <v>2652500</v>
      </c>
      <c r="AY52" s="229">
        <v>0.30719999999999997</v>
      </c>
      <c r="AZ52" s="230">
        <v>11741250</v>
      </c>
      <c r="BA52" s="230">
        <v>8520000</v>
      </c>
      <c r="BB52" s="230">
        <v>3221250</v>
      </c>
      <c r="BC52" s="229">
        <v>0.37809999999999999</v>
      </c>
      <c r="BD52" s="230">
        <v>32500</v>
      </c>
      <c r="BE52" s="230">
        <v>46250</v>
      </c>
      <c r="BF52" s="230">
        <v>-13750</v>
      </c>
      <c r="BG52" s="229">
        <v>-0.29730000000000001</v>
      </c>
      <c r="BH52" s="230">
        <v>20547500</v>
      </c>
      <c r="BI52" s="230">
        <v>23860000</v>
      </c>
      <c r="BJ52" s="230">
        <v>-3312500</v>
      </c>
      <c r="BK52" s="229">
        <v>-0.13880000000000001</v>
      </c>
      <c r="BL52" s="230">
        <v>10762500</v>
      </c>
      <c r="BM52" s="230">
        <v>13090000</v>
      </c>
      <c r="BN52" s="230">
        <v>-2327500</v>
      </c>
      <c r="BO52" s="229">
        <v>-0.17780000000000001</v>
      </c>
      <c r="BP52" s="230">
        <v>54371250</v>
      </c>
      <c r="BQ52" s="230">
        <v>54151250</v>
      </c>
      <c r="BR52" s="230">
        <v>220000</v>
      </c>
      <c r="BS52" s="229">
        <v>4.1000000000000003E-3</v>
      </c>
      <c r="BT52" s="230">
        <v>4355284</v>
      </c>
      <c r="BU52" s="230">
        <v>4416554</v>
      </c>
      <c r="BV52" s="230">
        <v>-61270</v>
      </c>
      <c r="BW52" s="229">
        <v>-1.3899999999999999E-2</v>
      </c>
      <c r="BX52" s="230">
        <v>24988750</v>
      </c>
      <c r="BY52" s="230">
        <v>23631250</v>
      </c>
      <c r="BZ52" s="230">
        <v>1357500</v>
      </c>
      <c r="CA52" s="229">
        <v>5.74E-2</v>
      </c>
      <c r="CB52" s="230">
        <v>9140000</v>
      </c>
      <c r="CC52" s="230">
        <v>16975000</v>
      </c>
      <c r="CD52" s="230">
        <v>-7835000</v>
      </c>
      <c r="CE52" s="229">
        <v>-0.46160000000000001</v>
      </c>
      <c r="CF52" s="230">
        <v>15732500</v>
      </c>
      <c r="CG52" s="230">
        <v>6546250</v>
      </c>
      <c r="CH52" s="230">
        <v>9186250</v>
      </c>
      <c r="CI52" s="229">
        <v>1.4033</v>
      </c>
      <c r="CJ52" s="230">
        <v>116250</v>
      </c>
      <c r="CK52" s="230">
        <v>110000</v>
      </c>
      <c r="CL52" s="230">
        <v>6250</v>
      </c>
      <c r="CM52" s="229">
        <v>5.6800000000000003E-2</v>
      </c>
      <c r="CN52" s="230">
        <v>11762500</v>
      </c>
      <c r="CO52" s="230">
        <v>12380000</v>
      </c>
      <c r="CP52" s="230">
        <v>-617500</v>
      </c>
      <c r="CQ52" s="229">
        <v>-4.99E-2</v>
      </c>
      <c r="CR52" s="230">
        <v>7763750</v>
      </c>
      <c r="CS52" s="230">
        <v>7892500</v>
      </c>
      <c r="CT52" s="230">
        <v>-128750</v>
      </c>
      <c r="CU52" s="229">
        <v>-1.6299999999999999E-2</v>
      </c>
      <c r="CV52" s="230">
        <v>44515000</v>
      </c>
      <c r="CW52" s="230">
        <v>43903750</v>
      </c>
      <c r="CX52" s="230">
        <v>611250</v>
      </c>
      <c r="CY52" s="229">
        <v>1.3899999999999999E-2</v>
      </c>
      <c r="CZ52" s="228">
        <v>27.77</v>
      </c>
      <c r="DA52" s="228">
        <v>23.18</v>
      </c>
      <c r="DB52" s="228">
        <v>4.59</v>
      </c>
      <c r="DC52" s="228">
        <v>4.59</v>
      </c>
      <c r="DD52" s="228">
        <v>24.6</v>
      </c>
      <c r="DE52" s="228">
        <v>24.55</v>
      </c>
      <c r="DF52" s="228">
        <v>3.17</v>
      </c>
      <c r="DG52" s="228">
        <v>0.05</v>
      </c>
      <c r="DH52" s="228">
        <v>27.75</v>
      </c>
      <c r="DI52" s="228">
        <v>22.53</v>
      </c>
      <c r="DJ52" s="228">
        <v>5.22</v>
      </c>
      <c r="DK52" s="228">
        <v>5.22</v>
      </c>
      <c r="DL52" s="228">
        <v>27.8</v>
      </c>
      <c r="DM52" s="228">
        <v>24.34</v>
      </c>
      <c r="DN52" s="228">
        <v>3.46</v>
      </c>
      <c r="DO52" s="228">
        <v>3.46</v>
      </c>
      <c r="DP52" s="228">
        <v>0.66</v>
      </c>
      <c r="DQ52" s="228">
        <v>0.64</v>
      </c>
      <c r="DR52" s="228">
        <v>0.02</v>
      </c>
      <c r="DS52" s="229">
        <v>3.1300000000000001E-2</v>
      </c>
      <c r="DT52" s="228">
        <v>550</v>
      </c>
      <c r="DU52" s="228">
        <v>500</v>
      </c>
      <c r="DV52" s="228">
        <v>0.52</v>
      </c>
      <c r="DW52" s="228">
        <v>0.55000000000000004</v>
      </c>
      <c r="DX52" s="228">
        <v>-0.03</v>
      </c>
      <c r="DY52" s="229">
        <v>-5.45E-2</v>
      </c>
      <c r="DZ52" s="229">
        <v>0.63419999999999999</v>
      </c>
      <c r="EA52" s="230">
        <v>6656250</v>
      </c>
      <c r="EB52" s="229">
        <v>4.7999999999999996E-3</v>
      </c>
      <c r="EC52" s="229">
        <v>0.63419999999999999</v>
      </c>
      <c r="ED52" s="228">
        <v>2.66</v>
      </c>
      <c r="EE52" s="229">
        <v>5.0000000000000001E-3</v>
      </c>
      <c r="EF52" s="230">
        <v>2931883</v>
      </c>
      <c r="EG52" s="230">
        <v>3039893</v>
      </c>
      <c r="EH52" s="229">
        <v>-3.5499999999999997E-2</v>
      </c>
      <c r="EI52" s="229">
        <v>0.67320000000000002</v>
      </c>
      <c r="EJ52" s="231">
        <v>110806.56</v>
      </c>
      <c r="EK52" s="231">
        <v>55012.74</v>
      </c>
      <c r="EL52" s="231">
        <v>121828.03</v>
      </c>
      <c r="EM52" s="231">
        <v>5009</v>
      </c>
      <c r="EN52" s="231">
        <v>287647.33</v>
      </c>
      <c r="EO52" s="231">
        <v>280353.86</v>
      </c>
      <c r="EP52" s="231">
        <v>7293.47</v>
      </c>
      <c r="EQ52" s="229">
        <v>2.5999999999999999E-2</v>
      </c>
      <c r="ER52" s="231">
        <v>63775</v>
      </c>
      <c r="ES52" s="231">
        <v>38736</v>
      </c>
      <c r="ET52" s="231">
        <v>131848</v>
      </c>
      <c r="EU52" s="231">
        <v>89873278</v>
      </c>
      <c r="EV52" s="231">
        <v>234360</v>
      </c>
      <c r="EW52" s="231">
        <v>228511</v>
      </c>
      <c r="EX52" s="231">
        <v>5849</v>
      </c>
      <c r="EY52" s="229">
        <v>2.5600000000000001E-2</v>
      </c>
      <c r="EZ52" s="229">
        <v>0.49530000000000002</v>
      </c>
      <c r="FA52" s="227" t="s">
        <v>555</v>
      </c>
      <c r="FB52" s="161">
        <f t="shared" si="0"/>
        <v>15848750</v>
      </c>
    </row>
    <row r="53" spans="1:158" ht="17.25" hidden="1" thickBot="1" x14ac:dyDescent="0.3">
      <c r="A53" s="226">
        <v>46044</v>
      </c>
      <c r="B53" s="227" t="s">
        <v>157</v>
      </c>
      <c r="C53" s="227" t="s">
        <v>524</v>
      </c>
      <c r="D53" s="228">
        <v>325</v>
      </c>
      <c r="E53" s="231">
        <v>2150.1</v>
      </c>
      <c r="F53" s="231">
        <v>2232</v>
      </c>
      <c r="G53" s="228">
        <v>-81.900000000000006</v>
      </c>
      <c r="H53" s="229">
        <v>-3.6700000000000003E-2</v>
      </c>
      <c r="I53" s="231">
        <v>2143.6999999999998</v>
      </c>
      <c r="J53" s="231">
        <v>2232.4</v>
      </c>
      <c r="K53" s="228">
        <v>-88.7</v>
      </c>
      <c r="L53" s="229">
        <v>-3.9699999999999999E-2</v>
      </c>
      <c r="M53" s="231">
        <v>2150.1</v>
      </c>
      <c r="N53" s="231">
        <v>2232</v>
      </c>
      <c r="O53" s="228">
        <v>-81.900000000000006</v>
      </c>
      <c r="P53" s="229">
        <v>-3.6700000000000003E-2</v>
      </c>
      <c r="Q53" s="231">
        <v>2159.4</v>
      </c>
      <c r="R53" s="231">
        <v>2243.4</v>
      </c>
      <c r="S53" s="228">
        <v>-84</v>
      </c>
      <c r="T53" s="229">
        <v>-3.7400000000000003E-2</v>
      </c>
      <c r="U53" s="231">
        <v>2164.4</v>
      </c>
      <c r="V53" s="231">
        <v>2254.5</v>
      </c>
      <c r="W53" s="228">
        <v>-90.1</v>
      </c>
      <c r="X53" s="229">
        <v>-0.04</v>
      </c>
      <c r="Y53" s="228">
        <v>6.4</v>
      </c>
      <c r="Z53" s="228">
        <v>-0.4</v>
      </c>
      <c r="AA53" s="228">
        <v>6.8</v>
      </c>
      <c r="AB53" s="229">
        <v>3.0000000000000001E-3</v>
      </c>
      <c r="AC53" s="228">
        <v>6.4</v>
      </c>
      <c r="AD53" s="228">
        <v>-0.4</v>
      </c>
      <c r="AE53" s="228">
        <v>6.8</v>
      </c>
      <c r="AF53" s="229">
        <v>3.0000000000000001E-3</v>
      </c>
      <c r="AG53" s="228">
        <v>15.7</v>
      </c>
      <c r="AH53" s="228">
        <v>11</v>
      </c>
      <c r="AI53" s="228">
        <v>4.7</v>
      </c>
      <c r="AJ53" s="229">
        <v>7.3000000000000001E-3</v>
      </c>
      <c r="AK53" s="228">
        <v>20.7</v>
      </c>
      <c r="AL53" s="228">
        <v>22.1</v>
      </c>
      <c r="AM53" s="228">
        <v>-1.4</v>
      </c>
      <c r="AN53" s="229">
        <v>9.7000000000000003E-3</v>
      </c>
      <c r="AO53" s="231">
        <v>2189.3000000000002</v>
      </c>
      <c r="AP53" s="231">
        <v>2199.2199999999998</v>
      </c>
      <c r="AQ53" s="228">
        <v>0</v>
      </c>
      <c r="AR53" s="230">
        <v>3726125</v>
      </c>
      <c r="AS53" s="230">
        <v>2892500</v>
      </c>
      <c r="AT53" s="230">
        <v>833625</v>
      </c>
      <c r="AU53" s="229">
        <v>0.28820000000000001</v>
      </c>
      <c r="AV53" s="230">
        <v>1874600</v>
      </c>
      <c r="AW53" s="230">
        <v>1914900</v>
      </c>
      <c r="AX53" s="230">
        <v>-40300</v>
      </c>
      <c r="AY53" s="229">
        <v>-2.1000000000000001E-2</v>
      </c>
      <c r="AZ53" s="230">
        <v>1839825</v>
      </c>
      <c r="BA53" s="230">
        <v>966550</v>
      </c>
      <c r="BB53" s="230">
        <v>873275</v>
      </c>
      <c r="BC53" s="229">
        <v>0.90349999999999997</v>
      </c>
      <c r="BD53" s="230">
        <v>11700</v>
      </c>
      <c r="BE53" s="230">
        <v>11050</v>
      </c>
      <c r="BF53" s="228">
        <v>650</v>
      </c>
      <c r="BG53" s="229">
        <v>5.8799999999999998E-2</v>
      </c>
      <c r="BH53" s="230">
        <v>5603650</v>
      </c>
      <c r="BI53" s="230">
        <v>10440950</v>
      </c>
      <c r="BJ53" s="230">
        <v>-4837300</v>
      </c>
      <c r="BK53" s="229">
        <v>-0.46329999999999999</v>
      </c>
      <c r="BL53" s="230">
        <v>2960750</v>
      </c>
      <c r="BM53" s="230">
        <v>4973150</v>
      </c>
      <c r="BN53" s="230">
        <v>-2012400</v>
      </c>
      <c r="BO53" s="229">
        <v>-0.4047</v>
      </c>
      <c r="BP53" s="230">
        <v>12290525</v>
      </c>
      <c r="BQ53" s="230">
        <v>18306600</v>
      </c>
      <c r="BR53" s="230">
        <v>-6016075</v>
      </c>
      <c r="BS53" s="229">
        <v>-0.3286</v>
      </c>
      <c r="BT53" s="230">
        <v>586004</v>
      </c>
      <c r="BU53" s="230">
        <v>914813</v>
      </c>
      <c r="BV53" s="230">
        <v>-328809</v>
      </c>
      <c r="BW53" s="229">
        <v>-0.3594</v>
      </c>
      <c r="BX53" s="230">
        <v>3183050</v>
      </c>
      <c r="BY53" s="230">
        <v>3107650</v>
      </c>
      <c r="BZ53" s="230">
        <v>75400</v>
      </c>
      <c r="CA53" s="229">
        <v>2.4299999999999999E-2</v>
      </c>
      <c r="CB53" s="230">
        <v>1646125</v>
      </c>
      <c r="CC53" s="230">
        <v>2436200</v>
      </c>
      <c r="CD53" s="230">
        <v>-790075</v>
      </c>
      <c r="CE53" s="229">
        <v>-0.32429999999999998</v>
      </c>
      <c r="CF53" s="230">
        <v>1521650</v>
      </c>
      <c r="CG53" s="230">
        <v>658125</v>
      </c>
      <c r="CH53" s="230">
        <v>863525</v>
      </c>
      <c r="CI53" s="229">
        <v>1.3121</v>
      </c>
      <c r="CJ53" s="230">
        <v>15275</v>
      </c>
      <c r="CK53" s="230">
        <v>13325</v>
      </c>
      <c r="CL53" s="230">
        <v>1950</v>
      </c>
      <c r="CM53" s="229">
        <v>0.14630000000000001</v>
      </c>
      <c r="CN53" s="230">
        <v>1542775</v>
      </c>
      <c r="CO53" s="230">
        <v>1720225</v>
      </c>
      <c r="CP53" s="230">
        <v>-177450</v>
      </c>
      <c r="CQ53" s="229">
        <v>-0.1032</v>
      </c>
      <c r="CR53" s="230">
        <v>758550</v>
      </c>
      <c r="CS53" s="230">
        <v>1054950</v>
      </c>
      <c r="CT53" s="230">
        <v>-296400</v>
      </c>
      <c r="CU53" s="229">
        <v>-0.28100000000000003</v>
      </c>
      <c r="CV53" s="230">
        <v>5484375</v>
      </c>
      <c r="CW53" s="230">
        <v>5882825</v>
      </c>
      <c r="CX53" s="230">
        <v>-398450</v>
      </c>
      <c r="CY53" s="229">
        <v>-6.7699999999999996E-2</v>
      </c>
      <c r="CZ53" s="228">
        <v>29.5</v>
      </c>
      <c r="DA53" s="228">
        <v>35.659999999999997</v>
      </c>
      <c r="DB53" s="228">
        <v>-6.16</v>
      </c>
      <c r="DC53" s="228">
        <v>-6.16</v>
      </c>
      <c r="DD53" s="228">
        <v>29.58</v>
      </c>
      <c r="DE53" s="228">
        <v>29.22</v>
      </c>
      <c r="DF53" s="228">
        <v>-0.08</v>
      </c>
      <c r="DG53" s="228">
        <v>0.36</v>
      </c>
      <c r="DH53" s="228">
        <v>30.03</v>
      </c>
      <c r="DI53" s="228">
        <v>35.65</v>
      </c>
      <c r="DJ53" s="228">
        <v>-5.62</v>
      </c>
      <c r="DK53" s="228">
        <v>-5.62</v>
      </c>
      <c r="DL53" s="228">
        <v>28.19</v>
      </c>
      <c r="DM53" s="228">
        <v>35.68</v>
      </c>
      <c r="DN53" s="228">
        <v>-7.49</v>
      </c>
      <c r="DO53" s="228">
        <v>-7.49</v>
      </c>
      <c r="DP53" s="228">
        <v>0.49</v>
      </c>
      <c r="DQ53" s="228">
        <v>0.61</v>
      </c>
      <c r="DR53" s="228">
        <v>-0.12</v>
      </c>
      <c r="DS53" s="229">
        <v>-0.19670000000000001</v>
      </c>
      <c r="DT53" s="231">
        <v>2260</v>
      </c>
      <c r="DU53" s="231">
        <v>2100</v>
      </c>
      <c r="DV53" s="228">
        <v>0.53</v>
      </c>
      <c r="DW53" s="228">
        <v>0.48</v>
      </c>
      <c r="DX53" s="228">
        <v>0.05</v>
      </c>
      <c r="DY53" s="229">
        <v>0.1042</v>
      </c>
      <c r="DZ53" s="229">
        <v>0.48280000000000001</v>
      </c>
      <c r="EA53" s="230">
        <v>671450</v>
      </c>
      <c r="EB53" s="229">
        <v>4.3E-3</v>
      </c>
      <c r="EC53" s="229">
        <v>0.48280000000000001</v>
      </c>
      <c r="ED53" s="228">
        <v>9.92</v>
      </c>
      <c r="EE53" s="229">
        <v>4.4999999999999997E-3</v>
      </c>
      <c r="EF53" s="230">
        <v>259012</v>
      </c>
      <c r="EG53" s="230">
        <v>261049</v>
      </c>
      <c r="EH53" s="229">
        <v>-7.7999999999999996E-3</v>
      </c>
      <c r="EI53" s="229">
        <v>0.442</v>
      </c>
      <c r="EJ53" s="231">
        <v>128090.86</v>
      </c>
      <c r="EK53" s="231">
        <v>64156.59</v>
      </c>
      <c r="EL53" s="231">
        <v>81761.490000000005</v>
      </c>
      <c r="EM53" s="231">
        <v>5615</v>
      </c>
      <c r="EN53" s="231">
        <v>274008.94</v>
      </c>
      <c r="EO53" s="231">
        <v>410954.47</v>
      </c>
      <c r="EP53" s="231">
        <v>-136945.53</v>
      </c>
      <c r="EQ53" s="229">
        <v>-0.3332</v>
      </c>
      <c r="ER53" s="231">
        <v>34967</v>
      </c>
      <c r="ES53" s="231">
        <v>15777</v>
      </c>
      <c r="ET53" s="231">
        <v>68582</v>
      </c>
      <c r="EU53" s="231">
        <v>12425041</v>
      </c>
      <c r="EV53" s="231">
        <v>119327</v>
      </c>
      <c r="EW53" s="231">
        <v>130671</v>
      </c>
      <c r="EX53" s="231">
        <v>-11344</v>
      </c>
      <c r="EY53" s="229">
        <v>-8.6800000000000002E-2</v>
      </c>
      <c r="EZ53" s="229">
        <v>0.44140000000000001</v>
      </c>
      <c r="FA53" s="227" t="s">
        <v>567</v>
      </c>
      <c r="FB53" s="161">
        <f t="shared" si="0"/>
        <v>1536925</v>
      </c>
    </row>
    <row r="54" spans="1:158" ht="17.25" hidden="1" thickBot="1" x14ac:dyDescent="0.3">
      <c r="A54" s="226">
        <v>46044</v>
      </c>
      <c r="B54" s="227" t="s">
        <v>615</v>
      </c>
      <c r="C54" s="227" t="s">
        <v>600</v>
      </c>
      <c r="D54" s="228">
        <v>2075</v>
      </c>
      <c r="E54" s="228">
        <v>390</v>
      </c>
      <c r="F54" s="228">
        <v>379</v>
      </c>
      <c r="G54" s="228">
        <v>11</v>
      </c>
      <c r="H54" s="229">
        <v>2.9000000000000001E-2</v>
      </c>
      <c r="I54" s="228">
        <v>389.85</v>
      </c>
      <c r="J54" s="228">
        <v>378.5</v>
      </c>
      <c r="K54" s="228">
        <v>11.35</v>
      </c>
      <c r="L54" s="229">
        <v>0.03</v>
      </c>
      <c r="M54" s="228">
        <v>390</v>
      </c>
      <c r="N54" s="228">
        <v>379</v>
      </c>
      <c r="O54" s="228">
        <v>11</v>
      </c>
      <c r="P54" s="229">
        <v>2.9000000000000001E-2</v>
      </c>
      <c r="Q54" s="228">
        <v>392.35</v>
      </c>
      <c r="R54" s="228">
        <v>380.95</v>
      </c>
      <c r="S54" s="228">
        <v>11.4</v>
      </c>
      <c r="T54" s="229">
        <v>2.9899999999999999E-2</v>
      </c>
      <c r="U54" s="228">
        <v>393.25</v>
      </c>
      <c r="V54" s="228">
        <v>383</v>
      </c>
      <c r="W54" s="228">
        <v>10.25</v>
      </c>
      <c r="X54" s="229">
        <v>2.6800000000000001E-2</v>
      </c>
      <c r="Y54" s="228">
        <v>0.15</v>
      </c>
      <c r="Z54" s="228">
        <v>0.5</v>
      </c>
      <c r="AA54" s="228">
        <v>-0.35</v>
      </c>
      <c r="AB54" s="229">
        <v>4.0000000000000002E-4</v>
      </c>
      <c r="AC54" s="228">
        <v>0.15</v>
      </c>
      <c r="AD54" s="228">
        <v>0.5</v>
      </c>
      <c r="AE54" s="228">
        <v>-0.35</v>
      </c>
      <c r="AF54" s="229">
        <v>4.0000000000000002E-4</v>
      </c>
      <c r="AG54" s="228">
        <v>2.5</v>
      </c>
      <c r="AH54" s="228">
        <v>2.4500000000000002</v>
      </c>
      <c r="AI54" s="228">
        <v>0.05</v>
      </c>
      <c r="AJ54" s="229">
        <v>6.4000000000000003E-3</v>
      </c>
      <c r="AK54" s="228">
        <v>3.4</v>
      </c>
      <c r="AL54" s="228">
        <v>4.5</v>
      </c>
      <c r="AM54" s="228">
        <v>-1.1000000000000001</v>
      </c>
      <c r="AN54" s="229">
        <v>8.6999999999999994E-3</v>
      </c>
      <c r="AO54" s="228">
        <v>387.68</v>
      </c>
      <c r="AP54" s="228">
        <v>389.93</v>
      </c>
      <c r="AQ54" s="228">
        <v>0</v>
      </c>
      <c r="AR54" s="230">
        <v>19330700</v>
      </c>
      <c r="AS54" s="230">
        <v>14348625</v>
      </c>
      <c r="AT54" s="230">
        <v>4982075</v>
      </c>
      <c r="AU54" s="229">
        <v>0.34720000000000001</v>
      </c>
      <c r="AV54" s="230">
        <v>9681950</v>
      </c>
      <c r="AW54" s="230">
        <v>7889150</v>
      </c>
      <c r="AX54" s="230">
        <v>1792800</v>
      </c>
      <c r="AY54" s="229">
        <v>0.22720000000000001</v>
      </c>
      <c r="AZ54" s="230">
        <v>9586500</v>
      </c>
      <c r="BA54" s="230">
        <v>6413825</v>
      </c>
      <c r="BB54" s="230">
        <v>3172675</v>
      </c>
      <c r="BC54" s="229">
        <v>0.49469999999999997</v>
      </c>
      <c r="BD54" s="230">
        <v>62250</v>
      </c>
      <c r="BE54" s="230">
        <v>45650</v>
      </c>
      <c r="BF54" s="230">
        <v>16600</v>
      </c>
      <c r="BG54" s="229">
        <v>0.36359999999999998</v>
      </c>
      <c r="BH54" s="230">
        <v>9628000</v>
      </c>
      <c r="BI54" s="230">
        <v>9542925</v>
      </c>
      <c r="BJ54" s="230">
        <v>85075</v>
      </c>
      <c r="BK54" s="229">
        <v>8.8999999999999999E-3</v>
      </c>
      <c r="BL54" s="230">
        <v>5353500</v>
      </c>
      <c r="BM54" s="230">
        <v>11590950</v>
      </c>
      <c r="BN54" s="230">
        <v>-6237450</v>
      </c>
      <c r="BO54" s="229">
        <v>-0.53810000000000002</v>
      </c>
      <c r="BP54" s="230">
        <v>34312200</v>
      </c>
      <c r="BQ54" s="230">
        <v>35482500</v>
      </c>
      <c r="BR54" s="230">
        <v>-1170300</v>
      </c>
      <c r="BS54" s="229">
        <v>-3.3000000000000002E-2</v>
      </c>
      <c r="BT54" s="230">
        <v>2267050</v>
      </c>
      <c r="BU54" s="230">
        <v>1966323</v>
      </c>
      <c r="BV54" s="230">
        <v>300727</v>
      </c>
      <c r="BW54" s="229">
        <v>0.15290000000000001</v>
      </c>
      <c r="BX54" s="230">
        <v>22849900</v>
      </c>
      <c r="BY54" s="230">
        <v>22519975</v>
      </c>
      <c r="BZ54" s="230">
        <v>329925</v>
      </c>
      <c r="CA54" s="229">
        <v>1.47E-2</v>
      </c>
      <c r="CB54" s="230">
        <v>10399900</v>
      </c>
      <c r="CC54" s="230">
        <v>16541900</v>
      </c>
      <c r="CD54" s="230">
        <v>-6142000</v>
      </c>
      <c r="CE54" s="229">
        <v>-0.37130000000000002</v>
      </c>
      <c r="CF54" s="230">
        <v>12333800</v>
      </c>
      <c r="CG54" s="230">
        <v>5857725</v>
      </c>
      <c r="CH54" s="230">
        <v>6476075</v>
      </c>
      <c r="CI54" s="229">
        <v>1.1055999999999999</v>
      </c>
      <c r="CJ54" s="230">
        <v>116200</v>
      </c>
      <c r="CK54" s="230">
        <v>120350</v>
      </c>
      <c r="CL54" s="230">
        <v>-4150</v>
      </c>
      <c r="CM54" s="229">
        <v>-3.4500000000000003E-2</v>
      </c>
      <c r="CN54" s="230">
        <v>7156675</v>
      </c>
      <c r="CO54" s="230">
        <v>8096650</v>
      </c>
      <c r="CP54" s="230">
        <v>-939975</v>
      </c>
      <c r="CQ54" s="229">
        <v>-0.11609999999999999</v>
      </c>
      <c r="CR54" s="230">
        <v>5824525</v>
      </c>
      <c r="CS54" s="230">
        <v>6276875</v>
      </c>
      <c r="CT54" s="230">
        <v>-452350</v>
      </c>
      <c r="CU54" s="229">
        <v>-7.2099999999999997E-2</v>
      </c>
      <c r="CV54" s="230">
        <v>35831100</v>
      </c>
      <c r="CW54" s="230">
        <v>36893500</v>
      </c>
      <c r="CX54" s="230">
        <v>-1062400</v>
      </c>
      <c r="CY54" s="229">
        <v>-2.8799999999999999E-2</v>
      </c>
      <c r="CZ54" s="228">
        <v>32.75</v>
      </c>
      <c r="DA54" s="228">
        <v>29.23</v>
      </c>
      <c r="DB54" s="228">
        <v>3.52</v>
      </c>
      <c r="DC54" s="228">
        <v>3.52</v>
      </c>
      <c r="DD54" s="228">
        <v>40.03</v>
      </c>
      <c r="DE54" s="228">
        <v>39.94</v>
      </c>
      <c r="DF54" s="228">
        <v>-7.28</v>
      </c>
      <c r="DG54" s="228">
        <v>0.09</v>
      </c>
      <c r="DH54" s="228">
        <v>33.130000000000003</v>
      </c>
      <c r="DI54" s="228">
        <v>31.65</v>
      </c>
      <c r="DJ54" s="228">
        <v>1.48</v>
      </c>
      <c r="DK54" s="228">
        <v>1.48</v>
      </c>
      <c r="DL54" s="228">
        <v>31.98</v>
      </c>
      <c r="DM54" s="228">
        <v>27.25</v>
      </c>
      <c r="DN54" s="228">
        <v>4.7300000000000004</v>
      </c>
      <c r="DO54" s="228">
        <v>4.7300000000000004</v>
      </c>
      <c r="DP54" s="228">
        <v>0.81</v>
      </c>
      <c r="DQ54" s="228">
        <v>0.78</v>
      </c>
      <c r="DR54" s="228">
        <v>0.03</v>
      </c>
      <c r="DS54" s="229">
        <v>3.85E-2</v>
      </c>
      <c r="DT54" s="228">
        <v>420</v>
      </c>
      <c r="DU54" s="228">
        <v>370</v>
      </c>
      <c r="DV54" s="228">
        <v>0.56000000000000005</v>
      </c>
      <c r="DW54" s="228">
        <v>1.21</v>
      </c>
      <c r="DX54" s="228">
        <v>-0.65</v>
      </c>
      <c r="DY54" s="229">
        <v>-0.53720000000000001</v>
      </c>
      <c r="DZ54" s="229">
        <v>0.54490000000000005</v>
      </c>
      <c r="EA54" s="230">
        <v>5978075</v>
      </c>
      <c r="EB54" s="229">
        <v>6.0000000000000001E-3</v>
      </c>
      <c r="EC54" s="229">
        <v>0.54490000000000005</v>
      </c>
      <c r="ED54" s="228">
        <v>2.25</v>
      </c>
      <c r="EE54" s="229">
        <v>5.7999999999999996E-3</v>
      </c>
      <c r="EF54" s="230">
        <v>1066854</v>
      </c>
      <c r="EG54" s="230">
        <v>828579</v>
      </c>
      <c r="EH54" s="229">
        <v>0.28760000000000002</v>
      </c>
      <c r="EI54" s="229">
        <v>0.47060000000000002</v>
      </c>
      <c r="EJ54" s="231">
        <v>39014.06</v>
      </c>
      <c r="EK54" s="231">
        <v>20777.810000000001</v>
      </c>
      <c r="EL54" s="231">
        <v>75161.55</v>
      </c>
      <c r="EM54" s="231">
        <v>2839</v>
      </c>
      <c r="EN54" s="231">
        <v>134953.42000000001</v>
      </c>
      <c r="EO54" s="231">
        <v>137053.35</v>
      </c>
      <c r="EP54" s="231">
        <v>-2099.9299999999998</v>
      </c>
      <c r="EQ54" s="229">
        <v>-1.5299999999999999E-2</v>
      </c>
      <c r="ER54" s="231">
        <v>30116</v>
      </c>
      <c r="ES54" s="231">
        <v>22516</v>
      </c>
      <c r="ET54" s="231">
        <v>89408</v>
      </c>
      <c r="EU54" s="231">
        <v>112112283</v>
      </c>
      <c r="EV54" s="231">
        <v>142041</v>
      </c>
      <c r="EW54" s="231">
        <v>143697</v>
      </c>
      <c r="EX54" s="231">
        <v>-1656</v>
      </c>
      <c r="EY54" s="229">
        <v>-1.15E-2</v>
      </c>
      <c r="EZ54" s="229">
        <v>0.3196</v>
      </c>
      <c r="FA54" s="227" t="s">
        <v>555</v>
      </c>
      <c r="FB54" s="161">
        <f t="shared" si="0"/>
        <v>12450000</v>
      </c>
    </row>
    <row r="55" spans="1:158" ht="17.25" hidden="1" thickBot="1" x14ac:dyDescent="0.3">
      <c r="A55" s="226">
        <v>46044</v>
      </c>
      <c r="B55" s="227" t="s">
        <v>170</v>
      </c>
      <c r="C55" s="227" t="s">
        <v>205</v>
      </c>
      <c r="D55" s="228">
        <v>100</v>
      </c>
      <c r="E55" s="231">
        <v>6083.5</v>
      </c>
      <c r="F55" s="231">
        <v>5996.5</v>
      </c>
      <c r="G55" s="228">
        <v>87</v>
      </c>
      <c r="H55" s="229">
        <v>1.4500000000000001E-2</v>
      </c>
      <c r="I55" s="231">
        <v>6071</v>
      </c>
      <c r="J55" s="231">
        <v>6010</v>
      </c>
      <c r="K55" s="228">
        <v>61</v>
      </c>
      <c r="L55" s="229">
        <v>1.01E-2</v>
      </c>
      <c r="M55" s="231">
        <v>6083.5</v>
      </c>
      <c r="N55" s="231">
        <v>5996.5</v>
      </c>
      <c r="O55" s="228">
        <v>87</v>
      </c>
      <c r="P55" s="229">
        <v>1.4500000000000001E-2</v>
      </c>
      <c r="Q55" s="231">
        <v>6114</v>
      </c>
      <c r="R55" s="231">
        <v>6029</v>
      </c>
      <c r="S55" s="228">
        <v>85</v>
      </c>
      <c r="T55" s="229">
        <v>1.41E-2</v>
      </c>
      <c r="U55" s="231">
        <v>6159.5</v>
      </c>
      <c r="V55" s="231">
        <v>6071</v>
      </c>
      <c r="W55" s="228">
        <v>88.5</v>
      </c>
      <c r="X55" s="229">
        <v>1.46E-2</v>
      </c>
      <c r="Y55" s="228">
        <v>12.5</v>
      </c>
      <c r="Z55" s="228">
        <v>-13.5</v>
      </c>
      <c r="AA55" s="228">
        <v>26</v>
      </c>
      <c r="AB55" s="229">
        <v>2.0999999999999999E-3</v>
      </c>
      <c r="AC55" s="228">
        <v>12.5</v>
      </c>
      <c r="AD55" s="228">
        <v>-13.5</v>
      </c>
      <c r="AE55" s="228">
        <v>26</v>
      </c>
      <c r="AF55" s="229">
        <v>2.0999999999999999E-3</v>
      </c>
      <c r="AG55" s="228">
        <v>43</v>
      </c>
      <c r="AH55" s="228">
        <v>19</v>
      </c>
      <c r="AI55" s="228">
        <v>24</v>
      </c>
      <c r="AJ55" s="229">
        <v>7.1000000000000004E-3</v>
      </c>
      <c r="AK55" s="228">
        <v>88.5</v>
      </c>
      <c r="AL55" s="228">
        <v>61</v>
      </c>
      <c r="AM55" s="228">
        <v>27.5</v>
      </c>
      <c r="AN55" s="229">
        <v>1.46E-2</v>
      </c>
      <c r="AO55" s="231">
        <v>6088.02</v>
      </c>
      <c r="AP55" s="231">
        <v>6120.06</v>
      </c>
      <c r="AQ55" s="228">
        <v>0</v>
      </c>
      <c r="AR55" s="230">
        <v>2717700</v>
      </c>
      <c r="AS55" s="230">
        <v>2036900</v>
      </c>
      <c r="AT55" s="230">
        <v>680800</v>
      </c>
      <c r="AU55" s="229">
        <v>0.3342</v>
      </c>
      <c r="AV55" s="230">
        <v>1326500</v>
      </c>
      <c r="AW55" s="230">
        <v>1068500</v>
      </c>
      <c r="AX55" s="230">
        <v>258000</v>
      </c>
      <c r="AY55" s="229">
        <v>0.24149999999999999</v>
      </c>
      <c r="AZ55" s="230">
        <v>1387800</v>
      </c>
      <c r="BA55" s="230">
        <v>962400</v>
      </c>
      <c r="BB55" s="230">
        <v>425400</v>
      </c>
      <c r="BC55" s="229">
        <v>0.442</v>
      </c>
      <c r="BD55" s="230">
        <v>3400</v>
      </c>
      <c r="BE55" s="230">
        <v>6000</v>
      </c>
      <c r="BF55" s="230">
        <v>-2600</v>
      </c>
      <c r="BG55" s="229">
        <v>-0.43330000000000002</v>
      </c>
      <c r="BH55" s="230">
        <v>2262800</v>
      </c>
      <c r="BI55" s="230">
        <v>2389900</v>
      </c>
      <c r="BJ55" s="230">
        <v>-127100</v>
      </c>
      <c r="BK55" s="229">
        <v>-5.3199999999999997E-2</v>
      </c>
      <c r="BL55" s="230">
        <v>749000</v>
      </c>
      <c r="BM55" s="230">
        <v>1226600</v>
      </c>
      <c r="BN55" s="230">
        <v>-477600</v>
      </c>
      <c r="BO55" s="229">
        <v>-0.38940000000000002</v>
      </c>
      <c r="BP55" s="230">
        <v>5729500</v>
      </c>
      <c r="BQ55" s="230">
        <v>5653400</v>
      </c>
      <c r="BR55" s="230">
        <v>76100</v>
      </c>
      <c r="BS55" s="229">
        <v>1.35E-2</v>
      </c>
      <c r="BT55" s="230">
        <v>374360</v>
      </c>
      <c r="BU55" s="230">
        <v>328058</v>
      </c>
      <c r="BV55" s="230">
        <v>46302</v>
      </c>
      <c r="BW55" s="229">
        <v>0.1411</v>
      </c>
      <c r="BX55" s="230">
        <v>3560400</v>
      </c>
      <c r="BY55" s="230">
        <v>3472000</v>
      </c>
      <c r="BZ55" s="230">
        <v>88400</v>
      </c>
      <c r="CA55" s="229">
        <v>2.5499999999999998E-2</v>
      </c>
      <c r="CB55" s="230">
        <v>1317000</v>
      </c>
      <c r="CC55" s="230">
        <v>2391800</v>
      </c>
      <c r="CD55" s="230">
        <v>-1074800</v>
      </c>
      <c r="CE55" s="229">
        <v>-0.44940000000000002</v>
      </c>
      <c r="CF55" s="230">
        <v>2231900</v>
      </c>
      <c r="CG55" s="230">
        <v>1069700</v>
      </c>
      <c r="CH55" s="230">
        <v>1162200</v>
      </c>
      <c r="CI55" s="229">
        <v>1.0865</v>
      </c>
      <c r="CJ55" s="230">
        <v>11500</v>
      </c>
      <c r="CK55" s="230">
        <v>10500</v>
      </c>
      <c r="CL55" s="230">
        <v>1000</v>
      </c>
      <c r="CM55" s="229">
        <v>9.5200000000000007E-2</v>
      </c>
      <c r="CN55" s="230">
        <v>1901900</v>
      </c>
      <c r="CO55" s="230">
        <v>1911000</v>
      </c>
      <c r="CP55" s="230">
        <v>-9100</v>
      </c>
      <c r="CQ55" s="229">
        <v>-4.7999999999999996E-3</v>
      </c>
      <c r="CR55" s="230">
        <v>932500</v>
      </c>
      <c r="CS55" s="230">
        <v>969900</v>
      </c>
      <c r="CT55" s="230">
        <v>-37400</v>
      </c>
      <c r="CU55" s="229">
        <v>-3.8600000000000002E-2</v>
      </c>
      <c r="CV55" s="230">
        <v>6394800</v>
      </c>
      <c r="CW55" s="230">
        <v>6352900</v>
      </c>
      <c r="CX55" s="230">
        <v>41900</v>
      </c>
      <c r="CY55" s="229">
        <v>6.6E-3</v>
      </c>
      <c r="CZ55" s="228">
        <v>27.99</v>
      </c>
      <c r="DA55" s="228">
        <v>25.89</v>
      </c>
      <c r="DB55" s="228">
        <v>2.1</v>
      </c>
      <c r="DC55" s="228">
        <v>2.1</v>
      </c>
      <c r="DD55" s="228">
        <v>29.94</v>
      </c>
      <c r="DE55" s="228">
        <v>29.99</v>
      </c>
      <c r="DF55" s="228">
        <v>-1.95</v>
      </c>
      <c r="DG55" s="228">
        <v>-0.05</v>
      </c>
      <c r="DH55" s="228">
        <v>28.64</v>
      </c>
      <c r="DI55" s="228">
        <v>28.45</v>
      </c>
      <c r="DJ55" s="228">
        <v>0.19</v>
      </c>
      <c r="DK55" s="228">
        <v>0.19</v>
      </c>
      <c r="DL55" s="228">
        <v>27.13</v>
      </c>
      <c r="DM55" s="228">
        <v>20.89</v>
      </c>
      <c r="DN55" s="228">
        <v>6.24</v>
      </c>
      <c r="DO55" s="228">
        <v>6.24</v>
      </c>
      <c r="DP55" s="228">
        <v>0.49</v>
      </c>
      <c r="DQ55" s="228">
        <v>0.51</v>
      </c>
      <c r="DR55" s="228">
        <v>-0.02</v>
      </c>
      <c r="DS55" s="229">
        <v>-3.9199999999999999E-2</v>
      </c>
      <c r="DT55" s="231">
        <v>6500</v>
      </c>
      <c r="DU55" s="231">
        <v>5800</v>
      </c>
      <c r="DV55" s="228">
        <v>0.33</v>
      </c>
      <c r="DW55" s="228">
        <v>0.51</v>
      </c>
      <c r="DX55" s="228">
        <v>-0.18</v>
      </c>
      <c r="DY55" s="229">
        <v>-0.35289999999999999</v>
      </c>
      <c r="DZ55" s="229">
        <v>0.63009999999999999</v>
      </c>
      <c r="EA55" s="230">
        <v>1080200</v>
      </c>
      <c r="EB55" s="229">
        <v>5.0000000000000001E-3</v>
      </c>
      <c r="EC55" s="229">
        <v>0.63009999999999999</v>
      </c>
      <c r="ED55" s="228">
        <v>32.04</v>
      </c>
      <c r="EE55" s="229">
        <v>5.3E-3</v>
      </c>
      <c r="EF55" s="230">
        <v>255592</v>
      </c>
      <c r="EG55" s="230">
        <v>198335</v>
      </c>
      <c r="EH55" s="229">
        <v>0.28870000000000001</v>
      </c>
      <c r="EI55" s="229">
        <v>0.68269999999999997</v>
      </c>
      <c r="EJ55" s="231">
        <v>143412.68</v>
      </c>
      <c r="EK55" s="231">
        <v>45732.08</v>
      </c>
      <c r="EL55" s="231">
        <v>165901.04999999999</v>
      </c>
      <c r="EM55" s="231">
        <v>9033</v>
      </c>
      <c r="EN55" s="231">
        <v>355045.81</v>
      </c>
      <c r="EO55" s="231">
        <v>349422.27</v>
      </c>
      <c r="EP55" s="231">
        <v>5623.54</v>
      </c>
      <c r="EQ55" s="229">
        <v>1.61E-2</v>
      </c>
      <c r="ER55" s="231">
        <v>125069</v>
      </c>
      <c r="ES55" s="231">
        <v>57223</v>
      </c>
      <c r="ET55" s="231">
        <v>217286</v>
      </c>
      <c r="EU55" s="231">
        <v>14898112</v>
      </c>
      <c r="EV55" s="231">
        <v>399579</v>
      </c>
      <c r="EW55" s="231">
        <v>393890</v>
      </c>
      <c r="EX55" s="231">
        <v>5689</v>
      </c>
      <c r="EY55" s="229">
        <v>1.44E-2</v>
      </c>
      <c r="EZ55" s="229">
        <v>0.42920000000000003</v>
      </c>
      <c r="FA55" s="227" t="s">
        <v>555</v>
      </c>
      <c r="FB55" s="161">
        <f t="shared" si="0"/>
        <v>2243400</v>
      </c>
    </row>
    <row r="56" spans="1:158" ht="17.25" hidden="1" thickBot="1" x14ac:dyDescent="0.3">
      <c r="A56" s="226">
        <v>46044</v>
      </c>
      <c r="B56" s="227" t="s">
        <v>184</v>
      </c>
      <c r="C56" s="227" t="s">
        <v>512</v>
      </c>
      <c r="D56" s="228">
        <v>50</v>
      </c>
      <c r="E56" s="231">
        <v>10534</v>
      </c>
      <c r="F56" s="231">
        <v>10550</v>
      </c>
      <c r="G56" s="228">
        <v>-16</v>
      </c>
      <c r="H56" s="229">
        <v>-1.5E-3</v>
      </c>
      <c r="I56" s="231">
        <v>10512</v>
      </c>
      <c r="J56" s="231">
        <v>10517</v>
      </c>
      <c r="K56" s="228">
        <v>-5</v>
      </c>
      <c r="L56" s="229">
        <v>-5.0000000000000001E-4</v>
      </c>
      <c r="M56" s="231">
        <v>10534</v>
      </c>
      <c r="N56" s="231">
        <v>10550</v>
      </c>
      <c r="O56" s="228">
        <v>-16</v>
      </c>
      <c r="P56" s="229">
        <v>-1.5E-3</v>
      </c>
      <c r="Q56" s="231">
        <v>10586</v>
      </c>
      <c r="R56" s="231">
        <v>10583</v>
      </c>
      <c r="S56" s="228">
        <v>3</v>
      </c>
      <c r="T56" s="229">
        <v>2.9999999999999997E-4</v>
      </c>
      <c r="U56" s="231">
        <v>10655</v>
      </c>
      <c r="V56" s="231">
        <v>10651</v>
      </c>
      <c r="W56" s="228">
        <v>4</v>
      </c>
      <c r="X56" s="229">
        <v>4.0000000000000002E-4</v>
      </c>
      <c r="Y56" s="228">
        <v>22</v>
      </c>
      <c r="Z56" s="228">
        <v>33</v>
      </c>
      <c r="AA56" s="228">
        <v>-11</v>
      </c>
      <c r="AB56" s="229">
        <v>2.0999999999999999E-3</v>
      </c>
      <c r="AC56" s="228">
        <v>22</v>
      </c>
      <c r="AD56" s="228">
        <v>33</v>
      </c>
      <c r="AE56" s="228">
        <v>-11</v>
      </c>
      <c r="AF56" s="229">
        <v>2.0999999999999999E-3</v>
      </c>
      <c r="AG56" s="228">
        <v>74</v>
      </c>
      <c r="AH56" s="228">
        <v>66</v>
      </c>
      <c r="AI56" s="228">
        <v>8</v>
      </c>
      <c r="AJ56" s="229">
        <v>7.0000000000000001E-3</v>
      </c>
      <c r="AK56" s="228">
        <v>143</v>
      </c>
      <c r="AL56" s="228">
        <v>134</v>
      </c>
      <c r="AM56" s="228">
        <v>9</v>
      </c>
      <c r="AN56" s="229">
        <v>1.3599999999999999E-2</v>
      </c>
      <c r="AO56" s="231">
        <v>10550.01</v>
      </c>
      <c r="AP56" s="231">
        <v>10601.25</v>
      </c>
      <c r="AQ56" s="228">
        <v>0</v>
      </c>
      <c r="AR56" s="230">
        <v>1809050</v>
      </c>
      <c r="AS56" s="230">
        <v>2431150</v>
      </c>
      <c r="AT56" s="230">
        <v>-622100</v>
      </c>
      <c r="AU56" s="229">
        <v>-0.25590000000000002</v>
      </c>
      <c r="AV56" s="230">
        <v>925950</v>
      </c>
      <c r="AW56" s="230">
        <v>1347000</v>
      </c>
      <c r="AX56" s="230">
        <v>-421050</v>
      </c>
      <c r="AY56" s="229">
        <v>-0.31259999999999999</v>
      </c>
      <c r="AZ56" s="230">
        <v>867850</v>
      </c>
      <c r="BA56" s="230">
        <v>1062550</v>
      </c>
      <c r="BB56" s="230">
        <v>-194700</v>
      </c>
      <c r="BC56" s="229">
        <v>-0.1832</v>
      </c>
      <c r="BD56" s="230">
        <v>15250</v>
      </c>
      <c r="BE56" s="230">
        <v>21600</v>
      </c>
      <c r="BF56" s="230">
        <v>-6350</v>
      </c>
      <c r="BG56" s="229">
        <v>-0.29399999999999998</v>
      </c>
      <c r="BH56" s="230">
        <v>5172600</v>
      </c>
      <c r="BI56" s="230">
        <v>8687500</v>
      </c>
      <c r="BJ56" s="230">
        <v>-3514900</v>
      </c>
      <c r="BK56" s="229">
        <v>-0.40460000000000002</v>
      </c>
      <c r="BL56" s="230">
        <v>2995100</v>
      </c>
      <c r="BM56" s="230">
        <v>6394000</v>
      </c>
      <c r="BN56" s="230">
        <v>-3398900</v>
      </c>
      <c r="BO56" s="229">
        <v>-0.53159999999999996</v>
      </c>
      <c r="BP56" s="230">
        <v>9976750</v>
      </c>
      <c r="BQ56" s="230">
        <v>17512650</v>
      </c>
      <c r="BR56" s="230">
        <v>-7535900</v>
      </c>
      <c r="BS56" s="229">
        <v>-0.43030000000000002</v>
      </c>
      <c r="BT56" s="230">
        <v>444073</v>
      </c>
      <c r="BU56" s="230">
        <v>996362</v>
      </c>
      <c r="BV56" s="230">
        <v>-552289</v>
      </c>
      <c r="BW56" s="229">
        <v>-0.55430000000000001</v>
      </c>
      <c r="BX56" s="230">
        <v>3655650</v>
      </c>
      <c r="BY56" s="230">
        <v>3592800</v>
      </c>
      <c r="BZ56" s="230">
        <v>62850</v>
      </c>
      <c r="CA56" s="229">
        <v>1.7500000000000002E-2</v>
      </c>
      <c r="CB56" s="230">
        <v>1993100</v>
      </c>
      <c r="CC56" s="230">
        <v>2520650</v>
      </c>
      <c r="CD56" s="230">
        <v>-527550</v>
      </c>
      <c r="CE56" s="229">
        <v>-0.20930000000000001</v>
      </c>
      <c r="CF56" s="230">
        <v>1595700</v>
      </c>
      <c r="CG56" s="230">
        <v>1008650</v>
      </c>
      <c r="CH56" s="230">
        <v>587050</v>
      </c>
      <c r="CI56" s="229">
        <v>0.58199999999999996</v>
      </c>
      <c r="CJ56" s="230">
        <v>66850</v>
      </c>
      <c r="CK56" s="230">
        <v>63500</v>
      </c>
      <c r="CL56" s="230">
        <v>3350</v>
      </c>
      <c r="CM56" s="229">
        <v>5.28E-2</v>
      </c>
      <c r="CN56" s="230">
        <v>3759350</v>
      </c>
      <c r="CO56" s="230">
        <v>3812250</v>
      </c>
      <c r="CP56" s="230">
        <v>-52900</v>
      </c>
      <c r="CQ56" s="229">
        <v>-1.3899999999999999E-2</v>
      </c>
      <c r="CR56" s="230">
        <v>1990850</v>
      </c>
      <c r="CS56" s="230">
        <v>2044100</v>
      </c>
      <c r="CT56" s="230">
        <v>-53250</v>
      </c>
      <c r="CU56" s="229">
        <v>-2.6100000000000002E-2</v>
      </c>
      <c r="CV56" s="230">
        <v>9405850</v>
      </c>
      <c r="CW56" s="230">
        <v>9449150</v>
      </c>
      <c r="CX56" s="230">
        <v>-43300</v>
      </c>
      <c r="CY56" s="229">
        <v>-4.5999999999999999E-3</v>
      </c>
      <c r="CZ56" s="228">
        <v>45.97</v>
      </c>
      <c r="DA56" s="228">
        <v>37.979999999999997</v>
      </c>
      <c r="DB56" s="228">
        <v>7.99</v>
      </c>
      <c r="DC56" s="228">
        <v>7.99</v>
      </c>
      <c r="DD56" s="228">
        <v>44.64</v>
      </c>
      <c r="DE56" s="228">
        <v>44.75</v>
      </c>
      <c r="DF56" s="228">
        <v>1.33</v>
      </c>
      <c r="DG56" s="228">
        <v>-0.11</v>
      </c>
      <c r="DH56" s="228">
        <v>46.01</v>
      </c>
      <c r="DI56" s="228">
        <v>39.6</v>
      </c>
      <c r="DJ56" s="228">
        <v>6.41</v>
      </c>
      <c r="DK56" s="228">
        <v>6.41</v>
      </c>
      <c r="DL56" s="228">
        <v>45.91</v>
      </c>
      <c r="DM56" s="228">
        <v>35.770000000000003</v>
      </c>
      <c r="DN56" s="228">
        <v>10.14</v>
      </c>
      <c r="DO56" s="228">
        <v>10.14</v>
      </c>
      <c r="DP56" s="228">
        <v>0.53</v>
      </c>
      <c r="DQ56" s="228">
        <v>0.54</v>
      </c>
      <c r="DR56" s="228">
        <v>-0.01</v>
      </c>
      <c r="DS56" s="229">
        <v>-1.8499999999999999E-2</v>
      </c>
      <c r="DT56" s="231">
        <v>12000</v>
      </c>
      <c r="DU56" s="231">
        <v>10000</v>
      </c>
      <c r="DV56" s="228">
        <v>0.57999999999999996</v>
      </c>
      <c r="DW56" s="228">
        <v>0.74</v>
      </c>
      <c r="DX56" s="228">
        <v>-0.16</v>
      </c>
      <c r="DY56" s="229">
        <v>-0.2162</v>
      </c>
      <c r="DZ56" s="229">
        <v>0.45479999999999998</v>
      </c>
      <c r="EA56" s="230">
        <v>1072150</v>
      </c>
      <c r="EB56" s="229">
        <v>4.8999999999999998E-3</v>
      </c>
      <c r="EC56" s="229">
        <v>0.45479999999999998</v>
      </c>
      <c r="ED56" s="228">
        <v>51.24</v>
      </c>
      <c r="EE56" s="229">
        <v>4.8999999999999998E-3</v>
      </c>
      <c r="EF56" s="230">
        <v>87059</v>
      </c>
      <c r="EG56" s="230">
        <v>271001</v>
      </c>
      <c r="EH56" s="229">
        <v>-0.67879999999999996</v>
      </c>
      <c r="EI56" s="229">
        <v>0.19600000000000001</v>
      </c>
      <c r="EJ56" s="231">
        <v>589675.54</v>
      </c>
      <c r="EK56" s="231">
        <v>313452.38</v>
      </c>
      <c r="EL56" s="231">
        <v>191317.32</v>
      </c>
      <c r="EM56" s="231">
        <v>27492</v>
      </c>
      <c r="EN56" s="231">
        <v>1094445.24</v>
      </c>
      <c r="EO56" s="231">
        <v>1918172.44</v>
      </c>
      <c r="EP56" s="231">
        <v>-823727.2</v>
      </c>
      <c r="EQ56" s="229">
        <v>-0.4294</v>
      </c>
      <c r="ER56" s="231">
        <v>459823</v>
      </c>
      <c r="ES56" s="231">
        <v>220776</v>
      </c>
      <c r="ET56" s="231">
        <v>385997</v>
      </c>
      <c r="EU56" s="231">
        <v>6452220</v>
      </c>
      <c r="EV56" s="231">
        <v>1066595</v>
      </c>
      <c r="EW56" s="231">
        <v>1075673</v>
      </c>
      <c r="EX56" s="231">
        <v>-9078</v>
      </c>
      <c r="EY56" s="229">
        <v>-8.3999999999999995E-3</v>
      </c>
      <c r="EZ56" s="229">
        <v>1.4578</v>
      </c>
      <c r="FA56" s="227" t="s">
        <v>567</v>
      </c>
      <c r="FB56" s="161">
        <f t="shared" si="0"/>
        <v>1662550</v>
      </c>
    </row>
    <row r="57" spans="1:158" ht="17.25" hidden="1" thickBot="1" x14ac:dyDescent="0.3">
      <c r="A57" s="226">
        <v>46044</v>
      </c>
      <c r="B57" s="227" t="s">
        <v>206</v>
      </c>
      <c r="C57" s="227" t="s">
        <v>207</v>
      </c>
      <c r="D57" s="228">
        <v>825</v>
      </c>
      <c r="E57" s="228">
        <v>613.5</v>
      </c>
      <c r="F57" s="228">
        <v>618.9</v>
      </c>
      <c r="G57" s="228">
        <v>-5.4</v>
      </c>
      <c r="H57" s="229">
        <v>-8.6999999999999994E-3</v>
      </c>
      <c r="I57" s="228">
        <v>613.29999999999995</v>
      </c>
      <c r="J57" s="228">
        <v>617.65</v>
      </c>
      <c r="K57" s="228">
        <v>-4.3499999999999996</v>
      </c>
      <c r="L57" s="229">
        <v>-7.0000000000000001E-3</v>
      </c>
      <c r="M57" s="228">
        <v>613.5</v>
      </c>
      <c r="N57" s="228">
        <v>618.9</v>
      </c>
      <c r="O57" s="228">
        <v>-5.4</v>
      </c>
      <c r="P57" s="229">
        <v>-8.6999999999999994E-3</v>
      </c>
      <c r="Q57" s="228">
        <v>616.54999999999995</v>
      </c>
      <c r="R57" s="228">
        <v>621.95000000000005</v>
      </c>
      <c r="S57" s="228">
        <v>-5.4</v>
      </c>
      <c r="T57" s="229">
        <v>-8.6999999999999994E-3</v>
      </c>
      <c r="U57" s="228">
        <v>620.70000000000005</v>
      </c>
      <c r="V57" s="228">
        <v>626.6</v>
      </c>
      <c r="W57" s="228">
        <v>-5.9</v>
      </c>
      <c r="X57" s="229">
        <v>-9.4000000000000004E-3</v>
      </c>
      <c r="Y57" s="228">
        <v>0.2</v>
      </c>
      <c r="Z57" s="228">
        <v>1.25</v>
      </c>
      <c r="AA57" s="228">
        <v>-1.05</v>
      </c>
      <c r="AB57" s="229">
        <v>2.9999999999999997E-4</v>
      </c>
      <c r="AC57" s="228">
        <v>0.2</v>
      </c>
      <c r="AD57" s="228">
        <v>1.25</v>
      </c>
      <c r="AE57" s="228">
        <v>-1.05</v>
      </c>
      <c r="AF57" s="229">
        <v>2.9999999999999997E-4</v>
      </c>
      <c r="AG57" s="228">
        <v>3.25</v>
      </c>
      <c r="AH57" s="228">
        <v>4.3</v>
      </c>
      <c r="AI57" s="228">
        <v>-1.05</v>
      </c>
      <c r="AJ57" s="229">
        <v>5.3E-3</v>
      </c>
      <c r="AK57" s="228">
        <v>7.4</v>
      </c>
      <c r="AL57" s="228">
        <v>8.9499999999999993</v>
      </c>
      <c r="AM57" s="228">
        <v>-1.55</v>
      </c>
      <c r="AN57" s="229">
        <v>1.21E-2</v>
      </c>
      <c r="AO57" s="228">
        <v>614.5</v>
      </c>
      <c r="AP57" s="228">
        <v>617.66</v>
      </c>
      <c r="AQ57" s="228">
        <v>0</v>
      </c>
      <c r="AR57" s="230">
        <v>31679175</v>
      </c>
      <c r="AS57" s="230">
        <v>34667325</v>
      </c>
      <c r="AT57" s="230">
        <v>-2988150</v>
      </c>
      <c r="AU57" s="229">
        <v>-8.6199999999999999E-2</v>
      </c>
      <c r="AV57" s="230">
        <v>16329225</v>
      </c>
      <c r="AW57" s="230">
        <v>18386775</v>
      </c>
      <c r="AX57" s="230">
        <v>-2057550</v>
      </c>
      <c r="AY57" s="229">
        <v>-0.1119</v>
      </c>
      <c r="AZ57" s="230">
        <v>15179175</v>
      </c>
      <c r="BA57" s="230">
        <v>16123800</v>
      </c>
      <c r="BB57" s="230">
        <v>-944625</v>
      </c>
      <c r="BC57" s="229">
        <v>-5.8599999999999999E-2</v>
      </c>
      <c r="BD57" s="230">
        <v>170775</v>
      </c>
      <c r="BE57" s="230">
        <v>156750</v>
      </c>
      <c r="BF57" s="230">
        <v>14025</v>
      </c>
      <c r="BG57" s="229">
        <v>8.9499999999999996E-2</v>
      </c>
      <c r="BH57" s="230">
        <v>37490475</v>
      </c>
      <c r="BI57" s="230">
        <v>37896375</v>
      </c>
      <c r="BJ57" s="230">
        <v>-405900</v>
      </c>
      <c r="BK57" s="229">
        <v>-1.0699999999999999E-2</v>
      </c>
      <c r="BL57" s="230">
        <v>23015025</v>
      </c>
      <c r="BM57" s="230">
        <v>22537350</v>
      </c>
      <c r="BN57" s="230">
        <v>477675</v>
      </c>
      <c r="BO57" s="229">
        <v>2.12E-2</v>
      </c>
      <c r="BP57" s="230">
        <v>92184675</v>
      </c>
      <c r="BQ57" s="230">
        <v>95101050</v>
      </c>
      <c r="BR57" s="230">
        <v>-2916375</v>
      </c>
      <c r="BS57" s="229">
        <v>-3.0700000000000002E-2</v>
      </c>
      <c r="BT57" s="230">
        <v>7853603</v>
      </c>
      <c r="BU57" s="230">
        <v>5724833</v>
      </c>
      <c r="BV57" s="230">
        <v>2128770</v>
      </c>
      <c r="BW57" s="229">
        <v>0.37180000000000002</v>
      </c>
      <c r="BX57" s="230">
        <v>61461675</v>
      </c>
      <c r="BY57" s="230">
        <v>60450225</v>
      </c>
      <c r="BZ57" s="230">
        <v>1011450</v>
      </c>
      <c r="CA57" s="229">
        <v>1.67E-2</v>
      </c>
      <c r="CB57" s="230">
        <v>27402375</v>
      </c>
      <c r="CC57" s="230">
        <v>38713125</v>
      </c>
      <c r="CD57" s="230">
        <v>-11310750</v>
      </c>
      <c r="CE57" s="229">
        <v>-0.29220000000000002</v>
      </c>
      <c r="CF57" s="230">
        <v>33569250</v>
      </c>
      <c r="CG57" s="230">
        <v>21312225</v>
      </c>
      <c r="CH57" s="230">
        <v>12257025</v>
      </c>
      <c r="CI57" s="229">
        <v>0.57509999999999994</v>
      </c>
      <c r="CJ57" s="230">
        <v>490050</v>
      </c>
      <c r="CK57" s="230">
        <v>424875</v>
      </c>
      <c r="CL57" s="230">
        <v>65175</v>
      </c>
      <c r="CM57" s="229">
        <v>0.15340000000000001</v>
      </c>
      <c r="CN57" s="230">
        <v>25742475</v>
      </c>
      <c r="CO57" s="230">
        <v>23447325</v>
      </c>
      <c r="CP57" s="230">
        <v>2295150</v>
      </c>
      <c r="CQ57" s="229">
        <v>9.7900000000000001E-2</v>
      </c>
      <c r="CR57" s="230">
        <v>15477825</v>
      </c>
      <c r="CS57" s="230">
        <v>13038300</v>
      </c>
      <c r="CT57" s="230">
        <v>2439525</v>
      </c>
      <c r="CU57" s="229">
        <v>0.18709999999999999</v>
      </c>
      <c r="CV57" s="230">
        <v>102681975</v>
      </c>
      <c r="CW57" s="230">
        <v>96935850</v>
      </c>
      <c r="CX57" s="230">
        <v>5746125</v>
      </c>
      <c r="CY57" s="229">
        <v>5.9299999999999999E-2</v>
      </c>
      <c r="CZ57" s="228">
        <v>38.11</v>
      </c>
      <c r="DA57" s="228">
        <v>41.86</v>
      </c>
      <c r="DB57" s="228">
        <v>-3.75</v>
      </c>
      <c r="DC57" s="228">
        <v>-3.75</v>
      </c>
      <c r="DD57" s="228">
        <v>34.43</v>
      </c>
      <c r="DE57" s="228">
        <v>34.5</v>
      </c>
      <c r="DF57" s="228">
        <v>3.68</v>
      </c>
      <c r="DG57" s="228">
        <v>-7.0000000000000007E-2</v>
      </c>
      <c r="DH57" s="228">
        <v>37.81</v>
      </c>
      <c r="DI57" s="228">
        <v>41.3</v>
      </c>
      <c r="DJ57" s="228">
        <v>-3.49</v>
      </c>
      <c r="DK57" s="228">
        <v>-3.49</v>
      </c>
      <c r="DL57" s="228">
        <v>38.549999999999997</v>
      </c>
      <c r="DM57" s="228">
        <v>42.81</v>
      </c>
      <c r="DN57" s="228">
        <v>-4.26</v>
      </c>
      <c r="DO57" s="228">
        <v>-4.26</v>
      </c>
      <c r="DP57" s="228">
        <v>0.6</v>
      </c>
      <c r="DQ57" s="228">
        <v>0.56000000000000005</v>
      </c>
      <c r="DR57" s="228">
        <v>0.04</v>
      </c>
      <c r="DS57" s="229">
        <v>7.1400000000000005E-2</v>
      </c>
      <c r="DT57" s="228">
        <v>700</v>
      </c>
      <c r="DU57" s="228">
        <v>600</v>
      </c>
      <c r="DV57" s="228">
        <v>0.61</v>
      </c>
      <c r="DW57" s="228">
        <v>0.59</v>
      </c>
      <c r="DX57" s="228">
        <v>0.02</v>
      </c>
      <c r="DY57" s="229">
        <v>3.39E-2</v>
      </c>
      <c r="DZ57" s="229">
        <v>0.55420000000000003</v>
      </c>
      <c r="EA57" s="230">
        <v>21737100</v>
      </c>
      <c r="EB57" s="229">
        <v>5.0000000000000001E-3</v>
      </c>
      <c r="EC57" s="229">
        <v>0.55420000000000003</v>
      </c>
      <c r="ED57" s="228">
        <v>3.16</v>
      </c>
      <c r="EE57" s="229">
        <v>5.1000000000000004E-3</v>
      </c>
      <c r="EF57" s="230">
        <v>4945841</v>
      </c>
      <c r="EG57" s="230">
        <v>2308919</v>
      </c>
      <c r="EH57" s="229">
        <v>1.1420999999999999</v>
      </c>
      <c r="EI57" s="229">
        <v>0.62980000000000003</v>
      </c>
      <c r="EJ57" s="231">
        <v>245955.19</v>
      </c>
      <c r="EK57" s="231">
        <v>141804.24</v>
      </c>
      <c r="EL57" s="231">
        <v>195159.88</v>
      </c>
      <c r="EM57" s="231">
        <v>21703</v>
      </c>
      <c r="EN57" s="231">
        <v>582919.31000000006</v>
      </c>
      <c r="EO57" s="231">
        <v>602419.14</v>
      </c>
      <c r="EP57" s="231">
        <v>-19499.830000000002</v>
      </c>
      <c r="EQ57" s="229">
        <v>-3.2399999999999998E-2</v>
      </c>
      <c r="ER57" s="231">
        <v>175659</v>
      </c>
      <c r="ES57" s="231">
        <v>101017</v>
      </c>
      <c r="ET57" s="231">
        <v>378127</v>
      </c>
      <c r="EU57" s="231">
        <v>96058266</v>
      </c>
      <c r="EV57" s="231">
        <v>654802</v>
      </c>
      <c r="EW57" s="231">
        <v>623160</v>
      </c>
      <c r="EX57" s="231">
        <v>31642</v>
      </c>
      <c r="EY57" s="229">
        <v>5.0799999999999998E-2</v>
      </c>
      <c r="EZ57" s="229">
        <v>1.069</v>
      </c>
      <c r="FA57" s="227" t="s">
        <v>567</v>
      </c>
      <c r="FB57" s="161">
        <f t="shared" si="0"/>
        <v>34059300</v>
      </c>
    </row>
    <row r="58" spans="1:158" ht="17.25" hidden="1" thickBot="1" x14ac:dyDescent="0.3">
      <c r="A58" s="226">
        <v>46044</v>
      </c>
      <c r="B58" s="227" t="s">
        <v>615</v>
      </c>
      <c r="C58" s="227" t="s">
        <v>583</v>
      </c>
      <c r="D58" s="228">
        <v>150</v>
      </c>
      <c r="E58" s="231">
        <v>3722</v>
      </c>
      <c r="F58" s="231">
        <v>3667.8</v>
      </c>
      <c r="G58" s="228">
        <v>54.2</v>
      </c>
      <c r="H58" s="229">
        <v>1.4800000000000001E-2</v>
      </c>
      <c r="I58" s="231">
        <v>3724.1</v>
      </c>
      <c r="J58" s="231">
        <v>3656.7</v>
      </c>
      <c r="K58" s="228">
        <v>67.400000000000006</v>
      </c>
      <c r="L58" s="229">
        <v>1.84E-2</v>
      </c>
      <c r="M58" s="231">
        <v>3722</v>
      </c>
      <c r="N58" s="231">
        <v>3667.8</v>
      </c>
      <c r="O58" s="228">
        <v>54.2</v>
      </c>
      <c r="P58" s="229">
        <v>1.4800000000000001E-2</v>
      </c>
      <c r="Q58" s="231">
        <v>3719.6</v>
      </c>
      <c r="R58" s="231">
        <v>3666.9</v>
      </c>
      <c r="S58" s="228">
        <v>52.7</v>
      </c>
      <c r="T58" s="229">
        <v>1.44E-2</v>
      </c>
      <c r="U58" s="231">
        <v>3731</v>
      </c>
      <c r="V58" s="231">
        <v>3675.8</v>
      </c>
      <c r="W58" s="228">
        <v>55.2</v>
      </c>
      <c r="X58" s="229">
        <v>1.4999999999999999E-2</v>
      </c>
      <c r="Y58" s="228">
        <v>-2.1</v>
      </c>
      <c r="Z58" s="228">
        <v>11.1</v>
      </c>
      <c r="AA58" s="228">
        <v>-13.2</v>
      </c>
      <c r="AB58" s="229">
        <v>-5.9999999999999995E-4</v>
      </c>
      <c r="AC58" s="228">
        <v>-2.1</v>
      </c>
      <c r="AD58" s="228">
        <v>11.1</v>
      </c>
      <c r="AE58" s="228">
        <v>-13.2</v>
      </c>
      <c r="AF58" s="229">
        <v>-5.9999999999999995E-4</v>
      </c>
      <c r="AG58" s="228">
        <v>-4.5</v>
      </c>
      <c r="AH58" s="228">
        <v>10.199999999999999</v>
      </c>
      <c r="AI58" s="228">
        <v>-14.7</v>
      </c>
      <c r="AJ58" s="229">
        <v>-1.1999999999999999E-3</v>
      </c>
      <c r="AK58" s="228">
        <v>6.9</v>
      </c>
      <c r="AL58" s="228">
        <v>19.100000000000001</v>
      </c>
      <c r="AM58" s="228">
        <v>-12.2</v>
      </c>
      <c r="AN58" s="229">
        <v>1.9E-3</v>
      </c>
      <c r="AO58" s="231">
        <v>3683.43</v>
      </c>
      <c r="AP58" s="231">
        <v>3681.91</v>
      </c>
      <c r="AQ58" s="228">
        <v>0</v>
      </c>
      <c r="AR58" s="230">
        <v>3840450</v>
      </c>
      <c r="AS58" s="230">
        <v>4853700</v>
      </c>
      <c r="AT58" s="230">
        <v>-1013250</v>
      </c>
      <c r="AU58" s="229">
        <v>-0.20880000000000001</v>
      </c>
      <c r="AV58" s="230">
        <v>1904100</v>
      </c>
      <c r="AW58" s="230">
        <v>2406150</v>
      </c>
      <c r="AX58" s="230">
        <v>-502050</v>
      </c>
      <c r="AY58" s="229">
        <v>-0.2087</v>
      </c>
      <c r="AZ58" s="230">
        <v>1924800</v>
      </c>
      <c r="BA58" s="230">
        <v>2421450</v>
      </c>
      <c r="BB58" s="230">
        <v>-496650</v>
      </c>
      <c r="BC58" s="229">
        <v>-0.2051</v>
      </c>
      <c r="BD58" s="230">
        <v>11550</v>
      </c>
      <c r="BE58" s="230">
        <v>26100</v>
      </c>
      <c r="BF58" s="230">
        <v>-14550</v>
      </c>
      <c r="BG58" s="229">
        <v>-0.5575</v>
      </c>
      <c r="BH58" s="230">
        <v>3688050</v>
      </c>
      <c r="BI58" s="230">
        <v>4684200</v>
      </c>
      <c r="BJ58" s="230">
        <v>-996150</v>
      </c>
      <c r="BK58" s="229">
        <v>-0.2127</v>
      </c>
      <c r="BL58" s="230">
        <v>1339800</v>
      </c>
      <c r="BM58" s="230">
        <v>2115600</v>
      </c>
      <c r="BN58" s="230">
        <v>-775800</v>
      </c>
      <c r="BO58" s="229">
        <v>-0.36670000000000003</v>
      </c>
      <c r="BP58" s="230">
        <v>8868300</v>
      </c>
      <c r="BQ58" s="230">
        <v>11653500</v>
      </c>
      <c r="BR58" s="230">
        <v>-2785200</v>
      </c>
      <c r="BS58" s="229">
        <v>-0.23899999999999999</v>
      </c>
      <c r="BT58" s="230">
        <v>414232</v>
      </c>
      <c r="BU58" s="230">
        <v>493861</v>
      </c>
      <c r="BV58" s="230">
        <v>-79629</v>
      </c>
      <c r="BW58" s="229">
        <v>-0.16120000000000001</v>
      </c>
      <c r="BX58" s="230">
        <v>5261250</v>
      </c>
      <c r="BY58" s="230">
        <v>5389650</v>
      </c>
      <c r="BZ58" s="230">
        <v>-128400</v>
      </c>
      <c r="CA58" s="229">
        <v>-2.3800000000000002E-2</v>
      </c>
      <c r="CB58" s="230">
        <v>1711350</v>
      </c>
      <c r="CC58" s="230">
        <v>3226650</v>
      </c>
      <c r="CD58" s="230">
        <v>-1515300</v>
      </c>
      <c r="CE58" s="229">
        <v>-0.46960000000000002</v>
      </c>
      <c r="CF58" s="230">
        <v>3500550</v>
      </c>
      <c r="CG58" s="230">
        <v>2120100</v>
      </c>
      <c r="CH58" s="230">
        <v>1380450</v>
      </c>
      <c r="CI58" s="229">
        <v>0.65110000000000001</v>
      </c>
      <c r="CJ58" s="230">
        <v>49350</v>
      </c>
      <c r="CK58" s="230">
        <v>42900</v>
      </c>
      <c r="CL58" s="230">
        <v>6450</v>
      </c>
      <c r="CM58" s="229">
        <v>0.15029999999999999</v>
      </c>
      <c r="CN58" s="230">
        <v>3534000</v>
      </c>
      <c r="CO58" s="230">
        <v>3886650</v>
      </c>
      <c r="CP58" s="230">
        <v>-352650</v>
      </c>
      <c r="CQ58" s="229">
        <v>-9.0700000000000003E-2</v>
      </c>
      <c r="CR58" s="230">
        <v>1384350</v>
      </c>
      <c r="CS58" s="230">
        <v>1509000</v>
      </c>
      <c r="CT58" s="230">
        <v>-124650</v>
      </c>
      <c r="CU58" s="229">
        <v>-8.2600000000000007E-2</v>
      </c>
      <c r="CV58" s="230">
        <v>10179600</v>
      </c>
      <c r="CW58" s="230">
        <v>10785300</v>
      </c>
      <c r="CX58" s="230">
        <v>-605700</v>
      </c>
      <c r="CY58" s="229">
        <v>-5.62E-2</v>
      </c>
      <c r="CZ58" s="228">
        <v>27.05</v>
      </c>
      <c r="DA58" s="228">
        <v>26.87</v>
      </c>
      <c r="DB58" s="228">
        <v>0.18</v>
      </c>
      <c r="DC58" s="228">
        <v>0.18</v>
      </c>
      <c r="DD58" s="228">
        <v>30.52</v>
      </c>
      <c r="DE58" s="228">
        <v>30.49</v>
      </c>
      <c r="DF58" s="228">
        <v>-3.47</v>
      </c>
      <c r="DG58" s="228">
        <v>0.03</v>
      </c>
      <c r="DH58" s="228">
        <v>27</v>
      </c>
      <c r="DI58" s="228">
        <v>27.91</v>
      </c>
      <c r="DJ58" s="228">
        <v>-0.91</v>
      </c>
      <c r="DK58" s="228">
        <v>-0.91</v>
      </c>
      <c r="DL58" s="228">
        <v>27.14</v>
      </c>
      <c r="DM58" s="228">
        <v>24.59</v>
      </c>
      <c r="DN58" s="228">
        <v>2.5499999999999998</v>
      </c>
      <c r="DO58" s="228">
        <v>2.5499999999999998</v>
      </c>
      <c r="DP58" s="228">
        <v>0.39</v>
      </c>
      <c r="DQ58" s="228">
        <v>0.39</v>
      </c>
      <c r="DR58" s="228">
        <v>0</v>
      </c>
      <c r="DS58" s="229">
        <v>0</v>
      </c>
      <c r="DT58" s="231">
        <v>4000</v>
      </c>
      <c r="DU58" s="231">
        <v>3800</v>
      </c>
      <c r="DV58" s="228">
        <v>0.36</v>
      </c>
      <c r="DW58" s="228">
        <v>0.45</v>
      </c>
      <c r="DX58" s="228">
        <v>-0.09</v>
      </c>
      <c r="DY58" s="229">
        <v>-0.2</v>
      </c>
      <c r="DZ58" s="229">
        <v>0.67469999999999997</v>
      </c>
      <c r="EA58" s="230">
        <v>2163000</v>
      </c>
      <c r="EB58" s="229">
        <v>-5.9999999999999995E-4</v>
      </c>
      <c r="EC58" s="229">
        <v>0.67469999999999997</v>
      </c>
      <c r="ED58" s="228">
        <v>-1.52</v>
      </c>
      <c r="EE58" s="229">
        <v>-4.0000000000000002E-4</v>
      </c>
      <c r="EF58" s="230">
        <v>266200</v>
      </c>
      <c r="EG58" s="230">
        <v>257520</v>
      </c>
      <c r="EH58" s="229">
        <v>3.3700000000000001E-2</v>
      </c>
      <c r="EI58" s="229">
        <v>0.64259999999999995</v>
      </c>
      <c r="EJ58" s="231">
        <v>142401.85</v>
      </c>
      <c r="EK58" s="231">
        <v>48982.46</v>
      </c>
      <c r="EL58" s="231">
        <v>141433.59</v>
      </c>
      <c r="EM58" s="231">
        <v>12538</v>
      </c>
      <c r="EN58" s="231">
        <v>332817.90000000002</v>
      </c>
      <c r="EO58" s="231">
        <v>435869.91</v>
      </c>
      <c r="EP58" s="231">
        <v>-103052.01</v>
      </c>
      <c r="EQ58" s="229">
        <v>-0.2364</v>
      </c>
      <c r="ER58" s="231">
        <v>142804</v>
      </c>
      <c r="ES58" s="231">
        <v>50774</v>
      </c>
      <c r="ET58" s="231">
        <v>195744</v>
      </c>
      <c r="EU58" s="231">
        <v>18750186</v>
      </c>
      <c r="EV58" s="231">
        <v>389323</v>
      </c>
      <c r="EW58" s="231">
        <v>409588</v>
      </c>
      <c r="EX58" s="231">
        <v>-20265</v>
      </c>
      <c r="EY58" s="229">
        <v>-4.9500000000000002E-2</v>
      </c>
      <c r="EZ58" s="229">
        <v>0.54290000000000005</v>
      </c>
      <c r="FA58" s="227" t="s">
        <v>556</v>
      </c>
      <c r="FB58" s="161">
        <f t="shared" si="0"/>
        <v>3549900</v>
      </c>
    </row>
    <row r="59" spans="1:158" ht="17.25" hidden="1" thickBot="1" x14ac:dyDescent="0.3">
      <c r="A59" s="226">
        <v>46044</v>
      </c>
      <c r="B59" s="227" t="s">
        <v>170</v>
      </c>
      <c r="C59" s="227" t="s">
        <v>208</v>
      </c>
      <c r="D59" s="228">
        <v>625</v>
      </c>
      <c r="E59" s="231">
        <v>1221.3</v>
      </c>
      <c r="F59" s="231">
        <v>1160.2</v>
      </c>
      <c r="G59" s="228">
        <v>61.1</v>
      </c>
      <c r="H59" s="229">
        <v>5.2699999999999997E-2</v>
      </c>
      <c r="I59" s="231">
        <v>1217.5</v>
      </c>
      <c r="J59" s="231">
        <v>1157.2</v>
      </c>
      <c r="K59" s="228">
        <v>60.3</v>
      </c>
      <c r="L59" s="229">
        <v>5.21E-2</v>
      </c>
      <c r="M59" s="231">
        <v>1221.3</v>
      </c>
      <c r="N59" s="231">
        <v>1160.2</v>
      </c>
      <c r="O59" s="228">
        <v>61.1</v>
      </c>
      <c r="P59" s="229">
        <v>5.2699999999999997E-2</v>
      </c>
      <c r="Q59" s="231">
        <v>1225.9000000000001</v>
      </c>
      <c r="R59" s="231">
        <v>1164.4000000000001</v>
      </c>
      <c r="S59" s="228">
        <v>61.5</v>
      </c>
      <c r="T59" s="229">
        <v>5.28E-2</v>
      </c>
      <c r="U59" s="231">
        <v>1233.2</v>
      </c>
      <c r="V59" s="231">
        <v>1170.0999999999999</v>
      </c>
      <c r="W59" s="228">
        <v>63.1</v>
      </c>
      <c r="X59" s="229">
        <v>5.3900000000000003E-2</v>
      </c>
      <c r="Y59" s="228">
        <v>3.8</v>
      </c>
      <c r="Z59" s="228">
        <v>3</v>
      </c>
      <c r="AA59" s="228">
        <v>0.8</v>
      </c>
      <c r="AB59" s="229">
        <v>3.0999999999999999E-3</v>
      </c>
      <c r="AC59" s="228">
        <v>3.8</v>
      </c>
      <c r="AD59" s="228">
        <v>3</v>
      </c>
      <c r="AE59" s="228">
        <v>0.8</v>
      </c>
      <c r="AF59" s="229">
        <v>3.0999999999999999E-3</v>
      </c>
      <c r="AG59" s="228">
        <v>8.4</v>
      </c>
      <c r="AH59" s="228">
        <v>7.2</v>
      </c>
      <c r="AI59" s="228">
        <v>1.2</v>
      </c>
      <c r="AJ59" s="229">
        <v>6.8999999999999999E-3</v>
      </c>
      <c r="AK59" s="228">
        <v>15.7</v>
      </c>
      <c r="AL59" s="228">
        <v>12.9</v>
      </c>
      <c r="AM59" s="228">
        <v>2.8</v>
      </c>
      <c r="AN59" s="229">
        <v>1.29E-2</v>
      </c>
      <c r="AO59" s="231">
        <v>1218.07</v>
      </c>
      <c r="AP59" s="231">
        <v>1224.1099999999999</v>
      </c>
      <c r="AQ59" s="228">
        <v>0</v>
      </c>
      <c r="AR59" s="230">
        <v>17900625</v>
      </c>
      <c r="AS59" s="230">
        <v>10030000</v>
      </c>
      <c r="AT59" s="230">
        <v>7870625</v>
      </c>
      <c r="AU59" s="229">
        <v>0.78469999999999995</v>
      </c>
      <c r="AV59" s="230">
        <v>9942500</v>
      </c>
      <c r="AW59" s="230">
        <v>6156875</v>
      </c>
      <c r="AX59" s="230">
        <v>3785625</v>
      </c>
      <c r="AY59" s="229">
        <v>0.6149</v>
      </c>
      <c r="AZ59" s="230">
        <v>7899375</v>
      </c>
      <c r="BA59" s="230">
        <v>3849375</v>
      </c>
      <c r="BB59" s="230">
        <v>4050000</v>
      </c>
      <c r="BC59" s="229">
        <v>1.0521</v>
      </c>
      <c r="BD59" s="230">
        <v>58750</v>
      </c>
      <c r="BE59" s="230">
        <v>23750</v>
      </c>
      <c r="BF59" s="230">
        <v>35000</v>
      </c>
      <c r="BG59" s="229">
        <v>1.4737</v>
      </c>
      <c r="BH59" s="230">
        <v>71847500</v>
      </c>
      <c r="BI59" s="230">
        <v>33863750</v>
      </c>
      <c r="BJ59" s="230">
        <v>37983750</v>
      </c>
      <c r="BK59" s="229">
        <v>1.1216999999999999</v>
      </c>
      <c r="BL59" s="230">
        <v>35158125</v>
      </c>
      <c r="BM59" s="230">
        <v>24566250</v>
      </c>
      <c r="BN59" s="230">
        <v>10591875</v>
      </c>
      <c r="BO59" s="229">
        <v>0.43120000000000003</v>
      </c>
      <c r="BP59" s="230">
        <v>124906250</v>
      </c>
      <c r="BQ59" s="230">
        <v>68460000</v>
      </c>
      <c r="BR59" s="230">
        <v>56446250</v>
      </c>
      <c r="BS59" s="229">
        <v>0.82450000000000001</v>
      </c>
      <c r="BT59" s="230">
        <v>7212357</v>
      </c>
      <c r="BU59" s="230">
        <v>2710120</v>
      </c>
      <c r="BV59" s="230">
        <v>4502237</v>
      </c>
      <c r="BW59" s="229">
        <v>1.6613</v>
      </c>
      <c r="BX59" s="230">
        <v>15102500</v>
      </c>
      <c r="BY59" s="230">
        <v>14961875</v>
      </c>
      <c r="BZ59" s="230">
        <v>140625</v>
      </c>
      <c r="CA59" s="229">
        <v>9.4000000000000004E-3</v>
      </c>
      <c r="CB59" s="230">
        <v>7557500</v>
      </c>
      <c r="CC59" s="230">
        <v>11795000</v>
      </c>
      <c r="CD59" s="230">
        <v>-4237500</v>
      </c>
      <c r="CE59" s="229">
        <v>-0.35930000000000001</v>
      </c>
      <c r="CF59" s="230">
        <v>7410625</v>
      </c>
      <c r="CG59" s="230">
        <v>3023750</v>
      </c>
      <c r="CH59" s="230">
        <v>4386875</v>
      </c>
      <c r="CI59" s="229">
        <v>1.4508000000000001</v>
      </c>
      <c r="CJ59" s="230">
        <v>134375</v>
      </c>
      <c r="CK59" s="230">
        <v>143125</v>
      </c>
      <c r="CL59" s="230">
        <v>-8750</v>
      </c>
      <c r="CM59" s="229">
        <v>-6.1100000000000002E-2</v>
      </c>
      <c r="CN59" s="230">
        <v>11327500</v>
      </c>
      <c r="CO59" s="230">
        <v>11758125</v>
      </c>
      <c r="CP59" s="230">
        <v>-430625</v>
      </c>
      <c r="CQ59" s="229">
        <v>-3.6600000000000001E-2</v>
      </c>
      <c r="CR59" s="230">
        <v>6790000</v>
      </c>
      <c r="CS59" s="230">
        <v>7261875</v>
      </c>
      <c r="CT59" s="230">
        <v>-471875</v>
      </c>
      <c r="CU59" s="229">
        <v>-6.5000000000000002E-2</v>
      </c>
      <c r="CV59" s="230">
        <v>33220000</v>
      </c>
      <c r="CW59" s="230">
        <v>33981875</v>
      </c>
      <c r="CX59" s="230">
        <v>-761875</v>
      </c>
      <c r="CY59" s="229">
        <v>-2.24E-2</v>
      </c>
      <c r="CZ59" s="228">
        <v>24.39</v>
      </c>
      <c r="DA59" s="228">
        <v>41.11</v>
      </c>
      <c r="DB59" s="228">
        <v>-16.72</v>
      </c>
      <c r="DC59" s="228">
        <v>-16.72</v>
      </c>
      <c r="DD59" s="228">
        <v>24.54</v>
      </c>
      <c r="DE59" s="228">
        <v>23.59</v>
      </c>
      <c r="DF59" s="228">
        <v>-0.15</v>
      </c>
      <c r="DG59" s="228">
        <v>0.95</v>
      </c>
      <c r="DH59" s="228">
        <v>23.82</v>
      </c>
      <c r="DI59" s="228">
        <v>39.18</v>
      </c>
      <c r="DJ59" s="228">
        <v>-15.36</v>
      </c>
      <c r="DK59" s="228">
        <v>-15.36</v>
      </c>
      <c r="DL59" s="228">
        <v>25.28</v>
      </c>
      <c r="DM59" s="228">
        <v>43.76</v>
      </c>
      <c r="DN59" s="228">
        <v>-18.48</v>
      </c>
      <c r="DO59" s="228">
        <v>-18.48</v>
      </c>
      <c r="DP59" s="228">
        <v>0.6</v>
      </c>
      <c r="DQ59" s="228">
        <v>0.62</v>
      </c>
      <c r="DR59" s="228">
        <v>-0.02</v>
      </c>
      <c r="DS59" s="229">
        <v>-3.2300000000000002E-2</v>
      </c>
      <c r="DT59" s="231">
        <v>1260</v>
      </c>
      <c r="DU59" s="231">
        <v>1100</v>
      </c>
      <c r="DV59" s="228">
        <v>0.49</v>
      </c>
      <c r="DW59" s="228">
        <v>0.73</v>
      </c>
      <c r="DX59" s="228">
        <v>-0.24</v>
      </c>
      <c r="DY59" s="229">
        <v>-0.32879999999999998</v>
      </c>
      <c r="DZ59" s="229">
        <v>0.49959999999999999</v>
      </c>
      <c r="EA59" s="230">
        <v>3166875</v>
      </c>
      <c r="EB59" s="229">
        <v>3.8E-3</v>
      </c>
      <c r="EC59" s="229">
        <v>0.49959999999999999</v>
      </c>
      <c r="ED59" s="228">
        <v>6.04</v>
      </c>
      <c r="EE59" s="229">
        <v>5.0000000000000001E-3</v>
      </c>
      <c r="EF59" s="230">
        <v>3427083</v>
      </c>
      <c r="EG59" s="230">
        <v>1184012</v>
      </c>
      <c r="EH59" s="229">
        <v>1.8945000000000001</v>
      </c>
      <c r="EI59" s="229">
        <v>0.47520000000000001</v>
      </c>
      <c r="EJ59" s="231">
        <v>894110.53</v>
      </c>
      <c r="EK59" s="231">
        <v>415994.1</v>
      </c>
      <c r="EL59" s="231">
        <v>218524.17</v>
      </c>
      <c r="EM59" s="231">
        <v>7767</v>
      </c>
      <c r="EN59" s="231">
        <v>1528628.8</v>
      </c>
      <c r="EO59" s="231">
        <v>812985.43</v>
      </c>
      <c r="EP59" s="231">
        <v>715643.37</v>
      </c>
      <c r="EQ59" s="229">
        <v>0.88029999999999997</v>
      </c>
      <c r="ER59" s="231">
        <v>143057</v>
      </c>
      <c r="ES59" s="231">
        <v>79318</v>
      </c>
      <c r="ET59" s="231">
        <v>184804</v>
      </c>
      <c r="EU59" s="231">
        <v>91531454</v>
      </c>
      <c r="EV59" s="231">
        <v>407178</v>
      </c>
      <c r="EW59" s="231">
        <v>403948</v>
      </c>
      <c r="EX59" s="231">
        <v>3230</v>
      </c>
      <c r="EY59" s="229">
        <v>8.0000000000000002E-3</v>
      </c>
      <c r="EZ59" s="229">
        <v>0.3629</v>
      </c>
      <c r="FA59" s="227" t="s">
        <v>555</v>
      </c>
      <c r="FB59" s="161">
        <f t="shared" si="0"/>
        <v>7545000</v>
      </c>
    </row>
    <row r="60" spans="1:158" ht="17.25" hidden="1" thickBot="1" x14ac:dyDescent="0.3">
      <c r="A60" s="226">
        <v>46044</v>
      </c>
      <c r="B60" s="227" t="s">
        <v>162</v>
      </c>
      <c r="C60" s="227" t="s">
        <v>209</v>
      </c>
      <c r="D60" s="228">
        <v>100</v>
      </c>
      <c r="E60" s="231">
        <v>7040</v>
      </c>
      <c r="F60" s="231">
        <v>7137</v>
      </c>
      <c r="G60" s="228">
        <v>-97</v>
      </c>
      <c r="H60" s="229">
        <v>-1.3599999999999999E-2</v>
      </c>
      <c r="I60" s="231">
        <v>7049</v>
      </c>
      <c r="J60" s="231">
        <v>7140</v>
      </c>
      <c r="K60" s="228">
        <v>-91</v>
      </c>
      <c r="L60" s="229">
        <v>-1.2699999999999999E-2</v>
      </c>
      <c r="M60" s="231">
        <v>7040</v>
      </c>
      <c r="N60" s="231">
        <v>7137</v>
      </c>
      <c r="O60" s="228">
        <v>-97</v>
      </c>
      <c r="P60" s="229">
        <v>-1.3599999999999999E-2</v>
      </c>
      <c r="Q60" s="231">
        <v>7083</v>
      </c>
      <c r="R60" s="231">
        <v>7177.5</v>
      </c>
      <c r="S60" s="228">
        <v>-94.5</v>
      </c>
      <c r="T60" s="229">
        <v>-1.32E-2</v>
      </c>
      <c r="U60" s="231">
        <v>7132</v>
      </c>
      <c r="V60" s="231">
        <v>7225</v>
      </c>
      <c r="W60" s="228">
        <v>-93</v>
      </c>
      <c r="X60" s="229">
        <v>-1.29E-2</v>
      </c>
      <c r="Y60" s="228">
        <v>-9</v>
      </c>
      <c r="Z60" s="228">
        <v>-3</v>
      </c>
      <c r="AA60" s="228">
        <v>-6</v>
      </c>
      <c r="AB60" s="229">
        <v>-1.2999999999999999E-3</v>
      </c>
      <c r="AC60" s="228">
        <v>-9</v>
      </c>
      <c r="AD60" s="228">
        <v>-3</v>
      </c>
      <c r="AE60" s="228">
        <v>-6</v>
      </c>
      <c r="AF60" s="229">
        <v>-1.2999999999999999E-3</v>
      </c>
      <c r="AG60" s="228">
        <v>34</v>
      </c>
      <c r="AH60" s="228">
        <v>37.5</v>
      </c>
      <c r="AI60" s="228">
        <v>-3.5</v>
      </c>
      <c r="AJ60" s="229">
        <v>4.7999999999999996E-3</v>
      </c>
      <c r="AK60" s="228">
        <v>83</v>
      </c>
      <c r="AL60" s="228">
        <v>85</v>
      </c>
      <c r="AM60" s="228">
        <v>-2</v>
      </c>
      <c r="AN60" s="229">
        <v>1.18E-2</v>
      </c>
      <c r="AO60" s="231">
        <v>7135.33</v>
      </c>
      <c r="AP60" s="231">
        <v>7173.98</v>
      </c>
      <c r="AQ60" s="228">
        <v>0</v>
      </c>
      <c r="AR60" s="230">
        <v>2640600</v>
      </c>
      <c r="AS60" s="230">
        <v>1846000</v>
      </c>
      <c r="AT60" s="230">
        <v>794600</v>
      </c>
      <c r="AU60" s="229">
        <v>0.4304</v>
      </c>
      <c r="AV60" s="230">
        <v>1359900</v>
      </c>
      <c r="AW60" s="230">
        <v>984700</v>
      </c>
      <c r="AX60" s="230">
        <v>375200</v>
      </c>
      <c r="AY60" s="229">
        <v>0.38100000000000001</v>
      </c>
      <c r="AZ60" s="230">
        <v>1260000</v>
      </c>
      <c r="BA60" s="230">
        <v>850700</v>
      </c>
      <c r="BB60" s="230">
        <v>409300</v>
      </c>
      <c r="BC60" s="229">
        <v>0.48110000000000003</v>
      </c>
      <c r="BD60" s="230">
        <v>20700</v>
      </c>
      <c r="BE60" s="230">
        <v>10600</v>
      </c>
      <c r="BF60" s="230">
        <v>10100</v>
      </c>
      <c r="BG60" s="229">
        <v>0.95279999999999998</v>
      </c>
      <c r="BH60" s="230">
        <v>5010900</v>
      </c>
      <c r="BI60" s="230">
        <v>4840600</v>
      </c>
      <c r="BJ60" s="230">
        <v>170300</v>
      </c>
      <c r="BK60" s="229">
        <v>3.5200000000000002E-2</v>
      </c>
      <c r="BL60" s="230">
        <v>2167300</v>
      </c>
      <c r="BM60" s="230">
        <v>2478400</v>
      </c>
      <c r="BN60" s="230">
        <v>-311100</v>
      </c>
      <c r="BO60" s="229">
        <v>-0.1255</v>
      </c>
      <c r="BP60" s="230">
        <v>9818800</v>
      </c>
      <c r="BQ60" s="230">
        <v>9165000</v>
      </c>
      <c r="BR60" s="230">
        <v>653800</v>
      </c>
      <c r="BS60" s="229">
        <v>7.1300000000000002E-2</v>
      </c>
      <c r="BT60" s="230">
        <v>372678</v>
      </c>
      <c r="BU60" s="230">
        <v>490200</v>
      </c>
      <c r="BV60" s="230">
        <v>-117522</v>
      </c>
      <c r="BW60" s="229">
        <v>-0.2397</v>
      </c>
      <c r="BX60" s="230">
        <v>3046900</v>
      </c>
      <c r="BY60" s="230">
        <v>3030500</v>
      </c>
      <c r="BZ60" s="230">
        <v>16400</v>
      </c>
      <c r="CA60" s="229">
        <v>5.4000000000000003E-3</v>
      </c>
      <c r="CB60" s="230">
        <v>1433000</v>
      </c>
      <c r="CC60" s="230">
        <v>2249100</v>
      </c>
      <c r="CD60" s="230">
        <v>-816100</v>
      </c>
      <c r="CE60" s="229">
        <v>-0.3629</v>
      </c>
      <c r="CF60" s="230">
        <v>1564100</v>
      </c>
      <c r="CG60" s="230">
        <v>740600</v>
      </c>
      <c r="CH60" s="230">
        <v>823500</v>
      </c>
      <c r="CI60" s="229">
        <v>1.1119000000000001</v>
      </c>
      <c r="CJ60" s="230">
        <v>49800</v>
      </c>
      <c r="CK60" s="230">
        <v>40800</v>
      </c>
      <c r="CL60" s="230">
        <v>9000</v>
      </c>
      <c r="CM60" s="229">
        <v>0.22059999999999999</v>
      </c>
      <c r="CN60" s="230">
        <v>1931100</v>
      </c>
      <c r="CO60" s="230">
        <v>1848300</v>
      </c>
      <c r="CP60" s="230">
        <v>82800</v>
      </c>
      <c r="CQ60" s="229">
        <v>4.48E-2</v>
      </c>
      <c r="CR60" s="230">
        <v>947600</v>
      </c>
      <c r="CS60" s="230">
        <v>944100</v>
      </c>
      <c r="CT60" s="230">
        <v>3500</v>
      </c>
      <c r="CU60" s="229">
        <v>3.7000000000000002E-3</v>
      </c>
      <c r="CV60" s="230">
        <v>5925600</v>
      </c>
      <c r="CW60" s="230">
        <v>5822900</v>
      </c>
      <c r="CX60" s="230">
        <v>102700</v>
      </c>
      <c r="CY60" s="229">
        <v>1.7600000000000001E-2</v>
      </c>
      <c r="CZ60" s="228">
        <v>26.75</v>
      </c>
      <c r="DA60" s="228">
        <v>24.39</v>
      </c>
      <c r="DB60" s="228">
        <v>2.36</v>
      </c>
      <c r="DC60" s="228">
        <v>2.36</v>
      </c>
      <c r="DD60" s="228">
        <v>26.29</v>
      </c>
      <c r="DE60" s="228">
        <v>26.3</v>
      </c>
      <c r="DF60" s="228">
        <v>0.46</v>
      </c>
      <c r="DG60" s="228">
        <v>-0.01</v>
      </c>
      <c r="DH60" s="228">
        <v>27.09</v>
      </c>
      <c r="DI60" s="228">
        <v>25.62</v>
      </c>
      <c r="DJ60" s="228">
        <v>1.47</v>
      </c>
      <c r="DK60" s="228">
        <v>1.47</v>
      </c>
      <c r="DL60" s="228">
        <v>26.24</v>
      </c>
      <c r="DM60" s="228">
        <v>21.99</v>
      </c>
      <c r="DN60" s="228">
        <v>4.25</v>
      </c>
      <c r="DO60" s="228">
        <v>4.25</v>
      </c>
      <c r="DP60" s="228">
        <v>0.49</v>
      </c>
      <c r="DQ60" s="228">
        <v>0.51</v>
      </c>
      <c r="DR60" s="228">
        <v>-0.02</v>
      </c>
      <c r="DS60" s="229">
        <v>-3.9199999999999999E-2</v>
      </c>
      <c r="DT60" s="231">
        <v>7800</v>
      </c>
      <c r="DU60" s="231">
        <v>7000</v>
      </c>
      <c r="DV60" s="228">
        <v>0.43</v>
      </c>
      <c r="DW60" s="228">
        <v>0.51</v>
      </c>
      <c r="DX60" s="228">
        <v>-0.08</v>
      </c>
      <c r="DY60" s="229">
        <v>-0.15690000000000001</v>
      </c>
      <c r="DZ60" s="229">
        <v>0.52969999999999995</v>
      </c>
      <c r="EA60" s="230">
        <v>781400</v>
      </c>
      <c r="EB60" s="229">
        <v>6.1000000000000004E-3</v>
      </c>
      <c r="EC60" s="229">
        <v>0.52969999999999995</v>
      </c>
      <c r="ED60" s="228">
        <v>38.65</v>
      </c>
      <c r="EE60" s="229">
        <v>5.4000000000000003E-3</v>
      </c>
      <c r="EF60" s="230">
        <v>205195</v>
      </c>
      <c r="EG60" s="230">
        <v>281658</v>
      </c>
      <c r="EH60" s="229">
        <v>-0.27150000000000002</v>
      </c>
      <c r="EI60" s="229">
        <v>0.55059999999999998</v>
      </c>
      <c r="EJ60" s="231">
        <v>373093.15</v>
      </c>
      <c r="EK60" s="231">
        <v>154540.69</v>
      </c>
      <c r="EL60" s="231">
        <v>188917.68</v>
      </c>
      <c r="EM60" s="231">
        <v>8325</v>
      </c>
      <c r="EN60" s="231">
        <v>716551.52</v>
      </c>
      <c r="EO60" s="231">
        <v>668830.66</v>
      </c>
      <c r="EP60" s="231">
        <v>47720.86</v>
      </c>
      <c r="EQ60" s="229">
        <v>7.1300000000000002E-2</v>
      </c>
      <c r="ER60" s="231">
        <v>147026</v>
      </c>
      <c r="ES60" s="231">
        <v>67469</v>
      </c>
      <c r="ET60" s="231">
        <v>215220</v>
      </c>
      <c r="EU60" s="231">
        <v>19199175</v>
      </c>
      <c r="EV60" s="231">
        <v>429715</v>
      </c>
      <c r="EW60" s="231">
        <v>424962</v>
      </c>
      <c r="EX60" s="231">
        <v>4753</v>
      </c>
      <c r="EY60" s="229">
        <v>1.12E-2</v>
      </c>
      <c r="EZ60" s="229">
        <v>0.30859999999999999</v>
      </c>
      <c r="FA60" s="227" t="s">
        <v>567</v>
      </c>
      <c r="FB60" s="161">
        <f t="shared" si="0"/>
        <v>1613900</v>
      </c>
    </row>
    <row r="61" spans="1:158" ht="17.25" hidden="1" thickBot="1" x14ac:dyDescent="0.3">
      <c r="A61" s="226">
        <v>46044</v>
      </c>
      <c r="B61" s="227" t="s">
        <v>615</v>
      </c>
      <c r="C61" s="227" t="s">
        <v>667</v>
      </c>
      <c r="D61" s="228">
        <v>2425</v>
      </c>
      <c r="E61" s="228">
        <v>276.39999999999998</v>
      </c>
      <c r="F61" s="228">
        <v>283.85000000000002</v>
      </c>
      <c r="G61" s="228">
        <v>-7.45</v>
      </c>
      <c r="H61" s="229">
        <v>-2.6200000000000001E-2</v>
      </c>
      <c r="I61" s="228">
        <v>275.89999999999998</v>
      </c>
      <c r="J61" s="228">
        <v>283.5</v>
      </c>
      <c r="K61" s="228">
        <v>-7.6</v>
      </c>
      <c r="L61" s="229">
        <v>-2.6800000000000001E-2</v>
      </c>
      <c r="M61" s="228">
        <v>276.39999999999998</v>
      </c>
      <c r="N61" s="228">
        <v>283.85000000000002</v>
      </c>
      <c r="O61" s="228">
        <v>-7.45</v>
      </c>
      <c r="P61" s="229">
        <v>-2.6200000000000001E-2</v>
      </c>
      <c r="Q61" s="228">
        <v>277.85000000000002</v>
      </c>
      <c r="R61" s="228">
        <v>285.45</v>
      </c>
      <c r="S61" s="228">
        <v>-7.6</v>
      </c>
      <c r="T61" s="229">
        <v>-2.6599999999999999E-2</v>
      </c>
      <c r="U61" s="228">
        <v>279.3</v>
      </c>
      <c r="V61" s="228">
        <v>286.10000000000002</v>
      </c>
      <c r="W61" s="228">
        <v>-6.8</v>
      </c>
      <c r="X61" s="229">
        <v>-2.3800000000000002E-2</v>
      </c>
      <c r="Y61" s="228">
        <v>0.5</v>
      </c>
      <c r="Z61" s="228">
        <v>0.35</v>
      </c>
      <c r="AA61" s="228">
        <v>0.15</v>
      </c>
      <c r="AB61" s="229">
        <v>1.8E-3</v>
      </c>
      <c r="AC61" s="228">
        <v>0.5</v>
      </c>
      <c r="AD61" s="228">
        <v>0.35</v>
      </c>
      <c r="AE61" s="228">
        <v>0.15</v>
      </c>
      <c r="AF61" s="229">
        <v>1.8E-3</v>
      </c>
      <c r="AG61" s="228">
        <v>1.95</v>
      </c>
      <c r="AH61" s="228">
        <v>1.95</v>
      </c>
      <c r="AI61" s="228">
        <v>0</v>
      </c>
      <c r="AJ61" s="229">
        <v>7.1000000000000004E-3</v>
      </c>
      <c r="AK61" s="228">
        <v>3.4</v>
      </c>
      <c r="AL61" s="228">
        <v>2.6</v>
      </c>
      <c r="AM61" s="228">
        <v>0.8</v>
      </c>
      <c r="AN61" s="229">
        <v>1.23E-2</v>
      </c>
      <c r="AO61" s="228">
        <v>285.62</v>
      </c>
      <c r="AP61" s="228">
        <v>284.76</v>
      </c>
      <c r="AQ61" s="228">
        <v>0</v>
      </c>
      <c r="AR61" s="230">
        <v>355735375</v>
      </c>
      <c r="AS61" s="230">
        <v>291526225</v>
      </c>
      <c r="AT61" s="230">
        <v>64209150</v>
      </c>
      <c r="AU61" s="229">
        <v>0.2203</v>
      </c>
      <c r="AV61" s="230">
        <v>193578050</v>
      </c>
      <c r="AW61" s="230">
        <v>163588075</v>
      </c>
      <c r="AX61" s="230">
        <v>29989975</v>
      </c>
      <c r="AY61" s="229">
        <v>0.18329999999999999</v>
      </c>
      <c r="AZ61" s="230">
        <v>159448600</v>
      </c>
      <c r="BA61" s="230">
        <v>127011800</v>
      </c>
      <c r="BB61" s="230">
        <v>32436800</v>
      </c>
      <c r="BC61" s="229">
        <v>0.25540000000000002</v>
      </c>
      <c r="BD61" s="230">
        <v>2708725</v>
      </c>
      <c r="BE61" s="230">
        <v>926350</v>
      </c>
      <c r="BF61" s="230">
        <v>1782375</v>
      </c>
      <c r="BG61" s="229">
        <v>1.9240999999999999</v>
      </c>
      <c r="BH61" s="230">
        <v>647273725</v>
      </c>
      <c r="BI61" s="230">
        <v>454035175</v>
      </c>
      <c r="BJ61" s="230">
        <v>193238550</v>
      </c>
      <c r="BK61" s="229">
        <v>0.42559999999999998</v>
      </c>
      <c r="BL61" s="230">
        <v>526877325</v>
      </c>
      <c r="BM61" s="230">
        <v>281520675</v>
      </c>
      <c r="BN61" s="230">
        <v>245356650</v>
      </c>
      <c r="BO61" s="229">
        <v>0.87150000000000005</v>
      </c>
      <c r="BP61" s="230">
        <v>1529886425</v>
      </c>
      <c r="BQ61" s="230">
        <v>1027082075</v>
      </c>
      <c r="BR61" s="230">
        <v>502804350</v>
      </c>
      <c r="BS61" s="229">
        <v>0.48949999999999999</v>
      </c>
      <c r="BT61" s="230">
        <v>162774847</v>
      </c>
      <c r="BU61" s="230">
        <v>75902744</v>
      </c>
      <c r="BV61" s="230">
        <v>86872103</v>
      </c>
      <c r="BW61" s="229">
        <v>1.1445000000000001</v>
      </c>
      <c r="BX61" s="230">
        <v>344599775</v>
      </c>
      <c r="BY61" s="230">
        <v>332278350</v>
      </c>
      <c r="BZ61" s="230">
        <v>12321425</v>
      </c>
      <c r="CA61" s="229">
        <v>3.7100000000000001E-2</v>
      </c>
      <c r="CB61" s="230">
        <v>106675750</v>
      </c>
      <c r="CC61" s="230">
        <v>199611450</v>
      </c>
      <c r="CD61" s="230">
        <v>-92935700</v>
      </c>
      <c r="CE61" s="229">
        <v>-0.46560000000000001</v>
      </c>
      <c r="CF61" s="230">
        <v>233200125</v>
      </c>
      <c r="CG61" s="230">
        <v>129434375</v>
      </c>
      <c r="CH61" s="230">
        <v>103765750</v>
      </c>
      <c r="CI61" s="229">
        <v>0.80169999999999997</v>
      </c>
      <c r="CJ61" s="230">
        <v>4723900</v>
      </c>
      <c r="CK61" s="230">
        <v>3232525</v>
      </c>
      <c r="CL61" s="230">
        <v>1491375</v>
      </c>
      <c r="CM61" s="229">
        <v>0.46139999999999998</v>
      </c>
      <c r="CN61" s="230">
        <v>109629400</v>
      </c>
      <c r="CO61" s="230">
        <v>102495050</v>
      </c>
      <c r="CP61" s="230">
        <v>7134350</v>
      </c>
      <c r="CQ61" s="229">
        <v>6.9599999999999995E-2</v>
      </c>
      <c r="CR61" s="230">
        <v>60365525</v>
      </c>
      <c r="CS61" s="230">
        <v>78482700</v>
      </c>
      <c r="CT61" s="230">
        <v>-18117175</v>
      </c>
      <c r="CU61" s="229">
        <v>-0.23080000000000001</v>
      </c>
      <c r="CV61" s="230">
        <v>514594700</v>
      </c>
      <c r="CW61" s="230">
        <v>513256100</v>
      </c>
      <c r="CX61" s="230">
        <v>1338600</v>
      </c>
      <c r="CY61" s="229">
        <v>2.5999999999999999E-3</v>
      </c>
      <c r="CZ61" s="228">
        <v>41.59</v>
      </c>
      <c r="DA61" s="228">
        <v>73.98</v>
      </c>
      <c r="DB61" s="228">
        <v>-32.39</v>
      </c>
      <c r="DC61" s="228">
        <v>-32.39</v>
      </c>
      <c r="DD61" s="228">
        <v>43.44</v>
      </c>
      <c r="DE61" s="228">
        <v>43.4</v>
      </c>
      <c r="DF61" s="228">
        <v>-1.85</v>
      </c>
      <c r="DG61" s="228">
        <v>0.04</v>
      </c>
      <c r="DH61" s="228">
        <v>41.61</v>
      </c>
      <c r="DI61" s="228">
        <v>71.88</v>
      </c>
      <c r="DJ61" s="228">
        <v>-30.27</v>
      </c>
      <c r="DK61" s="228">
        <v>-30.27</v>
      </c>
      <c r="DL61" s="228">
        <v>41.55</v>
      </c>
      <c r="DM61" s="228">
        <v>77.349999999999994</v>
      </c>
      <c r="DN61" s="228">
        <v>-35.799999999999997</v>
      </c>
      <c r="DO61" s="228">
        <v>-35.799999999999997</v>
      </c>
      <c r="DP61" s="228">
        <v>0.55000000000000004</v>
      </c>
      <c r="DQ61" s="228">
        <v>0.77</v>
      </c>
      <c r="DR61" s="228">
        <v>-0.22</v>
      </c>
      <c r="DS61" s="229">
        <v>-0.28570000000000001</v>
      </c>
      <c r="DT61" s="228">
        <v>300</v>
      </c>
      <c r="DU61" s="228">
        <v>265</v>
      </c>
      <c r="DV61" s="228">
        <v>0.81</v>
      </c>
      <c r="DW61" s="228">
        <v>0.62</v>
      </c>
      <c r="DX61" s="228">
        <v>0.19</v>
      </c>
      <c r="DY61" s="229">
        <v>0.30649999999999999</v>
      </c>
      <c r="DZ61" s="229">
        <v>0.69040000000000001</v>
      </c>
      <c r="EA61" s="230">
        <v>132666900</v>
      </c>
      <c r="EB61" s="229">
        <v>5.1999999999999998E-3</v>
      </c>
      <c r="EC61" s="229">
        <v>0.69040000000000001</v>
      </c>
      <c r="ED61" s="228">
        <v>-0.86</v>
      </c>
      <c r="EE61" s="229">
        <v>-3.0000000000000001E-3</v>
      </c>
      <c r="EF61" s="230">
        <v>65857674</v>
      </c>
      <c r="EG61" s="230">
        <v>27928735</v>
      </c>
      <c r="EH61" s="229">
        <v>1.3581000000000001</v>
      </c>
      <c r="EI61" s="229">
        <v>0.40460000000000002</v>
      </c>
      <c r="EJ61" s="231">
        <v>1956004.08</v>
      </c>
      <c r="EK61" s="231">
        <v>1458361.44</v>
      </c>
      <c r="EL61" s="231">
        <v>1014675.88</v>
      </c>
      <c r="EM61" s="231">
        <v>54746</v>
      </c>
      <c r="EN61" s="231">
        <v>4429041.4000000004</v>
      </c>
      <c r="EO61" s="231">
        <v>2953641.79</v>
      </c>
      <c r="EP61" s="231">
        <v>1475399.61</v>
      </c>
      <c r="EQ61" s="229">
        <v>0.4995</v>
      </c>
      <c r="ER61" s="231">
        <v>329037</v>
      </c>
      <c r="ES61" s="231">
        <v>164645</v>
      </c>
      <c r="ET61" s="231">
        <v>955992</v>
      </c>
      <c r="EU61" s="231">
        <v>1251309857</v>
      </c>
      <c r="EV61" s="231">
        <v>1449674</v>
      </c>
      <c r="EW61" s="231">
        <v>1465794</v>
      </c>
      <c r="EX61" s="231">
        <v>-16120</v>
      </c>
      <c r="EY61" s="229">
        <v>-1.0999999999999999E-2</v>
      </c>
      <c r="EZ61" s="229">
        <v>0.41120000000000001</v>
      </c>
      <c r="FA61" s="227" t="s">
        <v>567</v>
      </c>
      <c r="FB61" s="161">
        <f t="shared" si="0"/>
        <v>237924025</v>
      </c>
    </row>
    <row r="62" spans="1:158" ht="17.25" hidden="1" thickBot="1" x14ac:dyDescent="0.3">
      <c r="A62" s="226">
        <v>46044</v>
      </c>
      <c r="B62" s="227" t="s">
        <v>162</v>
      </c>
      <c r="C62" s="227" t="s">
        <v>211</v>
      </c>
      <c r="D62" s="228">
        <v>1800</v>
      </c>
      <c r="E62" s="228">
        <v>334.45</v>
      </c>
      <c r="F62" s="228">
        <v>326.25</v>
      </c>
      <c r="G62" s="228">
        <v>8.1999999999999993</v>
      </c>
      <c r="H62" s="229">
        <v>2.5100000000000001E-2</v>
      </c>
      <c r="I62" s="228">
        <v>334.25</v>
      </c>
      <c r="J62" s="228">
        <v>325.95</v>
      </c>
      <c r="K62" s="228">
        <v>8.3000000000000007</v>
      </c>
      <c r="L62" s="229">
        <v>2.5499999999999998E-2</v>
      </c>
      <c r="M62" s="228">
        <v>334.45</v>
      </c>
      <c r="N62" s="228">
        <v>326.25</v>
      </c>
      <c r="O62" s="228">
        <v>8.1999999999999993</v>
      </c>
      <c r="P62" s="229">
        <v>2.5100000000000001E-2</v>
      </c>
      <c r="Q62" s="228">
        <v>336.1</v>
      </c>
      <c r="R62" s="228">
        <v>328</v>
      </c>
      <c r="S62" s="228">
        <v>8.1</v>
      </c>
      <c r="T62" s="229">
        <v>2.47E-2</v>
      </c>
      <c r="U62" s="228">
        <v>338.05</v>
      </c>
      <c r="V62" s="228">
        <v>330.5</v>
      </c>
      <c r="W62" s="228">
        <v>7.55</v>
      </c>
      <c r="X62" s="229">
        <v>2.2800000000000001E-2</v>
      </c>
      <c r="Y62" s="228">
        <v>0.2</v>
      </c>
      <c r="Z62" s="228">
        <v>0.3</v>
      </c>
      <c r="AA62" s="228">
        <v>-0.1</v>
      </c>
      <c r="AB62" s="229">
        <v>5.9999999999999995E-4</v>
      </c>
      <c r="AC62" s="228">
        <v>0.2</v>
      </c>
      <c r="AD62" s="228">
        <v>0.3</v>
      </c>
      <c r="AE62" s="228">
        <v>-0.1</v>
      </c>
      <c r="AF62" s="229">
        <v>5.9999999999999995E-4</v>
      </c>
      <c r="AG62" s="228">
        <v>1.85</v>
      </c>
      <c r="AH62" s="228">
        <v>2.0499999999999998</v>
      </c>
      <c r="AI62" s="228">
        <v>-0.2</v>
      </c>
      <c r="AJ62" s="229">
        <v>5.4999999999999997E-3</v>
      </c>
      <c r="AK62" s="228">
        <v>3.8</v>
      </c>
      <c r="AL62" s="228">
        <v>4.55</v>
      </c>
      <c r="AM62" s="228">
        <v>-0.75</v>
      </c>
      <c r="AN62" s="229">
        <v>1.14E-2</v>
      </c>
      <c r="AO62" s="228">
        <v>333.1</v>
      </c>
      <c r="AP62" s="228">
        <v>334.83</v>
      </c>
      <c r="AQ62" s="228">
        <v>0</v>
      </c>
      <c r="AR62" s="230">
        <v>17433000</v>
      </c>
      <c r="AS62" s="230">
        <v>16464600</v>
      </c>
      <c r="AT62" s="230">
        <v>968400</v>
      </c>
      <c r="AU62" s="229">
        <v>5.8799999999999998E-2</v>
      </c>
      <c r="AV62" s="230">
        <v>8881200</v>
      </c>
      <c r="AW62" s="230">
        <v>8573400</v>
      </c>
      <c r="AX62" s="230">
        <v>307800</v>
      </c>
      <c r="AY62" s="229">
        <v>3.5900000000000001E-2</v>
      </c>
      <c r="AZ62" s="230">
        <v>8425800</v>
      </c>
      <c r="BA62" s="230">
        <v>7635600</v>
      </c>
      <c r="BB62" s="230">
        <v>790200</v>
      </c>
      <c r="BC62" s="229">
        <v>0.10349999999999999</v>
      </c>
      <c r="BD62" s="230">
        <v>126000</v>
      </c>
      <c r="BE62" s="230">
        <v>255600</v>
      </c>
      <c r="BF62" s="230">
        <v>-129600</v>
      </c>
      <c r="BG62" s="229">
        <v>-0.50700000000000001</v>
      </c>
      <c r="BH62" s="230">
        <v>16225200</v>
      </c>
      <c r="BI62" s="230">
        <v>23569200</v>
      </c>
      <c r="BJ62" s="230">
        <v>-7344000</v>
      </c>
      <c r="BK62" s="229">
        <v>-0.31159999999999999</v>
      </c>
      <c r="BL62" s="230">
        <v>8895600</v>
      </c>
      <c r="BM62" s="230">
        <v>15960600</v>
      </c>
      <c r="BN62" s="230">
        <v>-7065000</v>
      </c>
      <c r="BO62" s="229">
        <v>-0.44269999999999998</v>
      </c>
      <c r="BP62" s="230">
        <v>42553800</v>
      </c>
      <c r="BQ62" s="230">
        <v>55994400</v>
      </c>
      <c r="BR62" s="230">
        <v>-13440600</v>
      </c>
      <c r="BS62" s="229">
        <v>-0.24</v>
      </c>
      <c r="BT62" s="230">
        <v>1397950</v>
      </c>
      <c r="BU62" s="230">
        <v>2939996</v>
      </c>
      <c r="BV62" s="230">
        <v>-1542046</v>
      </c>
      <c r="BW62" s="229">
        <v>-0.52449999999999997</v>
      </c>
      <c r="BX62" s="230">
        <v>32558400</v>
      </c>
      <c r="BY62" s="230">
        <v>33467400</v>
      </c>
      <c r="BZ62" s="230">
        <v>-909000</v>
      </c>
      <c r="CA62" s="229">
        <v>-2.7199999999999998E-2</v>
      </c>
      <c r="CB62" s="230">
        <v>16774200</v>
      </c>
      <c r="CC62" s="230">
        <v>23292000</v>
      </c>
      <c r="CD62" s="230">
        <v>-6517800</v>
      </c>
      <c r="CE62" s="229">
        <v>-0.27979999999999999</v>
      </c>
      <c r="CF62" s="230">
        <v>15166800</v>
      </c>
      <c r="CG62" s="230">
        <v>9568800</v>
      </c>
      <c r="CH62" s="230">
        <v>5598000</v>
      </c>
      <c r="CI62" s="229">
        <v>0.58499999999999996</v>
      </c>
      <c r="CJ62" s="230">
        <v>617400</v>
      </c>
      <c r="CK62" s="230">
        <v>606600</v>
      </c>
      <c r="CL62" s="230">
        <v>10800</v>
      </c>
      <c r="CM62" s="229">
        <v>1.78E-2</v>
      </c>
      <c r="CN62" s="230">
        <v>18842400</v>
      </c>
      <c r="CO62" s="230">
        <v>21200400</v>
      </c>
      <c r="CP62" s="230">
        <v>-2358000</v>
      </c>
      <c r="CQ62" s="229">
        <v>-0.11119999999999999</v>
      </c>
      <c r="CR62" s="230">
        <v>12056400</v>
      </c>
      <c r="CS62" s="230">
        <v>12589200</v>
      </c>
      <c r="CT62" s="230">
        <v>-532800</v>
      </c>
      <c r="CU62" s="229">
        <v>-4.2299999999999997E-2</v>
      </c>
      <c r="CV62" s="230">
        <v>63457200</v>
      </c>
      <c r="CW62" s="230">
        <v>67257000</v>
      </c>
      <c r="CX62" s="230">
        <v>-3799800</v>
      </c>
      <c r="CY62" s="229">
        <v>-5.6500000000000002E-2</v>
      </c>
      <c r="CZ62" s="228">
        <v>28.58</v>
      </c>
      <c r="DA62" s="228">
        <v>27.14</v>
      </c>
      <c r="DB62" s="228">
        <v>1.44</v>
      </c>
      <c r="DC62" s="228">
        <v>1.44</v>
      </c>
      <c r="DD62" s="228">
        <v>32.75</v>
      </c>
      <c r="DE62" s="228">
        <v>32.659999999999997</v>
      </c>
      <c r="DF62" s="228">
        <v>-4.17</v>
      </c>
      <c r="DG62" s="228">
        <v>0.09</v>
      </c>
      <c r="DH62" s="228">
        <v>28.11</v>
      </c>
      <c r="DI62" s="228">
        <v>28.45</v>
      </c>
      <c r="DJ62" s="228">
        <v>-0.34</v>
      </c>
      <c r="DK62" s="228">
        <v>-0.34</v>
      </c>
      <c r="DL62" s="228">
        <v>29.27</v>
      </c>
      <c r="DM62" s="228">
        <v>25.21</v>
      </c>
      <c r="DN62" s="228">
        <v>4.0599999999999996</v>
      </c>
      <c r="DO62" s="228">
        <v>4.0599999999999996</v>
      </c>
      <c r="DP62" s="228">
        <v>0.64</v>
      </c>
      <c r="DQ62" s="228">
        <v>0.59</v>
      </c>
      <c r="DR62" s="228">
        <v>0.05</v>
      </c>
      <c r="DS62" s="229">
        <v>8.4699999999999998E-2</v>
      </c>
      <c r="DT62" s="228">
        <v>380</v>
      </c>
      <c r="DU62" s="228">
        <v>325</v>
      </c>
      <c r="DV62" s="228">
        <v>0.55000000000000004</v>
      </c>
      <c r="DW62" s="228">
        <v>0.68</v>
      </c>
      <c r="DX62" s="228">
        <v>-0.13</v>
      </c>
      <c r="DY62" s="229">
        <v>-0.19120000000000001</v>
      </c>
      <c r="DZ62" s="229">
        <v>0.48480000000000001</v>
      </c>
      <c r="EA62" s="230">
        <v>10175400</v>
      </c>
      <c r="EB62" s="229">
        <v>4.8999999999999998E-3</v>
      </c>
      <c r="EC62" s="229">
        <v>0.48480000000000001</v>
      </c>
      <c r="ED62" s="228">
        <v>1.73</v>
      </c>
      <c r="EE62" s="229">
        <v>5.1999999999999998E-3</v>
      </c>
      <c r="EF62" s="230">
        <v>516696</v>
      </c>
      <c r="EG62" s="230">
        <v>1298659</v>
      </c>
      <c r="EH62" s="229">
        <v>-0.60209999999999997</v>
      </c>
      <c r="EI62" s="229">
        <v>0.36959999999999998</v>
      </c>
      <c r="EJ62" s="231">
        <v>56748.36</v>
      </c>
      <c r="EK62" s="231">
        <v>30241.88</v>
      </c>
      <c r="EL62" s="231">
        <v>58218.98</v>
      </c>
      <c r="EM62" s="231">
        <v>4311</v>
      </c>
      <c r="EN62" s="231">
        <v>145209.22</v>
      </c>
      <c r="EO62" s="231">
        <v>190054.48</v>
      </c>
      <c r="EP62" s="231">
        <v>-44845.26</v>
      </c>
      <c r="EQ62" s="229">
        <v>-0.23599999999999999</v>
      </c>
      <c r="ER62" s="231">
        <v>69179</v>
      </c>
      <c r="ES62" s="231">
        <v>42367</v>
      </c>
      <c r="ET62" s="231">
        <v>109164</v>
      </c>
      <c r="EU62" s="231">
        <v>68856800</v>
      </c>
      <c r="EV62" s="231">
        <v>220710</v>
      </c>
      <c r="EW62" s="231">
        <v>231446</v>
      </c>
      <c r="EX62" s="231">
        <v>-10736</v>
      </c>
      <c r="EY62" s="229">
        <v>-4.6399999999999997E-2</v>
      </c>
      <c r="EZ62" s="229">
        <v>0.92159999999999997</v>
      </c>
      <c r="FA62" s="227" t="s">
        <v>556</v>
      </c>
      <c r="FB62" s="161">
        <f t="shared" si="0"/>
        <v>15784200</v>
      </c>
    </row>
    <row r="63" spans="1:158" ht="17.25" hidden="1" thickBot="1" x14ac:dyDescent="0.3">
      <c r="A63" s="226">
        <v>46044</v>
      </c>
      <c r="B63" s="227" t="s">
        <v>172</v>
      </c>
      <c r="C63" s="227" t="s">
        <v>212</v>
      </c>
      <c r="D63" s="228">
        <v>5000</v>
      </c>
      <c r="E63" s="228">
        <v>281.95</v>
      </c>
      <c r="F63" s="228">
        <v>275.95</v>
      </c>
      <c r="G63" s="228">
        <v>6</v>
      </c>
      <c r="H63" s="229">
        <v>2.1700000000000001E-2</v>
      </c>
      <c r="I63" s="228">
        <v>282.2</v>
      </c>
      <c r="J63" s="228">
        <v>276.10000000000002</v>
      </c>
      <c r="K63" s="228">
        <v>6.1</v>
      </c>
      <c r="L63" s="229">
        <v>2.2100000000000002E-2</v>
      </c>
      <c r="M63" s="228">
        <v>281.95</v>
      </c>
      <c r="N63" s="228">
        <v>275.95</v>
      </c>
      <c r="O63" s="228">
        <v>6</v>
      </c>
      <c r="P63" s="229">
        <v>2.1700000000000001E-2</v>
      </c>
      <c r="Q63" s="228">
        <v>283.25</v>
      </c>
      <c r="R63" s="228">
        <v>276.95</v>
      </c>
      <c r="S63" s="228">
        <v>6.3</v>
      </c>
      <c r="T63" s="229">
        <v>2.2700000000000001E-2</v>
      </c>
      <c r="U63" s="228">
        <v>283.85000000000002</v>
      </c>
      <c r="V63" s="228">
        <v>278.05</v>
      </c>
      <c r="W63" s="228">
        <v>5.8</v>
      </c>
      <c r="X63" s="229">
        <v>2.0899999999999998E-2</v>
      </c>
      <c r="Y63" s="228">
        <v>-0.25</v>
      </c>
      <c r="Z63" s="228">
        <v>-0.15</v>
      </c>
      <c r="AA63" s="228">
        <v>-0.1</v>
      </c>
      <c r="AB63" s="229">
        <v>-8.9999999999999998E-4</v>
      </c>
      <c r="AC63" s="228">
        <v>-0.25</v>
      </c>
      <c r="AD63" s="228">
        <v>-0.15</v>
      </c>
      <c r="AE63" s="228">
        <v>-0.1</v>
      </c>
      <c r="AF63" s="229">
        <v>-8.9999999999999998E-4</v>
      </c>
      <c r="AG63" s="228">
        <v>1.05</v>
      </c>
      <c r="AH63" s="228">
        <v>0.85</v>
      </c>
      <c r="AI63" s="228">
        <v>0.2</v>
      </c>
      <c r="AJ63" s="229">
        <v>3.7000000000000002E-3</v>
      </c>
      <c r="AK63" s="228">
        <v>1.65</v>
      </c>
      <c r="AL63" s="228">
        <v>1.95</v>
      </c>
      <c r="AM63" s="228">
        <v>-0.3</v>
      </c>
      <c r="AN63" s="229">
        <v>5.7999999999999996E-3</v>
      </c>
      <c r="AO63" s="228">
        <v>282.5</v>
      </c>
      <c r="AP63" s="228">
        <v>283.77999999999997</v>
      </c>
      <c r="AQ63" s="228">
        <v>0</v>
      </c>
      <c r="AR63" s="230">
        <v>84315000</v>
      </c>
      <c r="AS63" s="230">
        <v>57225000</v>
      </c>
      <c r="AT63" s="230">
        <v>27090000</v>
      </c>
      <c r="AU63" s="229">
        <v>0.47339999999999999</v>
      </c>
      <c r="AV63" s="230">
        <v>43600000</v>
      </c>
      <c r="AW63" s="230">
        <v>33950000</v>
      </c>
      <c r="AX63" s="230">
        <v>9650000</v>
      </c>
      <c r="AY63" s="229">
        <v>0.28420000000000001</v>
      </c>
      <c r="AZ63" s="230">
        <v>39945000</v>
      </c>
      <c r="BA63" s="230">
        <v>22635000</v>
      </c>
      <c r="BB63" s="230">
        <v>17310000</v>
      </c>
      <c r="BC63" s="229">
        <v>0.76470000000000005</v>
      </c>
      <c r="BD63" s="230">
        <v>770000</v>
      </c>
      <c r="BE63" s="230">
        <v>640000</v>
      </c>
      <c r="BF63" s="230">
        <v>130000</v>
      </c>
      <c r="BG63" s="229">
        <v>0.2031</v>
      </c>
      <c r="BH63" s="230">
        <v>267185000</v>
      </c>
      <c r="BI63" s="230">
        <v>165805000</v>
      </c>
      <c r="BJ63" s="230">
        <v>101380000</v>
      </c>
      <c r="BK63" s="229">
        <v>0.61140000000000005</v>
      </c>
      <c r="BL63" s="230">
        <v>147400000</v>
      </c>
      <c r="BM63" s="230">
        <v>150490000</v>
      </c>
      <c r="BN63" s="230">
        <v>-3090000</v>
      </c>
      <c r="BO63" s="229">
        <v>-2.0500000000000001E-2</v>
      </c>
      <c r="BP63" s="230">
        <v>498900000</v>
      </c>
      <c r="BQ63" s="230">
        <v>373520000</v>
      </c>
      <c r="BR63" s="230">
        <v>125380000</v>
      </c>
      <c r="BS63" s="229">
        <v>0.3357</v>
      </c>
      <c r="BT63" s="230">
        <v>17355508</v>
      </c>
      <c r="BU63" s="230">
        <v>12308683</v>
      </c>
      <c r="BV63" s="230">
        <v>5046825</v>
      </c>
      <c r="BW63" s="229">
        <v>0.41</v>
      </c>
      <c r="BX63" s="230">
        <v>67985000</v>
      </c>
      <c r="BY63" s="230">
        <v>63710000</v>
      </c>
      <c r="BZ63" s="230">
        <v>4275000</v>
      </c>
      <c r="CA63" s="229">
        <v>6.7100000000000007E-2</v>
      </c>
      <c r="CB63" s="230">
        <v>29975000</v>
      </c>
      <c r="CC63" s="230">
        <v>40275000</v>
      </c>
      <c r="CD63" s="230">
        <v>-10300000</v>
      </c>
      <c r="CE63" s="229">
        <v>-0.25569999999999998</v>
      </c>
      <c r="CF63" s="230">
        <v>36410000</v>
      </c>
      <c r="CG63" s="230">
        <v>21895000</v>
      </c>
      <c r="CH63" s="230">
        <v>14515000</v>
      </c>
      <c r="CI63" s="229">
        <v>0.66290000000000004</v>
      </c>
      <c r="CJ63" s="230">
        <v>1600000</v>
      </c>
      <c r="CK63" s="230">
        <v>1540000</v>
      </c>
      <c r="CL63" s="230">
        <v>60000</v>
      </c>
      <c r="CM63" s="229">
        <v>3.9E-2</v>
      </c>
      <c r="CN63" s="230">
        <v>58060000</v>
      </c>
      <c r="CO63" s="230">
        <v>60295000</v>
      </c>
      <c r="CP63" s="230">
        <v>-2235000</v>
      </c>
      <c r="CQ63" s="229">
        <v>-3.7100000000000001E-2</v>
      </c>
      <c r="CR63" s="230">
        <v>65960000</v>
      </c>
      <c r="CS63" s="230">
        <v>65660000</v>
      </c>
      <c r="CT63" s="230">
        <v>300000</v>
      </c>
      <c r="CU63" s="229">
        <v>4.5999999999999999E-3</v>
      </c>
      <c r="CV63" s="230">
        <v>192005000</v>
      </c>
      <c r="CW63" s="230">
        <v>189665000</v>
      </c>
      <c r="CX63" s="230">
        <v>2340000</v>
      </c>
      <c r="CY63" s="229">
        <v>1.23E-2</v>
      </c>
      <c r="CZ63" s="228">
        <v>27.91</v>
      </c>
      <c r="DA63" s="228">
        <v>27.3</v>
      </c>
      <c r="DB63" s="228">
        <v>0.61</v>
      </c>
      <c r="DC63" s="228">
        <v>0.61</v>
      </c>
      <c r="DD63" s="228">
        <v>30.69</v>
      </c>
      <c r="DE63" s="228">
        <v>30.63</v>
      </c>
      <c r="DF63" s="228">
        <v>-2.78</v>
      </c>
      <c r="DG63" s="228">
        <v>0.06</v>
      </c>
      <c r="DH63" s="228">
        <v>27.06</v>
      </c>
      <c r="DI63" s="228">
        <v>25.35</v>
      </c>
      <c r="DJ63" s="228">
        <v>1.71</v>
      </c>
      <c r="DK63" s="228">
        <v>1.71</v>
      </c>
      <c r="DL63" s="228">
        <v>28.89</v>
      </c>
      <c r="DM63" s="228">
        <v>29.44</v>
      </c>
      <c r="DN63" s="228">
        <v>-0.55000000000000004</v>
      </c>
      <c r="DO63" s="228">
        <v>-0.55000000000000004</v>
      </c>
      <c r="DP63" s="228">
        <v>1.1399999999999999</v>
      </c>
      <c r="DQ63" s="228">
        <v>1.0900000000000001</v>
      </c>
      <c r="DR63" s="228">
        <v>0.05</v>
      </c>
      <c r="DS63" s="229">
        <v>4.5900000000000003E-2</v>
      </c>
      <c r="DT63" s="228">
        <v>290</v>
      </c>
      <c r="DU63" s="228">
        <v>250</v>
      </c>
      <c r="DV63" s="228">
        <v>0.55000000000000004</v>
      </c>
      <c r="DW63" s="228">
        <v>0.91</v>
      </c>
      <c r="DX63" s="228">
        <v>-0.36</v>
      </c>
      <c r="DY63" s="229">
        <v>-0.39560000000000001</v>
      </c>
      <c r="DZ63" s="229">
        <v>0.55910000000000004</v>
      </c>
      <c r="EA63" s="230">
        <v>23435000</v>
      </c>
      <c r="EB63" s="229">
        <v>4.5999999999999999E-3</v>
      </c>
      <c r="EC63" s="229">
        <v>0.55910000000000004</v>
      </c>
      <c r="ED63" s="228">
        <v>1.28</v>
      </c>
      <c r="EE63" s="229">
        <v>4.4999999999999997E-3</v>
      </c>
      <c r="EF63" s="230">
        <v>7954259</v>
      </c>
      <c r="EG63" s="230">
        <v>5345017</v>
      </c>
      <c r="EH63" s="229">
        <v>0.48820000000000002</v>
      </c>
      <c r="EI63" s="229">
        <v>0.45829999999999999</v>
      </c>
      <c r="EJ63" s="231">
        <v>776934.58</v>
      </c>
      <c r="EK63" s="231">
        <v>404359.46</v>
      </c>
      <c r="EL63" s="231">
        <v>238720.13</v>
      </c>
      <c r="EM63" s="231">
        <v>16606</v>
      </c>
      <c r="EN63" s="231">
        <v>1420014.17</v>
      </c>
      <c r="EO63" s="231">
        <v>1026142.22</v>
      </c>
      <c r="EP63" s="231">
        <v>393871.95</v>
      </c>
      <c r="EQ63" s="229">
        <v>0.38379999999999997</v>
      </c>
      <c r="ER63" s="231">
        <v>163506</v>
      </c>
      <c r="ES63" s="231">
        <v>171200</v>
      </c>
      <c r="ET63" s="231">
        <v>192187</v>
      </c>
      <c r="EU63" s="231">
        <v>320636733</v>
      </c>
      <c r="EV63" s="231">
        <v>526894</v>
      </c>
      <c r="EW63" s="231">
        <v>513551</v>
      </c>
      <c r="EX63" s="231">
        <v>13343</v>
      </c>
      <c r="EY63" s="229">
        <v>2.5999999999999999E-2</v>
      </c>
      <c r="EZ63" s="229">
        <v>0.5988</v>
      </c>
      <c r="FA63" s="227" t="s">
        <v>555</v>
      </c>
      <c r="FB63" s="161">
        <f t="shared" si="0"/>
        <v>38010000</v>
      </c>
    </row>
    <row r="64" spans="1:158" ht="17.25" hidden="1" thickBot="1" x14ac:dyDescent="0.3">
      <c r="A64" s="226">
        <v>46044</v>
      </c>
      <c r="B64" s="227" t="s">
        <v>181</v>
      </c>
      <c r="C64" s="227" t="s">
        <v>480</v>
      </c>
      <c r="D64" s="228">
        <v>60</v>
      </c>
      <c r="E64" s="231">
        <v>27244.9</v>
      </c>
      <c r="F64" s="231">
        <v>27005</v>
      </c>
      <c r="G64" s="228">
        <v>239.9</v>
      </c>
      <c r="H64" s="229">
        <v>8.8999999999999999E-3</v>
      </c>
      <c r="I64" s="231">
        <v>27149.95</v>
      </c>
      <c r="J64" s="231">
        <v>26963.5</v>
      </c>
      <c r="K64" s="228">
        <v>186.45</v>
      </c>
      <c r="L64" s="229">
        <v>6.8999999999999999E-3</v>
      </c>
      <c r="M64" s="231">
        <v>27244.9</v>
      </c>
      <c r="N64" s="231">
        <v>27005</v>
      </c>
      <c r="O64" s="228">
        <v>239.9</v>
      </c>
      <c r="P64" s="229">
        <v>8.8999999999999999E-3</v>
      </c>
      <c r="Q64" s="231">
        <v>27349.8</v>
      </c>
      <c r="R64" s="231">
        <v>27139.5</v>
      </c>
      <c r="S64" s="228">
        <v>210.3</v>
      </c>
      <c r="T64" s="229">
        <v>7.7000000000000002E-3</v>
      </c>
      <c r="U64" s="228">
        <v>0</v>
      </c>
      <c r="V64" s="228">
        <v>0</v>
      </c>
      <c r="W64" s="228">
        <v>0</v>
      </c>
      <c r="X64" s="229">
        <v>0</v>
      </c>
      <c r="Y64" s="228">
        <v>94.95</v>
      </c>
      <c r="Z64" s="228">
        <v>41.5</v>
      </c>
      <c r="AA64" s="228">
        <v>53.45</v>
      </c>
      <c r="AB64" s="229">
        <v>3.5000000000000001E-3</v>
      </c>
      <c r="AC64" s="228">
        <v>94.95</v>
      </c>
      <c r="AD64" s="228">
        <v>41.5</v>
      </c>
      <c r="AE64" s="228">
        <v>53.45</v>
      </c>
      <c r="AF64" s="229">
        <v>3.5000000000000001E-3</v>
      </c>
      <c r="AG64" s="228">
        <v>199.85</v>
      </c>
      <c r="AH64" s="228">
        <v>176</v>
      </c>
      <c r="AI64" s="228">
        <v>23.85</v>
      </c>
      <c r="AJ64" s="229">
        <v>7.4000000000000003E-3</v>
      </c>
      <c r="AK64" s="228">
        <v>0</v>
      </c>
      <c r="AL64" s="228">
        <v>0</v>
      </c>
      <c r="AM64" s="228">
        <v>0</v>
      </c>
      <c r="AN64" s="229">
        <v>0</v>
      </c>
      <c r="AO64" s="231">
        <v>27159.25</v>
      </c>
      <c r="AP64" s="231">
        <v>27293.919999999998</v>
      </c>
      <c r="AQ64" s="228">
        <v>0</v>
      </c>
      <c r="AR64" s="230">
        <v>36360</v>
      </c>
      <c r="AS64" s="230">
        <v>48120</v>
      </c>
      <c r="AT64" s="230">
        <v>-11760</v>
      </c>
      <c r="AU64" s="229">
        <v>-0.24440000000000001</v>
      </c>
      <c r="AV64" s="230">
        <v>31260</v>
      </c>
      <c r="AW64" s="230">
        <v>36300</v>
      </c>
      <c r="AX64" s="230">
        <v>-5040</v>
      </c>
      <c r="AY64" s="229">
        <v>-0.13880000000000001</v>
      </c>
      <c r="AZ64" s="230">
        <v>5100</v>
      </c>
      <c r="BA64" s="230">
        <v>11820</v>
      </c>
      <c r="BB64" s="230">
        <v>-6720</v>
      </c>
      <c r="BC64" s="229">
        <v>-0.56850000000000001</v>
      </c>
      <c r="BD64" s="228">
        <v>0</v>
      </c>
      <c r="BE64" s="228">
        <v>0</v>
      </c>
      <c r="BF64" s="228">
        <v>0</v>
      </c>
      <c r="BG64" s="229">
        <v>0</v>
      </c>
      <c r="BH64" s="230">
        <v>7005240</v>
      </c>
      <c r="BI64" s="230">
        <v>11207640</v>
      </c>
      <c r="BJ64" s="230">
        <v>-4202400</v>
      </c>
      <c r="BK64" s="229">
        <v>-0.375</v>
      </c>
      <c r="BL64" s="230">
        <v>5805060</v>
      </c>
      <c r="BM64" s="230">
        <v>9976860</v>
      </c>
      <c r="BN64" s="230">
        <v>-4171800</v>
      </c>
      <c r="BO64" s="229">
        <v>-0.41810000000000003</v>
      </c>
      <c r="BP64" s="230">
        <v>12846660</v>
      </c>
      <c r="BQ64" s="230">
        <v>21232620</v>
      </c>
      <c r="BR64" s="230">
        <v>-8385960</v>
      </c>
      <c r="BS64" s="229">
        <v>-0.39500000000000002</v>
      </c>
      <c r="BT64" s="228">
        <v>0</v>
      </c>
      <c r="BU64" s="228">
        <v>0</v>
      </c>
      <c r="BV64" s="228">
        <v>0</v>
      </c>
      <c r="BW64" s="229">
        <v>0</v>
      </c>
      <c r="BX64" s="230">
        <v>57000</v>
      </c>
      <c r="BY64" s="230">
        <v>55080</v>
      </c>
      <c r="BZ64" s="230">
        <v>1920</v>
      </c>
      <c r="CA64" s="229">
        <v>3.49E-2</v>
      </c>
      <c r="CB64" s="230">
        <v>48120</v>
      </c>
      <c r="CC64" s="230">
        <v>48000</v>
      </c>
      <c r="CD64" s="228">
        <v>120</v>
      </c>
      <c r="CE64" s="229">
        <v>2.5000000000000001E-3</v>
      </c>
      <c r="CF64" s="230">
        <v>8880</v>
      </c>
      <c r="CG64" s="230">
        <v>7080</v>
      </c>
      <c r="CH64" s="230">
        <v>1800</v>
      </c>
      <c r="CI64" s="229">
        <v>0.25419999999999998</v>
      </c>
      <c r="CJ64" s="228">
        <v>0</v>
      </c>
      <c r="CK64" s="228">
        <v>0</v>
      </c>
      <c r="CL64" s="228">
        <v>0</v>
      </c>
      <c r="CM64" s="229">
        <v>0</v>
      </c>
      <c r="CN64" s="230">
        <v>1198020</v>
      </c>
      <c r="CO64" s="230">
        <v>1582500</v>
      </c>
      <c r="CP64" s="230">
        <v>-384480</v>
      </c>
      <c r="CQ64" s="229">
        <v>-0.24299999999999999</v>
      </c>
      <c r="CR64" s="230">
        <v>949920</v>
      </c>
      <c r="CS64" s="230">
        <v>775800</v>
      </c>
      <c r="CT64" s="230">
        <v>174120</v>
      </c>
      <c r="CU64" s="229">
        <v>0.22439999999999999</v>
      </c>
      <c r="CV64" s="230">
        <v>2204940</v>
      </c>
      <c r="CW64" s="230">
        <v>2413380</v>
      </c>
      <c r="CX64" s="230">
        <v>-208440</v>
      </c>
      <c r="CY64" s="229">
        <v>-8.6400000000000005E-2</v>
      </c>
      <c r="CZ64" s="228">
        <v>14.35</v>
      </c>
      <c r="DA64" s="228">
        <v>14.4</v>
      </c>
      <c r="DB64" s="228">
        <v>-0.05</v>
      </c>
      <c r="DC64" s="228">
        <v>-0.05</v>
      </c>
      <c r="DD64" s="228">
        <v>16.04</v>
      </c>
      <c r="DE64" s="228">
        <v>16.059999999999999</v>
      </c>
      <c r="DF64" s="228">
        <v>-1.69</v>
      </c>
      <c r="DG64" s="228">
        <v>-0.02</v>
      </c>
      <c r="DH64" s="228">
        <v>13.76</v>
      </c>
      <c r="DI64" s="228">
        <v>14</v>
      </c>
      <c r="DJ64" s="228">
        <v>-0.24</v>
      </c>
      <c r="DK64" s="228">
        <v>-0.24</v>
      </c>
      <c r="DL64" s="228">
        <v>15.28</v>
      </c>
      <c r="DM64" s="228">
        <v>14.85</v>
      </c>
      <c r="DN64" s="228">
        <v>0.43</v>
      </c>
      <c r="DO64" s="228">
        <v>0.43</v>
      </c>
      <c r="DP64" s="228">
        <v>0.79</v>
      </c>
      <c r="DQ64" s="228">
        <v>0.49</v>
      </c>
      <c r="DR64" s="228">
        <v>0.3</v>
      </c>
      <c r="DS64" s="229">
        <v>0.61219999999999997</v>
      </c>
      <c r="DT64" s="231">
        <v>27500</v>
      </c>
      <c r="DU64" s="231">
        <v>27000</v>
      </c>
      <c r="DV64" s="228">
        <v>0.83</v>
      </c>
      <c r="DW64" s="228">
        <v>0.89</v>
      </c>
      <c r="DX64" s="228">
        <v>-0.06</v>
      </c>
      <c r="DY64" s="229">
        <v>-6.7400000000000002E-2</v>
      </c>
      <c r="DZ64" s="229">
        <v>0.15579999999999999</v>
      </c>
      <c r="EA64" s="230">
        <v>7080</v>
      </c>
      <c r="EB64" s="229">
        <v>3.8999999999999998E-3</v>
      </c>
      <c r="EC64" s="229">
        <v>0.15579999999999999</v>
      </c>
      <c r="ED64" s="228">
        <v>134.66999999999999</v>
      </c>
      <c r="EE64" s="229">
        <v>5.0000000000000001E-3</v>
      </c>
      <c r="EF64" s="228">
        <v>0</v>
      </c>
      <c r="EG64" s="228">
        <v>0</v>
      </c>
      <c r="EH64" s="229">
        <v>0</v>
      </c>
      <c r="EI64" s="229">
        <v>0</v>
      </c>
      <c r="EJ64" s="231">
        <v>1933869.44</v>
      </c>
      <c r="EK64" s="231">
        <v>1550297.52</v>
      </c>
      <c r="EL64" s="231">
        <v>9881.9699999999993</v>
      </c>
      <c r="EM64" s="228">
        <v>0</v>
      </c>
      <c r="EN64" s="231">
        <v>3494048.93</v>
      </c>
      <c r="EO64" s="231">
        <v>5778490.75</v>
      </c>
      <c r="EP64" s="231">
        <v>-2284441.8199999998</v>
      </c>
      <c r="EQ64" s="229">
        <v>-0.39529999999999998</v>
      </c>
      <c r="ER64" s="231">
        <v>332239</v>
      </c>
      <c r="ES64" s="231">
        <v>255081</v>
      </c>
      <c r="ET64" s="231">
        <v>15539</v>
      </c>
      <c r="EU64" s="228">
        <v>0</v>
      </c>
      <c r="EV64" s="231">
        <v>602859</v>
      </c>
      <c r="EW64" s="231">
        <v>662141</v>
      </c>
      <c r="EX64" s="231">
        <v>-59282</v>
      </c>
      <c r="EY64" s="229">
        <v>-8.9499999999999996E-2</v>
      </c>
      <c r="EZ64" s="229">
        <v>0</v>
      </c>
      <c r="FA64" s="227" t="s">
        <v>555</v>
      </c>
      <c r="FB64" s="161">
        <f t="shared" si="0"/>
        <v>8880</v>
      </c>
    </row>
    <row r="65" spans="1:158" ht="17.25" hidden="1" thickBot="1" x14ac:dyDescent="0.3">
      <c r="A65" s="226">
        <v>46044</v>
      </c>
      <c r="B65" s="227" t="s">
        <v>170</v>
      </c>
      <c r="C65" s="227" t="s">
        <v>677</v>
      </c>
      <c r="D65" s="228">
        <v>775</v>
      </c>
      <c r="E65" s="228">
        <v>842.6</v>
      </c>
      <c r="F65" s="228">
        <v>846.4</v>
      </c>
      <c r="G65" s="228">
        <v>-3.8</v>
      </c>
      <c r="H65" s="229">
        <v>-4.4999999999999997E-3</v>
      </c>
      <c r="I65" s="228">
        <v>841.45</v>
      </c>
      <c r="J65" s="228">
        <v>844.15</v>
      </c>
      <c r="K65" s="228">
        <v>-2.7</v>
      </c>
      <c r="L65" s="229">
        <v>-3.2000000000000002E-3</v>
      </c>
      <c r="M65" s="228">
        <v>842.6</v>
      </c>
      <c r="N65" s="228">
        <v>846.4</v>
      </c>
      <c r="O65" s="228">
        <v>-3.8</v>
      </c>
      <c r="P65" s="229">
        <v>-4.4999999999999997E-3</v>
      </c>
      <c r="Q65" s="228">
        <v>846</v>
      </c>
      <c r="R65" s="228">
        <v>850.75</v>
      </c>
      <c r="S65" s="228">
        <v>-4.75</v>
      </c>
      <c r="T65" s="229">
        <v>-5.5999999999999999E-3</v>
      </c>
      <c r="U65" s="228">
        <v>854.45</v>
      </c>
      <c r="V65" s="228">
        <v>856</v>
      </c>
      <c r="W65" s="228">
        <v>-1.55</v>
      </c>
      <c r="X65" s="229">
        <v>-1.8E-3</v>
      </c>
      <c r="Y65" s="228">
        <v>1.1499999999999999</v>
      </c>
      <c r="Z65" s="228">
        <v>2.25</v>
      </c>
      <c r="AA65" s="228">
        <v>-1.1000000000000001</v>
      </c>
      <c r="AB65" s="229">
        <v>1.4E-3</v>
      </c>
      <c r="AC65" s="228">
        <v>1.1499999999999999</v>
      </c>
      <c r="AD65" s="228">
        <v>2.25</v>
      </c>
      <c r="AE65" s="228">
        <v>-1.1000000000000001</v>
      </c>
      <c r="AF65" s="229">
        <v>1.4E-3</v>
      </c>
      <c r="AG65" s="228">
        <v>4.55</v>
      </c>
      <c r="AH65" s="228">
        <v>6.6</v>
      </c>
      <c r="AI65" s="228">
        <v>-2.0499999999999998</v>
      </c>
      <c r="AJ65" s="229">
        <v>5.4000000000000003E-3</v>
      </c>
      <c r="AK65" s="228">
        <v>13</v>
      </c>
      <c r="AL65" s="228">
        <v>11.85</v>
      </c>
      <c r="AM65" s="228">
        <v>1.1499999999999999</v>
      </c>
      <c r="AN65" s="229">
        <v>1.54E-2</v>
      </c>
      <c r="AO65" s="228">
        <v>846.8</v>
      </c>
      <c r="AP65" s="228">
        <v>851.73</v>
      </c>
      <c r="AQ65" s="228">
        <v>0</v>
      </c>
      <c r="AR65" s="230">
        <v>13240875</v>
      </c>
      <c r="AS65" s="230">
        <v>6574325</v>
      </c>
      <c r="AT65" s="230">
        <v>6666550</v>
      </c>
      <c r="AU65" s="229">
        <v>1.014</v>
      </c>
      <c r="AV65" s="230">
        <v>6448000</v>
      </c>
      <c r="AW65" s="230">
        <v>3652575</v>
      </c>
      <c r="AX65" s="230">
        <v>2795425</v>
      </c>
      <c r="AY65" s="229">
        <v>0.76529999999999998</v>
      </c>
      <c r="AZ65" s="230">
        <v>6780475</v>
      </c>
      <c r="BA65" s="230">
        <v>2888425</v>
      </c>
      <c r="BB65" s="230">
        <v>3892050</v>
      </c>
      <c r="BC65" s="229">
        <v>1.3474999999999999</v>
      </c>
      <c r="BD65" s="230">
        <v>12400</v>
      </c>
      <c r="BE65" s="230">
        <v>33325</v>
      </c>
      <c r="BF65" s="230">
        <v>-20925</v>
      </c>
      <c r="BG65" s="229">
        <v>-0.62790000000000001</v>
      </c>
      <c r="BH65" s="230">
        <v>6342600</v>
      </c>
      <c r="BI65" s="230">
        <v>6170550</v>
      </c>
      <c r="BJ65" s="230">
        <v>172050</v>
      </c>
      <c r="BK65" s="229">
        <v>2.7900000000000001E-2</v>
      </c>
      <c r="BL65" s="230">
        <v>8077050</v>
      </c>
      <c r="BM65" s="230">
        <v>4887150</v>
      </c>
      <c r="BN65" s="230">
        <v>3189900</v>
      </c>
      <c r="BO65" s="229">
        <v>0.65269999999999995</v>
      </c>
      <c r="BP65" s="230">
        <v>27660525</v>
      </c>
      <c r="BQ65" s="230">
        <v>17632025</v>
      </c>
      <c r="BR65" s="230">
        <v>10028500</v>
      </c>
      <c r="BS65" s="229">
        <v>0.56879999999999997</v>
      </c>
      <c r="BT65" s="230">
        <v>3178485</v>
      </c>
      <c r="BU65" s="230">
        <v>2768252</v>
      </c>
      <c r="BV65" s="230">
        <v>410233</v>
      </c>
      <c r="BW65" s="229">
        <v>0.1482</v>
      </c>
      <c r="BX65" s="230">
        <v>12706125</v>
      </c>
      <c r="BY65" s="230">
        <v>11534325</v>
      </c>
      <c r="BZ65" s="230">
        <v>1171800</v>
      </c>
      <c r="CA65" s="229">
        <v>0.1016</v>
      </c>
      <c r="CB65" s="230">
        <v>5107250</v>
      </c>
      <c r="CC65" s="230">
        <v>8757500</v>
      </c>
      <c r="CD65" s="230">
        <v>-3650250</v>
      </c>
      <c r="CE65" s="229">
        <v>-0.4168</v>
      </c>
      <c r="CF65" s="230">
        <v>7528350</v>
      </c>
      <c r="CG65" s="230">
        <v>2710175</v>
      </c>
      <c r="CH65" s="230">
        <v>4818175</v>
      </c>
      <c r="CI65" s="229">
        <v>1.7778</v>
      </c>
      <c r="CJ65" s="230">
        <v>70525</v>
      </c>
      <c r="CK65" s="230">
        <v>66650</v>
      </c>
      <c r="CL65" s="230">
        <v>3875</v>
      </c>
      <c r="CM65" s="229">
        <v>5.8099999999999999E-2</v>
      </c>
      <c r="CN65" s="230">
        <v>4424475</v>
      </c>
      <c r="CO65" s="230">
        <v>3930025</v>
      </c>
      <c r="CP65" s="230">
        <v>494450</v>
      </c>
      <c r="CQ65" s="229">
        <v>0.1258</v>
      </c>
      <c r="CR65" s="230">
        <v>2963600</v>
      </c>
      <c r="CS65" s="230">
        <v>2686150</v>
      </c>
      <c r="CT65" s="230">
        <v>277450</v>
      </c>
      <c r="CU65" s="229">
        <v>0.1033</v>
      </c>
      <c r="CV65" s="230">
        <v>20094200</v>
      </c>
      <c r="CW65" s="230">
        <v>18150500</v>
      </c>
      <c r="CX65" s="230">
        <v>1943700</v>
      </c>
      <c r="CY65" s="229">
        <v>0.1071</v>
      </c>
      <c r="CZ65" s="228">
        <v>31.64</v>
      </c>
      <c r="DA65" s="228">
        <v>27.21</v>
      </c>
      <c r="DB65" s="228">
        <v>4.43</v>
      </c>
      <c r="DC65" s="228">
        <v>4.43</v>
      </c>
      <c r="DD65" s="228">
        <v>35.03</v>
      </c>
      <c r="DE65" s="228">
        <v>35.119999999999997</v>
      </c>
      <c r="DF65" s="228">
        <v>-3.39</v>
      </c>
      <c r="DG65" s="228">
        <v>-0.09</v>
      </c>
      <c r="DH65" s="228">
        <v>31.7</v>
      </c>
      <c r="DI65" s="228">
        <v>28.79</v>
      </c>
      <c r="DJ65" s="228">
        <v>2.91</v>
      </c>
      <c r="DK65" s="228">
        <v>2.91</v>
      </c>
      <c r="DL65" s="228">
        <v>31.45</v>
      </c>
      <c r="DM65" s="228">
        <v>25.22</v>
      </c>
      <c r="DN65" s="228">
        <v>6.23</v>
      </c>
      <c r="DO65" s="228">
        <v>6.23</v>
      </c>
      <c r="DP65" s="228">
        <v>0.67</v>
      </c>
      <c r="DQ65" s="228">
        <v>0.68</v>
      </c>
      <c r="DR65" s="228">
        <v>-0.01</v>
      </c>
      <c r="DS65" s="229">
        <v>-1.47E-2</v>
      </c>
      <c r="DT65" s="228">
        <v>900</v>
      </c>
      <c r="DU65" s="228">
        <v>820</v>
      </c>
      <c r="DV65" s="228">
        <v>1.27</v>
      </c>
      <c r="DW65" s="228">
        <v>0.79</v>
      </c>
      <c r="DX65" s="228">
        <v>0.48</v>
      </c>
      <c r="DY65" s="229">
        <v>0.60760000000000003</v>
      </c>
      <c r="DZ65" s="229">
        <v>0.59799999999999998</v>
      </c>
      <c r="EA65" s="230">
        <v>2776825</v>
      </c>
      <c r="EB65" s="229">
        <v>4.0000000000000001E-3</v>
      </c>
      <c r="EC65" s="229">
        <v>0.59799999999999998</v>
      </c>
      <c r="ED65" s="228">
        <v>4.93</v>
      </c>
      <c r="EE65" s="229">
        <v>5.7999999999999996E-3</v>
      </c>
      <c r="EF65" s="230">
        <v>1640891</v>
      </c>
      <c r="EG65" s="230">
        <v>1592808</v>
      </c>
      <c r="EH65" s="229">
        <v>3.0200000000000001E-2</v>
      </c>
      <c r="EI65" s="229">
        <v>0.51619999999999999</v>
      </c>
      <c r="EJ65" s="231">
        <v>56236.9</v>
      </c>
      <c r="EK65" s="231">
        <v>67292.899999999994</v>
      </c>
      <c r="EL65" s="231">
        <v>112459.06</v>
      </c>
      <c r="EM65" s="231">
        <v>3802</v>
      </c>
      <c r="EN65" s="231">
        <v>235988.86</v>
      </c>
      <c r="EO65" s="231">
        <v>152396.99</v>
      </c>
      <c r="EP65" s="231">
        <v>83591.87</v>
      </c>
      <c r="EQ65" s="229">
        <v>0.54849999999999999</v>
      </c>
      <c r="ER65" s="231">
        <v>40391</v>
      </c>
      <c r="ES65" s="231">
        <v>25550</v>
      </c>
      <c r="ET65" s="231">
        <v>107326</v>
      </c>
      <c r="EU65" s="231">
        <v>77949604</v>
      </c>
      <c r="EV65" s="231">
        <v>173267</v>
      </c>
      <c r="EW65" s="231">
        <v>157623</v>
      </c>
      <c r="EX65" s="231">
        <v>15644</v>
      </c>
      <c r="EY65" s="229">
        <v>9.9199999999999997E-2</v>
      </c>
      <c r="EZ65" s="229">
        <v>0.25779999999999997</v>
      </c>
      <c r="FA65" s="227" t="s">
        <v>567</v>
      </c>
      <c r="FB65" s="161">
        <f t="shared" si="0"/>
        <v>7598875</v>
      </c>
    </row>
    <row r="66" spans="1:158" ht="17.25" hidden="1" thickBot="1" x14ac:dyDescent="0.3">
      <c r="A66" s="226">
        <v>46044</v>
      </c>
      <c r="B66" s="227" t="s">
        <v>193</v>
      </c>
      <c r="C66" s="227" t="s">
        <v>213</v>
      </c>
      <c r="D66" s="228">
        <v>3150</v>
      </c>
      <c r="E66" s="228">
        <v>163.80000000000001</v>
      </c>
      <c r="F66" s="228">
        <v>162.72</v>
      </c>
      <c r="G66" s="228">
        <v>1.08</v>
      </c>
      <c r="H66" s="229">
        <v>6.6E-3</v>
      </c>
      <c r="I66" s="228">
        <v>163.57</v>
      </c>
      <c r="J66" s="228">
        <v>162.68</v>
      </c>
      <c r="K66" s="228">
        <v>0.89</v>
      </c>
      <c r="L66" s="229">
        <v>5.4999999999999997E-3</v>
      </c>
      <c r="M66" s="228">
        <v>163.80000000000001</v>
      </c>
      <c r="N66" s="228">
        <v>162.72</v>
      </c>
      <c r="O66" s="228">
        <v>1.08</v>
      </c>
      <c r="P66" s="229">
        <v>6.6E-3</v>
      </c>
      <c r="Q66" s="228">
        <v>164.65</v>
      </c>
      <c r="R66" s="228">
        <v>163.58000000000001</v>
      </c>
      <c r="S66" s="228">
        <v>1.07</v>
      </c>
      <c r="T66" s="229">
        <v>6.4999999999999997E-3</v>
      </c>
      <c r="U66" s="228">
        <v>165.91</v>
      </c>
      <c r="V66" s="228">
        <v>164.5</v>
      </c>
      <c r="W66" s="228">
        <v>1.41</v>
      </c>
      <c r="X66" s="229">
        <v>8.6E-3</v>
      </c>
      <c r="Y66" s="228">
        <v>0.23</v>
      </c>
      <c r="Z66" s="228">
        <v>0.04</v>
      </c>
      <c r="AA66" s="228">
        <v>0.19</v>
      </c>
      <c r="AB66" s="229">
        <v>1.4E-3</v>
      </c>
      <c r="AC66" s="228">
        <v>0.23</v>
      </c>
      <c r="AD66" s="228">
        <v>0.04</v>
      </c>
      <c r="AE66" s="228">
        <v>0.19</v>
      </c>
      <c r="AF66" s="229">
        <v>1.4E-3</v>
      </c>
      <c r="AG66" s="228">
        <v>1.08</v>
      </c>
      <c r="AH66" s="228">
        <v>0.9</v>
      </c>
      <c r="AI66" s="228">
        <v>0.18</v>
      </c>
      <c r="AJ66" s="229">
        <v>6.6E-3</v>
      </c>
      <c r="AK66" s="228">
        <v>2.34</v>
      </c>
      <c r="AL66" s="228">
        <v>1.82</v>
      </c>
      <c r="AM66" s="228">
        <v>0.52</v>
      </c>
      <c r="AN66" s="229">
        <v>1.43E-2</v>
      </c>
      <c r="AO66" s="228">
        <v>163.65</v>
      </c>
      <c r="AP66" s="228">
        <v>164.46</v>
      </c>
      <c r="AQ66" s="228">
        <v>0</v>
      </c>
      <c r="AR66" s="230">
        <v>52708950</v>
      </c>
      <c r="AS66" s="230">
        <v>40773600</v>
      </c>
      <c r="AT66" s="230">
        <v>11935350</v>
      </c>
      <c r="AU66" s="229">
        <v>0.29270000000000002</v>
      </c>
      <c r="AV66" s="230">
        <v>28542150</v>
      </c>
      <c r="AW66" s="230">
        <v>23092650</v>
      </c>
      <c r="AX66" s="230">
        <v>5449500</v>
      </c>
      <c r="AY66" s="229">
        <v>0.23599999999999999</v>
      </c>
      <c r="AZ66" s="230">
        <v>23839200</v>
      </c>
      <c r="BA66" s="230">
        <v>17365950</v>
      </c>
      <c r="BB66" s="230">
        <v>6473250</v>
      </c>
      <c r="BC66" s="229">
        <v>0.37280000000000002</v>
      </c>
      <c r="BD66" s="230">
        <v>327600</v>
      </c>
      <c r="BE66" s="230">
        <v>315000</v>
      </c>
      <c r="BF66" s="230">
        <v>12600</v>
      </c>
      <c r="BG66" s="229">
        <v>0.04</v>
      </c>
      <c r="BH66" s="230">
        <v>26888400</v>
      </c>
      <c r="BI66" s="230">
        <v>64382850</v>
      </c>
      <c r="BJ66" s="230">
        <v>-37494450</v>
      </c>
      <c r="BK66" s="229">
        <v>-0.58240000000000003</v>
      </c>
      <c r="BL66" s="230">
        <v>22516200</v>
      </c>
      <c r="BM66" s="230">
        <v>30189600</v>
      </c>
      <c r="BN66" s="230">
        <v>-7673400</v>
      </c>
      <c r="BO66" s="229">
        <v>-0.25419999999999998</v>
      </c>
      <c r="BP66" s="230">
        <v>102113550</v>
      </c>
      <c r="BQ66" s="230">
        <v>135346050</v>
      </c>
      <c r="BR66" s="230">
        <v>-33232500</v>
      </c>
      <c r="BS66" s="229">
        <v>-0.2455</v>
      </c>
      <c r="BT66" s="230">
        <v>12689789</v>
      </c>
      <c r="BU66" s="230">
        <v>16477482</v>
      </c>
      <c r="BV66" s="230">
        <v>-3787693</v>
      </c>
      <c r="BW66" s="229">
        <v>-0.22989999999999999</v>
      </c>
      <c r="BX66" s="230">
        <v>92767500</v>
      </c>
      <c r="BY66" s="230">
        <v>97309800</v>
      </c>
      <c r="BZ66" s="230">
        <v>-4542300</v>
      </c>
      <c r="CA66" s="229">
        <v>-4.6699999999999998E-2</v>
      </c>
      <c r="CB66" s="230">
        <v>49804650</v>
      </c>
      <c r="CC66" s="230">
        <v>71319150</v>
      </c>
      <c r="CD66" s="230">
        <v>-21514500</v>
      </c>
      <c r="CE66" s="229">
        <v>-0.30170000000000002</v>
      </c>
      <c r="CF66" s="230">
        <v>41627250</v>
      </c>
      <c r="CG66" s="230">
        <v>24818850</v>
      </c>
      <c r="CH66" s="230">
        <v>16808400</v>
      </c>
      <c r="CI66" s="229">
        <v>0.67720000000000002</v>
      </c>
      <c r="CJ66" s="230">
        <v>1335600</v>
      </c>
      <c r="CK66" s="230">
        <v>1171800</v>
      </c>
      <c r="CL66" s="230">
        <v>163800</v>
      </c>
      <c r="CM66" s="229">
        <v>0.13980000000000001</v>
      </c>
      <c r="CN66" s="230">
        <v>42077700</v>
      </c>
      <c r="CO66" s="230">
        <v>42915600</v>
      </c>
      <c r="CP66" s="230">
        <v>-837900</v>
      </c>
      <c r="CQ66" s="229">
        <v>-1.95E-2</v>
      </c>
      <c r="CR66" s="230">
        <v>34552350</v>
      </c>
      <c r="CS66" s="230">
        <v>34549200</v>
      </c>
      <c r="CT66" s="230">
        <v>3150</v>
      </c>
      <c r="CU66" s="229">
        <v>1E-4</v>
      </c>
      <c r="CV66" s="230">
        <v>169397550</v>
      </c>
      <c r="CW66" s="230">
        <v>174774600</v>
      </c>
      <c r="CX66" s="230">
        <v>-5377050</v>
      </c>
      <c r="CY66" s="229">
        <v>-3.0800000000000001E-2</v>
      </c>
      <c r="CZ66" s="228">
        <v>27.97</v>
      </c>
      <c r="DA66" s="228">
        <v>26.35</v>
      </c>
      <c r="DB66" s="228">
        <v>1.62</v>
      </c>
      <c r="DC66" s="228">
        <v>1.62</v>
      </c>
      <c r="DD66" s="228">
        <v>33.39</v>
      </c>
      <c r="DE66" s="228">
        <v>33.46</v>
      </c>
      <c r="DF66" s="228">
        <v>-5.42</v>
      </c>
      <c r="DG66" s="228">
        <v>-7.0000000000000007E-2</v>
      </c>
      <c r="DH66" s="228">
        <v>27.93</v>
      </c>
      <c r="DI66" s="228">
        <v>26.43</v>
      </c>
      <c r="DJ66" s="228">
        <v>1.5</v>
      </c>
      <c r="DK66" s="228">
        <v>1.5</v>
      </c>
      <c r="DL66" s="228">
        <v>28.03</v>
      </c>
      <c r="DM66" s="228">
        <v>26.17</v>
      </c>
      <c r="DN66" s="228">
        <v>1.86</v>
      </c>
      <c r="DO66" s="228">
        <v>1.86</v>
      </c>
      <c r="DP66" s="228">
        <v>0.82</v>
      </c>
      <c r="DQ66" s="228">
        <v>0.81</v>
      </c>
      <c r="DR66" s="228">
        <v>0.01</v>
      </c>
      <c r="DS66" s="229">
        <v>1.23E-2</v>
      </c>
      <c r="DT66" s="228">
        <v>175</v>
      </c>
      <c r="DU66" s="228">
        <v>160</v>
      </c>
      <c r="DV66" s="228">
        <v>0.84</v>
      </c>
      <c r="DW66" s="228">
        <v>0.47</v>
      </c>
      <c r="DX66" s="228">
        <v>0.37</v>
      </c>
      <c r="DY66" s="229">
        <v>0.78720000000000001</v>
      </c>
      <c r="DZ66" s="229">
        <v>0.46310000000000001</v>
      </c>
      <c r="EA66" s="230">
        <v>25990650</v>
      </c>
      <c r="EB66" s="229">
        <v>5.1999999999999998E-3</v>
      </c>
      <c r="EC66" s="229">
        <v>0.46310000000000001</v>
      </c>
      <c r="ED66" s="228">
        <v>0.81</v>
      </c>
      <c r="EE66" s="229">
        <v>4.8999999999999998E-3</v>
      </c>
      <c r="EF66" s="230">
        <v>8072262</v>
      </c>
      <c r="EG66" s="230">
        <v>6722315</v>
      </c>
      <c r="EH66" s="229">
        <v>0.20080000000000001</v>
      </c>
      <c r="EI66" s="229">
        <v>0.6361</v>
      </c>
      <c r="EJ66" s="231">
        <v>45944.13</v>
      </c>
      <c r="EK66" s="231">
        <v>37352.5</v>
      </c>
      <c r="EL66" s="231">
        <v>86458.18</v>
      </c>
      <c r="EM66" s="231">
        <v>6231</v>
      </c>
      <c r="EN66" s="231">
        <v>169754.81</v>
      </c>
      <c r="EO66" s="231">
        <v>225854.37</v>
      </c>
      <c r="EP66" s="231">
        <v>-56099.56</v>
      </c>
      <c r="EQ66" s="229">
        <v>-0.24840000000000001</v>
      </c>
      <c r="ER66" s="231">
        <v>73762</v>
      </c>
      <c r="ES66" s="231">
        <v>59107</v>
      </c>
      <c r="ET66" s="231">
        <v>152335</v>
      </c>
      <c r="EU66" s="231">
        <v>435694919</v>
      </c>
      <c r="EV66" s="231">
        <v>285204</v>
      </c>
      <c r="EW66" s="231">
        <v>292893</v>
      </c>
      <c r="EX66" s="231">
        <v>-7689</v>
      </c>
      <c r="EY66" s="229">
        <v>-2.63E-2</v>
      </c>
      <c r="EZ66" s="229">
        <v>0.38879999999999998</v>
      </c>
      <c r="FA66" s="227" t="s">
        <v>556</v>
      </c>
      <c r="FB66" s="161">
        <f t="shared" si="0"/>
        <v>42962850</v>
      </c>
    </row>
    <row r="67" spans="1:158" ht="17.25" hidden="1" thickBot="1" x14ac:dyDescent="0.3">
      <c r="A67" s="226">
        <v>46044</v>
      </c>
      <c r="B67" s="227" t="s">
        <v>170</v>
      </c>
      <c r="C67" s="227" t="s">
        <v>214</v>
      </c>
      <c r="D67" s="228">
        <v>375</v>
      </c>
      <c r="E67" s="231">
        <v>1994.9</v>
      </c>
      <c r="F67" s="231">
        <v>1943</v>
      </c>
      <c r="G67" s="228">
        <v>51.9</v>
      </c>
      <c r="H67" s="229">
        <v>2.6700000000000002E-2</v>
      </c>
      <c r="I67" s="231">
        <v>1997.2</v>
      </c>
      <c r="J67" s="231">
        <v>1941.4</v>
      </c>
      <c r="K67" s="228">
        <v>55.8</v>
      </c>
      <c r="L67" s="229">
        <v>2.87E-2</v>
      </c>
      <c r="M67" s="231">
        <v>1994.9</v>
      </c>
      <c r="N67" s="231">
        <v>1943</v>
      </c>
      <c r="O67" s="228">
        <v>51.9</v>
      </c>
      <c r="P67" s="229">
        <v>2.6700000000000002E-2</v>
      </c>
      <c r="Q67" s="231">
        <v>2005.3</v>
      </c>
      <c r="R67" s="231">
        <v>1953.4</v>
      </c>
      <c r="S67" s="228">
        <v>51.9</v>
      </c>
      <c r="T67" s="229">
        <v>2.6599999999999999E-2</v>
      </c>
      <c r="U67" s="231">
        <v>2019.9</v>
      </c>
      <c r="V67" s="231">
        <v>1964.9</v>
      </c>
      <c r="W67" s="228">
        <v>55</v>
      </c>
      <c r="X67" s="229">
        <v>2.8000000000000001E-2</v>
      </c>
      <c r="Y67" s="228">
        <v>-2.2999999999999998</v>
      </c>
      <c r="Z67" s="228">
        <v>1.6</v>
      </c>
      <c r="AA67" s="228">
        <v>-3.9</v>
      </c>
      <c r="AB67" s="229">
        <v>-1.1999999999999999E-3</v>
      </c>
      <c r="AC67" s="228">
        <v>-2.2999999999999998</v>
      </c>
      <c r="AD67" s="228">
        <v>1.6</v>
      </c>
      <c r="AE67" s="228">
        <v>-3.9</v>
      </c>
      <c r="AF67" s="229">
        <v>-1.1999999999999999E-3</v>
      </c>
      <c r="AG67" s="228">
        <v>8.1</v>
      </c>
      <c r="AH67" s="228">
        <v>12</v>
      </c>
      <c r="AI67" s="228">
        <v>-3.9</v>
      </c>
      <c r="AJ67" s="229">
        <v>4.1000000000000003E-3</v>
      </c>
      <c r="AK67" s="228">
        <v>22.7</v>
      </c>
      <c r="AL67" s="228">
        <v>23.5</v>
      </c>
      <c r="AM67" s="228">
        <v>-0.8</v>
      </c>
      <c r="AN67" s="229">
        <v>1.14E-2</v>
      </c>
      <c r="AO67" s="231">
        <v>1979.74</v>
      </c>
      <c r="AP67" s="231">
        <v>1990.46</v>
      </c>
      <c r="AQ67" s="228">
        <v>0</v>
      </c>
      <c r="AR67" s="230">
        <v>7272750</v>
      </c>
      <c r="AS67" s="230">
        <v>6959625</v>
      </c>
      <c r="AT67" s="230">
        <v>313125</v>
      </c>
      <c r="AU67" s="229">
        <v>4.4999999999999998E-2</v>
      </c>
      <c r="AV67" s="230">
        <v>3845625</v>
      </c>
      <c r="AW67" s="230">
        <v>3913875</v>
      </c>
      <c r="AX67" s="230">
        <v>-68250</v>
      </c>
      <c r="AY67" s="229">
        <v>-1.7399999999999999E-2</v>
      </c>
      <c r="AZ67" s="230">
        <v>3418875</v>
      </c>
      <c r="BA67" s="230">
        <v>3039375</v>
      </c>
      <c r="BB67" s="230">
        <v>379500</v>
      </c>
      <c r="BC67" s="229">
        <v>0.1249</v>
      </c>
      <c r="BD67" s="230">
        <v>8250</v>
      </c>
      <c r="BE67" s="230">
        <v>6375</v>
      </c>
      <c r="BF67" s="230">
        <v>1875</v>
      </c>
      <c r="BG67" s="229">
        <v>0.29409999999999997</v>
      </c>
      <c r="BH67" s="230">
        <v>5491875</v>
      </c>
      <c r="BI67" s="230">
        <v>4764000</v>
      </c>
      <c r="BJ67" s="230">
        <v>727875</v>
      </c>
      <c r="BK67" s="229">
        <v>0.15279999999999999</v>
      </c>
      <c r="BL67" s="230">
        <v>2367750</v>
      </c>
      <c r="BM67" s="230">
        <v>2616375</v>
      </c>
      <c r="BN67" s="230">
        <v>-248625</v>
      </c>
      <c r="BO67" s="229">
        <v>-9.5000000000000001E-2</v>
      </c>
      <c r="BP67" s="230">
        <v>15132375</v>
      </c>
      <c r="BQ67" s="230">
        <v>14340000</v>
      </c>
      <c r="BR67" s="230">
        <v>792375</v>
      </c>
      <c r="BS67" s="229">
        <v>5.5300000000000002E-2</v>
      </c>
      <c r="BT67" s="230">
        <v>772070</v>
      </c>
      <c r="BU67" s="230">
        <v>475710</v>
      </c>
      <c r="BV67" s="230">
        <v>296360</v>
      </c>
      <c r="BW67" s="229">
        <v>0.623</v>
      </c>
      <c r="BX67" s="230">
        <v>11172375</v>
      </c>
      <c r="BY67" s="230">
        <v>11448375</v>
      </c>
      <c r="BZ67" s="230">
        <v>-276000</v>
      </c>
      <c r="CA67" s="229">
        <v>-2.41E-2</v>
      </c>
      <c r="CB67" s="230">
        <v>5589000</v>
      </c>
      <c r="CC67" s="230">
        <v>8380125</v>
      </c>
      <c r="CD67" s="230">
        <v>-2791125</v>
      </c>
      <c r="CE67" s="229">
        <v>-0.33310000000000001</v>
      </c>
      <c r="CF67" s="230">
        <v>5553000</v>
      </c>
      <c r="CG67" s="230">
        <v>3036750</v>
      </c>
      <c r="CH67" s="230">
        <v>2516250</v>
      </c>
      <c r="CI67" s="229">
        <v>0.8286</v>
      </c>
      <c r="CJ67" s="230">
        <v>30375</v>
      </c>
      <c r="CK67" s="230">
        <v>31500</v>
      </c>
      <c r="CL67" s="230">
        <v>-1125</v>
      </c>
      <c r="CM67" s="229">
        <v>-3.5700000000000003E-2</v>
      </c>
      <c r="CN67" s="230">
        <v>3588375</v>
      </c>
      <c r="CO67" s="230">
        <v>3881250</v>
      </c>
      <c r="CP67" s="230">
        <v>-292875</v>
      </c>
      <c r="CQ67" s="229">
        <v>-7.5499999999999998E-2</v>
      </c>
      <c r="CR67" s="230">
        <v>1982250</v>
      </c>
      <c r="CS67" s="230">
        <v>2133750</v>
      </c>
      <c r="CT67" s="230">
        <v>-151500</v>
      </c>
      <c r="CU67" s="229">
        <v>-7.0999999999999994E-2</v>
      </c>
      <c r="CV67" s="230">
        <v>16743000</v>
      </c>
      <c r="CW67" s="230">
        <v>17463375</v>
      </c>
      <c r="CX67" s="230">
        <v>-720375</v>
      </c>
      <c r="CY67" s="229">
        <v>-4.1300000000000003E-2</v>
      </c>
      <c r="CZ67" s="228">
        <v>31.74</v>
      </c>
      <c r="DA67" s="228">
        <v>27.82</v>
      </c>
      <c r="DB67" s="228">
        <v>3.92</v>
      </c>
      <c r="DC67" s="228">
        <v>3.92</v>
      </c>
      <c r="DD67" s="228">
        <v>35.25</v>
      </c>
      <c r="DE67" s="228">
        <v>35.130000000000003</v>
      </c>
      <c r="DF67" s="228">
        <v>-3.51</v>
      </c>
      <c r="DG67" s="228">
        <v>0.12</v>
      </c>
      <c r="DH67" s="228">
        <v>31.9</v>
      </c>
      <c r="DI67" s="228">
        <v>29.19</v>
      </c>
      <c r="DJ67" s="228">
        <v>2.71</v>
      </c>
      <c r="DK67" s="228">
        <v>2.71</v>
      </c>
      <c r="DL67" s="228">
        <v>31.44</v>
      </c>
      <c r="DM67" s="228">
        <v>25.32</v>
      </c>
      <c r="DN67" s="228">
        <v>6.12</v>
      </c>
      <c r="DO67" s="228">
        <v>6.12</v>
      </c>
      <c r="DP67" s="228">
        <v>0.55000000000000004</v>
      </c>
      <c r="DQ67" s="228">
        <v>0.55000000000000004</v>
      </c>
      <c r="DR67" s="228">
        <v>0</v>
      </c>
      <c r="DS67" s="229">
        <v>0</v>
      </c>
      <c r="DT67" s="231">
        <v>2100</v>
      </c>
      <c r="DU67" s="231">
        <v>1900</v>
      </c>
      <c r="DV67" s="228">
        <v>0.43</v>
      </c>
      <c r="DW67" s="228">
        <v>0.55000000000000004</v>
      </c>
      <c r="DX67" s="228">
        <v>-0.12</v>
      </c>
      <c r="DY67" s="229">
        <v>-0.21820000000000001</v>
      </c>
      <c r="DZ67" s="229">
        <v>0.49969999999999998</v>
      </c>
      <c r="EA67" s="230">
        <v>3068250</v>
      </c>
      <c r="EB67" s="229">
        <v>5.1999999999999998E-3</v>
      </c>
      <c r="EC67" s="229">
        <v>0.49969999999999998</v>
      </c>
      <c r="ED67" s="228">
        <v>10.72</v>
      </c>
      <c r="EE67" s="229">
        <v>5.4000000000000003E-3</v>
      </c>
      <c r="EF67" s="230">
        <v>514763</v>
      </c>
      <c r="EG67" s="230">
        <v>146369</v>
      </c>
      <c r="EH67" s="229">
        <v>2.5169000000000001</v>
      </c>
      <c r="EI67" s="229">
        <v>0.66669999999999996</v>
      </c>
      <c r="EJ67" s="231">
        <v>112939.9</v>
      </c>
      <c r="EK67" s="231">
        <v>46700.480000000003</v>
      </c>
      <c r="EL67" s="231">
        <v>144350.65</v>
      </c>
      <c r="EM67" s="231">
        <v>7372</v>
      </c>
      <c r="EN67" s="231">
        <v>303991.03000000003</v>
      </c>
      <c r="EO67" s="231">
        <v>283337.71000000002</v>
      </c>
      <c r="EP67" s="231">
        <v>20653.32</v>
      </c>
      <c r="EQ67" s="229">
        <v>7.2900000000000006E-2</v>
      </c>
      <c r="ER67" s="231">
        <v>75276</v>
      </c>
      <c r="ES67" s="231">
        <v>38760</v>
      </c>
      <c r="ET67" s="231">
        <v>223463</v>
      </c>
      <c r="EU67" s="231">
        <v>22585180</v>
      </c>
      <c r="EV67" s="231">
        <v>337499</v>
      </c>
      <c r="EW67" s="231">
        <v>345800</v>
      </c>
      <c r="EX67" s="231">
        <v>-8301</v>
      </c>
      <c r="EY67" s="229">
        <v>-2.4E-2</v>
      </c>
      <c r="EZ67" s="229">
        <v>0.74129999999999996</v>
      </c>
      <c r="FA67" s="227" t="s">
        <v>556</v>
      </c>
      <c r="FB67" s="161">
        <f t="shared" ref="FB67:FB130" si="1">BX67-CB67</f>
        <v>5583375</v>
      </c>
    </row>
    <row r="68" spans="1:158" ht="17.25" hidden="1" thickBot="1" x14ac:dyDescent="0.3">
      <c r="A68" s="226">
        <v>46044</v>
      </c>
      <c r="B68" s="227" t="s">
        <v>215</v>
      </c>
      <c r="C68" s="227" t="s">
        <v>631</v>
      </c>
      <c r="D68" s="228">
        <v>6975</v>
      </c>
      <c r="E68" s="228">
        <v>95.17</v>
      </c>
      <c r="F68" s="228">
        <v>93.77</v>
      </c>
      <c r="G68" s="228">
        <v>1.4</v>
      </c>
      <c r="H68" s="229">
        <v>1.49E-2</v>
      </c>
      <c r="I68" s="228">
        <v>95.1</v>
      </c>
      <c r="J68" s="228">
        <v>93.84</v>
      </c>
      <c r="K68" s="228">
        <v>1.26</v>
      </c>
      <c r="L68" s="229">
        <v>1.34E-2</v>
      </c>
      <c r="M68" s="228">
        <v>95.17</v>
      </c>
      <c r="N68" s="228">
        <v>93.77</v>
      </c>
      <c r="O68" s="228">
        <v>1.4</v>
      </c>
      <c r="P68" s="229">
        <v>1.49E-2</v>
      </c>
      <c r="Q68" s="228">
        <v>95.66</v>
      </c>
      <c r="R68" s="228">
        <v>94.26</v>
      </c>
      <c r="S68" s="228">
        <v>1.4</v>
      </c>
      <c r="T68" s="229">
        <v>1.49E-2</v>
      </c>
      <c r="U68" s="228">
        <v>96.46</v>
      </c>
      <c r="V68" s="228">
        <v>94.97</v>
      </c>
      <c r="W68" s="228">
        <v>1.49</v>
      </c>
      <c r="X68" s="229">
        <v>1.5699999999999999E-2</v>
      </c>
      <c r="Y68" s="228">
        <v>7.0000000000000007E-2</v>
      </c>
      <c r="Z68" s="228">
        <v>-7.0000000000000007E-2</v>
      </c>
      <c r="AA68" s="228">
        <v>0.14000000000000001</v>
      </c>
      <c r="AB68" s="229">
        <v>6.9999999999999999E-4</v>
      </c>
      <c r="AC68" s="228">
        <v>7.0000000000000007E-2</v>
      </c>
      <c r="AD68" s="228">
        <v>-7.0000000000000007E-2</v>
      </c>
      <c r="AE68" s="228">
        <v>0.14000000000000001</v>
      </c>
      <c r="AF68" s="229">
        <v>6.9999999999999999E-4</v>
      </c>
      <c r="AG68" s="228">
        <v>0.56000000000000005</v>
      </c>
      <c r="AH68" s="228">
        <v>0.42</v>
      </c>
      <c r="AI68" s="228">
        <v>0.14000000000000001</v>
      </c>
      <c r="AJ68" s="229">
        <v>5.8999999999999999E-3</v>
      </c>
      <c r="AK68" s="228">
        <v>1.36</v>
      </c>
      <c r="AL68" s="228">
        <v>1.1299999999999999</v>
      </c>
      <c r="AM68" s="228">
        <v>0.23</v>
      </c>
      <c r="AN68" s="229">
        <v>1.43E-2</v>
      </c>
      <c r="AO68" s="228">
        <v>95.32</v>
      </c>
      <c r="AP68" s="228">
        <v>95.83</v>
      </c>
      <c r="AQ68" s="228">
        <v>0</v>
      </c>
      <c r="AR68" s="230">
        <v>84306825</v>
      </c>
      <c r="AS68" s="230">
        <v>80861175</v>
      </c>
      <c r="AT68" s="230">
        <v>3445650</v>
      </c>
      <c r="AU68" s="229">
        <v>4.2599999999999999E-2</v>
      </c>
      <c r="AV68" s="230">
        <v>42219675</v>
      </c>
      <c r="AW68" s="230">
        <v>45504900</v>
      </c>
      <c r="AX68" s="230">
        <v>-3285225</v>
      </c>
      <c r="AY68" s="229">
        <v>-7.22E-2</v>
      </c>
      <c r="AZ68" s="230">
        <v>41619825</v>
      </c>
      <c r="BA68" s="230">
        <v>34575075</v>
      </c>
      <c r="BB68" s="230">
        <v>7044750</v>
      </c>
      <c r="BC68" s="229">
        <v>0.20380000000000001</v>
      </c>
      <c r="BD68" s="230">
        <v>467325</v>
      </c>
      <c r="BE68" s="230">
        <v>781200</v>
      </c>
      <c r="BF68" s="230">
        <v>-313875</v>
      </c>
      <c r="BG68" s="229">
        <v>-0.40179999999999999</v>
      </c>
      <c r="BH68" s="230">
        <v>77589900</v>
      </c>
      <c r="BI68" s="230">
        <v>127279800</v>
      </c>
      <c r="BJ68" s="230">
        <v>-49689900</v>
      </c>
      <c r="BK68" s="229">
        <v>-0.39040000000000002</v>
      </c>
      <c r="BL68" s="230">
        <v>36709425</v>
      </c>
      <c r="BM68" s="230">
        <v>69157125</v>
      </c>
      <c r="BN68" s="230">
        <v>-32447700</v>
      </c>
      <c r="BO68" s="229">
        <v>-0.46920000000000001</v>
      </c>
      <c r="BP68" s="230">
        <v>198606150</v>
      </c>
      <c r="BQ68" s="230">
        <v>277298100</v>
      </c>
      <c r="BR68" s="230">
        <v>-78691950</v>
      </c>
      <c r="BS68" s="229">
        <v>-0.2838</v>
      </c>
      <c r="BT68" s="230">
        <v>4884886</v>
      </c>
      <c r="BU68" s="230">
        <v>13017979</v>
      </c>
      <c r="BV68" s="230">
        <v>-8133093</v>
      </c>
      <c r="BW68" s="229">
        <v>-0.62480000000000002</v>
      </c>
      <c r="BX68" s="230">
        <v>181803375</v>
      </c>
      <c r="BY68" s="230">
        <v>180819900</v>
      </c>
      <c r="BZ68" s="230">
        <v>983475</v>
      </c>
      <c r="CA68" s="229">
        <v>5.4000000000000003E-3</v>
      </c>
      <c r="CB68" s="230">
        <v>102553425</v>
      </c>
      <c r="CC68" s="230">
        <v>134073450</v>
      </c>
      <c r="CD68" s="230">
        <v>-31520025</v>
      </c>
      <c r="CE68" s="229">
        <v>-0.2351</v>
      </c>
      <c r="CF68" s="230">
        <v>77436450</v>
      </c>
      <c r="CG68" s="230">
        <v>45065475</v>
      </c>
      <c r="CH68" s="230">
        <v>32370975</v>
      </c>
      <c r="CI68" s="229">
        <v>0.71830000000000005</v>
      </c>
      <c r="CJ68" s="230">
        <v>1813500</v>
      </c>
      <c r="CK68" s="230">
        <v>1680975</v>
      </c>
      <c r="CL68" s="230">
        <v>132525</v>
      </c>
      <c r="CM68" s="229">
        <v>7.8799999999999995E-2</v>
      </c>
      <c r="CN68" s="230">
        <v>117103275</v>
      </c>
      <c r="CO68" s="230">
        <v>124915275</v>
      </c>
      <c r="CP68" s="230">
        <v>-7812000</v>
      </c>
      <c r="CQ68" s="229">
        <v>-6.25E-2</v>
      </c>
      <c r="CR68" s="230">
        <v>61944975</v>
      </c>
      <c r="CS68" s="230">
        <v>60361650</v>
      </c>
      <c r="CT68" s="230">
        <v>1583325</v>
      </c>
      <c r="CU68" s="229">
        <v>2.6200000000000001E-2</v>
      </c>
      <c r="CV68" s="230">
        <v>360851625</v>
      </c>
      <c r="CW68" s="230">
        <v>366096825</v>
      </c>
      <c r="CX68" s="230">
        <v>-5245200</v>
      </c>
      <c r="CY68" s="229">
        <v>-1.43E-2</v>
      </c>
      <c r="CZ68" s="228">
        <v>28.97</v>
      </c>
      <c r="DA68" s="228">
        <v>32.92</v>
      </c>
      <c r="DB68" s="228">
        <v>-3.95</v>
      </c>
      <c r="DC68" s="228">
        <v>-3.95</v>
      </c>
      <c r="DD68" s="228">
        <v>36.36</v>
      </c>
      <c r="DE68" s="228">
        <v>36.4</v>
      </c>
      <c r="DF68" s="228">
        <v>-7.39</v>
      </c>
      <c r="DG68" s="228">
        <v>-0.04</v>
      </c>
      <c r="DH68" s="228">
        <v>30.11</v>
      </c>
      <c r="DI68" s="228">
        <v>36.159999999999997</v>
      </c>
      <c r="DJ68" s="228">
        <v>-6.05</v>
      </c>
      <c r="DK68" s="228">
        <v>-6.05</v>
      </c>
      <c r="DL68" s="228">
        <v>27.58</v>
      </c>
      <c r="DM68" s="228">
        <v>26.96</v>
      </c>
      <c r="DN68" s="228">
        <v>0.62</v>
      </c>
      <c r="DO68" s="228">
        <v>0.62</v>
      </c>
      <c r="DP68" s="228">
        <v>0.53</v>
      </c>
      <c r="DQ68" s="228">
        <v>0.48</v>
      </c>
      <c r="DR68" s="228">
        <v>0.05</v>
      </c>
      <c r="DS68" s="229">
        <v>0.1042</v>
      </c>
      <c r="DT68" s="228">
        <v>105</v>
      </c>
      <c r="DU68" s="228">
        <v>98</v>
      </c>
      <c r="DV68" s="228">
        <v>0.47</v>
      </c>
      <c r="DW68" s="228">
        <v>0.54</v>
      </c>
      <c r="DX68" s="228">
        <v>-7.0000000000000007E-2</v>
      </c>
      <c r="DY68" s="229">
        <v>-0.12959999999999999</v>
      </c>
      <c r="DZ68" s="229">
        <v>0.43590000000000001</v>
      </c>
      <c r="EA68" s="230">
        <v>46746450</v>
      </c>
      <c r="EB68" s="229">
        <v>5.1000000000000004E-3</v>
      </c>
      <c r="EC68" s="229">
        <v>0.43590000000000001</v>
      </c>
      <c r="ED68" s="228">
        <v>0.51</v>
      </c>
      <c r="EE68" s="229">
        <v>5.4000000000000003E-3</v>
      </c>
      <c r="EF68" s="230">
        <v>2268371</v>
      </c>
      <c r="EG68" s="230">
        <v>5312706</v>
      </c>
      <c r="EH68" s="229">
        <v>-0.57299999999999995</v>
      </c>
      <c r="EI68" s="229">
        <v>0.46439999999999998</v>
      </c>
      <c r="EJ68" s="231">
        <v>78858.52</v>
      </c>
      <c r="EK68" s="231">
        <v>36379.019999999997</v>
      </c>
      <c r="EL68" s="231">
        <v>80577.259999999995</v>
      </c>
      <c r="EM68" s="231">
        <v>6224</v>
      </c>
      <c r="EN68" s="231">
        <v>195814.8</v>
      </c>
      <c r="EO68" s="231">
        <v>272490.34999999998</v>
      </c>
      <c r="EP68" s="231">
        <v>-76675.55</v>
      </c>
      <c r="EQ68" s="229">
        <v>-0.28139999999999998</v>
      </c>
      <c r="ER68" s="231">
        <v>123812</v>
      </c>
      <c r="ES68" s="231">
        <v>60901</v>
      </c>
      <c r="ET68" s="231">
        <v>173425</v>
      </c>
      <c r="EU68" s="231">
        <v>534704421</v>
      </c>
      <c r="EV68" s="231">
        <v>358138</v>
      </c>
      <c r="EW68" s="231">
        <v>361399</v>
      </c>
      <c r="EX68" s="231">
        <v>-3261</v>
      </c>
      <c r="EY68" s="229">
        <v>-8.9999999999999993E-3</v>
      </c>
      <c r="EZ68" s="229">
        <v>0.67490000000000006</v>
      </c>
      <c r="FA68" s="227" t="s">
        <v>555</v>
      </c>
      <c r="FB68" s="161">
        <f t="shared" si="1"/>
        <v>79249950</v>
      </c>
    </row>
    <row r="69" spans="1:158" ht="17.25" hidden="1" thickBot="1" x14ac:dyDescent="0.3">
      <c r="A69" s="226">
        <v>46044</v>
      </c>
      <c r="B69" s="227" t="s">
        <v>168</v>
      </c>
      <c r="C69" s="227" t="s">
        <v>217</v>
      </c>
      <c r="D69" s="228">
        <v>500</v>
      </c>
      <c r="E69" s="231">
        <v>1249</v>
      </c>
      <c r="F69" s="231">
        <v>1223.5</v>
      </c>
      <c r="G69" s="228">
        <v>25.5</v>
      </c>
      <c r="H69" s="229">
        <v>2.0799999999999999E-2</v>
      </c>
      <c r="I69" s="231">
        <v>1246</v>
      </c>
      <c r="J69" s="231">
        <v>1222.5</v>
      </c>
      <c r="K69" s="228">
        <v>23.5</v>
      </c>
      <c r="L69" s="229">
        <v>1.9199999999999998E-2</v>
      </c>
      <c r="M69" s="231">
        <v>1249</v>
      </c>
      <c r="N69" s="231">
        <v>1223.5</v>
      </c>
      <c r="O69" s="228">
        <v>25.5</v>
      </c>
      <c r="P69" s="229">
        <v>2.0799999999999999E-2</v>
      </c>
      <c r="Q69" s="231">
        <v>1250.7</v>
      </c>
      <c r="R69" s="231">
        <v>1225.2</v>
      </c>
      <c r="S69" s="228">
        <v>25.5</v>
      </c>
      <c r="T69" s="229">
        <v>2.0799999999999999E-2</v>
      </c>
      <c r="U69" s="231">
        <v>1254</v>
      </c>
      <c r="V69" s="231">
        <v>1232.9000000000001</v>
      </c>
      <c r="W69" s="228">
        <v>21.1</v>
      </c>
      <c r="X69" s="229">
        <v>1.7100000000000001E-2</v>
      </c>
      <c r="Y69" s="228">
        <v>3</v>
      </c>
      <c r="Z69" s="228">
        <v>1</v>
      </c>
      <c r="AA69" s="228">
        <v>2</v>
      </c>
      <c r="AB69" s="229">
        <v>2.3999999999999998E-3</v>
      </c>
      <c r="AC69" s="228">
        <v>3</v>
      </c>
      <c r="AD69" s="228">
        <v>1</v>
      </c>
      <c r="AE69" s="228">
        <v>2</v>
      </c>
      <c r="AF69" s="229">
        <v>2.3999999999999998E-3</v>
      </c>
      <c r="AG69" s="228">
        <v>4.7</v>
      </c>
      <c r="AH69" s="228">
        <v>2.7</v>
      </c>
      <c r="AI69" s="228">
        <v>2</v>
      </c>
      <c r="AJ69" s="229">
        <v>3.8E-3</v>
      </c>
      <c r="AK69" s="228">
        <v>8</v>
      </c>
      <c r="AL69" s="228">
        <v>10.4</v>
      </c>
      <c r="AM69" s="228">
        <v>-2.4</v>
      </c>
      <c r="AN69" s="229">
        <v>6.4000000000000003E-3</v>
      </c>
      <c r="AO69" s="231">
        <v>1238.3599999999999</v>
      </c>
      <c r="AP69" s="231">
        <v>1239.97</v>
      </c>
      <c r="AQ69" s="228">
        <v>0</v>
      </c>
      <c r="AR69" s="230">
        <v>8206000</v>
      </c>
      <c r="AS69" s="230">
        <v>5759500</v>
      </c>
      <c r="AT69" s="230">
        <v>2446500</v>
      </c>
      <c r="AU69" s="229">
        <v>0.42480000000000001</v>
      </c>
      <c r="AV69" s="230">
        <v>4118000</v>
      </c>
      <c r="AW69" s="230">
        <v>3129500</v>
      </c>
      <c r="AX69" s="230">
        <v>988500</v>
      </c>
      <c r="AY69" s="229">
        <v>0.31590000000000001</v>
      </c>
      <c r="AZ69" s="230">
        <v>4086000</v>
      </c>
      <c r="BA69" s="230">
        <v>2626000</v>
      </c>
      <c r="BB69" s="230">
        <v>1460000</v>
      </c>
      <c r="BC69" s="229">
        <v>0.55600000000000005</v>
      </c>
      <c r="BD69" s="230">
        <v>2000</v>
      </c>
      <c r="BE69" s="230">
        <v>4000</v>
      </c>
      <c r="BF69" s="230">
        <v>-2000</v>
      </c>
      <c r="BG69" s="229">
        <v>-0.5</v>
      </c>
      <c r="BH69" s="230">
        <v>3721000</v>
      </c>
      <c r="BI69" s="230">
        <v>2503500</v>
      </c>
      <c r="BJ69" s="230">
        <v>1217500</v>
      </c>
      <c r="BK69" s="229">
        <v>0.48630000000000001</v>
      </c>
      <c r="BL69" s="230">
        <v>2044000</v>
      </c>
      <c r="BM69" s="230">
        <v>1796500</v>
      </c>
      <c r="BN69" s="230">
        <v>247500</v>
      </c>
      <c r="BO69" s="229">
        <v>0.13780000000000001</v>
      </c>
      <c r="BP69" s="230">
        <v>13971000</v>
      </c>
      <c r="BQ69" s="230">
        <v>10059500</v>
      </c>
      <c r="BR69" s="230">
        <v>3911500</v>
      </c>
      <c r="BS69" s="229">
        <v>0.38879999999999998</v>
      </c>
      <c r="BT69" s="230">
        <v>1024351</v>
      </c>
      <c r="BU69" s="230">
        <v>404603</v>
      </c>
      <c r="BV69" s="230">
        <v>619748</v>
      </c>
      <c r="BW69" s="229">
        <v>1.5317000000000001</v>
      </c>
      <c r="BX69" s="230">
        <v>8809000</v>
      </c>
      <c r="BY69" s="230">
        <v>8730500</v>
      </c>
      <c r="BZ69" s="230">
        <v>78500</v>
      </c>
      <c r="CA69" s="229">
        <v>8.9999999999999993E-3</v>
      </c>
      <c r="CB69" s="230">
        <v>3515000</v>
      </c>
      <c r="CC69" s="230">
        <v>6628500</v>
      </c>
      <c r="CD69" s="230">
        <v>-3113500</v>
      </c>
      <c r="CE69" s="229">
        <v>-0.46970000000000001</v>
      </c>
      <c r="CF69" s="230">
        <v>5284000</v>
      </c>
      <c r="CG69" s="230">
        <v>2093000</v>
      </c>
      <c r="CH69" s="230">
        <v>3191000</v>
      </c>
      <c r="CI69" s="229">
        <v>1.5246</v>
      </c>
      <c r="CJ69" s="230">
        <v>10000</v>
      </c>
      <c r="CK69" s="230">
        <v>9000</v>
      </c>
      <c r="CL69" s="230">
        <v>1000</v>
      </c>
      <c r="CM69" s="229">
        <v>0.1111</v>
      </c>
      <c r="CN69" s="230">
        <v>1881500</v>
      </c>
      <c r="CO69" s="230">
        <v>2193500</v>
      </c>
      <c r="CP69" s="230">
        <v>-312000</v>
      </c>
      <c r="CQ69" s="229">
        <v>-0.14219999999999999</v>
      </c>
      <c r="CR69" s="230">
        <v>1279000</v>
      </c>
      <c r="CS69" s="230">
        <v>1380500</v>
      </c>
      <c r="CT69" s="230">
        <v>-101500</v>
      </c>
      <c r="CU69" s="229">
        <v>-7.3499999999999996E-2</v>
      </c>
      <c r="CV69" s="230">
        <v>11969500</v>
      </c>
      <c r="CW69" s="230">
        <v>12304500</v>
      </c>
      <c r="CX69" s="230">
        <v>-335000</v>
      </c>
      <c r="CY69" s="229">
        <v>-2.7199999999999998E-2</v>
      </c>
      <c r="CZ69" s="228">
        <v>26.48</v>
      </c>
      <c r="DA69" s="228">
        <v>29.21</v>
      </c>
      <c r="DB69" s="228">
        <v>-2.73</v>
      </c>
      <c r="DC69" s="228">
        <v>-2.73</v>
      </c>
      <c r="DD69" s="228">
        <v>27.7</v>
      </c>
      <c r="DE69" s="228">
        <v>27.65</v>
      </c>
      <c r="DF69" s="228">
        <v>-1.22</v>
      </c>
      <c r="DG69" s="228">
        <v>0.05</v>
      </c>
      <c r="DH69" s="228">
        <v>26.33</v>
      </c>
      <c r="DI69" s="228">
        <v>29.15</v>
      </c>
      <c r="DJ69" s="228">
        <v>-2.82</v>
      </c>
      <c r="DK69" s="228">
        <v>-2.82</v>
      </c>
      <c r="DL69" s="228">
        <v>26.91</v>
      </c>
      <c r="DM69" s="228">
        <v>29.3</v>
      </c>
      <c r="DN69" s="228">
        <v>-2.39</v>
      </c>
      <c r="DO69" s="228">
        <v>-2.39</v>
      </c>
      <c r="DP69" s="228">
        <v>0.68</v>
      </c>
      <c r="DQ69" s="228">
        <v>0.63</v>
      </c>
      <c r="DR69" s="228">
        <v>0.05</v>
      </c>
      <c r="DS69" s="229">
        <v>7.9399999999999998E-2</v>
      </c>
      <c r="DT69" s="231">
        <v>1300</v>
      </c>
      <c r="DU69" s="231">
        <v>1170</v>
      </c>
      <c r="DV69" s="228">
        <v>0.55000000000000004</v>
      </c>
      <c r="DW69" s="228">
        <v>0.72</v>
      </c>
      <c r="DX69" s="228">
        <v>-0.17</v>
      </c>
      <c r="DY69" s="229">
        <v>-0.2361</v>
      </c>
      <c r="DZ69" s="229">
        <v>0.60099999999999998</v>
      </c>
      <c r="EA69" s="230">
        <v>2102000</v>
      </c>
      <c r="EB69" s="229">
        <v>1.4E-3</v>
      </c>
      <c r="EC69" s="229">
        <v>0.60099999999999998</v>
      </c>
      <c r="ED69" s="228">
        <v>1.61</v>
      </c>
      <c r="EE69" s="229">
        <v>1.2999999999999999E-3</v>
      </c>
      <c r="EF69" s="230">
        <v>650779</v>
      </c>
      <c r="EG69" s="230">
        <v>167641</v>
      </c>
      <c r="EH69" s="229">
        <v>2.8820000000000001</v>
      </c>
      <c r="EI69" s="229">
        <v>0.63529999999999998</v>
      </c>
      <c r="EJ69" s="231">
        <v>47660.39</v>
      </c>
      <c r="EK69" s="231">
        <v>25113.27</v>
      </c>
      <c r="EL69" s="231">
        <v>101685.65</v>
      </c>
      <c r="EM69" s="231">
        <v>4986</v>
      </c>
      <c r="EN69" s="231">
        <v>174459.31</v>
      </c>
      <c r="EO69" s="231">
        <v>124825.74</v>
      </c>
      <c r="EP69" s="231">
        <v>49633.57</v>
      </c>
      <c r="EQ69" s="229">
        <v>0.39760000000000001</v>
      </c>
      <c r="ER69" s="231">
        <v>24336</v>
      </c>
      <c r="ES69" s="231">
        <v>15240</v>
      </c>
      <c r="ET69" s="231">
        <v>110115</v>
      </c>
      <c r="EU69" s="231">
        <v>72031016</v>
      </c>
      <c r="EV69" s="231">
        <v>149691</v>
      </c>
      <c r="EW69" s="231">
        <v>151519</v>
      </c>
      <c r="EX69" s="231">
        <v>-1828</v>
      </c>
      <c r="EY69" s="229">
        <v>-1.21E-2</v>
      </c>
      <c r="EZ69" s="229">
        <v>0.16619999999999999</v>
      </c>
      <c r="FA69" s="227" t="s">
        <v>555</v>
      </c>
      <c r="FB69" s="161">
        <f t="shared" si="1"/>
        <v>5294000</v>
      </c>
    </row>
    <row r="70" spans="1:158" ht="17.25" hidden="1" thickBot="1" x14ac:dyDescent="0.3">
      <c r="A70" s="226">
        <v>46044</v>
      </c>
      <c r="B70" s="227" t="s">
        <v>206</v>
      </c>
      <c r="C70" s="227" t="s">
        <v>218</v>
      </c>
      <c r="D70" s="228">
        <v>275</v>
      </c>
      <c r="E70" s="231">
        <v>1623.5</v>
      </c>
      <c r="F70" s="231">
        <v>1648.5</v>
      </c>
      <c r="G70" s="228">
        <v>-25</v>
      </c>
      <c r="H70" s="229">
        <v>-1.52E-2</v>
      </c>
      <c r="I70" s="231">
        <v>1620.4</v>
      </c>
      <c r="J70" s="231">
        <v>1644.4</v>
      </c>
      <c r="K70" s="228">
        <v>-24</v>
      </c>
      <c r="L70" s="229">
        <v>-1.46E-2</v>
      </c>
      <c r="M70" s="231">
        <v>1623.5</v>
      </c>
      <c r="N70" s="231">
        <v>1648.5</v>
      </c>
      <c r="O70" s="228">
        <v>-25</v>
      </c>
      <c r="P70" s="229">
        <v>-1.52E-2</v>
      </c>
      <c r="Q70" s="231">
        <v>1631.9</v>
      </c>
      <c r="R70" s="231">
        <v>1657.1</v>
      </c>
      <c r="S70" s="228">
        <v>-25.2</v>
      </c>
      <c r="T70" s="229">
        <v>-1.52E-2</v>
      </c>
      <c r="U70" s="231">
        <v>1642.8</v>
      </c>
      <c r="V70" s="231">
        <v>1667</v>
      </c>
      <c r="W70" s="228">
        <v>-24.2</v>
      </c>
      <c r="X70" s="229">
        <v>-1.4500000000000001E-2</v>
      </c>
      <c r="Y70" s="228">
        <v>3.1</v>
      </c>
      <c r="Z70" s="228">
        <v>4.0999999999999996</v>
      </c>
      <c r="AA70" s="228">
        <v>-1</v>
      </c>
      <c r="AB70" s="229">
        <v>1.9E-3</v>
      </c>
      <c r="AC70" s="228">
        <v>3.1</v>
      </c>
      <c r="AD70" s="228">
        <v>4.0999999999999996</v>
      </c>
      <c r="AE70" s="228">
        <v>-1</v>
      </c>
      <c r="AF70" s="229">
        <v>1.9E-3</v>
      </c>
      <c r="AG70" s="228">
        <v>11.5</v>
      </c>
      <c r="AH70" s="228">
        <v>12.7</v>
      </c>
      <c r="AI70" s="228">
        <v>-1.2</v>
      </c>
      <c r="AJ70" s="229">
        <v>7.1000000000000004E-3</v>
      </c>
      <c r="AK70" s="228">
        <v>22.4</v>
      </c>
      <c r="AL70" s="228">
        <v>22.6</v>
      </c>
      <c r="AM70" s="228">
        <v>-0.2</v>
      </c>
      <c r="AN70" s="229">
        <v>1.38E-2</v>
      </c>
      <c r="AO70" s="231">
        <v>1630.36</v>
      </c>
      <c r="AP70" s="231">
        <v>1638.05</v>
      </c>
      <c r="AQ70" s="228">
        <v>0</v>
      </c>
      <c r="AR70" s="230">
        <v>8340750</v>
      </c>
      <c r="AS70" s="230">
        <v>7333425</v>
      </c>
      <c r="AT70" s="230">
        <v>1007325</v>
      </c>
      <c r="AU70" s="229">
        <v>0.13739999999999999</v>
      </c>
      <c r="AV70" s="230">
        <v>3981175</v>
      </c>
      <c r="AW70" s="230">
        <v>3720200</v>
      </c>
      <c r="AX70" s="230">
        <v>260975</v>
      </c>
      <c r="AY70" s="229">
        <v>7.0199999999999999E-2</v>
      </c>
      <c r="AZ70" s="230">
        <v>4302650</v>
      </c>
      <c r="BA70" s="230">
        <v>3559325</v>
      </c>
      <c r="BB70" s="230">
        <v>743325</v>
      </c>
      <c r="BC70" s="229">
        <v>0.20880000000000001</v>
      </c>
      <c r="BD70" s="230">
        <v>56925</v>
      </c>
      <c r="BE70" s="230">
        <v>53900</v>
      </c>
      <c r="BF70" s="230">
        <v>3025</v>
      </c>
      <c r="BG70" s="229">
        <v>5.6099999999999997E-2</v>
      </c>
      <c r="BH70" s="230">
        <v>9419575</v>
      </c>
      <c r="BI70" s="230">
        <v>15168450</v>
      </c>
      <c r="BJ70" s="230">
        <v>-5748875</v>
      </c>
      <c r="BK70" s="229">
        <v>-0.379</v>
      </c>
      <c r="BL70" s="230">
        <v>5832475</v>
      </c>
      <c r="BM70" s="230">
        <v>9747650</v>
      </c>
      <c r="BN70" s="230">
        <v>-3915175</v>
      </c>
      <c r="BO70" s="229">
        <v>-0.4017</v>
      </c>
      <c r="BP70" s="230">
        <v>23592800</v>
      </c>
      <c r="BQ70" s="230">
        <v>32249525</v>
      </c>
      <c r="BR70" s="230">
        <v>-8656725</v>
      </c>
      <c r="BS70" s="229">
        <v>-0.26840000000000003</v>
      </c>
      <c r="BT70" s="230">
        <v>1573345</v>
      </c>
      <c r="BU70" s="230">
        <v>2898376</v>
      </c>
      <c r="BV70" s="230">
        <v>-1325031</v>
      </c>
      <c r="BW70" s="229">
        <v>-0.4572</v>
      </c>
      <c r="BX70" s="230">
        <v>11694925</v>
      </c>
      <c r="BY70" s="230">
        <v>11323950</v>
      </c>
      <c r="BZ70" s="230">
        <v>370975</v>
      </c>
      <c r="CA70" s="229">
        <v>3.2800000000000003E-2</v>
      </c>
      <c r="CB70" s="230">
        <v>4653275</v>
      </c>
      <c r="CC70" s="230">
        <v>7499525</v>
      </c>
      <c r="CD70" s="230">
        <v>-2846250</v>
      </c>
      <c r="CE70" s="229">
        <v>-0.3795</v>
      </c>
      <c r="CF70" s="230">
        <v>6895350</v>
      </c>
      <c r="CG70" s="230">
        <v>3694900</v>
      </c>
      <c r="CH70" s="230">
        <v>3200450</v>
      </c>
      <c r="CI70" s="229">
        <v>0.86619999999999997</v>
      </c>
      <c r="CJ70" s="230">
        <v>146300</v>
      </c>
      <c r="CK70" s="230">
        <v>129525</v>
      </c>
      <c r="CL70" s="230">
        <v>16775</v>
      </c>
      <c r="CM70" s="229">
        <v>0.1295</v>
      </c>
      <c r="CN70" s="230">
        <v>7253400</v>
      </c>
      <c r="CO70" s="230">
        <v>7247625</v>
      </c>
      <c r="CP70" s="230">
        <v>5775</v>
      </c>
      <c r="CQ70" s="229">
        <v>8.0000000000000004E-4</v>
      </c>
      <c r="CR70" s="230">
        <v>4338950</v>
      </c>
      <c r="CS70" s="230">
        <v>4259200</v>
      </c>
      <c r="CT70" s="230">
        <v>79750</v>
      </c>
      <c r="CU70" s="229">
        <v>1.8700000000000001E-2</v>
      </c>
      <c r="CV70" s="230">
        <v>23287275</v>
      </c>
      <c r="CW70" s="230">
        <v>22830775</v>
      </c>
      <c r="CX70" s="230">
        <v>456500</v>
      </c>
      <c r="CY70" s="229">
        <v>0.02</v>
      </c>
      <c r="CZ70" s="228">
        <v>45.51</v>
      </c>
      <c r="DA70" s="228">
        <v>40.619999999999997</v>
      </c>
      <c r="DB70" s="228">
        <v>4.8899999999999997</v>
      </c>
      <c r="DC70" s="228">
        <v>4.8899999999999997</v>
      </c>
      <c r="DD70" s="228">
        <v>42.99</v>
      </c>
      <c r="DE70" s="228">
        <v>43.05</v>
      </c>
      <c r="DF70" s="228">
        <v>2.52</v>
      </c>
      <c r="DG70" s="228">
        <v>-0.06</v>
      </c>
      <c r="DH70" s="228">
        <v>46.13</v>
      </c>
      <c r="DI70" s="228">
        <v>42.06</v>
      </c>
      <c r="DJ70" s="228">
        <v>4.07</v>
      </c>
      <c r="DK70" s="228">
        <v>4.07</v>
      </c>
      <c r="DL70" s="228">
        <v>44.46</v>
      </c>
      <c r="DM70" s="228">
        <v>38.380000000000003</v>
      </c>
      <c r="DN70" s="228">
        <v>6.08</v>
      </c>
      <c r="DO70" s="228">
        <v>6.08</v>
      </c>
      <c r="DP70" s="228">
        <v>0.6</v>
      </c>
      <c r="DQ70" s="228">
        <v>0.59</v>
      </c>
      <c r="DR70" s="228">
        <v>0.01</v>
      </c>
      <c r="DS70" s="229">
        <v>1.6899999999999998E-2</v>
      </c>
      <c r="DT70" s="231">
        <v>1900</v>
      </c>
      <c r="DU70" s="231">
        <v>1900</v>
      </c>
      <c r="DV70" s="228">
        <v>0.62</v>
      </c>
      <c r="DW70" s="228">
        <v>0.64</v>
      </c>
      <c r="DX70" s="228">
        <v>-0.02</v>
      </c>
      <c r="DY70" s="229">
        <v>-3.1300000000000001E-2</v>
      </c>
      <c r="DZ70" s="229">
        <v>0.60209999999999997</v>
      </c>
      <c r="EA70" s="230">
        <v>3824425</v>
      </c>
      <c r="EB70" s="229">
        <v>5.1999999999999998E-3</v>
      </c>
      <c r="EC70" s="229">
        <v>0.60209999999999997</v>
      </c>
      <c r="ED70" s="228">
        <v>7.69</v>
      </c>
      <c r="EE70" s="229">
        <v>4.7000000000000002E-3</v>
      </c>
      <c r="EF70" s="230">
        <v>757667</v>
      </c>
      <c r="EG70" s="230">
        <v>1361905</v>
      </c>
      <c r="EH70" s="229">
        <v>-0.44369999999999998</v>
      </c>
      <c r="EI70" s="229">
        <v>0.48159999999999997</v>
      </c>
      <c r="EJ70" s="231">
        <v>165808.12</v>
      </c>
      <c r="EK70" s="231">
        <v>96525.08</v>
      </c>
      <c r="EL70" s="231">
        <v>136327.28</v>
      </c>
      <c r="EM70" s="231">
        <v>14313</v>
      </c>
      <c r="EN70" s="231">
        <v>398660.48</v>
      </c>
      <c r="EO70" s="231">
        <v>556002.89</v>
      </c>
      <c r="EP70" s="231">
        <v>-157342.41</v>
      </c>
      <c r="EQ70" s="229">
        <v>-0.28299999999999997</v>
      </c>
      <c r="ER70" s="231">
        <v>139246</v>
      </c>
      <c r="ES70" s="231">
        <v>79099</v>
      </c>
      <c r="ET70" s="231">
        <v>190475</v>
      </c>
      <c r="EU70" s="231">
        <v>17263909</v>
      </c>
      <c r="EV70" s="231">
        <v>408819</v>
      </c>
      <c r="EW70" s="231">
        <v>405537</v>
      </c>
      <c r="EX70" s="231">
        <v>3282</v>
      </c>
      <c r="EY70" s="229">
        <v>8.0999999999999996E-3</v>
      </c>
      <c r="EZ70" s="229">
        <v>1.3489</v>
      </c>
      <c r="FA70" s="227" t="s">
        <v>567</v>
      </c>
      <c r="FB70" s="161">
        <f t="shared" si="1"/>
        <v>7041650</v>
      </c>
    </row>
    <row r="71" spans="1:158" ht="17.25" hidden="1" thickBot="1" x14ac:dyDescent="0.3">
      <c r="A71" s="226">
        <v>46044</v>
      </c>
      <c r="B71" s="227" t="s">
        <v>157</v>
      </c>
      <c r="C71" s="227" t="s">
        <v>219</v>
      </c>
      <c r="D71" s="228">
        <v>250</v>
      </c>
      <c r="E71" s="231">
        <v>2793</v>
      </c>
      <c r="F71" s="231">
        <v>2737.7</v>
      </c>
      <c r="G71" s="228">
        <v>55.3</v>
      </c>
      <c r="H71" s="229">
        <v>2.0199999999999999E-2</v>
      </c>
      <c r="I71" s="231">
        <v>2787.6</v>
      </c>
      <c r="J71" s="231">
        <v>2735.6</v>
      </c>
      <c r="K71" s="228">
        <v>52</v>
      </c>
      <c r="L71" s="229">
        <v>1.9E-2</v>
      </c>
      <c r="M71" s="231">
        <v>2793</v>
      </c>
      <c r="N71" s="231">
        <v>2737.7</v>
      </c>
      <c r="O71" s="228">
        <v>55.3</v>
      </c>
      <c r="P71" s="229">
        <v>2.0199999999999999E-2</v>
      </c>
      <c r="Q71" s="231">
        <v>2808.6</v>
      </c>
      <c r="R71" s="231">
        <v>2752.8</v>
      </c>
      <c r="S71" s="228">
        <v>55.8</v>
      </c>
      <c r="T71" s="229">
        <v>2.0299999999999999E-2</v>
      </c>
      <c r="U71" s="231">
        <v>2816.3</v>
      </c>
      <c r="V71" s="231">
        <v>2761.8</v>
      </c>
      <c r="W71" s="228">
        <v>54.5</v>
      </c>
      <c r="X71" s="229">
        <v>1.9699999999999999E-2</v>
      </c>
      <c r="Y71" s="228">
        <v>5.4</v>
      </c>
      <c r="Z71" s="228">
        <v>2.1</v>
      </c>
      <c r="AA71" s="228">
        <v>3.3</v>
      </c>
      <c r="AB71" s="229">
        <v>1.9E-3</v>
      </c>
      <c r="AC71" s="228">
        <v>5.4</v>
      </c>
      <c r="AD71" s="228">
        <v>2.1</v>
      </c>
      <c r="AE71" s="228">
        <v>3.3</v>
      </c>
      <c r="AF71" s="229">
        <v>1.9E-3</v>
      </c>
      <c r="AG71" s="228">
        <v>21</v>
      </c>
      <c r="AH71" s="228">
        <v>17.2</v>
      </c>
      <c r="AI71" s="228">
        <v>3.8</v>
      </c>
      <c r="AJ71" s="229">
        <v>7.4999999999999997E-3</v>
      </c>
      <c r="AK71" s="228">
        <v>28.7</v>
      </c>
      <c r="AL71" s="228">
        <v>26.2</v>
      </c>
      <c r="AM71" s="228">
        <v>2.5</v>
      </c>
      <c r="AN71" s="229">
        <v>1.03E-2</v>
      </c>
      <c r="AO71" s="231">
        <v>2780.06</v>
      </c>
      <c r="AP71" s="231">
        <v>2795.66</v>
      </c>
      <c r="AQ71" s="228">
        <v>0</v>
      </c>
      <c r="AR71" s="230">
        <v>11851000</v>
      </c>
      <c r="AS71" s="230">
        <v>7687000</v>
      </c>
      <c r="AT71" s="230">
        <v>4164000</v>
      </c>
      <c r="AU71" s="229">
        <v>0.54169999999999996</v>
      </c>
      <c r="AV71" s="230">
        <v>5890000</v>
      </c>
      <c r="AW71" s="230">
        <v>4115000</v>
      </c>
      <c r="AX71" s="230">
        <v>1775000</v>
      </c>
      <c r="AY71" s="229">
        <v>0.43130000000000002</v>
      </c>
      <c r="AZ71" s="230">
        <v>5957750</v>
      </c>
      <c r="BA71" s="230">
        <v>3563500</v>
      </c>
      <c r="BB71" s="230">
        <v>2394250</v>
      </c>
      <c r="BC71" s="229">
        <v>0.67190000000000005</v>
      </c>
      <c r="BD71" s="230">
        <v>3250</v>
      </c>
      <c r="BE71" s="230">
        <v>8500</v>
      </c>
      <c r="BF71" s="230">
        <v>-5250</v>
      </c>
      <c r="BG71" s="229">
        <v>-0.61760000000000004</v>
      </c>
      <c r="BH71" s="230">
        <v>2232000</v>
      </c>
      <c r="BI71" s="230">
        <v>2650500</v>
      </c>
      <c r="BJ71" s="230">
        <v>-418500</v>
      </c>
      <c r="BK71" s="229">
        <v>-0.15790000000000001</v>
      </c>
      <c r="BL71" s="230">
        <v>1622250</v>
      </c>
      <c r="BM71" s="230">
        <v>1620250</v>
      </c>
      <c r="BN71" s="230">
        <v>2000</v>
      </c>
      <c r="BO71" s="229">
        <v>1.1999999999999999E-3</v>
      </c>
      <c r="BP71" s="230">
        <v>15705250</v>
      </c>
      <c r="BQ71" s="230">
        <v>11957750</v>
      </c>
      <c r="BR71" s="230">
        <v>3747500</v>
      </c>
      <c r="BS71" s="229">
        <v>0.31340000000000001</v>
      </c>
      <c r="BT71" s="230">
        <v>907051</v>
      </c>
      <c r="BU71" s="230">
        <v>948988</v>
      </c>
      <c r="BV71" s="230">
        <v>-41937</v>
      </c>
      <c r="BW71" s="229">
        <v>-4.4200000000000003E-2</v>
      </c>
      <c r="BX71" s="230">
        <v>16800250</v>
      </c>
      <c r="BY71" s="230">
        <v>16902500</v>
      </c>
      <c r="BZ71" s="230">
        <v>-102250</v>
      </c>
      <c r="CA71" s="229">
        <v>-6.0000000000000001E-3</v>
      </c>
      <c r="CB71" s="230">
        <v>5055750</v>
      </c>
      <c r="CC71" s="230">
        <v>10325250</v>
      </c>
      <c r="CD71" s="230">
        <v>-5269500</v>
      </c>
      <c r="CE71" s="229">
        <v>-0.51039999999999996</v>
      </c>
      <c r="CF71" s="230">
        <v>11684500</v>
      </c>
      <c r="CG71" s="230">
        <v>6519000</v>
      </c>
      <c r="CH71" s="230">
        <v>5165500</v>
      </c>
      <c r="CI71" s="229">
        <v>0.79239999999999999</v>
      </c>
      <c r="CJ71" s="230">
        <v>60000</v>
      </c>
      <c r="CK71" s="230">
        <v>58250</v>
      </c>
      <c r="CL71" s="230">
        <v>1750</v>
      </c>
      <c r="CM71" s="229">
        <v>0.03</v>
      </c>
      <c r="CN71" s="230">
        <v>1528000</v>
      </c>
      <c r="CO71" s="230">
        <v>1658000</v>
      </c>
      <c r="CP71" s="230">
        <v>-130000</v>
      </c>
      <c r="CQ71" s="229">
        <v>-7.8399999999999997E-2</v>
      </c>
      <c r="CR71" s="230">
        <v>1550250</v>
      </c>
      <c r="CS71" s="230">
        <v>1607000</v>
      </c>
      <c r="CT71" s="230">
        <v>-56750</v>
      </c>
      <c r="CU71" s="229">
        <v>-3.5299999999999998E-2</v>
      </c>
      <c r="CV71" s="230">
        <v>19878500</v>
      </c>
      <c r="CW71" s="230">
        <v>20167500</v>
      </c>
      <c r="CX71" s="230">
        <v>-289000</v>
      </c>
      <c r="CY71" s="229">
        <v>-1.43E-2</v>
      </c>
      <c r="CZ71" s="228">
        <v>21.11</v>
      </c>
      <c r="DA71" s="228">
        <v>18.32</v>
      </c>
      <c r="DB71" s="228">
        <v>2.79</v>
      </c>
      <c r="DC71" s="228">
        <v>2.79</v>
      </c>
      <c r="DD71" s="228">
        <v>24.9</v>
      </c>
      <c r="DE71" s="228">
        <v>24.82</v>
      </c>
      <c r="DF71" s="228">
        <v>-3.79</v>
      </c>
      <c r="DG71" s="228">
        <v>0.08</v>
      </c>
      <c r="DH71" s="228">
        <v>20.94</v>
      </c>
      <c r="DI71" s="228">
        <v>18.809999999999999</v>
      </c>
      <c r="DJ71" s="228">
        <v>2.13</v>
      </c>
      <c r="DK71" s="228">
        <v>2.13</v>
      </c>
      <c r="DL71" s="228">
        <v>21.28</v>
      </c>
      <c r="DM71" s="228">
        <v>17.52</v>
      </c>
      <c r="DN71" s="228">
        <v>3.76</v>
      </c>
      <c r="DO71" s="228">
        <v>3.76</v>
      </c>
      <c r="DP71" s="228">
        <v>1.01</v>
      </c>
      <c r="DQ71" s="228">
        <v>0.97</v>
      </c>
      <c r="DR71" s="228">
        <v>0.04</v>
      </c>
      <c r="DS71" s="229">
        <v>4.1200000000000001E-2</v>
      </c>
      <c r="DT71" s="231">
        <v>2900</v>
      </c>
      <c r="DU71" s="231">
        <v>2600</v>
      </c>
      <c r="DV71" s="228">
        <v>0.73</v>
      </c>
      <c r="DW71" s="228">
        <v>0.61</v>
      </c>
      <c r="DX71" s="228">
        <v>0.12</v>
      </c>
      <c r="DY71" s="229">
        <v>0.19670000000000001</v>
      </c>
      <c r="DZ71" s="229">
        <v>0.69910000000000005</v>
      </c>
      <c r="EA71" s="230">
        <v>6577250</v>
      </c>
      <c r="EB71" s="229">
        <v>5.5999999999999999E-3</v>
      </c>
      <c r="EC71" s="229">
        <v>0.69910000000000005</v>
      </c>
      <c r="ED71" s="228">
        <v>15.6</v>
      </c>
      <c r="EE71" s="229">
        <v>5.5999999999999999E-3</v>
      </c>
      <c r="EF71" s="230">
        <v>531285</v>
      </c>
      <c r="EG71" s="230">
        <v>478564</v>
      </c>
      <c r="EH71" s="229">
        <v>0.11020000000000001</v>
      </c>
      <c r="EI71" s="229">
        <v>0.5857</v>
      </c>
      <c r="EJ71" s="231">
        <v>63473.31</v>
      </c>
      <c r="EK71" s="231">
        <v>44717.85</v>
      </c>
      <c r="EL71" s="231">
        <v>330395.69</v>
      </c>
      <c r="EM71" s="231">
        <v>16554</v>
      </c>
      <c r="EN71" s="231">
        <v>438586.85</v>
      </c>
      <c r="EO71" s="231">
        <v>329285.93</v>
      </c>
      <c r="EP71" s="231">
        <v>109300.92</v>
      </c>
      <c r="EQ71" s="229">
        <v>0.33189999999999997</v>
      </c>
      <c r="ER71" s="231">
        <v>44500</v>
      </c>
      <c r="ES71" s="231">
        <v>42382</v>
      </c>
      <c r="ET71" s="231">
        <v>471068</v>
      </c>
      <c r="EU71" s="231">
        <v>38505832</v>
      </c>
      <c r="EV71" s="231">
        <v>557950</v>
      </c>
      <c r="EW71" s="231">
        <v>555849</v>
      </c>
      <c r="EX71" s="231">
        <v>2101</v>
      </c>
      <c r="EY71" s="229">
        <v>3.8E-3</v>
      </c>
      <c r="EZ71" s="229">
        <v>0.51619999999999999</v>
      </c>
      <c r="FA71" s="227" t="s">
        <v>556</v>
      </c>
      <c r="FB71" s="161">
        <f t="shared" si="1"/>
        <v>11744500</v>
      </c>
    </row>
    <row r="72" spans="1:158" ht="17.25" hidden="1" thickBot="1" x14ac:dyDescent="0.3">
      <c r="A72" s="226">
        <v>46044</v>
      </c>
      <c r="B72" s="227" t="s">
        <v>184</v>
      </c>
      <c r="C72" s="227" t="s">
        <v>513</v>
      </c>
      <c r="D72" s="228">
        <v>150</v>
      </c>
      <c r="E72" s="231">
        <v>4350.1000000000004</v>
      </c>
      <c r="F72" s="231">
        <v>4256.3999999999996</v>
      </c>
      <c r="G72" s="228">
        <v>93.7</v>
      </c>
      <c r="H72" s="229">
        <v>2.1999999999999999E-2</v>
      </c>
      <c r="I72" s="231">
        <v>4353.2</v>
      </c>
      <c r="J72" s="231">
        <v>4259.3999999999996</v>
      </c>
      <c r="K72" s="228">
        <v>93.8</v>
      </c>
      <c r="L72" s="229">
        <v>2.1999999999999999E-2</v>
      </c>
      <c r="M72" s="231">
        <v>4350.1000000000004</v>
      </c>
      <c r="N72" s="231">
        <v>4256.3999999999996</v>
      </c>
      <c r="O72" s="228">
        <v>93.7</v>
      </c>
      <c r="P72" s="229">
        <v>2.1999999999999999E-2</v>
      </c>
      <c r="Q72" s="231">
        <v>4354.3</v>
      </c>
      <c r="R72" s="231">
        <v>4264.6000000000004</v>
      </c>
      <c r="S72" s="228">
        <v>89.7</v>
      </c>
      <c r="T72" s="229">
        <v>2.1000000000000001E-2</v>
      </c>
      <c r="U72" s="231">
        <v>4372.3999999999996</v>
      </c>
      <c r="V72" s="231">
        <v>4282.3</v>
      </c>
      <c r="W72" s="228">
        <v>90.1</v>
      </c>
      <c r="X72" s="229">
        <v>2.1000000000000001E-2</v>
      </c>
      <c r="Y72" s="228">
        <v>-3.1</v>
      </c>
      <c r="Z72" s="228">
        <v>-3</v>
      </c>
      <c r="AA72" s="228">
        <v>-0.1</v>
      </c>
      <c r="AB72" s="229">
        <v>-6.9999999999999999E-4</v>
      </c>
      <c r="AC72" s="228">
        <v>-3.1</v>
      </c>
      <c r="AD72" s="228">
        <v>-3</v>
      </c>
      <c r="AE72" s="228">
        <v>-0.1</v>
      </c>
      <c r="AF72" s="229">
        <v>-6.9999999999999999E-4</v>
      </c>
      <c r="AG72" s="228">
        <v>1.1000000000000001</v>
      </c>
      <c r="AH72" s="228">
        <v>5.2</v>
      </c>
      <c r="AI72" s="228">
        <v>-4.0999999999999996</v>
      </c>
      <c r="AJ72" s="229">
        <v>2.9999999999999997E-4</v>
      </c>
      <c r="AK72" s="228">
        <v>19.2</v>
      </c>
      <c r="AL72" s="228">
        <v>22.9</v>
      </c>
      <c r="AM72" s="228">
        <v>-3.7</v>
      </c>
      <c r="AN72" s="229">
        <v>4.4000000000000003E-3</v>
      </c>
      <c r="AO72" s="231">
        <v>4327.26</v>
      </c>
      <c r="AP72" s="231">
        <v>4332.79</v>
      </c>
      <c r="AQ72" s="228">
        <v>0</v>
      </c>
      <c r="AR72" s="230">
        <v>4592100</v>
      </c>
      <c r="AS72" s="230">
        <v>3522750</v>
      </c>
      <c r="AT72" s="230">
        <v>1069350</v>
      </c>
      <c r="AU72" s="229">
        <v>0.30359999999999998</v>
      </c>
      <c r="AV72" s="230">
        <v>2342550</v>
      </c>
      <c r="AW72" s="230">
        <v>1963950</v>
      </c>
      <c r="AX72" s="230">
        <v>378600</v>
      </c>
      <c r="AY72" s="229">
        <v>0.1928</v>
      </c>
      <c r="AZ72" s="230">
        <v>2148300</v>
      </c>
      <c r="BA72" s="230">
        <v>1494600</v>
      </c>
      <c r="BB72" s="230">
        <v>653700</v>
      </c>
      <c r="BC72" s="229">
        <v>0.43740000000000001</v>
      </c>
      <c r="BD72" s="230">
        <v>101250</v>
      </c>
      <c r="BE72" s="230">
        <v>64200</v>
      </c>
      <c r="BF72" s="230">
        <v>37050</v>
      </c>
      <c r="BG72" s="229">
        <v>0.57709999999999995</v>
      </c>
      <c r="BH72" s="230">
        <v>10887600</v>
      </c>
      <c r="BI72" s="230">
        <v>11671500</v>
      </c>
      <c r="BJ72" s="230">
        <v>-783900</v>
      </c>
      <c r="BK72" s="229">
        <v>-6.7199999999999996E-2</v>
      </c>
      <c r="BL72" s="230">
        <v>4610850</v>
      </c>
      <c r="BM72" s="230">
        <v>7054650</v>
      </c>
      <c r="BN72" s="230">
        <v>-2443800</v>
      </c>
      <c r="BO72" s="229">
        <v>-0.34639999999999999</v>
      </c>
      <c r="BP72" s="230">
        <v>20090550</v>
      </c>
      <c r="BQ72" s="230">
        <v>22248900</v>
      </c>
      <c r="BR72" s="230">
        <v>-2158350</v>
      </c>
      <c r="BS72" s="229">
        <v>-9.7000000000000003E-2</v>
      </c>
      <c r="BT72" s="230">
        <v>804330</v>
      </c>
      <c r="BU72" s="230">
        <v>1163886</v>
      </c>
      <c r="BV72" s="230">
        <v>-359556</v>
      </c>
      <c r="BW72" s="229">
        <v>-0.30890000000000001</v>
      </c>
      <c r="BX72" s="230">
        <v>9230400</v>
      </c>
      <c r="BY72" s="230">
        <v>9367350</v>
      </c>
      <c r="BZ72" s="230">
        <v>-136950</v>
      </c>
      <c r="CA72" s="229">
        <v>-1.46E-2</v>
      </c>
      <c r="CB72" s="230">
        <v>4584450</v>
      </c>
      <c r="CC72" s="230">
        <v>6229350</v>
      </c>
      <c r="CD72" s="230">
        <v>-1644900</v>
      </c>
      <c r="CE72" s="229">
        <v>-0.2641</v>
      </c>
      <c r="CF72" s="230">
        <v>4393200</v>
      </c>
      <c r="CG72" s="230">
        <v>2941500</v>
      </c>
      <c r="CH72" s="230">
        <v>1451700</v>
      </c>
      <c r="CI72" s="229">
        <v>0.49349999999999999</v>
      </c>
      <c r="CJ72" s="230">
        <v>252750</v>
      </c>
      <c r="CK72" s="230">
        <v>196500</v>
      </c>
      <c r="CL72" s="230">
        <v>56250</v>
      </c>
      <c r="CM72" s="229">
        <v>0.2863</v>
      </c>
      <c r="CN72" s="230">
        <v>5795550</v>
      </c>
      <c r="CO72" s="230">
        <v>6408450</v>
      </c>
      <c r="CP72" s="230">
        <v>-612900</v>
      </c>
      <c r="CQ72" s="229">
        <v>-9.5600000000000004E-2</v>
      </c>
      <c r="CR72" s="230">
        <v>3426150</v>
      </c>
      <c r="CS72" s="230">
        <v>3421200</v>
      </c>
      <c r="CT72" s="230">
        <v>4950</v>
      </c>
      <c r="CU72" s="229">
        <v>1.4E-3</v>
      </c>
      <c r="CV72" s="230">
        <v>18452100</v>
      </c>
      <c r="CW72" s="230">
        <v>19197000</v>
      </c>
      <c r="CX72" s="230">
        <v>-744900</v>
      </c>
      <c r="CY72" s="229">
        <v>-3.8800000000000001E-2</v>
      </c>
      <c r="CZ72" s="228">
        <v>33.14</v>
      </c>
      <c r="DA72" s="228">
        <v>35.28</v>
      </c>
      <c r="DB72" s="228">
        <v>-2.14</v>
      </c>
      <c r="DC72" s="228">
        <v>-2.14</v>
      </c>
      <c r="DD72" s="228">
        <v>36.659999999999997</v>
      </c>
      <c r="DE72" s="228">
        <v>36.630000000000003</v>
      </c>
      <c r="DF72" s="228">
        <v>-3.52</v>
      </c>
      <c r="DG72" s="228">
        <v>0.03</v>
      </c>
      <c r="DH72" s="228">
        <v>33.29</v>
      </c>
      <c r="DI72" s="228">
        <v>36.79</v>
      </c>
      <c r="DJ72" s="228">
        <v>-3.5</v>
      </c>
      <c r="DK72" s="228">
        <v>-3.5</v>
      </c>
      <c r="DL72" s="228">
        <v>32.86</v>
      </c>
      <c r="DM72" s="228">
        <v>32.79</v>
      </c>
      <c r="DN72" s="228">
        <v>7.0000000000000007E-2</v>
      </c>
      <c r="DO72" s="228">
        <v>7.0000000000000007E-2</v>
      </c>
      <c r="DP72" s="228">
        <v>0.59</v>
      </c>
      <c r="DQ72" s="228">
        <v>0.53</v>
      </c>
      <c r="DR72" s="228">
        <v>0.06</v>
      </c>
      <c r="DS72" s="229">
        <v>0.1132</v>
      </c>
      <c r="DT72" s="231">
        <v>4500</v>
      </c>
      <c r="DU72" s="231">
        <v>4400</v>
      </c>
      <c r="DV72" s="228">
        <v>0.42</v>
      </c>
      <c r="DW72" s="228">
        <v>0.6</v>
      </c>
      <c r="DX72" s="228">
        <v>-0.18</v>
      </c>
      <c r="DY72" s="229">
        <v>-0.3</v>
      </c>
      <c r="DZ72" s="229">
        <v>0.50329999999999997</v>
      </c>
      <c r="EA72" s="230">
        <v>3138000</v>
      </c>
      <c r="EB72" s="229">
        <v>1E-3</v>
      </c>
      <c r="EC72" s="229">
        <v>0.50329999999999997</v>
      </c>
      <c r="ED72" s="228">
        <v>5.53</v>
      </c>
      <c r="EE72" s="229">
        <v>1.2999999999999999E-3</v>
      </c>
      <c r="EF72" s="230">
        <v>389357</v>
      </c>
      <c r="EG72" s="230">
        <v>493523</v>
      </c>
      <c r="EH72" s="229">
        <v>-0.21110000000000001</v>
      </c>
      <c r="EI72" s="229">
        <v>0.48409999999999997</v>
      </c>
      <c r="EJ72" s="231">
        <v>495025.65</v>
      </c>
      <c r="EK72" s="231">
        <v>200770.38</v>
      </c>
      <c r="EL72" s="231">
        <v>198855.58</v>
      </c>
      <c r="EM72" s="231">
        <v>17230</v>
      </c>
      <c r="EN72" s="231">
        <v>894651.61</v>
      </c>
      <c r="EO72" s="231">
        <v>982124.21</v>
      </c>
      <c r="EP72" s="231">
        <v>-87472.6</v>
      </c>
      <c r="EQ72" s="229">
        <v>-8.9099999999999999E-2</v>
      </c>
      <c r="ER72" s="231">
        <v>269162</v>
      </c>
      <c r="ES72" s="231">
        <v>150181</v>
      </c>
      <c r="ET72" s="231">
        <v>401773</v>
      </c>
      <c r="EU72" s="231">
        <v>28450886</v>
      </c>
      <c r="EV72" s="231">
        <v>821116</v>
      </c>
      <c r="EW72" s="231">
        <v>846507</v>
      </c>
      <c r="EX72" s="231">
        <v>-25391</v>
      </c>
      <c r="EY72" s="229">
        <v>-0.03</v>
      </c>
      <c r="EZ72" s="229">
        <v>0.64859999999999995</v>
      </c>
      <c r="FA72" s="227" t="s">
        <v>556</v>
      </c>
      <c r="FB72" s="161">
        <f t="shared" si="1"/>
        <v>4645950</v>
      </c>
    </row>
    <row r="73" spans="1:158" ht="17.25" hidden="1" thickBot="1" x14ac:dyDescent="0.3">
      <c r="A73" s="226">
        <v>46044</v>
      </c>
      <c r="B73" s="227" t="s">
        <v>184</v>
      </c>
      <c r="C73" s="227" t="s">
        <v>220</v>
      </c>
      <c r="D73" s="228">
        <v>500</v>
      </c>
      <c r="E73" s="231">
        <v>1308.5</v>
      </c>
      <c r="F73" s="231">
        <v>1315.6</v>
      </c>
      <c r="G73" s="228">
        <v>-7.1</v>
      </c>
      <c r="H73" s="229">
        <v>-5.4000000000000003E-3</v>
      </c>
      <c r="I73" s="231">
        <v>1311.8</v>
      </c>
      <c r="J73" s="231">
        <v>1316</v>
      </c>
      <c r="K73" s="228">
        <v>-4.2</v>
      </c>
      <c r="L73" s="229">
        <v>-3.2000000000000002E-3</v>
      </c>
      <c r="M73" s="231">
        <v>1308.5</v>
      </c>
      <c r="N73" s="231">
        <v>1315.6</v>
      </c>
      <c r="O73" s="228">
        <v>-7.1</v>
      </c>
      <c r="P73" s="229">
        <v>-5.4000000000000003E-3</v>
      </c>
      <c r="Q73" s="231">
        <v>1314.7</v>
      </c>
      <c r="R73" s="231">
        <v>1321.8</v>
      </c>
      <c r="S73" s="228">
        <v>-7.1</v>
      </c>
      <c r="T73" s="229">
        <v>-5.4000000000000003E-3</v>
      </c>
      <c r="U73" s="231">
        <v>1324.6</v>
      </c>
      <c r="V73" s="231">
        <v>1330.1</v>
      </c>
      <c r="W73" s="228">
        <v>-5.5</v>
      </c>
      <c r="X73" s="229">
        <v>-4.1000000000000003E-3</v>
      </c>
      <c r="Y73" s="228">
        <v>-3.3</v>
      </c>
      <c r="Z73" s="228">
        <v>-0.4</v>
      </c>
      <c r="AA73" s="228">
        <v>-2.9</v>
      </c>
      <c r="AB73" s="229">
        <v>-2.5000000000000001E-3</v>
      </c>
      <c r="AC73" s="228">
        <v>-3.3</v>
      </c>
      <c r="AD73" s="228">
        <v>-0.4</v>
      </c>
      <c r="AE73" s="228">
        <v>-2.9</v>
      </c>
      <c r="AF73" s="229">
        <v>-2.5000000000000001E-3</v>
      </c>
      <c r="AG73" s="228">
        <v>2.9</v>
      </c>
      <c r="AH73" s="228">
        <v>5.8</v>
      </c>
      <c r="AI73" s="228">
        <v>-2.9</v>
      </c>
      <c r="AJ73" s="229">
        <v>2.2000000000000001E-3</v>
      </c>
      <c r="AK73" s="228">
        <v>12.8</v>
      </c>
      <c r="AL73" s="228">
        <v>14.1</v>
      </c>
      <c r="AM73" s="228">
        <v>-1.3</v>
      </c>
      <c r="AN73" s="229">
        <v>9.7999999999999997E-3</v>
      </c>
      <c r="AO73" s="231">
        <v>1316.34</v>
      </c>
      <c r="AP73" s="231">
        <v>1322.65</v>
      </c>
      <c r="AQ73" s="228">
        <v>0</v>
      </c>
      <c r="AR73" s="230">
        <v>9093500</v>
      </c>
      <c r="AS73" s="230">
        <v>9245000</v>
      </c>
      <c r="AT73" s="230">
        <v>-151500</v>
      </c>
      <c r="AU73" s="229">
        <v>-1.6400000000000001E-2</v>
      </c>
      <c r="AV73" s="230">
        <v>4686500</v>
      </c>
      <c r="AW73" s="230">
        <v>5129000</v>
      </c>
      <c r="AX73" s="230">
        <v>-442500</v>
      </c>
      <c r="AY73" s="229">
        <v>-8.6300000000000002E-2</v>
      </c>
      <c r="AZ73" s="230">
        <v>4359500</v>
      </c>
      <c r="BA73" s="230">
        <v>4047000</v>
      </c>
      <c r="BB73" s="230">
        <v>312500</v>
      </c>
      <c r="BC73" s="229">
        <v>7.7200000000000005E-2</v>
      </c>
      <c r="BD73" s="230">
        <v>47500</v>
      </c>
      <c r="BE73" s="230">
        <v>69000</v>
      </c>
      <c r="BF73" s="230">
        <v>-21500</v>
      </c>
      <c r="BG73" s="229">
        <v>-0.31159999999999999</v>
      </c>
      <c r="BH73" s="230">
        <v>9662000</v>
      </c>
      <c r="BI73" s="230">
        <v>26034000</v>
      </c>
      <c r="BJ73" s="230">
        <v>-16372000</v>
      </c>
      <c r="BK73" s="229">
        <v>-0.62890000000000001</v>
      </c>
      <c r="BL73" s="230">
        <v>4236000</v>
      </c>
      <c r="BM73" s="230">
        <v>23170500</v>
      </c>
      <c r="BN73" s="230">
        <v>-18934500</v>
      </c>
      <c r="BO73" s="229">
        <v>-0.81720000000000004</v>
      </c>
      <c r="BP73" s="230">
        <v>22991500</v>
      </c>
      <c r="BQ73" s="230">
        <v>58449500</v>
      </c>
      <c r="BR73" s="230">
        <v>-35458000</v>
      </c>
      <c r="BS73" s="229">
        <v>-0.60660000000000003</v>
      </c>
      <c r="BT73" s="230">
        <v>933075</v>
      </c>
      <c r="BU73" s="230">
        <v>2377470</v>
      </c>
      <c r="BV73" s="230">
        <v>-1444395</v>
      </c>
      <c r="BW73" s="229">
        <v>-0.60750000000000004</v>
      </c>
      <c r="BX73" s="230">
        <v>10641000</v>
      </c>
      <c r="BY73" s="230">
        <v>10912500</v>
      </c>
      <c r="BZ73" s="230">
        <v>-271500</v>
      </c>
      <c r="CA73" s="229">
        <v>-2.4899999999999999E-2</v>
      </c>
      <c r="CB73" s="230">
        <v>4971000</v>
      </c>
      <c r="CC73" s="230">
        <v>7946500</v>
      </c>
      <c r="CD73" s="230">
        <v>-2975500</v>
      </c>
      <c r="CE73" s="229">
        <v>-0.37440000000000001</v>
      </c>
      <c r="CF73" s="230">
        <v>5557500</v>
      </c>
      <c r="CG73" s="230">
        <v>2884500</v>
      </c>
      <c r="CH73" s="230">
        <v>2673000</v>
      </c>
      <c r="CI73" s="229">
        <v>0.92669999999999997</v>
      </c>
      <c r="CJ73" s="230">
        <v>112500</v>
      </c>
      <c r="CK73" s="230">
        <v>81500</v>
      </c>
      <c r="CL73" s="230">
        <v>31000</v>
      </c>
      <c r="CM73" s="229">
        <v>0.38040000000000002</v>
      </c>
      <c r="CN73" s="230">
        <v>7679000</v>
      </c>
      <c r="CO73" s="230">
        <v>8370500</v>
      </c>
      <c r="CP73" s="230">
        <v>-691500</v>
      </c>
      <c r="CQ73" s="229">
        <v>-8.2600000000000007E-2</v>
      </c>
      <c r="CR73" s="230">
        <v>4717000</v>
      </c>
      <c r="CS73" s="230">
        <v>4866500</v>
      </c>
      <c r="CT73" s="230">
        <v>-149500</v>
      </c>
      <c r="CU73" s="229">
        <v>-3.0700000000000002E-2</v>
      </c>
      <c r="CV73" s="230">
        <v>23037000</v>
      </c>
      <c r="CW73" s="230">
        <v>24149500</v>
      </c>
      <c r="CX73" s="230">
        <v>-1112500</v>
      </c>
      <c r="CY73" s="229">
        <v>-4.6100000000000002E-2</v>
      </c>
      <c r="CZ73" s="228">
        <v>26.42</v>
      </c>
      <c r="DA73" s="228">
        <v>25.58</v>
      </c>
      <c r="DB73" s="228">
        <v>0.84</v>
      </c>
      <c r="DC73" s="228">
        <v>0.84</v>
      </c>
      <c r="DD73" s="228">
        <v>28.45</v>
      </c>
      <c r="DE73" s="228">
        <v>28.51</v>
      </c>
      <c r="DF73" s="228">
        <v>-2.0299999999999998</v>
      </c>
      <c r="DG73" s="228">
        <v>-0.06</v>
      </c>
      <c r="DH73" s="228">
        <v>26.81</v>
      </c>
      <c r="DI73" s="228">
        <v>26.95</v>
      </c>
      <c r="DJ73" s="228">
        <v>-0.14000000000000001</v>
      </c>
      <c r="DK73" s="228">
        <v>-0.14000000000000001</v>
      </c>
      <c r="DL73" s="228">
        <v>25.56</v>
      </c>
      <c r="DM73" s="228">
        <v>24.04</v>
      </c>
      <c r="DN73" s="228">
        <v>1.52</v>
      </c>
      <c r="DO73" s="228">
        <v>1.52</v>
      </c>
      <c r="DP73" s="228">
        <v>0.61</v>
      </c>
      <c r="DQ73" s="228">
        <v>0.57999999999999996</v>
      </c>
      <c r="DR73" s="228">
        <v>0.03</v>
      </c>
      <c r="DS73" s="229">
        <v>5.1700000000000003E-2</v>
      </c>
      <c r="DT73" s="231">
        <v>1450</v>
      </c>
      <c r="DU73" s="231">
        <v>1300</v>
      </c>
      <c r="DV73" s="228">
        <v>0.44</v>
      </c>
      <c r="DW73" s="228">
        <v>0.89</v>
      </c>
      <c r="DX73" s="228">
        <v>-0.45</v>
      </c>
      <c r="DY73" s="229">
        <v>-0.50560000000000005</v>
      </c>
      <c r="DZ73" s="229">
        <v>0.53280000000000005</v>
      </c>
      <c r="EA73" s="230">
        <v>2966000</v>
      </c>
      <c r="EB73" s="229">
        <v>4.7000000000000002E-3</v>
      </c>
      <c r="EC73" s="229">
        <v>0.53280000000000005</v>
      </c>
      <c r="ED73" s="228">
        <v>6.31</v>
      </c>
      <c r="EE73" s="229">
        <v>4.7999999999999996E-3</v>
      </c>
      <c r="EF73" s="230">
        <v>499267</v>
      </c>
      <c r="EG73" s="230">
        <v>832645</v>
      </c>
      <c r="EH73" s="229">
        <v>-0.40039999999999998</v>
      </c>
      <c r="EI73" s="229">
        <v>0.53510000000000002</v>
      </c>
      <c r="EJ73" s="231">
        <v>133677.04</v>
      </c>
      <c r="EK73" s="231">
        <v>55789.63</v>
      </c>
      <c r="EL73" s="231">
        <v>119982.65</v>
      </c>
      <c r="EM73" s="231">
        <v>11121</v>
      </c>
      <c r="EN73" s="231">
        <v>309449.32</v>
      </c>
      <c r="EO73" s="231">
        <v>785266.22</v>
      </c>
      <c r="EP73" s="231">
        <v>-475816.9</v>
      </c>
      <c r="EQ73" s="229">
        <v>-0.60589999999999999</v>
      </c>
      <c r="ER73" s="231">
        <v>110432</v>
      </c>
      <c r="ES73" s="231">
        <v>64145</v>
      </c>
      <c r="ET73" s="231">
        <v>139600</v>
      </c>
      <c r="EU73" s="231">
        <v>35667502</v>
      </c>
      <c r="EV73" s="231">
        <v>314177</v>
      </c>
      <c r="EW73" s="231">
        <v>330562</v>
      </c>
      <c r="EX73" s="231">
        <v>-16385</v>
      </c>
      <c r="EY73" s="229">
        <v>-4.9599999999999998E-2</v>
      </c>
      <c r="EZ73" s="229">
        <v>0.64590000000000003</v>
      </c>
      <c r="FA73" s="227" t="s">
        <v>568</v>
      </c>
      <c r="FB73" s="161">
        <f t="shared" si="1"/>
        <v>5670000</v>
      </c>
    </row>
    <row r="74" spans="1:158" ht="17.25" hidden="1" thickBot="1" x14ac:dyDescent="0.3">
      <c r="A74" s="226">
        <v>46044</v>
      </c>
      <c r="B74" s="227" t="s">
        <v>221</v>
      </c>
      <c r="C74" s="227" t="s">
        <v>222</v>
      </c>
      <c r="D74" s="228">
        <v>350</v>
      </c>
      <c r="E74" s="231">
        <v>1702.6</v>
      </c>
      <c r="F74" s="231">
        <v>1683.5</v>
      </c>
      <c r="G74" s="228">
        <v>19.100000000000001</v>
      </c>
      <c r="H74" s="229">
        <v>1.1299999999999999E-2</v>
      </c>
      <c r="I74" s="231">
        <v>1703.1</v>
      </c>
      <c r="J74" s="231">
        <v>1682.5</v>
      </c>
      <c r="K74" s="228">
        <v>20.6</v>
      </c>
      <c r="L74" s="229">
        <v>1.2200000000000001E-2</v>
      </c>
      <c r="M74" s="231">
        <v>1702.6</v>
      </c>
      <c r="N74" s="231">
        <v>1683.5</v>
      </c>
      <c r="O74" s="228">
        <v>19.100000000000001</v>
      </c>
      <c r="P74" s="229">
        <v>1.1299999999999999E-2</v>
      </c>
      <c r="Q74" s="231">
        <v>1711.2</v>
      </c>
      <c r="R74" s="231">
        <v>1692.8</v>
      </c>
      <c r="S74" s="228">
        <v>18.399999999999999</v>
      </c>
      <c r="T74" s="229">
        <v>1.09E-2</v>
      </c>
      <c r="U74" s="231">
        <v>1723.7</v>
      </c>
      <c r="V74" s="231">
        <v>1703.4</v>
      </c>
      <c r="W74" s="228">
        <v>20.3</v>
      </c>
      <c r="X74" s="229">
        <v>1.1900000000000001E-2</v>
      </c>
      <c r="Y74" s="228">
        <v>-0.5</v>
      </c>
      <c r="Z74" s="228">
        <v>1</v>
      </c>
      <c r="AA74" s="228">
        <v>-1.5</v>
      </c>
      <c r="AB74" s="229">
        <v>-2.9999999999999997E-4</v>
      </c>
      <c r="AC74" s="228">
        <v>-0.5</v>
      </c>
      <c r="AD74" s="228">
        <v>1</v>
      </c>
      <c r="AE74" s="228">
        <v>-1.5</v>
      </c>
      <c r="AF74" s="229">
        <v>-2.9999999999999997E-4</v>
      </c>
      <c r="AG74" s="228">
        <v>8.1</v>
      </c>
      <c r="AH74" s="228">
        <v>10.3</v>
      </c>
      <c r="AI74" s="228">
        <v>-2.2000000000000002</v>
      </c>
      <c r="AJ74" s="229">
        <v>4.7999999999999996E-3</v>
      </c>
      <c r="AK74" s="228">
        <v>20.6</v>
      </c>
      <c r="AL74" s="228">
        <v>20.9</v>
      </c>
      <c r="AM74" s="228">
        <v>-0.3</v>
      </c>
      <c r="AN74" s="229">
        <v>1.21E-2</v>
      </c>
      <c r="AO74" s="231">
        <v>1696.27</v>
      </c>
      <c r="AP74" s="231">
        <v>1704.7</v>
      </c>
      <c r="AQ74" s="228">
        <v>0</v>
      </c>
      <c r="AR74" s="230">
        <v>13375950</v>
      </c>
      <c r="AS74" s="230">
        <v>10913700</v>
      </c>
      <c r="AT74" s="230">
        <v>2462250</v>
      </c>
      <c r="AU74" s="229">
        <v>0.22559999999999999</v>
      </c>
      <c r="AV74" s="230">
        <v>6610100</v>
      </c>
      <c r="AW74" s="230">
        <v>5860050</v>
      </c>
      <c r="AX74" s="230">
        <v>750050</v>
      </c>
      <c r="AY74" s="229">
        <v>0.128</v>
      </c>
      <c r="AZ74" s="230">
        <v>6692700</v>
      </c>
      <c r="BA74" s="230">
        <v>5028800</v>
      </c>
      <c r="BB74" s="230">
        <v>1663900</v>
      </c>
      <c r="BC74" s="229">
        <v>0.33090000000000003</v>
      </c>
      <c r="BD74" s="230">
        <v>73150</v>
      </c>
      <c r="BE74" s="230">
        <v>24850</v>
      </c>
      <c r="BF74" s="230">
        <v>48300</v>
      </c>
      <c r="BG74" s="229">
        <v>1.9437</v>
      </c>
      <c r="BH74" s="230">
        <v>11349800</v>
      </c>
      <c r="BI74" s="230">
        <v>12513200</v>
      </c>
      <c r="BJ74" s="230">
        <v>-1163400</v>
      </c>
      <c r="BK74" s="229">
        <v>-9.2999999999999999E-2</v>
      </c>
      <c r="BL74" s="230">
        <v>6907950</v>
      </c>
      <c r="BM74" s="230">
        <v>9089500</v>
      </c>
      <c r="BN74" s="230">
        <v>-2181550</v>
      </c>
      <c r="BO74" s="229">
        <v>-0.24</v>
      </c>
      <c r="BP74" s="230">
        <v>31633700</v>
      </c>
      <c r="BQ74" s="230">
        <v>32516400</v>
      </c>
      <c r="BR74" s="230">
        <v>-882700</v>
      </c>
      <c r="BS74" s="229">
        <v>-2.7099999999999999E-2</v>
      </c>
      <c r="BT74" s="230">
        <v>1928248</v>
      </c>
      <c r="BU74" s="230">
        <v>1802567</v>
      </c>
      <c r="BV74" s="230">
        <v>125681</v>
      </c>
      <c r="BW74" s="229">
        <v>6.9699999999999998E-2</v>
      </c>
      <c r="BX74" s="230">
        <v>17749200</v>
      </c>
      <c r="BY74" s="230">
        <v>17348450</v>
      </c>
      <c r="BZ74" s="230">
        <v>400750</v>
      </c>
      <c r="CA74" s="229">
        <v>2.3099999999999999E-2</v>
      </c>
      <c r="CB74" s="230">
        <v>6685700</v>
      </c>
      <c r="CC74" s="230">
        <v>11445350</v>
      </c>
      <c r="CD74" s="230">
        <v>-4759650</v>
      </c>
      <c r="CE74" s="229">
        <v>-0.41589999999999999</v>
      </c>
      <c r="CF74" s="230">
        <v>10738000</v>
      </c>
      <c r="CG74" s="230">
        <v>5635000</v>
      </c>
      <c r="CH74" s="230">
        <v>5103000</v>
      </c>
      <c r="CI74" s="229">
        <v>0.90559999999999996</v>
      </c>
      <c r="CJ74" s="230">
        <v>325500</v>
      </c>
      <c r="CK74" s="230">
        <v>268100</v>
      </c>
      <c r="CL74" s="230">
        <v>57400</v>
      </c>
      <c r="CM74" s="229">
        <v>0.21410000000000001</v>
      </c>
      <c r="CN74" s="230">
        <v>7841050</v>
      </c>
      <c r="CO74" s="230">
        <v>8245650</v>
      </c>
      <c r="CP74" s="230">
        <v>-404600</v>
      </c>
      <c r="CQ74" s="229">
        <v>-4.9099999999999998E-2</v>
      </c>
      <c r="CR74" s="230">
        <v>4664450</v>
      </c>
      <c r="CS74" s="230">
        <v>4690350</v>
      </c>
      <c r="CT74" s="230">
        <v>-25900</v>
      </c>
      <c r="CU74" s="229">
        <v>-5.4999999999999997E-3</v>
      </c>
      <c r="CV74" s="230">
        <v>30254700</v>
      </c>
      <c r="CW74" s="230">
        <v>30284450</v>
      </c>
      <c r="CX74" s="230">
        <v>-29750</v>
      </c>
      <c r="CY74" s="229">
        <v>-1E-3</v>
      </c>
      <c r="CZ74" s="228">
        <v>21.39</v>
      </c>
      <c r="DA74" s="228">
        <v>18.18</v>
      </c>
      <c r="DB74" s="228">
        <v>3.21</v>
      </c>
      <c r="DC74" s="228">
        <v>3.21</v>
      </c>
      <c r="DD74" s="228">
        <v>27.42</v>
      </c>
      <c r="DE74" s="228">
        <v>27.44</v>
      </c>
      <c r="DF74" s="228">
        <v>-6.03</v>
      </c>
      <c r="DG74" s="228">
        <v>-0.02</v>
      </c>
      <c r="DH74" s="228">
        <v>21.11</v>
      </c>
      <c r="DI74" s="228">
        <v>16.89</v>
      </c>
      <c r="DJ74" s="228">
        <v>4.22</v>
      </c>
      <c r="DK74" s="228">
        <v>4.22</v>
      </c>
      <c r="DL74" s="228">
        <v>21.88</v>
      </c>
      <c r="DM74" s="228">
        <v>19.940000000000001</v>
      </c>
      <c r="DN74" s="228">
        <v>1.94</v>
      </c>
      <c r="DO74" s="228">
        <v>1.94</v>
      </c>
      <c r="DP74" s="228">
        <v>0.59</v>
      </c>
      <c r="DQ74" s="228">
        <v>0.56999999999999995</v>
      </c>
      <c r="DR74" s="228">
        <v>0.02</v>
      </c>
      <c r="DS74" s="229">
        <v>3.5099999999999999E-2</v>
      </c>
      <c r="DT74" s="231">
        <v>1680</v>
      </c>
      <c r="DU74" s="231">
        <v>1680</v>
      </c>
      <c r="DV74" s="228">
        <v>0.61</v>
      </c>
      <c r="DW74" s="228">
        <v>0.73</v>
      </c>
      <c r="DX74" s="228">
        <v>-0.12</v>
      </c>
      <c r="DY74" s="229">
        <v>-0.16439999999999999</v>
      </c>
      <c r="DZ74" s="229">
        <v>0.62329999999999997</v>
      </c>
      <c r="EA74" s="230">
        <v>5903100</v>
      </c>
      <c r="EB74" s="229">
        <v>5.1000000000000004E-3</v>
      </c>
      <c r="EC74" s="229">
        <v>0.62329999999999997</v>
      </c>
      <c r="ED74" s="228">
        <v>8.43</v>
      </c>
      <c r="EE74" s="229">
        <v>5.0000000000000001E-3</v>
      </c>
      <c r="EF74" s="230">
        <v>1137150</v>
      </c>
      <c r="EG74" s="230">
        <v>995847</v>
      </c>
      <c r="EH74" s="229">
        <v>0.1419</v>
      </c>
      <c r="EI74" s="229">
        <v>0.5897</v>
      </c>
      <c r="EJ74" s="231">
        <v>195958.5</v>
      </c>
      <c r="EK74" s="231">
        <v>115081.17</v>
      </c>
      <c r="EL74" s="231">
        <v>227471.11</v>
      </c>
      <c r="EM74" s="231">
        <v>17052</v>
      </c>
      <c r="EN74" s="231">
        <v>538510.78</v>
      </c>
      <c r="EO74" s="231">
        <v>549956.02</v>
      </c>
      <c r="EP74" s="231">
        <v>-11445.24</v>
      </c>
      <c r="EQ74" s="229">
        <v>-2.0799999999999999E-2</v>
      </c>
      <c r="ER74" s="231">
        <v>135126</v>
      </c>
      <c r="ES74" s="231">
        <v>75085</v>
      </c>
      <c r="ET74" s="231">
        <v>303190</v>
      </c>
      <c r="EU74" s="231">
        <v>106857976</v>
      </c>
      <c r="EV74" s="231">
        <v>513400</v>
      </c>
      <c r="EW74" s="231">
        <v>509888</v>
      </c>
      <c r="EX74" s="231">
        <v>3512</v>
      </c>
      <c r="EY74" s="229">
        <v>6.8999999999999999E-3</v>
      </c>
      <c r="EZ74" s="229">
        <v>0.28310000000000002</v>
      </c>
      <c r="FA74" s="227" t="s">
        <v>555</v>
      </c>
      <c r="FB74" s="161">
        <f t="shared" si="1"/>
        <v>11063500</v>
      </c>
    </row>
    <row r="75" spans="1:158" ht="17.25" hidden="1" thickBot="1" x14ac:dyDescent="0.3">
      <c r="A75" s="226">
        <v>46044</v>
      </c>
      <c r="B75" s="227" t="s">
        <v>175</v>
      </c>
      <c r="C75" s="227" t="s">
        <v>475</v>
      </c>
      <c r="D75" s="228">
        <v>300</v>
      </c>
      <c r="E75" s="231">
        <v>2497.4</v>
      </c>
      <c r="F75" s="231">
        <v>2473.6999999999998</v>
      </c>
      <c r="G75" s="228">
        <v>23.7</v>
      </c>
      <c r="H75" s="229">
        <v>9.5999999999999992E-3</v>
      </c>
      <c r="I75" s="231">
        <v>2498.9</v>
      </c>
      <c r="J75" s="231">
        <v>2476</v>
      </c>
      <c r="K75" s="228">
        <v>22.9</v>
      </c>
      <c r="L75" s="229">
        <v>9.1999999999999998E-3</v>
      </c>
      <c r="M75" s="231">
        <v>2497.4</v>
      </c>
      <c r="N75" s="231">
        <v>2473.6999999999998</v>
      </c>
      <c r="O75" s="228">
        <v>23.7</v>
      </c>
      <c r="P75" s="229">
        <v>9.5999999999999992E-3</v>
      </c>
      <c r="Q75" s="231">
        <v>2510.1</v>
      </c>
      <c r="R75" s="231">
        <v>2485.8000000000002</v>
      </c>
      <c r="S75" s="228">
        <v>24.3</v>
      </c>
      <c r="T75" s="229">
        <v>9.7999999999999997E-3</v>
      </c>
      <c r="U75" s="231">
        <v>2526.4</v>
      </c>
      <c r="V75" s="231">
        <v>2505</v>
      </c>
      <c r="W75" s="228">
        <v>21.4</v>
      </c>
      <c r="X75" s="229">
        <v>8.5000000000000006E-3</v>
      </c>
      <c r="Y75" s="228">
        <v>-1.5</v>
      </c>
      <c r="Z75" s="228">
        <v>-2.2999999999999998</v>
      </c>
      <c r="AA75" s="228">
        <v>0.8</v>
      </c>
      <c r="AB75" s="229">
        <v>-5.9999999999999995E-4</v>
      </c>
      <c r="AC75" s="228">
        <v>-1.5</v>
      </c>
      <c r="AD75" s="228">
        <v>-2.2999999999999998</v>
      </c>
      <c r="AE75" s="228">
        <v>0.8</v>
      </c>
      <c r="AF75" s="229">
        <v>-5.9999999999999995E-4</v>
      </c>
      <c r="AG75" s="228">
        <v>11.2</v>
      </c>
      <c r="AH75" s="228">
        <v>9.8000000000000007</v>
      </c>
      <c r="AI75" s="228">
        <v>1.4</v>
      </c>
      <c r="AJ75" s="229">
        <v>4.4999999999999997E-3</v>
      </c>
      <c r="AK75" s="228">
        <v>27.5</v>
      </c>
      <c r="AL75" s="228">
        <v>29</v>
      </c>
      <c r="AM75" s="228">
        <v>-1.5</v>
      </c>
      <c r="AN75" s="229">
        <v>1.0999999999999999E-2</v>
      </c>
      <c r="AO75" s="231">
        <v>2500.77</v>
      </c>
      <c r="AP75" s="231">
        <v>2513.83</v>
      </c>
      <c r="AQ75" s="228">
        <v>0</v>
      </c>
      <c r="AR75" s="230">
        <v>6016800</v>
      </c>
      <c r="AS75" s="230">
        <v>4763100</v>
      </c>
      <c r="AT75" s="230">
        <v>1253700</v>
      </c>
      <c r="AU75" s="229">
        <v>0.26319999999999999</v>
      </c>
      <c r="AV75" s="230">
        <v>3107100</v>
      </c>
      <c r="AW75" s="230">
        <v>2726400</v>
      </c>
      <c r="AX75" s="230">
        <v>380700</v>
      </c>
      <c r="AY75" s="229">
        <v>0.1396</v>
      </c>
      <c r="AZ75" s="230">
        <v>2902200</v>
      </c>
      <c r="BA75" s="230">
        <v>2026800</v>
      </c>
      <c r="BB75" s="230">
        <v>875400</v>
      </c>
      <c r="BC75" s="229">
        <v>0.43190000000000001</v>
      </c>
      <c r="BD75" s="230">
        <v>7500</v>
      </c>
      <c r="BE75" s="230">
        <v>9900</v>
      </c>
      <c r="BF75" s="230">
        <v>-2400</v>
      </c>
      <c r="BG75" s="229">
        <v>-0.2424</v>
      </c>
      <c r="BH75" s="230">
        <v>3478500</v>
      </c>
      <c r="BI75" s="230">
        <v>7299300</v>
      </c>
      <c r="BJ75" s="230">
        <v>-3820800</v>
      </c>
      <c r="BK75" s="229">
        <v>-0.52339999999999998</v>
      </c>
      <c r="BL75" s="230">
        <v>1333500</v>
      </c>
      <c r="BM75" s="230">
        <v>3795000</v>
      </c>
      <c r="BN75" s="230">
        <v>-2461500</v>
      </c>
      <c r="BO75" s="229">
        <v>-0.64859999999999995</v>
      </c>
      <c r="BP75" s="230">
        <v>10828800</v>
      </c>
      <c r="BQ75" s="230">
        <v>15857400</v>
      </c>
      <c r="BR75" s="230">
        <v>-5028600</v>
      </c>
      <c r="BS75" s="229">
        <v>-0.31709999999999999</v>
      </c>
      <c r="BT75" s="230">
        <v>699524</v>
      </c>
      <c r="BU75" s="230">
        <v>1105190</v>
      </c>
      <c r="BV75" s="230">
        <v>-405666</v>
      </c>
      <c r="BW75" s="229">
        <v>-0.36709999999999998</v>
      </c>
      <c r="BX75" s="230">
        <v>7771800</v>
      </c>
      <c r="BY75" s="230">
        <v>7956600</v>
      </c>
      <c r="BZ75" s="230">
        <v>-184800</v>
      </c>
      <c r="CA75" s="229">
        <v>-2.3199999999999998E-2</v>
      </c>
      <c r="CB75" s="230">
        <v>3458400</v>
      </c>
      <c r="CC75" s="230">
        <v>5936700</v>
      </c>
      <c r="CD75" s="230">
        <v>-2478300</v>
      </c>
      <c r="CE75" s="229">
        <v>-0.41749999999999998</v>
      </c>
      <c r="CF75" s="230">
        <v>4284900</v>
      </c>
      <c r="CG75" s="230">
        <v>1993800</v>
      </c>
      <c r="CH75" s="230">
        <v>2291100</v>
      </c>
      <c r="CI75" s="229">
        <v>1.1491</v>
      </c>
      <c r="CJ75" s="230">
        <v>28500</v>
      </c>
      <c r="CK75" s="230">
        <v>26100</v>
      </c>
      <c r="CL75" s="230">
        <v>2400</v>
      </c>
      <c r="CM75" s="229">
        <v>9.1999999999999998E-2</v>
      </c>
      <c r="CN75" s="230">
        <v>3314400</v>
      </c>
      <c r="CO75" s="230">
        <v>3631500</v>
      </c>
      <c r="CP75" s="230">
        <v>-317100</v>
      </c>
      <c r="CQ75" s="229">
        <v>-8.7300000000000003E-2</v>
      </c>
      <c r="CR75" s="230">
        <v>1543800</v>
      </c>
      <c r="CS75" s="230">
        <v>1640400</v>
      </c>
      <c r="CT75" s="230">
        <v>-96600</v>
      </c>
      <c r="CU75" s="229">
        <v>-5.8900000000000001E-2</v>
      </c>
      <c r="CV75" s="230">
        <v>12630000</v>
      </c>
      <c r="CW75" s="230">
        <v>13228500</v>
      </c>
      <c r="CX75" s="230">
        <v>-598500</v>
      </c>
      <c r="CY75" s="229">
        <v>-4.5199999999999997E-2</v>
      </c>
      <c r="CZ75" s="228">
        <v>24.29</v>
      </c>
      <c r="DA75" s="228">
        <v>25.55</v>
      </c>
      <c r="DB75" s="228">
        <v>-1.26</v>
      </c>
      <c r="DC75" s="228">
        <v>-1.26</v>
      </c>
      <c r="DD75" s="228">
        <v>33.61</v>
      </c>
      <c r="DE75" s="228">
        <v>33.67</v>
      </c>
      <c r="DF75" s="228">
        <v>-9.32</v>
      </c>
      <c r="DG75" s="228">
        <v>-0.06</v>
      </c>
      <c r="DH75" s="228">
        <v>24.25</v>
      </c>
      <c r="DI75" s="228">
        <v>27.43</v>
      </c>
      <c r="DJ75" s="228">
        <v>-3.18</v>
      </c>
      <c r="DK75" s="228">
        <v>-3.18</v>
      </c>
      <c r="DL75" s="228">
        <v>24.35</v>
      </c>
      <c r="DM75" s="228">
        <v>21.95</v>
      </c>
      <c r="DN75" s="228">
        <v>2.4</v>
      </c>
      <c r="DO75" s="228">
        <v>2.4</v>
      </c>
      <c r="DP75" s="228">
        <v>0.47</v>
      </c>
      <c r="DQ75" s="228">
        <v>0.45</v>
      </c>
      <c r="DR75" s="228">
        <v>0.02</v>
      </c>
      <c r="DS75" s="229">
        <v>4.4400000000000002E-2</v>
      </c>
      <c r="DT75" s="231">
        <v>2700</v>
      </c>
      <c r="DU75" s="231">
        <v>2400</v>
      </c>
      <c r="DV75" s="228">
        <v>0.38</v>
      </c>
      <c r="DW75" s="228">
        <v>0.52</v>
      </c>
      <c r="DX75" s="228">
        <v>-0.14000000000000001</v>
      </c>
      <c r="DY75" s="229">
        <v>-0.26919999999999999</v>
      </c>
      <c r="DZ75" s="229">
        <v>0.55500000000000005</v>
      </c>
      <c r="EA75" s="230">
        <v>2019900</v>
      </c>
      <c r="EB75" s="229">
        <v>5.1000000000000004E-3</v>
      </c>
      <c r="EC75" s="229">
        <v>0.55500000000000005</v>
      </c>
      <c r="ED75" s="228">
        <v>13.06</v>
      </c>
      <c r="EE75" s="229">
        <v>5.1999999999999998E-3</v>
      </c>
      <c r="EF75" s="230">
        <v>459188</v>
      </c>
      <c r="EG75" s="230">
        <v>599303</v>
      </c>
      <c r="EH75" s="229">
        <v>-0.23380000000000001</v>
      </c>
      <c r="EI75" s="229">
        <v>0.65639999999999998</v>
      </c>
      <c r="EJ75" s="231">
        <v>91608.15</v>
      </c>
      <c r="EK75" s="231">
        <v>33341.15</v>
      </c>
      <c r="EL75" s="231">
        <v>150847.35</v>
      </c>
      <c r="EM75" s="231">
        <v>11239</v>
      </c>
      <c r="EN75" s="231">
        <v>275796.65000000002</v>
      </c>
      <c r="EO75" s="231">
        <v>404698.15</v>
      </c>
      <c r="EP75" s="231">
        <v>-128901.5</v>
      </c>
      <c r="EQ75" s="229">
        <v>-0.31850000000000001</v>
      </c>
      <c r="ER75" s="231">
        <v>88882</v>
      </c>
      <c r="ES75" s="231">
        <v>38708</v>
      </c>
      <c r="ET75" s="231">
        <v>194645</v>
      </c>
      <c r="EU75" s="231">
        <v>30592324</v>
      </c>
      <c r="EV75" s="231">
        <v>322235</v>
      </c>
      <c r="EW75" s="231">
        <v>335662</v>
      </c>
      <c r="EX75" s="231">
        <v>-13427</v>
      </c>
      <c r="EY75" s="229">
        <v>-0.04</v>
      </c>
      <c r="EZ75" s="229">
        <v>0.4128</v>
      </c>
      <c r="FA75" s="227" t="s">
        <v>556</v>
      </c>
      <c r="FB75" s="161">
        <f t="shared" si="1"/>
        <v>4313400</v>
      </c>
    </row>
    <row r="76" spans="1:158" ht="17.25" hidden="1" thickBot="1" x14ac:dyDescent="0.3">
      <c r="A76" s="226">
        <v>46044</v>
      </c>
      <c r="B76" s="227" t="s">
        <v>172</v>
      </c>
      <c r="C76" s="227" t="s">
        <v>224</v>
      </c>
      <c r="D76" s="228">
        <v>550</v>
      </c>
      <c r="E76" s="228">
        <v>921.55</v>
      </c>
      <c r="F76" s="228">
        <v>922.45</v>
      </c>
      <c r="G76" s="228">
        <v>-0.9</v>
      </c>
      <c r="H76" s="229">
        <v>-1E-3</v>
      </c>
      <c r="I76" s="228">
        <v>918.7</v>
      </c>
      <c r="J76" s="228">
        <v>920.35</v>
      </c>
      <c r="K76" s="228">
        <v>-1.65</v>
      </c>
      <c r="L76" s="229">
        <v>-1.8E-3</v>
      </c>
      <c r="M76" s="228">
        <v>921.55</v>
      </c>
      <c r="N76" s="228">
        <v>922.45</v>
      </c>
      <c r="O76" s="228">
        <v>-0.9</v>
      </c>
      <c r="P76" s="229">
        <v>-1E-3</v>
      </c>
      <c r="Q76" s="228">
        <v>926.35</v>
      </c>
      <c r="R76" s="228">
        <v>927.4</v>
      </c>
      <c r="S76" s="228">
        <v>-1.05</v>
      </c>
      <c r="T76" s="229">
        <v>-1.1000000000000001E-3</v>
      </c>
      <c r="U76" s="228">
        <v>932.85</v>
      </c>
      <c r="V76" s="228">
        <v>933.35</v>
      </c>
      <c r="W76" s="228">
        <v>-0.5</v>
      </c>
      <c r="X76" s="229">
        <v>-5.0000000000000001E-4</v>
      </c>
      <c r="Y76" s="228">
        <v>2.85</v>
      </c>
      <c r="Z76" s="228">
        <v>2.1</v>
      </c>
      <c r="AA76" s="228">
        <v>0.75</v>
      </c>
      <c r="AB76" s="229">
        <v>3.0999999999999999E-3</v>
      </c>
      <c r="AC76" s="228">
        <v>2.85</v>
      </c>
      <c r="AD76" s="228">
        <v>2.1</v>
      </c>
      <c r="AE76" s="228">
        <v>0.75</v>
      </c>
      <c r="AF76" s="229">
        <v>3.0999999999999999E-3</v>
      </c>
      <c r="AG76" s="228">
        <v>7.65</v>
      </c>
      <c r="AH76" s="228">
        <v>7.05</v>
      </c>
      <c r="AI76" s="228">
        <v>0.6</v>
      </c>
      <c r="AJ76" s="229">
        <v>8.3000000000000001E-3</v>
      </c>
      <c r="AK76" s="228">
        <v>14.15</v>
      </c>
      <c r="AL76" s="228">
        <v>13</v>
      </c>
      <c r="AM76" s="228">
        <v>1.1499999999999999</v>
      </c>
      <c r="AN76" s="229">
        <v>1.54E-2</v>
      </c>
      <c r="AO76" s="228">
        <v>920.89</v>
      </c>
      <c r="AP76" s="228">
        <v>925.71</v>
      </c>
      <c r="AQ76" s="228">
        <v>0</v>
      </c>
      <c r="AR76" s="230">
        <v>130702000</v>
      </c>
      <c r="AS76" s="230">
        <v>123739550</v>
      </c>
      <c r="AT76" s="230">
        <v>6962450</v>
      </c>
      <c r="AU76" s="229">
        <v>5.6300000000000003E-2</v>
      </c>
      <c r="AV76" s="230">
        <v>63538750</v>
      </c>
      <c r="AW76" s="230">
        <v>64850500</v>
      </c>
      <c r="AX76" s="230">
        <v>-1311750</v>
      </c>
      <c r="AY76" s="229">
        <v>-2.0199999999999999E-2</v>
      </c>
      <c r="AZ76" s="230">
        <v>63987550</v>
      </c>
      <c r="BA76" s="230">
        <v>58163050</v>
      </c>
      <c r="BB76" s="230">
        <v>5824500</v>
      </c>
      <c r="BC76" s="229">
        <v>0.10009999999999999</v>
      </c>
      <c r="BD76" s="230">
        <v>3175700</v>
      </c>
      <c r="BE76" s="230">
        <v>726000</v>
      </c>
      <c r="BF76" s="230">
        <v>2449700</v>
      </c>
      <c r="BG76" s="229">
        <v>3.3742000000000001</v>
      </c>
      <c r="BH76" s="230">
        <v>153302600</v>
      </c>
      <c r="BI76" s="230">
        <v>168528800</v>
      </c>
      <c r="BJ76" s="230">
        <v>-15226200</v>
      </c>
      <c r="BK76" s="229">
        <v>-9.0300000000000005E-2</v>
      </c>
      <c r="BL76" s="230">
        <v>93117200</v>
      </c>
      <c r="BM76" s="230">
        <v>132045100</v>
      </c>
      <c r="BN76" s="230">
        <v>-38927900</v>
      </c>
      <c r="BO76" s="229">
        <v>-0.29480000000000001</v>
      </c>
      <c r="BP76" s="230">
        <v>377121800</v>
      </c>
      <c r="BQ76" s="230">
        <v>424313450</v>
      </c>
      <c r="BR76" s="230">
        <v>-47191650</v>
      </c>
      <c r="BS76" s="229">
        <v>-0.11119999999999999</v>
      </c>
      <c r="BT76" s="230">
        <v>46417429</v>
      </c>
      <c r="BU76" s="230">
        <v>33451862</v>
      </c>
      <c r="BV76" s="230">
        <v>12965567</v>
      </c>
      <c r="BW76" s="229">
        <v>0.3876</v>
      </c>
      <c r="BX76" s="230">
        <v>266649350</v>
      </c>
      <c r="BY76" s="230">
        <v>254168750</v>
      </c>
      <c r="BZ76" s="230">
        <v>12480600</v>
      </c>
      <c r="CA76" s="229">
        <v>4.9099999999999998E-2</v>
      </c>
      <c r="CB76" s="230">
        <v>105827700</v>
      </c>
      <c r="CC76" s="230">
        <v>149249650</v>
      </c>
      <c r="CD76" s="230">
        <v>-43421950</v>
      </c>
      <c r="CE76" s="229">
        <v>-0.29089999999999999</v>
      </c>
      <c r="CF76" s="230">
        <v>137055050</v>
      </c>
      <c r="CG76" s="230">
        <v>84113700</v>
      </c>
      <c r="CH76" s="230">
        <v>52941350</v>
      </c>
      <c r="CI76" s="229">
        <v>0.62939999999999996</v>
      </c>
      <c r="CJ76" s="230">
        <v>23766600</v>
      </c>
      <c r="CK76" s="230">
        <v>20805400</v>
      </c>
      <c r="CL76" s="230">
        <v>2961200</v>
      </c>
      <c r="CM76" s="229">
        <v>0.14230000000000001</v>
      </c>
      <c r="CN76" s="230">
        <v>95184100</v>
      </c>
      <c r="CO76" s="230">
        <v>98478050</v>
      </c>
      <c r="CP76" s="230">
        <v>-3293950</v>
      </c>
      <c r="CQ76" s="229">
        <v>-3.3399999999999999E-2</v>
      </c>
      <c r="CR76" s="230">
        <v>46325950</v>
      </c>
      <c r="CS76" s="230">
        <v>47135550</v>
      </c>
      <c r="CT76" s="230">
        <v>-809600</v>
      </c>
      <c r="CU76" s="229">
        <v>-1.72E-2</v>
      </c>
      <c r="CV76" s="230">
        <v>408159400</v>
      </c>
      <c r="CW76" s="230">
        <v>399782350</v>
      </c>
      <c r="CX76" s="230">
        <v>8377050</v>
      </c>
      <c r="CY76" s="229">
        <v>2.1000000000000001E-2</v>
      </c>
      <c r="CZ76" s="228">
        <v>20.48</v>
      </c>
      <c r="DA76" s="228">
        <v>19.399999999999999</v>
      </c>
      <c r="DB76" s="228">
        <v>1.08</v>
      </c>
      <c r="DC76" s="228">
        <v>1.08</v>
      </c>
      <c r="DD76" s="228">
        <v>19.62</v>
      </c>
      <c r="DE76" s="228">
        <v>19.670000000000002</v>
      </c>
      <c r="DF76" s="228">
        <v>0.86</v>
      </c>
      <c r="DG76" s="228">
        <v>-0.05</v>
      </c>
      <c r="DH76" s="228">
        <v>20.7</v>
      </c>
      <c r="DI76" s="228">
        <v>20</v>
      </c>
      <c r="DJ76" s="228">
        <v>0.7</v>
      </c>
      <c r="DK76" s="228">
        <v>0.7</v>
      </c>
      <c r="DL76" s="228">
        <v>19.899999999999999</v>
      </c>
      <c r="DM76" s="228">
        <v>18.64</v>
      </c>
      <c r="DN76" s="228">
        <v>1.26</v>
      </c>
      <c r="DO76" s="228">
        <v>1.26</v>
      </c>
      <c r="DP76" s="228">
        <v>0.49</v>
      </c>
      <c r="DQ76" s="228">
        <v>0.48</v>
      </c>
      <c r="DR76" s="228">
        <v>0.01</v>
      </c>
      <c r="DS76" s="229">
        <v>2.0799999999999999E-2</v>
      </c>
      <c r="DT76" s="228">
        <v>950</v>
      </c>
      <c r="DU76" s="228">
        <v>900</v>
      </c>
      <c r="DV76" s="228">
        <v>0.61</v>
      </c>
      <c r="DW76" s="228">
        <v>0.78</v>
      </c>
      <c r="DX76" s="228">
        <v>-0.17</v>
      </c>
      <c r="DY76" s="229">
        <v>-0.21790000000000001</v>
      </c>
      <c r="DZ76" s="229">
        <v>0.60309999999999997</v>
      </c>
      <c r="EA76" s="230">
        <v>104919100</v>
      </c>
      <c r="EB76" s="229">
        <v>5.1999999999999998E-3</v>
      </c>
      <c r="EC76" s="229">
        <v>0.60309999999999997</v>
      </c>
      <c r="ED76" s="228">
        <v>4.82</v>
      </c>
      <c r="EE76" s="229">
        <v>5.1999999999999998E-3</v>
      </c>
      <c r="EF76" s="230">
        <v>29470143</v>
      </c>
      <c r="EG76" s="230">
        <v>18843469</v>
      </c>
      <c r="EH76" s="229">
        <v>0.56389999999999996</v>
      </c>
      <c r="EI76" s="229">
        <v>0.63490000000000002</v>
      </c>
      <c r="EJ76" s="231">
        <v>1449349.95</v>
      </c>
      <c r="EK76" s="231">
        <v>857352.35</v>
      </c>
      <c r="EL76" s="231">
        <v>1206991.6399999999</v>
      </c>
      <c r="EM76" s="231">
        <v>123511</v>
      </c>
      <c r="EN76" s="231">
        <v>3513693.94</v>
      </c>
      <c r="EO76" s="231">
        <v>3970855.23</v>
      </c>
      <c r="EP76" s="231">
        <v>-457161.29</v>
      </c>
      <c r="EQ76" s="229">
        <v>-0.11509999999999999</v>
      </c>
      <c r="ER76" s="231">
        <v>923909</v>
      </c>
      <c r="ES76" s="231">
        <v>433347</v>
      </c>
      <c r="ET76" s="231">
        <v>2466571</v>
      </c>
      <c r="EU76" s="231">
        <v>1330694977</v>
      </c>
      <c r="EV76" s="231">
        <v>3823828</v>
      </c>
      <c r="EW76" s="231">
        <v>3749077</v>
      </c>
      <c r="EX76" s="231">
        <v>74751</v>
      </c>
      <c r="EY76" s="229">
        <v>1.9900000000000001E-2</v>
      </c>
      <c r="EZ76" s="229">
        <v>0.30669999999999997</v>
      </c>
      <c r="FA76" s="227" t="s">
        <v>567</v>
      </c>
      <c r="FB76" s="161">
        <f t="shared" si="1"/>
        <v>160821650</v>
      </c>
    </row>
    <row r="77" spans="1:158" ht="17.25" hidden="1" thickBot="1" x14ac:dyDescent="0.3">
      <c r="A77" s="226">
        <v>46044</v>
      </c>
      <c r="B77" s="227" t="s">
        <v>175</v>
      </c>
      <c r="C77" s="227" t="s">
        <v>225</v>
      </c>
      <c r="D77" s="228">
        <v>1100</v>
      </c>
      <c r="E77" s="228">
        <v>725.4</v>
      </c>
      <c r="F77" s="228">
        <v>725.6</v>
      </c>
      <c r="G77" s="228">
        <v>-0.2</v>
      </c>
      <c r="H77" s="229">
        <v>-2.9999999999999997E-4</v>
      </c>
      <c r="I77" s="228">
        <v>725.1</v>
      </c>
      <c r="J77" s="228">
        <v>724.35</v>
      </c>
      <c r="K77" s="228">
        <v>0.75</v>
      </c>
      <c r="L77" s="229">
        <v>1E-3</v>
      </c>
      <c r="M77" s="228">
        <v>725.4</v>
      </c>
      <c r="N77" s="228">
        <v>725.6</v>
      </c>
      <c r="O77" s="228">
        <v>-0.2</v>
      </c>
      <c r="P77" s="229">
        <v>-2.9999999999999997E-4</v>
      </c>
      <c r="Q77" s="228">
        <v>728.8</v>
      </c>
      <c r="R77" s="228">
        <v>729.6</v>
      </c>
      <c r="S77" s="228">
        <v>-0.8</v>
      </c>
      <c r="T77" s="229">
        <v>-1.1000000000000001E-3</v>
      </c>
      <c r="U77" s="228">
        <v>733</v>
      </c>
      <c r="V77" s="228">
        <v>735.1</v>
      </c>
      <c r="W77" s="228">
        <v>-2.1</v>
      </c>
      <c r="X77" s="229">
        <v>-2.8999999999999998E-3</v>
      </c>
      <c r="Y77" s="228">
        <v>0.3</v>
      </c>
      <c r="Z77" s="228">
        <v>1.25</v>
      </c>
      <c r="AA77" s="228">
        <v>-0.95</v>
      </c>
      <c r="AB77" s="229">
        <v>4.0000000000000002E-4</v>
      </c>
      <c r="AC77" s="228">
        <v>0.3</v>
      </c>
      <c r="AD77" s="228">
        <v>1.25</v>
      </c>
      <c r="AE77" s="228">
        <v>-0.95</v>
      </c>
      <c r="AF77" s="229">
        <v>4.0000000000000002E-4</v>
      </c>
      <c r="AG77" s="228">
        <v>3.7</v>
      </c>
      <c r="AH77" s="228">
        <v>5.25</v>
      </c>
      <c r="AI77" s="228">
        <v>-1.55</v>
      </c>
      <c r="AJ77" s="229">
        <v>5.1000000000000004E-3</v>
      </c>
      <c r="AK77" s="228">
        <v>7.9</v>
      </c>
      <c r="AL77" s="228">
        <v>10.75</v>
      </c>
      <c r="AM77" s="228">
        <v>-2.85</v>
      </c>
      <c r="AN77" s="229">
        <v>1.09E-2</v>
      </c>
      <c r="AO77" s="228">
        <v>724.02</v>
      </c>
      <c r="AP77" s="228">
        <v>727.54</v>
      </c>
      <c r="AQ77" s="228">
        <v>0</v>
      </c>
      <c r="AR77" s="230">
        <v>26812500</v>
      </c>
      <c r="AS77" s="230">
        <v>25107500</v>
      </c>
      <c r="AT77" s="230">
        <v>1705000</v>
      </c>
      <c r="AU77" s="229">
        <v>6.7900000000000002E-2</v>
      </c>
      <c r="AV77" s="230">
        <v>13747800</v>
      </c>
      <c r="AW77" s="230">
        <v>13665300</v>
      </c>
      <c r="AX77" s="230">
        <v>82500</v>
      </c>
      <c r="AY77" s="229">
        <v>6.0000000000000001E-3</v>
      </c>
      <c r="AZ77" s="230">
        <v>13038300</v>
      </c>
      <c r="BA77" s="230">
        <v>11396000</v>
      </c>
      <c r="BB77" s="230">
        <v>1642300</v>
      </c>
      <c r="BC77" s="229">
        <v>0.14410000000000001</v>
      </c>
      <c r="BD77" s="230">
        <v>26400</v>
      </c>
      <c r="BE77" s="230">
        <v>46200</v>
      </c>
      <c r="BF77" s="230">
        <v>-19800</v>
      </c>
      <c r="BG77" s="229">
        <v>-0.42859999999999998</v>
      </c>
      <c r="BH77" s="230">
        <v>15045800</v>
      </c>
      <c r="BI77" s="230">
        <v>22260700</v>
      </c>
      <c r="BJ77" s="230">
        <v>-7214900</v>
      </c>
      <c r="BK77" s="229">
        <v>-0.3241</v>
      </c>
      <c r="BL77" s="230">
        <v>10095800</v>
      </c>
      <c r="BM77" s="230">
        <v>12973400</v>
      </c>
      <c r="BN77" s="230">
        <v>-2877600</v>
      </c>
      <c r="BO77" s="229">
        <v>-0.2218</v>
      </c>
      <c r="BP77" s="230">
        <v>51954100</v>
      </c>
      <c r="BQ77" s="230">
        <v>60341600</v>
      </c>
      <c r="BR77" s="230">
        <v>-8387500</v>
      </c>
      <c r="BS77" s="229">
        <v>-0.13900000000000001</v>
      </c>
      <c r="BT77" s="230">
        <v>4392615</v>
      </c>
      <c r="BU77" s="230">
        <v>3523061</v>
      </c>
      <c r="BV77" s="230">
        <v>869554</v>
      </c>
      <c r="BW77" s="229">
        <v>0.24679999999999999</v>
      </c>
      <c r="BX77" s="230">
        <v>39074200</v>
      </c>
      <c r="BY77" s="230">
        <v>38969700</v>
      </c>
      <c r="BZ77" s="230">
        <v>104500</v>
      </c>
      <c r="CA77" s="229">
        <v>2.7000000000000001E-3</v>
      </c>
      <c r="CB77" s="230">
        <v>16253600</v>
      </c>
      <c r="CC77" s="230">
        <v>27195300</v>
      </c>
      <c r="CD77" s="230">
        <v>-10941700</v>
      </c>
      <c r="CE77" s="229">
        <v>-0.40229999999999999</v>
      </c>
      <c r="CF77" s="230">
        <v>22585200</v>
      </c>
      <c r="CG77" s="230">
        <v>11554400</v>
      </c>
      <c r="CH77" s="230">
        <v>11030800</v>
      </c>
      <c r="CI77" s="229">
        <v>0.95469999999999999</v>
      </c>
      <c r="CJ77" s="230">
        <v>235400</v>
      </c>
      <c r="CK77" s="230">
        <v>220000</v>
      </c>
      <c r="CL77" s="230">
        <v>15400</v>
      </c>
      <c r="CM77" s="229">
        <v>7.0000000000000007E-2</v>
      </c>
      <c r="CN77" s="230">
        <v>15304300</v>
      </c>
      <c r="CO77" s="230">
        <v>15041400</v>
      </c>
      <c r="CP77" s="230">
        <v>262900</v>
      </c>
      <c r="CQ77" s="229">
        <v>1.7500000000000002E-2</v>
      </c>
      <c r="CR77" s="230">
        <v>6871700</v>
      </c>
      <c r="CS77" s="230">
        <v>7143400</v>
      </c>
      <c r="CT77" s="230">
        <v>-271700</v>
      </c>
      <c r="CU77" s="229">
        <v>-3.7999999999999999E-2</v>
      </c>
      <c r="CV77" s="230">
        <v>61250200</v>
      </c>
      <c r="CW77" s="230">
        <v>61154500</v>
      </c>
      <c r="CX77" s="230">
        <v>95700</v>
      </c>
      <c r="CY77" s="229">
        <v>1.6000000000000001E-3</v>
      </c>
      <c r="CZ77" s="228">
        <v>22.07</v>
      </c>
      <c r="DA77" s="228">
        <v>20.41</v>
      </c>
      <c r="DB77" s="228">
        <v>1.66</v>
      </c>
      <c r="DC77" s="228">
        <v>1.66</v>
      </c>
      <c r="DD77" s="228">
        <v>24.65</v>
      </c>
      <c r="DE77" s="228">
        <v>24.71</v>
      </c>
      <c r="DF77" s="228">
        <v>-2.58</v>
      </c>
      <c r="DG77" s="228">
        <v>-0.06</v>
      </c>
      <c r="DH77" s="228">
        <v>22.21</v>
      </c>
      <c r="DI77" s="228">
        <v>21.06</v>
      </c>
      <c r="DJ77" s="228">
        <v>1.1499999999999999</v>
      </c>
      <c r="DK77" s="228">
        <v>1.1499999999999999</v>
      </c>
      <c r="DL77" s="228">
        <v>21.94</v>
      </c>
      <c r="DM77" s="228">
        <v>19.29</v>
      </c>
      <c r="DN77" s="228">
        <v>2.65</v>
      </c>
      <c r="DO77" s="228">
        <v>2.65</v>
      </c>
      <c r="DP77" s="228">
        <v>0.45</v>
      </c>
      <c r="DQ77" s="228">
        <v>0.47</v>
      </c>
      <c r="DR77" s="228">
        <v>-0.02</v>
      </c>
      <c r="DS77" s="229">
        <v>-4.2599999999999999E-2</v>
      </c>
      <c r="DT77" s="228">
        <v>780</v>
      </c>
      <c r="DU77" s="228">
        <v>720</v>
      </c>
      <c r="DV77" s="228">
        <v>0.67</v>
      </c>
      <c r="DW77" s="228">
        <v>0.57999999999999996</v>
      </c>
      <c r="DX77" s="228">
        <v>0.09</v>
      </c>
      <c r="DY77" s="229">
        <v>0.1552</v>
      </c>
      <c r="DZ77" s="229">
        <v>0.58399999999999996</v>
      </c>
      <c r="EA77" s="230">
        <v>11774400</v>
      </c>
      <c r="EB77" s="229">
        <v>4.7000000000000002E-3</v>
      </c>
      <c r="EC77" s="229">
        <v>0.58399999999999996</v>
      </c>
      <c r="ED77" s="228">
        <v>3.52</v>
      </c>
      <c r="EE77" s="229">
        <v>4.8999999999999998E-3</v>
      </c>
      <c r="EF77" s="230">
        <v>3414522</v>
      </c>
      <c r="EG77" s="230">
        <v>2123080</v>
      </c>
      <c r="EH77" s="229">
        <v>0.60829999999999995</v>
      </c>
      <c r="EI77" s="229">
        <v>0.77729999999999999</v>
      </c>
      <c r="EJ77" s="231">
        <v>112599.6</v>
      </c>
      <c r="EK77" s="231">
        <v>73257.119999999995</v>
      </c>
      <c r="EL77" s="231">
        <v>194589.23</v>
      </c>
      <c r="EM77" s="231">
        <v>11459</v>
      </c>
      <c r="EN77" s="231">
        <v>380445.95</v>
      </c>
      <c r="EO77" s="231">
        <v>446577.4</v>
      </c>
      <c r="EP77" s="231">
        <v>-66131.45</v>
      </c>
      <c r="EQ77" s="229">
        <v>-0.14810000000000001</v>
      </c>
      <c r="ER77" s="231">
        <v>118539</v>
      </c>
      <c r="ES77" s="231">
        <v>49738</v>
      </c>
      <c r="ET77" s="231">
        <v>284230</v>
      </c>
      <c r="EU77" s="231">
        <v>128849634</v>
      </c>
      <c r="EV77" s="231">
        <v>452507</v>
      </c>
      <c r="EW77" s="231">
        <v>451719</v>
      </c>
      <c r="EX77" s="228">
        <v>788</v>
      </c>
      <c r="EY77" s="229">
        <v>1.6999999999999999E-3</v>
      </c>
      <c r="EZ77" s="229">
        <v>0.47539999999999999</v>
      </c>
      <c r="FA77" s="227" t="s">
        <v>567</v>
      </c>
      <c r="FB77" s="161">
        <f t="shared" si="1"/>
        <v>22820600</v>
      </c>
    </row>
    <row r="78" spans="1:158" ht="17.25" hidden="1" thickBot="1" x14ac:dyDescent="0.3">
      <c r="A78" s="226">
        <v>46044</v>
      </c>
      <c r="B78" s="227" t="s">
        <v>162</v>
      </c>
      <c r="C78" s="227" t="s">
        <v>226</v>
      </c>
      <c r="D78" s="228">
        <v>150</v>
      </c>
      <c r="E78" s="231">
        <v>5485</v>
      </c>
      <c r="F78" s="231">
        <v>5537</v>
      </c>
      <c r="G78" s="228">
        <v>-52</v>
      </c>
      <c r="H78" s="229">
        <v>-9.4000000000000004E-3</v>
      </c>
      <c r="I78" s="231">
        <v>5488.5</v>
      </c>
      <c r="J78" s="231">
        <v>5538.5</v>
      </c>
      <c r="K78" s="228">
        <v>-50</v>
      </c>
      <c r="L78" s="229">
        <v>-8.9999999999999993E-3</v>
      </c>
      <c r="M78" s="231">
        <v>5485</v>
      </c>
      <c r="N78" s="231">
        <v>5537</v>
      </c>
      <c r="O78" s="228">
        <v>-52</v>
      </c>
      <c r="P78" s="229">
        <v>-9.4000000000000004E-3</v>
      </c>
      <c r="Q78" s="231">
        <v>5434</v>
      </c>
      <c r="R78" s="231">
        <v>5501.5</v>
      </c>
      <c r="S78" s="228">
        <v>-67.5</v>
      </c>
      <c r="T78" s="229">
        <v>-1.23E-2</v>
      </c>
      <c r="U78" s="231">
        <v>5467</v>
      </c>
      <c r="V78" s="231">
        <v>5527</v>
      </c>
      <c r="W78" s="228">
        <v>-60</v>
      </c>
      <c r="X78" s="229">
        <v>-1.09E-2</v>
      </c>
      <c r="Y78" s="228">
        <v>-3.5</v>
      </c>
      <c r="Z78" s="228">
        <v>-1.5</v>
      </c>
      <c r="AA78" s="228">
        <v>-2</v>
      </c>
      <c r="AB78" s="229">
        <v>-5.9999999999999995E-4</v>
      </c>
      <c r="AC78" s="228">
        <v>-3.5</v>
      </c>
      <c r="AD78" s="228">
        <v>-1.5</v>
      </c>
      <c r="AE78" s="228">
        <v>-2</v>
      </c>
      <c r="AF78" s="229">
        <v>-5.9999999999999995E-4</v>
      </c>
      <c r="AG78" s="228">
        <v>-54.5</v>
      </c>
      <c r="AH78" s="228">
        <v>-37</v>
      </c>
      <c r="AI78" s="228">
        <v>-17.5</v>
      </c>
      <c r="AJ78" s="229">
        <v>-9.9000000000000008E-3</v>
      </c>
      <c r="AK78" s="228">
        <v>-21.5</v>
      </c>
      <c r="AL78" s="228">
        <v>-11.5</v>
      </c>
      <c r="AM78" s="228">
        <v>-10</v>
      </c>
      <c r="AN78" s="229">
        <v>-3.8999999999999998E-3</v>
      </c>
      <c r="AO78" s="231">
        <v>5569.23</v>
      </c>
      <c r="AP78" s="231">
        <v>5517.52</v>
      </c>
      <c r="AQ78" s="228">
        <v>0</v>
      </c>
      <c r="AR78" s="230">
        <v>4775400</v>
      </c>
      <c r="AS78" s="230">
        <v>4417050</v>
      </c>
      <c r="AT78" s="230">
        <v>358350</v>
      </c>
      <c r="AU78" s="229">
        <v>8.1100000000000005E-2</v>
      </c>
      <c r="AV78" s="230">
        <v>2596650</v>
      </c>
      <c r="AW78" s="230">
        <v>2494950</v>
      </c>
      <c r="AX78" s="230">
        <v>101700</v>
      </c>
      <c r="AY78" s="229">
        <v>4.0800000000000003E-2</v>
      </c>
      <c r="AZ78" s="230">
        <v>2159100</v>
      </c>
      <c r="BA78" s="230">
        <v>1907400</v>
      </c>
      <c r="BB78" s="230">
        <v>251700</v>
      </c>
      <c r="BC78" s="229">
        <v>0.13200000000000001</v>
      </c>
      <c r="BD78" s="230">
        <v>19650</v>
      </c>
      <c r="BE78" s="230">
        <v>14700</v>
      </c>
      <c r="BF78" s="230">
        <v>4950</v>
      </c>
      <c r="BG78" s="229">
        <v>0.3367</v>
      </c>
      <c r="BH78" s="230">
        <v>6823950</v>
      </c>
      <c r="BI78" s="230">
        <v>8062500</v>
      </c>
      <c r="BJ78" s="230">
        <v>-1238550</v>
      </c>
      <c r="BK78" s="229">
        <v>-0.15359999999999999</v>
      </c>
      <c r="BL78" s="230">
        <v>2974650</v>
      </c>
      <c r="BM78" s="230">
        <v>4494150</v>
      </c>
      <c r="BN78" s="230">
        <v>-1519500</v>
      </c>
      <c r="BO78" s="229">
        <v>-0.33810000000000001</v>
      </c>
      <c r="BP78" s="230">
        <v>14574000</v>
      </c>
      <c r="BQ78" s="230">
        <v>16973700</v>
      </c>
      <c r="BR78" s="230">
        <v>-2399700</v>
      </c>
      <c r="BS78" s="229">
        <v>-0.1414</v>
      </c>
      <c r="BT78" s="230">
        <v>407282</v>
      </c>
      <c r="BU78" s="230">
        <v>420054</v>
      </c>
      <c r="BV78" s="230">
        <v>-12772</v>
      </c>
      <c r="BW78" s="229">
        <v>-3.04E-2</v>
      </c>
      <c r="BX78" s="230">
        <v>4800600</v>
      </c>
      <c r="BY78" s="230">
        <v>4954800</v>
      </c>
      <c r="BZ78" s="230">
        <v>-154200</v>
      </c>
      <c r="CA78" s="229">
        <v>-3.1099999999999999E-2</v>
      </c>
      <c r="CB78" s="230">
        <v>2295450</v>
      </c>
      <c r="CC78" s="230">
        <v>3626700</v>
      </c>
      <c r="CD78" s="230">
        <v>-1331250</v>
      </c>
      <c r="CE78" s="229">
        <v>-0.36709999999999998</v>
      </c>
      <c r="CF78" s="230">
        <v>2469300</v>
      </c>
      <c r="CG78" s="230">
        <v>1298250</v>
      </c>
      <c r="CH78" s="230">
        <v>1171050</v>
      </c>
      <c r="CI78" s="229">
        <v>0.90200000000000002</v>
      </c>
      <c r="CJ78" s="230">
        <v>35850</v>
      </c>
      <c r="CK78" s="230">
        <v>29850</v>
      </c>
      <c r="CL78" s="230">
        <v>6000</v>
      </c>
      <c r="CM78" s="229">
        <v>0.20100000000000001</v>
      </c>
      <c r="CN78" s="230">
        <v>3389850</v>
      </c>
      <c r="CO78" s="230">
        <v>3577050</v>
      </c>
      <c r="CP78" s="230">
        <v>-187200</v>
      </c>
      <c r="CQ78" s="229">
        <v>-5.2299999999999999E-2</v>
      </c>
      <c r="CR78" s="230">
        <v>1616550</v>
      </c>
      <c r="CS78" s="230">
        <v>1657650</v>
      </c>
      <c r="CT78" s="230">
        <v>-41100</v>
      </c>
      <c r="CU78" s="229">
        <v>-2.4799999999999999E-2</v>
      </c>
      <c r="CV78" s="230">
        <v>9807000</v>
      </c>
      <c r="CW78" s="230">
        <v>10189500</v>
      </c>
      <c r="CX78" s="230">
        <v>-382500</v>
      </c>
      <c r="CY78" s="229">
        <v>-3.7499999999999999E-2</v>
      </c>
      <c r="CZ78" s="228">
        <v>28.21</v>
      </c>
      <c r="DA78" s="228">
        <v>27.39</v>
      </c>
      <c r="DB78" s="228">
        <v>0.82</v>
      </c>
      <c r="DC78" s="228">
        <v>0.82</v>
      </c>
      <c r="DD78" s="228">
        <v>29.94</v>
      </c>
      <c r="DE78" s="228">
        <v>29.99</v>
      </c>
      <c r="DF78" s="228">
        <v>-1.73</v>
      </c>
      <c r="DG78" s="228">
        <v>-0.05</v>
      </c>
      <c r="DH78" s="228">
        <v>28.66</v>
      </c>
      <c r="DI78" s="228">
        <v>28.61</v>
      </c>
      <c r="DJ78" s="228">
        <v>0.05</v>
      </c>
      <c r="DK78" s="228">
        <v>0.05</v>
      </c>
      <c r="DL78" s="228">
        <v>27.42</v>
      </c>
      <c r="DM78" s="228">
        <v>25.22</v>
      </c>
      <c r="DN78" s="228">
        <v>2.2000000000000002</v>
      </c>
      <c r="DO78" s="228">
        <v>2.2000000000000002</v>
      </c>
      <c r="DP78" s="228">
        <v>0.48</v>
      </c>
      <c r="DQ78" s="228">
        <v>0.46</v>
      </c>
      <c r="DR78" s="228">
        <v>0.02</v>
      </c>
      <c r="DS78" s="229">
        <v>4.3499999999999997E-2</v>
      </c>
      <c r="DT78" s="231">
        <v>6000</v>
      </c>
      <c r="DU78" s="231">
        <v>5400</v>
      </c>
      <c r="DV78" s="228">
        <v>0.44</v>
      </c>
      <c r="DW78" s="228">
        <v>0.56000000000000005</v>
      </c>
      <c r="DX78" s="228">
        <v>-0.12</v>
      </c>
      <c r="DY78" s="229">
        <v>-0.21429999999999999</v>
      </c>
      <c r="DZ78" s="229">
        <v>0.52180000000000004</v>
      </c>
      <c r="EA78" s="230">
        <v>1328100</v>
      </c>
      <c r="EB78" s="229">
        <v>-9.2999999999999992E-3</v>
      </c>
      <c r="EC78" s="229">
        <v>0.52180000000000004</v>
      </c>
      <c r="ED78" s="228">
        <v>-51.71</v>
      </c>
      <c r="EE78" s="229">
        <v>-9.2999999999999992E-3</v>
      </c>
      <c r="EF78" s="230">
        <v>233156</v>
      </c>
      <c r="EG78" s="230">
        <v>198552</v>
      </c>
      <c r="EH78" s="229">
        <v>0.17430000000000001</v>
      </c>
      <c r="EI78" s="229">
        <v>0.57250000000000001</v>
      </c>
      <c r="EJ78" s="231">
        <v>396991.41</v>
      </c>
      <c r="EK78" s="231">
        <v>165718.14000000001</v>
      </c>
      <c r="EL78" s="231">
        <v>264828.95</v>
      </c>
      <c r="EM78" s="231">
        <v>12731</v>
      </c>
      <c r="EN78" s="231">
        <v>827538.5</v>
      </c>
      <c r="EO78" s="231">
        <v>965283.93</v>
      </c>
      <c r="EP78" s="231">
        <v>-137745.43</v>
      </c>
      <c r="EQ78" s="229">
        <v>-0.14269999999999999</v>
      </c>
      <c r="ER78" s="231">
        <v>201735</v>
      </c>
      <c r="ES78" s="231">
        <v>90174</v>
      </c>
      <c r="ET78" s="231">
        <v>262047</v>
      </c>
      <c r="EU78" s="231">
        <v>19586951</v>
      </c>
      <c r="EV78" s="231">
        <v>553956</v>
      </c>
      <c r="EW78" s="231">
        <v>580228</v>
      </c>
      <c r="EX78" s="231">
        <v>-26272</v>
      </c>
      <c r="EY78" s="229">
        <v>-4.53E-2</v>
      </c>
      <c r="EZ78" s="229">
        <v>0.50070000000000003</v>
      </c>
      <c r="FA78" s="227" t="s">
        <v>568</v>
      </c>
      <c r="FB78" s="161">
        <f t="shared" si="1"/>
        <v>2505150</v>
      </c>
    </row>
    <row r="79" spans="1:158" ht="17.25" hidden="1" thickBot="1" x14ac:dyDescent="0.3">
      <c r="A79" s="226">
        <v>46044</v>
      </c>
      <c r="B79" s="227" t="s">
        <v>227</v>
      </c>
      <c r="C79" s="227" t="s">
        <v>228</v>
      </c>
      <c r="D79" s="228">
        <v>700</v>
      </c>
      <c r="E79" s="228">
        <v>941.15</v>
      </c>
      <c r="F79" s="228">
        <v>937.6</v>
      </c>
      <c r="G79" s="228">
        <v>3.55</v>
      </c>
      <c r="H79" s="229">
        <v>3.8E-3</v>
      </c>
      <c r="I79" s="228">
        <v>944.45</v>
      </c>
      <c r="J79" s="228">
        <v>939.2</v>
      </c>
      <c r="K79" s="228">
        <v>5.25</v>
      </c>
      <c r="L79" s="229">
        <v>5.5999999999999999E-3</v>
      </c>
      <c r="M79" s="228">
        <v>941.15</v>
      </c>
      <c r="N79" s="228">
        <v>937.6</v>
      </c>
      <c r="O79" s="228">
        <v>3.55</v>
      </c>
      <c r="P79" s="229">
        <v>3.8E-3</v>
      </c>
      <c r="Q79" s="228">
        <v>946.55</v>
      </c>
      <c r="R79" s="228">
        <v>943.1</v>
      </c>
      <c r="S79" s="228">
        <v>3.45</v>
      </c>
      <c r="T79" s="229">
        <v>3.7000000000000002E-3</v>
      </c>
      <c r="U79" s="228">
        <v>953.75</v>
      </c>
      <c r="V79" s="228">
        <v>949.05</v>
      </c>
      <c r="W79" s="228">
        <v>4.7</v>
      </c>
      <c r="X79" s="229">
        <v>5.0000000000000001E-3</v>
      </c>
      <c r="Y79" s="228">
        <v>-3.3</v>
      </c>
      <c r="Z79" s="228">
        <v>-1.6</v>
      </c>
      <c r="AA79" s="228">
        <v>-1.7</v>
      </c>
      <c r="AB79" s="229">
        <v>-3.5000000000000001E-3</v>
      </c>
      <c r="AC79" s="228">
        <v>-3.3</v>
      </c>
      <c r="AD79" s="228">
        <v>-1.6</v>
      </c>
      <c r="AE79" s="228">
        <v>-1.7</v>
      </c>
      <c r="AF79" s="229">
        <v>-3.5000000000000001E-3</v>
      </c>
      <c r="AG79" s="228">
        <v>2.1</v>
      </c>
      <c r="AH79" s="228">
        <v>3.9</v>
      </c>
      <c r="AI79" s="228">
        <v>-1.8</v>
      </c>
      <c r="AJ79" s="229">
        <v>2.2000000000000001E-3</v>
      </c>
      <c r="AK79" s="228">
        <v>9.3000000000000007</v>
      </c>
      <c r="AL79" s="228">
        <v>9.85</v>
      </c>
      <c r="AM79" s="228">
        <v>-0.55000000000000004</v>
      </c>
      <c r="AN79" s="229">
        <v>9.7999999999999997E-3</v>
      </c>
      <c r="AO79" s="228">
        <v>940.61</v>
      </c>
      <c r="AP79" s="228">
        <v>945.82</v>
      </c>
      <c r="AQ79" s="228">
        <v>0</v>
      </c>
      <c r="AR79" s="230">
        <v>41694800</v>
      </c>
      <c r="AS79" s="230">
        <v>28833000</v>
      </c>
      <c r="AT79" s="230">
        <v>12861800</v>
      </c>
      <c r="AU79" s="229">
        <v>0.4461</v>
      </c>
      <c r="AV79" s="230">
        <v>22406300</v>
      </c>
      <c r="AW79" s="230">
        <v>16646000</v>
      </c>
      <c r="AX79" s="230">
        <v>5760300</v>
      </c>
      <c r="AY79" s="229">
        <v>0.34599999999999997</v>
      </c>
      <c r="AZ79" s="230">
        <v>19076400</v>
      </c>
      <c r="BA79" s="230">
        <v>12098800</v>
      </c>
      <c r="BB79" s="230">
        <v>6977600</v>
      </c>
      <c r="BC79" s="229">
        <v>0.57669999999999999</v>
      </c>
      <c r="BD79" s="230">
        <v>212100</v>
      </c>
      <c r="BE79" s="230">
        <v>88200</v>
      </c>
      <c r="BF79" s="230">
        <v>123900</v>
      </c>
      <c r="BG79" s="229">
        <v>1.4048</v>
      </c>
      <c r="BH79" s="230">
        <v>32232900</v>
      </c>
      <c r="BI79" s="230">
        <v>39358200</v>
      </c>
      <c r="BJ79" s="230">
        <v>-7125300</v>
      </c>
      <c r="BK79" s="229">
        <v>-0.18099999999999999</v>
      </c>
      <c r="BL79" s="230">
        <v>20484100</v>
      </c>
      <c r="BM79" s="230">
        <v>21367500</v>
      </c>
      <c r="BN79" s="230">
        <v>-883400</v>
      </c>
      <c r="BO79" s="229">
        <v>-4.1300000000000003E-2</v>
      </c>
      <c r="BP79" s="230">
        <v>94411800</v>
      </c>
      <c r="BQ79" s="230">
        <v>89558700</v>
      </c>
      <c r="BR79" s="230">
        <v>4853100</v>
      </c>
      <c r="BS79" s="229">
        <v>5.4199999999999998E-2</v>
      </c>
      <c r="BT79" s="230">
        <v>6272221</v>
      </c>
      <c r="BU79" s="230">
        <v>5707158</v>
      </c>
      <c r="BV79" s="230">
        <v>565063</v>
      </c>
      <c r="BW79" s="229">
        <v>9.9000000000000005E-2</v>
      </c>
      <c r="BX79" s="230">
        <v>50845900</v>
      </c>
      <c r="BY79" s="230">
        <v>51117500</v>
      </c>
      <c r="BZ79" s="230">
        <v>-271600</v>
      </c>
      <c r="CA79" s="229">
        <v>-5.3E-3</v>
      </c>
      <c r="CB79" s="230">
        <v>17799600</v>
      </c>
      <c r="CC79" s="230">
        <v>32572400</v>
      </c>
      <c r="CD79" s="230">
        <v>-14772800</v>
      </c>
      <c r="CE79" s="229">
        <v>-0.45350000000000001</v>
      </c>
      <c r="CF79" s="230">
        <v>31909500</v>
      </c>
      <c r="CG79" s="230">
        <v>17529400</v>
      </c>
      <c r="CH79" s="230">
        <v>14380100</v>
      </c>
      <c r="CI79" s="229">
        <v>0.82030000000000003</v>
      </c>
      <c r="CJ79" s="230">
        <v>1136800</v>
      </c>
      <c r="CK79" s="230">
        <v>1015700</v>
      </c>
      <c r="CL79" s="230">
        <v>121100</v>
      </c>
      <c r="CM79" s="229">
        <v>0.1192</v>
      </c>
      <c r="CN79" s="230">
        <v>16547300</v>
      </c>
      <c r="CO79" s="230">
        <v>18578700</v>
      </c>
      <c r="CP79" s="230">
        <v>-2031400</v>
      </c>
      <c r="CQ79" s="229">
        <v>-0.10929999999999999</v>
      </c>
      <c r="CR79" s="230">
        <v>12645500</v>
      </c>
      <c r="CS79" s="230">
        <v>13222300</v>
      </c>
      <c r="CT79" s="230">
        <v>-576800</v>
      </c>
      <c r="CU79" s="229">
        <v>-4.36E-2</v>
      </c>
      <c r="CV79" s="230">
        <v>80038700</v>
      </c>
      <c r="CW79" s="230">
        <v>82918500</v>
      </c>
      <c r="CX79" s="230">
        <v>-2879800</v>
      </c>
      <c r="CY79" s="229">
        <v>-3.4700000000000002E-2</v>
      </c>
      <c r="CZ79" s="228">
        <v>29.43</v>
      </c>
      <c r="DA79" s="228">
        <v>26.29</v>
      </c>
      <c r="DB79" s="228">
        <v>3.14</v>
      </c>
      <c r="DC79" s="228">
        <v>3.14</v>
      </c>
      <c r="DD79" s="228">
        <v>32.29</v>
      </c>
      <c r="DE79" s="228">
        <v>32.369999999999997</v>
      </c>
      <c r="DF79" s="228">
        <v>-2.86</v>
      </c>
      <c r="DG79" s="228">
        <v>-0.08</v>
      </c>
      <c r="DH79" s="228">
        <v>29.47</v>
      </c>
      <c r="DI79" s="228">
        <v>25.68</v>
      </c>
      <c r="DJ79" s="228">
        <v>3.79</v>
      </c>
      <c r="DK79" s="228">
        <v>3.79</v>
      </c>
      <c r="DL79" s="228">
        <v>29.39</v>
      </c>
      <c r="DM79" s="228">
        <v>27.42</v>
      </c>
      <c r="DN79" s="228">
        <v>1.97</v>
      </c>
      <c r="DO79" s="228">
        <v>1.97</v>
      </c>
      <c r="DP79" s="228">
        <v>0.76</v>
      </c>
      <c r="DQ79" s="228">
        <v>0.71</v>
      </c>
      <c r="DR79" s="228">
        <v>0.05</v>
      </c>
      <c r="DS79" s="229">
        <v>7.0400000000000004E-2</v>
      </c>
      <c r="DT79" s="228">
        <v>960</v>
      </c>
      <c r="DU79" s="228">
        <v>900</v>
      </c>
      <c r="DV79" s="228">
        <v>0.64</v>
      </c>
      <c r="DW79" s="228">
        <v>0.54</v>
      </c>
      <c r="DX79" s="228">
        <v>0.1</v>
      </c>
      <c r="DY79" s="229">
        <v>0.1852</v>
      </c>
      <c r="DZ79" s="229">
        <v>0.64990000000000003</v>
      </c>
      <c r="EA79" s="230">
        <v>18545100</v>
      </c>
      <c r="EB79" s="229">
        <v>5.7000000000000002E-3</v>
      </c>
      <c r="EC79" s="229">
        <v>0.64990000000000003</v>
      </c>
      <c r="ED79" s="228">
        <v>5.21</v>
      </c>
      <c r="EE79" s="229">
        <v>5.4999999999999997E-3</v>
      </c>
      <c r="EF79" s="230">
        <v>4077255</v>
      </c>
      <c r="EG79" s="230">
        <v>3551106</v>
      </c>
      <c r="EH79" s="229">
        <v>0.1482</v>
      </c>
      <c r="EI79" s="229">
        <v>0.65</v>
      </c>
      <c r="EJ79" s="231">
        <v>311783.28999999998</v>
      </c>
      <c r="EK79" s="231">
        <v>190367.49</v>
      </c>
      <c r="EL79" s="231">
        <v>393206.86</v>
      </c>
      <c r="EM79" s="231">
        <v>24797</v>
      </c>
      <c r="EN79" s="231">
        <v>895357.64</v>
      </c>
      <c r="EO79" s="231">
        <v>846501.69</v>
      </c>
      <c r="EP79" s="231">
        <v>48855.95</v>
      </c>
      <c r="EQ79" s="229">
        <v>5.7700000000000001E-2</v>
      </c>
      <c r="ER79" s="231">
        <v>158621</v>
      </c>
      <c r="ES79" s="231">
        <v>111719</v>
      </c>
      <c r="ET79" s="231">
        <v>480403</v>
      </c>
      <c r="EU79" s="231">
        <v>212176873</v>
      </c>
      <c r="EV79" s="231">
        <v>750742</v>
      </c>
      <c r="EW79" s="231">
        <v>775185</v>
      </c>
      <c r="EX79" s="231">
        <v>-24443</v>
      </c>
      <c r="EY79" s="229">
        <v>-3.15E-2</v>
      </c>
      <c r="EZ79" s="229">
        <v>0.37719999999999998</v>
      </c>
      <c r="FA79" s="227" t="s">
        <v>556</v>
      </c>
      <c r="FB79" s="161">
        <f t="shared" si="1"/>
        <v>33046300</v>
      </c>
    </row>
    <row r="80" spans="1:158" ht="17.25" hidden="1" thickBot="1" x14ac:dyDescent="0.3">
      <c r="A80" s="226">
        <v>46044</v>
      </c>
      <c r="B80" s="227" t="s">
        <v>193</v>
      </c>
      <c r="C80" s="227" t="s">
        <v>229</v>
      </c>
      <c r="D80" s="228">
        <v>2025</v>
      </c>
      <c r="E80" s="228">
        <v>427.5</v>
      </c>
      <c r="F80" s="228">
        <v>430.25</v>
      </c>
      <c r="G80" s="228">
        <v>-2.75</v>
      </c>
      <c r="H80" s="229">
        <v>-6.4000000000000003E-3</v>
      </c>
      <c r="I80" s="228">
        <v>427.7</v>
      </c>
      <c r="J80" s="228">
        <v>429.05</v>
      </c>
      <c r="K80" s="228">
        <v>-1.35</v>
      </c>
      <c r="L80" s="229">
        <v>-3.0999999999999999E-3</v>
      </c>
      <c r="M80" s="228">
        <v>427.5</v>
      </c>
      <c r="N80" s="228">
        <v>430.25</v>
      </c>
      <c r="O80" s="228">
        <v>-2.75</v>
      </c>
      <c r="P80" s="229">
        <v>-6.4000000000000003E-3</v>
      </c>
      <c r="Q80" s="228">
        <v>429.7</v>
      </c>
      <c r="R80" s="228">
        <v>432.2</v>
      </c>
      <c r="S80" s="228">
        <v>-2.5</v>
      </c>
      <c r="T80" s="229">
        <v>-5.7999999999999996E-3</v>
      </c>
      <c r="U80" s="228">
        <v>432.2</v>
      </c>
      <c r="V80" s="228">
        <v>435.1</v>
      </c>
      <c r="W80" s="228">
        <v>-2.9</v>
      </c>
      <c r="X80" s="229">
        <v>-6.7000000000000002E-3</v>
      </c>
      <c r="Y80" s="228">
        <v>-0.2</v>
      </c>
      <c r="Z80" s="228">
        <v>1.2</v>
      </c>
      <c r="AA80" s="228">
        <v>-1.4</v>
      </c>
      <c r="AB80" s="229">
        <v>-5.0000000000000001E-4</v>
      </c>
      <c r="AC80" s="228">
        <v>-0.2</v>
      </c>
      <c r="AD80" s="228">
        <v>1.2</v>
      </c>
      <c r="AE80" s="228">
        <v>-1.4</v>
      </c>
      <c r="AF80" s="229">
        <v>-5.0000000000000001E-4</v>
      </c>
      <c r="AG80" s="228">
        <v>2</v>
      </c>
      <c r="AH80" s="228">
        <v>3.15</v>
      </c>
      <c r="AI80" s="228">
        <v>-1.1499999999999999</v>
      </c>
      <c r="AJ80" s="229">
        <v>4.7000000000000002E-3</v>
      </c>
      <c r="AK80" s="228">
        <v>4.5</v>
      </c>
      <c r="AL80" s="228">
        <v>6.05</v>
      </c>
      <c r="AM80" s="228">
        <v>-1.55</v>
      </c>
      <c r="AN80" s="229">
        <v>1.0500000000000001E-2</v>
      </c>
      <c r="AO80" s="228">
        <v>427.08</v>
      </c>
      <c r="AP80" s="228">
        <v>429.06</v>
      </c>
      <c r="AQ80" s="228">
        <v>0</v>
      </c>
      <c r="AR80" s="230">
        <v>26796825</v>
      </c>
      <c r="AS80" s="230">
        <v>21035700</v>
      </c>
      <c r="AT80" s="230">
        <v>5761125</v>
      </c>
      <c r="AU80" s="229">
        <v>0.27389999999999998</v>
      </c>
      <c r="AV80" s="230">
        <v>13990725</v>
      </c>
      <c r="AW80" s="230">
        <v>12415275</v>
      </c>
      <c r="AX80" s="230">
        <v>1575450</v>
      </c>
      <c r="AY80" s="229">
        <v>0.12690000000000001</v>
      </c>
      <c r="AZ80" s="230">
        <v>12593475</v>
      </c>
      <c r="BA80" s="230">
        <v>8405775</v>
      </c>
      <c r="BB80" s="230">
        <v>4187700</v>
      </c>
      <c r="BC80" s="229">
        <v>0.49819999999999998</v>
      </c>
      <c r="BD80" s="230">
        <v>212625</v>
      </c>
      <c r="BE80" s="230">
        <v>214650</v>
      </c>
      <c r="BF80" s="230">
        <v>-2025</v>
      </c>
      <c r="BG80" s="229">
        <v>-9.4000000000000004E-3</v>
      </c>
      <c r="BH80" s="230">
        <v>43661025</v>
      </c>
      <c r="BI80" s="230">
        <v>44851725</v>
      </c>
      <c r="BJ80" s="230">
        <v>-1190700</v>
      </c>
      <c r="BK80" s="229">
        <v>-2.6499999999999999E-2</v>
      </c>
      <c r="BL80" s="230">
        <v>27519750</v>
      </c>
      <c r="BM80" s="230">
        <v>28244700</v>
      </c>
      <c r="BN80" s="230">
        <v>-724950</v>
      </c>
      <c r="BO80" s="229">
        <v>-2.5700000000000001E-2</v>
      </c>
      <c r="BP80" s="230">
        <v>97977600</v>
      </c>
      <c r="BQ80" s="230">
        <v>94132125</v>
      </c>
      <c r="BR80" s="230">
        <v>3845475</v>
      </c>
      <c r="BS80" s="229">
        <v>4.0899999999999999E-2</v>
      </c>
      <c r="BT80" s="230">
        <v>4981463</v>
      </c>
      <c r="BU80" s="230">
        <v>5533488</v>
      </c>
      <c r="BV80" s="230">
        <v>-552025</v>
      </c>
      <c r="BW80" s="229">
        <v>-9.98E-2</v>
      </c>
      <c r="BX80" s="230">
        <v>39821625</v>
      </c>
      <c r="BY80" s="230">
        <v>39461175</v>
      </c>
      <c r="BZ80" s="230">
        <v>360450</v>
      </c>
      <c r="CA80" s="229">
        <v>9.1000000000000004E-3</v>
      </c>
      <c r="CB80" s="230">
        <v>23080950</v>
      </c>
      <c r="CC80" s="230">
        <v>31768200</v>
      </c>
      <c r="CD80" s="230">
        <v>-8687250</v>
      </c>
      <c r="CE80" s="229">
        <v>-0.27350000000000002</v>
      </c>
      <c r="CF80" s="230">
        <v>16406550</v>
      </c>
      <c r="CG80" s="230">
        <v>7401375</v>
      </c>
      <c r="CH80" s="230">
        <v>9005175</v>
      </c>
      <c r="CI80" s="229">
        <v>1.2166999999999999</v>
      </c>
      <c r="CJ80" s="230">
        <v>334125</v>
      </c>
      <c r="CK80" s="230">
        <v>291600</v>
      </c>
      <c r="CL80" s="230">
        <v>42525</v>
      </c>
      <c r="CM80" s="229">
        <v>0.14580000000000001</v>
      </c>
      <c r="CN80" s="230">
        <v>22546350</v>
      </c>
      <c r="CO80" s="230">
        <v>24287850</v>
      </c>
      <c r="CP80" s="230">
        <v>-1741500</v>
      </c>
      <c r="CQ80" s="229">
        <v>-7.17E-2</v>
      </c>
      <c r="CR80" s="230">
        <v>11767275</v>
      </c>
      <c r="CS80" s="230">
        <v>12917475</v>
      </c>
      <c r="CT80" s="230">
        <v>-1150200</v>
      </c>
      <c r="CU80" s="229">
        <v>-8.8999999999999996E-2</v>
      </c>
      <c r="CV80" s="230">
        <v>74135250</v>
      </c>
      <c r="CW80" s="230">
        <v>76666500</v>
      </c>
      <c r="CX80" s="230">
        <v>-2531250</v>
      </c>
      <c r="CY80" s="229">
        <v>-3.3000000000000002E-2</v>
      </c>
      <c r="CZ80" s="228">
        <v>31.79</v>
      </c>
      <c r="DA80" s="228">
        <v>40.840000000000003</v>
      </c>
      <c r="DB80" s="228">
        <v>-9.0500000000000007</v>
      </c>
      <c r="DC80" s="228">
        <v>-9.0500000000000007</v>
      </c>
      <c r="DD80" s="228">
        <v>38.79</v>
      </c>
      <c r="DE80" s="228">
        <v>38.880000000000003</v>
      </c>
      <c r="DF80" s="228">
        <v>-7</v>
      </c>
      <c r="DG80" s="228">
        <v>-0.09</v>
      </c>
      <c r="DH80" s="228">
        <v>31.16</v>
      </c>
      <c r="DI80" s="228">
        <v>41.29</v>
      </c>
      <c r="DJ80" s="228">
        <v>-10.130000000000001</v>
      </c>
      <c r="DK80" s="228">
        <v>-10.130000000000001</v>
      </c>
      <c r="DL80" s="228">
        <v>32.520000000000003</v>
      </c>
      <c r="DM80" s="228">
        <v>40.130000000000003</v>
      </c>
      <c r="DN80" s="228">
        <v>-7.61</v>
      </c>
      <c r="DO80" s="228">
        <v>-7.61</v>
      </c>
      <c r="DP80" s="228">
        <v>0.52</v>
      </c>
      <c r="DQ80" s="228">
        <v>0.53</v>
      </c>
      <c r="DR80" s="228">
        <v>-0.01</v>
      </c>
      <c r="DS80" s="229">
        <v>-1.89E-2</v>
      </c>
      <c r="DT80" s="228">
        <v>500</v>
      </c>
      <c r="DU80" s="228">
        <v>450</v>
      </c>
      <c r="DV80" s="228">
        <v>0.63</v>
      </c>
      <c r="DW80" s="228">
        <v>0.63</v>
      </c>
      <c r="DX80" s="228">
        <v>0</v>
      </c>
      <c r="DY80" s="229">
        <v>0</v>
      </c>
      <c r="DZ80" s="229">
        <v>0.4204</v>
      </c>
      <c r="EA80" s="230">
        <v>7692975</v>
      </c>
      <c r="EB80" s="229">
        <v>5.1000000000000004E-3</v>
      </c>
      <c r="EC80" s="229">
        <v>0.4204</v>
      </c>
      <c r="ED80" s="228">
        <v>1.98</v>
      </c>
      <c r="EE80" s="229">
        <v>4.5999999999999999E-3</v>
      </c>
      <c r="EF80" s="230">
        <v>2194798</v>
      </c>
      <c r="EG80" s="230">
        <v>2792580</v>
      </c>
      <c r="EH80" s="229">
        <v>-0.21410000000000001</v>
      </c>
      <c r="EI80" s="229">
        <v>0.44059999999999999</v>
      </c>
      <c r="EJ80" s="231">
        <v>197259.14</v>
      </c>
      <c r="EK80" s="231">
        <v>117942.55</v>
      </c>
      <c r="EL80" s="231">
        <v>114702.67</v>
      </c>
      <c r="EM80" s="231">
        <v>6265</v>
      </c>
      <c r="EN80" s="231">
        <v>429904.36</v>
      </c>
      <c r="EO80" s="231">
        <v>419557.77</v>
      </c>
      <c r="EP80" s="231">
        <v>10346.59</v>
      </c>
      <c r="EQ80" s="229">
        <v>2.47E-2</v>
      </c>
      <c r="ER80" s="231">
        <v>107833</v>
      </c>
      <c r="ES80" s="231">
        <v>52312</v>
      </c>
      <c r="ET80" s="231">
        <v>170614</v>
      </c>
      <c r="EU80" s="231">
        <v>143933168</v>
      </c>
      <c r="EV80" s="231">
        <v>330758</v>
      </c>
      <c r="EW80" s="231">
        <v>344122</v>
      </c>
      <c r="EX80" s="231">
        <v>-13364</v>
      </c>
      <c r="EY80" s="229">
        <v>-3.8800000000000001E-2</v>
      </c>
      <c r="EZ80" s="229">
        <v>0.5151</v>
      </c>
      <c r="FA80" s="227" t="s">
        <v>567</v>
      </c>
      <c r="FB80" s="161">
        <f t="shared" si="1"/>
        <v>16740675</v>
      </c>
    </row>
    <row r="81" spans="1:158" ht="17.25" hidden="1" thickBot="1" x14ac:dyDescent="0.3">
      <c r="A81" s="226">
        <v>46044</v>
      </c>
      <c r="B81" s="227" t="s">
        <v>168</v>
      </c>
      <c r="C81" s="227" t="s">
        <v>230</v>
      </c>
      <c r="D81" s="228">
        <v>300</v>
      </c>
      <c r="E81" s="231">
        <v>2395.6</v>
      </c>
      <c r="F81" s="231">
        <v>2368.4</v>
      </c>
      <c r="G81" s="228">
        <v>27.2</v>
      </c>
      <c r="H81" s="229">
        <v>1.15E-2</v>
      </c>
      <c r="I81" s="231">
        <v>2390.6</v>
      </c>
      <c r="J81" s="231">
        <v>2368</v>
      </c>
      <c r="K81" s="228">
        <v>22.6</v>
      </c>
      <c r="L81" s="229">
        <v>9.4999999999999998E-3</v>
      </c>
      <c r="M81" s="231">
        <v>2395.6</v>
      </c>
      <c r="N81" s="231">
        <v>2368.4</v>
      </c>
      <c r="O81" s="228">
        <v>27.2</v>
      </c>
      <c r="P81" s="229">
        <v>1.15E-2</v>
      </c>
      <c r="Q81" s="231">
        <v>2405.5</v>
      </c>
      <c r="R81" s="231">
        <v>2378.1</v>
      </c>
      <c r="S81" s="228">
        <v>27.4</v>
      </c>
      <c r="T81" s="229">
        <v>1.15E-2</v>
      </c>
      <c r="U81" s="231">
        <v>2417.4</v>
      </c>
      <c r="V81" s="231">
        <v>2392.5</v>
      </c>
      <c r="W81" s="228">
        <v>24.9</v>
      </c>
      <c r="X81" s="229">
        <v>1.04E-2</v>
      </c>
      <c r="Y81" s="228">
        <v>5</v>
      </c>
      <c r="Z81" s="228">
        <v>0.4</v>
      </c>
      <c r="AA81" s="228">
        <v>4.5999999999999996</v>
      </c>
      <c r="AB81" s="229">
        <v>2.0999999999999999E-3</v>
      </c>
      <c r="AC81" s="228">
        <v>5</v>
      </c>
      <c r="AD81" s="228">
        <v>0.4</v>
      </c>
      <c r="AE81" s="228">
        <v>4.5999999999999996</v>
      </c>
      <c r="AF81" s="229">
        <v>2.0999999999999999E-3</v>
      </c>
      <c r="AG81" s="228">
        <v>14.9</v>
      </c>
      <c r="AH81" s="228">
        <v>10.1</v>
      </c>
      <c r="AI81" s="228">
        <v>4.8</v>
      </c>
      <c r="AJ81" s="229">
        <v>6.1999999999999998E-3</v>
      </c>
      <c r="AK81" s="228">
        <v>26.8</v>
      </c>
      <c r="AL81" s="228">
        <v>24.5</v>
      </c>
      <c r="AM81" s="228">
        <v>2.2999999999999998</v>
      </c>
      <c r="AN81" s="229">
        <v>1.12E-2</v>
      </c>
      <c r="AO81" s="231">
        <v>2379.5700000000002</v>
      </c>
      <c r="AP81" s="231">
        <v>2389.09</v>
      </c>
      <c r="AQ81" s="228">
        <v>0</v>
      </c>
      <c r="AR81" s="230">
        <v>13115700</v>
      </c>
      <c r="AS81" s="230">
        <v>11584200</v>
      </c>
      <c r="AT81" s="230">
        <v>1531500</v>
      </c>
      <c r="AU81" s="229">
        <v>0.13220000000000001</v>
      </c>
      <c r="AV81" s="230">
        <v>6993600</v>
      </c>
      <c r="AW81" s="230">
        <v>6042900</v>
      </c>
      <c r="AX81" s="230">
        <v>950700</v>
      </c>
      <c r="AY81" s="229">
        <v>0.1573</v>
      </c>
      <c r="AZ81" s="230">
        <v>6073500</v>
      </c>
      <c r="BA81" s="230">
        <v>5520300</v>
      </c>
      <c r="BB81" s="230">
        <v>553200</v>
      </c>
      <c r="BC81" s="229">
        <v>0.1002</v>
      </c>
      <c r="BD81" s="230">
        <v>48600</v>
      </c>
      <c r="BE81" s="230">
        <v>21000</v>
      </c>
      <c r="BF81" s="230">
        <v>27600</v>
      </c>
      <c r="BG81" s="229">
        <v>1.3143</v>
      </c>
      <c r="BH81" s="230">
        <v>14552100</v>
      </c>
      <c r="BI81" s="230">
        <v>14436900</v>
      </c>
      <c r="BJ81" s="230">
        <v>115200</v>
      </c>
      <c r="BK81" s="229">
        <v>8.0000000000000002E-3</v>
      </c>
      <c r="BL81" s="230">
        <v>7319100</v>
      </c>
      <c r="BM81" s="230">
        <v>8676900</v>
      </c>
      <c r="BN81" s="230">
        <v>-1357800</v>
      </c>
      <c r="BO81" s="229">
        <v>-0.1565</v>
      </c>
      <c r="BP81" s="230">
        <v>34986900</v>
      </c>
      <c r="BQ81" s="230">
        <v>34698000</v>
      </c>
      <c r="BR81" s="230">
        <v>288900</v>
      </c>
      <c r="BS81" s="229">
        <v>8.3000000000000001E-3</v>
      </c>
      <c r="BT81" s="230">
        <v>1930976</v>
      </c>
      <c r="BU81" s="230">
        <v>1108267</v>
      </c>
      <c r="BV81" s="230">
        <v>822709</v>
      </c>
      <c r="BW81" s="229">
        <v>0.74229999999999996</v>
      </c>
      <c r="BX81" s="230">
        <v>13515300</v>
      </c>
      <c r="BY81" s="230">
        <v>14341500</v>
      </c>
      <c r="BZ81" s="230">
        <v>-826200</v>
      </c>
      <c r="CA81" s="229">
        <v>-5.7599999999999998E-2</v>
      </c>
      <c r="CB81" s="230">
        <v>4094100</v>
      </c>
      <c r="CC81" s="230">
        <v>9057600</v>
      </c>
      <c r="CD81" s="230">
        <v>-4963500</v>
      </c>
      <c r="CE81" s="229">
        <v>-0.54800000000000004</v>
      </c>
      <c r="CF81" s="230">
        <v>9261600</v>
      </c>
      <c r="CG81" s="230">
        <v>5132400</v>
      </c>
      <c r="CH81" s="230">
        <v>4129200</v>
      </c>
      <c r="CI81" s="229">
        <v>0.80449999999999999</v>
      </c>
      <c r="CJ81" s="230">
        <v>159600</v>
      </c>
      <c r="CK81" s="230">
        <v>151500</v>
      </c>
      <c r="CL81" s="230">
        <v>8100</v>
      </c>
      <c r="CM81" s="229">
        <v>5.3499999999999999E-2</v>
      </c>
      <c r="CN81" s="230">
        <v>7157700</v>
      </c>
      <c r="CO81" s="230">
        <v>7392600</v>
      </c>
      <c r="CP81" s="230">
        <v>-234900</v>
      </c>
      <c r="CQ81" s="229">
        <v>-3.1800000000000002E-2</v>
      </c>
      <c r="CR81" s="230">
        <v>3759300</v>
      </c>
      <c r="CS81" s="230">
        <v>3535500</v>
      </c>
      <c r="CT81" s="230">
        <v>223800</v>
      </c>
      <c r="CU81" s="229">
        <v>6.3299999999999995E-2</v>
      </c>
      <c r="CV81" s="230">
        <v>24432300</v>
      </c>
      <c r="CW81" s="230">
        <v>25269600</v>
      </c>
      <c r="CX81" s="230">
        <v>-837300</v>
      </c>
      <c r="CY81" s="229">
        <v>-3.3099999999999997E-2</v>
      </c>
      <c r="CZ81" s="228">
        <v>21.73</v>
      </c>
      <c r="DA81" s="228">
        <v>16.66</v>
      </c>
      <c r="DB81" s="228">
        <v>5.07</v>
      </c>
      <c r="DC81" s="228">
        <v>5.07</v>
      </c>
      <c r="DD81" s="228">
        <v>21.87</v>
      </c>
      <c r="DE81" s="228">
        <v>21.88</v>
      </c>
      <c r="DF81" s="228">
        <v>-0.14000000000000001</v>
      </c>
      <c r="DG81" s="228">
        <v>-0.01</v>
      </c>
      <c r="DH81" s="228">
        <v>21.72</v>
      </c>
      <c r="DI81" s="228">
        <v>16.87</v>
      </c>
      <c r="DJ81" s="228">
        <v>4.8499999999999996</v>
      </c>
      <c r="DK81" s="228">
        <v>4.8499999999999996</v>
      </c>
      <c r="DL81" s="228">
        <v>21.74</v>
      </c>
      <c r="DM81" s="228">
        <v>16.3</v>
      </c>
      <c r="DN81" s="228">
        <v>5.44</v>
      </c>
      <c r="DO81" s="228">
        <v>5.44</v>
      </c>
      <c r="DP81" s="228">
        <v>0.53</v>
      </c>
      <c r="DQ81" s="228">
        <v>0.48</v>
      </c>
      <c r="DR81" s="228">
        <v>0.05</v>
      </c>
      <c r="DS81" s="229">
        <v>0.1042</v>
      </c>
      <c r="DT81" s="231">
        <v>2440</v>
      </c>
      <c r="DU81" s="231">
        <v>2300</v>
      </c>
      <c r="DV81" s="228">
        <v>0.5</v>
      </c>
      <c r="DW81" s="228">
        <v>0.6</v>
      </c>
      <c r="DX81" s="228">
        <v>-0.1</v>
      </c>
      <c r="DY81" s="229">
        <v>-0.16669999999999999</v>
      </c>
      <c r="DZ81" s="229">
        <v>0.69710000000000005</v>
      </c>
      <c r="EA81" s="230">
        <v>5283900</v>
      </c>
      <c r="EB81" s="229">
        <v>4.1000000000000003E-3</v>
      </c>
      <c r="EC81" s="229">
        <v>0.69710000000000005</v>
      </c>
      <c r="ED81" s="228">
        <v>9.52</v>
      </c>
      <c r="EE81" s="229">
        <v>4.0000000000000001E-3</v>
      </c>
      <c r="EF81" s="230">
        <v>1081253</v>
      </c>
      <c r="EG81" s="230">
        <v>572241</v>
      </c>
      <c r="EH81" s="229">
        <v>0.88949999999999996</v>
      </c>
      <c r="EI81" s="229">
        <v>0.56000000000000005</v>
      </c>
      <c r="EJ81" s="231">
        <v>353325.92</v>
      </c>
      <c r="EK81" s="231">
        <v>173322.6</v>
      </c>
      <c r="EL81" s="231">
        <v>312688.09000000003</v>
      </c>
      <c r="EM81" s="231">
        <v>16548</v>
      </c>
      <c r="EN81" s="231">
        <v>839336.61</v>
      </c>
      <c r="EO81" s="231">
        <v>833278.53</v>
      </c>
      <c r="EP81" s="231">
        <v>6058.08</v>
      </c>
      <c r="EQ81" s="229">
        <v>7.3000000000000001E-3</v>
      </c>
      <c r="ER81" s="231">
        <v>174382</v>
      </c>
      <c r="ES81" s="231">
        <v>87071</v>
      </c>
      <c r="ET81" s="231">
        <v>324724</v>
      </c>
      <c r="EU81" s="231">
        <v>91001773</v>
      </c>
      <c r="EV81" s="231">
        <v>586177</v>
      </c>
      <c r="EW81" s="231">
        <v>601982</v>
      </c>
      <c r="EX81" s="231">
        <v>-15805</v>
      </c>
      <c r="EY81" s="229">
        <v>-2.63E-2</v>
      </c>
      <c r="EZ81" s="229">
        <v>0.26850000000000002</v>
      </c>
      <c r="FA81" s="227" t="s">
        <v>556</v>
      </c>
      <c r="FB81" s="161">
        <f t="shared" si="1"/>
        <v>9421200</v>
      </c>
    </row>
    <row r="82" spans="1:158" ht="17.25" hidden="1" thickBot="1" x14ac:dyDescent="0.3">
      <c r="A82" s="226">
        <v>46044</v>
      </c>
      <c r="B82" s="227" t="s">
        <v>227</v>
      </c>
      <c r="C82" s="227" t="s">
        <v>668</v>
      </c>
      <c r="D82" s="228">
        <v>1225</v>
      </c>
      <c r="E82" s="228">
        <v>665.9</v>
      </c>
      <c r="F82" s="228">
        <v>695.45</v>
      </c>
      <c r="G82" s="228">
        <v>-29.55</v>
      </c>
      <c r="H82" s="229">
        <v>-4.2500000000000003E-2</v>
      </c>
      <c r="I82" s="228">
        <v>668.25</v>
      </c>
      <c r="J82" s="228">
        <v>697.55</v>
      </c>
      <c r="K82" s="228">
        <v>-29.3</v>
      </c>
      <c r="L82" s="229">
        <v>-4.2000000000000003E-2</v>
      </c>
      <c r="M82" s="228">
        <v>665.9</v>
      </c>
      <c r="N82" s="228">
        <v>695.45</v>
      </c>
      <c r="O82" s="228">
        <v>-29.55</v>
      </c>
      <c r="P82" s="229">
        <v>-4.2500000000000003E-2</v>
      </c>
      <c r="Q82" s="228">
        <v>665.9</v>
      </c>
      <c r="R82" s="228">
        <v>699.4</v>
      </c>
      <c r="S82" s="228">
        <v>-33.5</v>
      </c>
      <c r="T82" s="229">
        <v>-4.7899999999999998E-2</v>
      </c>
      <c r="U82" s="228">
        <v>669.9</v>
      </c>
      <c r="V82" s="228">
        <v>704.3</v>
      </c>
      <c r="W82" s="228">
        <v>-34.4</v>
      </c>
      <c r="X82" s="229">
        <v>-4.8800000000000003E-2</v>
      </c>
      <c r="Y82" s="228">
        <v>-2.35</v>
      </c>
      <c r="Z82" s="228">
        <v>-2.1</v>
      </c>
      <c r="AA82" s="228">
        <v>-0.25</v>
      </c>
      <c r="AB82" s="229">
        <v>-3.5000000000000001E-3</v>
      </c>
      <c r="AC82" s="228">
        <v>-2.35</v>
      </c>
      <c r="AD82" s="228">
        <v>-2.1</v>
      </c>
      <c r="AE82" s="228">
        <v>-0.25</v>
      </c>
      <c r="AF82" s="229">
        <v>-3.5000000000000001E-3</v>
      </c>
      <c r="AG82" s="228">
        <v>-2.35</v>
      </c>
      <c r="AH82" s="228">
        <v>1.85</v>
      </c>
      <c r="AI82" s="228">
        <v>-4.2</v>
      </c>
      <c r="AJ82" s="229">
        <v>-3.5000000000000001E-3</v>
      </c>
      <c r="AK82" s="228">
        <v>1.65</v>
      </c>
      <c r="AL82" s="228">
        <v>6.75</v>
      </c>
      <c r="AM82" s="228">
        <v>-5.0999999999999996</v>
      </c>
      <c r="AN82" s="229">
        <v>2.5000000000000001E-3</v>
      </c>
      <c r="AO82" s="228">
        <v>669.49</v>
      </c>
      <c r="AP82" s="228">
        <v>671.47</v>
      </c>
      <c r="AQ82" s="228">
        <v>0</v>
      </c>
      <c r="AR82" s="230">
        <v>54671750</v>
      </c>
      <c r="AS82" s="230">
        <v>38651200</v>
      </c>
      <c r="AT82" s="230">
        <v>16020550</v>
      </c>
      <c r="AU82" s="229">
        <v>0.41449999999999998</v>
      </c>
      <c r="AV82" s="230">
        <v>31003525</v>
      </c>
      <c r="AW82" s="230">
        <v>23131675</v>
      </c>
      <c r="AX82" s="230">
        <v>7871850</v>
      </c>
      <c r="AY82" s="229">
        <v>0.34029999999999999</v>
      </c>
      <c r="AZ82" s="230">
        <v>22851150</v>
      </c>
      <c r="BA82" s="230">
        <v>15006250</v>
      </c>
      <c r="BB82" s="230">
        <v>7844900</v>
      </c>
      <c r="BC82" s="229">
        <v>0.52280000000000004</v>
      </c>
      <c r="BD82" s="230">
        <v>817075</v>
      </c>
      <c r="BE82" s="230">
        <v>513275</v>
      </c>
      <c r="BF82" s="230">
        <v>303800</v>
      </c>
      <c r="BG82" s="229">
        <v>0.59189999999999998</v>
      </c>
      <c r="BH82" s="230">
        <v>309362725</v>
      </c>
      <c r="BI82" s="230">
        <v>300531700</v>
      </c>
      <c r="BJ82" s="230">
        <v>8831025</v>
      </c>
      <c r="BK82" s="229">
        <v>2.9399999999999999E-2</v>
      </c>
      <c r="BL82" s="230">
        <v>162183875</v>
      </c>
      <c r="BM82" s="230">
        <v>99332800</v>
      </c>
      <c r="BN82" s="230">
        <v>62851075</v>
      </c>
      <c r="BO82" s="229">
        <v>0.63270000000000004</v>
      </c>
      <c r="BP82" s="230">
        <v>526218350</v>
      </c>
      <c r="BQ82" s="230">
        <v>438515700</v>
      </c>
      <c r="BR82" s="230">
        <v>87702650</v>
      </c>
      <c r="BS82" s="229">
        <v>0.2</v>
      </c>
      <c r="BT82" s="230">
        <v>29752893</v>
      </c>
      <c r="BU82" s="230">
        <v>30962568</v>
      </c>
      <c r="BV82" s="230">
        <v>-1209675</v>
      </c>
      <c r="BW82" s="229">
        <v>-3.9100000000000003E-2</v>
      </c>
      <c r="BX82" s="230">
        <v>35155050</v>
      </c>
      <c r="BY82" s="230">
        <v>36654450</v>
      </c>
      <c r="BZ82" s="230">
        <v>-1499400</v>
      </c>
      <c r="CA82" s="229">
        <v>-4.0899999999999999E-2</v>
      </c>
      <c r="CB82" s="230">
        <v>11573800</v>
      </c>
      <c r="CC82" s="230">
        <v>19430950</v>
      </c>
      <c r="CD82" s="230">
        <v>-7857150</v>
      </c>
      <c r="CE82" s="229">
        <v>-0.40439999999999998</v>
      </c>
      <c r="CF82" s="230">
        <v>22400350</v>
      </c>
      <c r="CG82" s="230">
        <v>16108750</v>
      </c>
      <c r="CH82" s="230">
        <v>6291600</v>
      </c>
      <c r="CI82" s="229">
        <v>0.3906</v>
      </c>
      <c r="CJ82" s="230">
        <v>1180900</v>
      </c>
      <c r="CK82" s="230">
        <v>1114750</v>
      </c>
      <c r="CL82" s="230">
        <v>66150</v>
      </c>
      <c r="CM82" s="229">
        <v>5.9299999999999999E-2</v>
      </c>
      <c r="CN82" s="230">
        <v>66042200</v>
      </c>
      <c r="CO82" s="230">
        <v>66176950</v>
      </c>
      <c r="CP82" s="230">
        <v>-134750</v>
      </c>
      <c r="CQ82" s="229">
        <v>-2E-3</v>
      </c>
      <c r="CR82" s="230">
        <v>38217550</v>
      </c>
      <c r="CS82" s="230">
        <v>39220825</v>
      </c>
      <c r="CT82" s="230">
        <v>-1003275</v>
      </c>
      <c r="CU82" s="229">
        <v>-2.5600000000000001E-2</v>
      </c>
      <c r="CV82" s="230">
        <v>139414800</v>
      </c>
      <c r="CW82" s="230">
        <v>142052225</v>
      </c>
      <c r="CX82" s="230">
        <v>-2637425</v>
      </c>
      <c r="CY82" s="229">
        <v>-1.8599999999999998E-2</v>
      </c>
      <c r="CZ82" s="228">
        <v>48.9</v>
      </c>
      <c r="DA82" s="228">
        <v>46.3</v>
      </c>
      <c r="DB82" s="228">
        <v>2.6</v>
      </c>
      <c r="DC82" s="228">
        <v>2.6</v>
      </c>
      <c r="DD82" s="228">
        <v>44.6</v>
      </c>
      <c r="DE82" s="228">
        <v>44.33</v>
      </c>
      <c r="DF82" s="228">
        <v>4.3</v>
      </c>
      <c r="DG82" s="228">
        <v>0.27</v>
      </c>
      <c r="DH82" s="228">
        <v>49.4</v>
      </c>
      <c r="DI82" s="228">
        <v>46.55</v>
      </c>
      <c r="DJ82" s="228">
        <v>2.85</v>
      </c>
      <c r="DK82" s="228">
        <v>2.85</v>
      </c>
      <c r="DL82" s="228">
        <v>47.92</v>
      </c>
      <c r="DM82" s="228">
        <v>45.56</v>
      </c>
      <c r="DN82" s="228">
        <v>2.36</v>
      </c>
      <c r="DO82" s="228">
        <v>2.36</v>
      </c>
      <c r="DP82" s="228">
        <v>0.57999999999999996</v>
      </c>
      <c r="DQ82" s="228">
        <v>0.59</v>
      </c>
      <c r="DR82" s="228">
        <v>-0.01</v>
      </c>
      <c r="DS82" s="229">
        <v>-1.6899999999999998E-2</v>
      </c>
      <c r="DT82" s="228">
        <v>700</v>
      </c>
      <c r="DU82" s="228">
        <v>690</v>
      </c>
      <c r="DV82" s="228">
        <v>0.52</v>
      </c>
      <c r="DW82" s="228">
        <v>0.33</v>
      </c>
      <c r="DX82" s="228">
        <v>0.19</v>
      </c>
      <c r="DY82" s="229">
        <v>0.57579999999999998</v>
      </c>
      <c r="DZ82" s="229">
        <v>0.67079999999999995</v>
      </c>
      <c r="EA82" s="230">
        <v>17223500</v>
      </c>
      <c r="EB82" s="229">
        <v>0</v>
      </c>
      <c r="EC82" s="229">
        <v>0.67079999999999995</v>
      </c>
      <c r="ED82" s="228">
        <v>1.98</v>
      </c>
      <c r="EE82" s="229">
        <v>3.0000000000000001E-3</v>
      </c>
      <c r="EF82" s="230">
        <v>9055306</v>
      </c>
      <c r="EG82" s="230">
        <v>8782773</v>
      </c>
      <c r="EH82" s="229">
        <v>3.1E-2</v>
      </c>
      <c r="EI82" s="229">
        <v>0.3044</v>
      </c>
      <c r="EJ82" s="231">
        <v>2193446.21</v>
      </c>
      <c r="EK82" s="231">
        <v>1072618.08</v>
      </c>
      <c r="EL82" s="231">
        <v>366507.85</v>
      </c>
      <c r="EM82" s="231">
        <v>26700</v>
      </c>
      <c r="EN82" s="231">
        <v>3632572.14</v>
      </c>
      <c r="EO82" s="231">
        <v>3119083.59</v>
      </c>
      <c r="EP82" s="231">
        <v>513488.55</v>
      </c>
      <c r="EQ82" s="229">
        <v>0.1646</v>
      </c>
      <c r="ER82" s="231">
        <v>458417</v>
      </c>
      <c r="ES82" s="231">
        <v>238895</v>
      </c>
      <c r="ET82" s="231">
        <v>234145</v>
      </c>
      <c r="EU82" s="231">
        <v>161247058</v>
      </c>
      <c r="EV82" s="231">
        <v>931456</v>
      </c>
      <c r="EW82" s="231">
        <v>964271</v>
      </c>
      <c r="EX82" s="231">
        <v>-32815</v>
      </c>
      <c r="EY82" s="229">
        <v>-3.4000000000000002E-2</v>
      </c>
      <c r="EZ82" s="229">
        <v>0.86460000000000004</v>
      </c>
      <c r="FA82" s="227" t="s">
        <v>568</v>
      </c>
      <c r="FB82" s="161">
        <f t="shared" si="1"/>
        <v>23581250</v>
      </c>
    </row>
    <row r="83" spans="1:158" ht="17.25" hidden="1" thickBot="1" x14ac:dyDescent="0.3">
      <c r="A83" s="226">
        <v>46044</v>
      </c>
      <c r="B83" s="227" t="s">
        <v>206</v>
      </c>
      <c r="C83" s="227" t="s">
        <v>608</v>
      </c>
      <c r="D83" s="228">
        <v>2775</v>
      </c>
      <c r="E83" s="228">
        <v>206.98</v>
      </c>
      <c r="F83" s="228">
        <v>203.36</v>
      </c>
      <c r="G83" s="228">
        <v>3.62</v>
      </c>
      <c r="H83" s="229">
        <v>1.78E-2</v>
      </c>
      <c r="I83" s="228">
        <v>207.11</v>
      </c>
      <c r="J83" s="228">
        <v>203.14</v>
      </c>
      <c r="K83" s="228">
        <v>3.97</v>
      </c>
      <c r="L83" s="229">
        <v>1.95E-2</v>
      </c>
      <c r="M83" s="228">
        <v>206.98</v>
      </c>
      <c r="N83" s="228">
        <v>203.36</v>
      </c>
      <c r="O83" s="228">
        <v>3.62</v>
      </c>
      <c r="P83" s="229">
        <v>1.78E-2</v>
      </c>
      <c r="Q83" s="228">
        <v>207.62</v>
      </c>
      <c r="R83" s="228">
        <v>203.94</v>
      </c>
      <c r="S83" s="228">
        <v>3.68</v>
      </c>
      <c r="T83" s="229">
        <v>1.7999999999999999E-2</v>
      </c>
      <c r="U83" s="228">
        <v>207.94</v>
      </c>
      <c r="V83" s="228">
        <v>204.85</v>
      </c>
      <c r="W83" s="228">
        <v>3.09</v>
      </c>
      <c r="X83" s="229">
        <v>1.5100000000000001E-2</v>
      </c>
      <c r="Y83" s="228">
        <v>-0.13</v>
      </c>
      <c r="Z83" s="228">
        <v>0.22</v>
      </c>
      <c r="AA83" s="228">
        <v>-0.35</v>
      </c>
      <c r="AB83" s="229">
        <v>-5.9999999999999995E-4</v>
      </c>
      <c r="AC83" s="228">
        <v>-0.13</v>
      </c>
      <c r="AD83" s="228">
        <v>0.22</v>
      </c>
      <c r="AE83" s="228">
        <v>-0.35</v>
      </c>
      <c r="AF83" s="229">
        <v>-5.9999999999999995E-4</v>
      </c>
      <c r="AG83" s="228">
        <v>0.51</v>
      </c>
      <c r="AH83" s="228">
        <v>0.8</v>
      </c>
      <c r="AI83" s="228">
        <v>-0.28999999999999998</v>
      </c>
      <c r="AJ83" s="229">
        <v>2.5000000000000001E-3</v>
      </c>
      <c r="AK83" s="228">
        <v>0.83</v>
      </c>
      <c r="AL83" s="228">
        <v>1.71</v>
      </c>
      <c r="AM83" s="228">
        <v>-0.88</v>
      </c>
      <c r="AN83" s="229">
        <v>4.0000000000000001E-3</v>
      </c>
      <c r="AO83" s="228">
        <v>206.84</v>
      </c>
      <c r="AP83" s="228">
        <v>207.31</v>
      </c>
      <c r="AQ83" s="228">
        <v>0</v>
      </c>
      <c r="AR83" s="230">
        <v>28554750</v>
      </c>
      <c r="AS83" s="230">
        <v>19272375</v>
      </c>
      <c r="AT83" s="230">
        <v>9282375</v>
      </c>
      <c r="AU83" s="229">
        <v>0.48159999999999997</v>
      </c>
      <c r="AV83" s="230">
        <v>13930500</v>
      </c>
      <c r="AW83" s="230">
        <v>11391375</v>
      </c>
      <c r="AX83" s="230">
        <v>2539125</v>
      </c>
      <c r="AY83" s="229">
        <v>0.22289999999999999</v>
      </c>
      <c r="AZ83" s="230">
        <v>14230200</v>
      </c>
      <c r="BA83" s="230">
        <v>7661775</v>
      </c>
      <c r="BB83" s="230">
        <v>6568425</v>
      </c>
      <c r="BC83" s="229">
        <v>0.85729999999999995</v>
      </c>
      <c r="BD83" s="230">
        <v>394050</v>
      </c>
      <c r="BE83" s="230">
        <v>219225</v>
      </c>
      <c r="BF83" s="230">
        <v>174825</v>
      </c>
      <c r="BG83" s="229">
        <v>0.79749999999999999</v>
      </c>
      <c r="BH83" s="230">
        <v>30697050</v>
      </c>
      <c r="BI83" s="230">
        <v>31224300</v>
      </c>
      <c r="BJ83" s="230">
        <v>-527250</v>
      </c>
      <c r="BK83" s="229">
        <v>-1.6899999999999998E-2</v>
      </c>
      <c r="BL83" s="230">
        <v>14524350</v>
      </c>
      <c r="BM83" s="230">
        <v>22344300</v>
      </c>
      <c r="BN83" s="230">
        <v>-7819950</v>
      </c>
      <c r="BO83" s="229">
        <v>-0.35</v>
      </c>
      <c r="BP83" s="230">
        <v>73776150</v>
      </c>
      <c r="BQ83" s="230">
        <v>72840975</v>
      </c>
      <c r="BR83" s="230">
        <v>935175</v>
      </c>
      <c r="BS83" s="229">
        <v>1.2800000000000001E-2</v>
      </c>
      <c r="BT83" s="230">
        <v>3053577</v>
      </c>
      <c r="BU83" s="230">
        <v>4491945</v>
      </c>
      <c r="BV83" s="230">
        <v>-1438368</v>
      </c>
      <c r="BW83" s="229">
        <v>-0.32019999999999998</v>
      </c>
      <c r="BX83" s="230">
        <v>41722125</v>
      </c>
      <c r="BY83" s="230">
        <v>41844225</v>
      </c>
      <c r="BZ83" s="230">
        <v>-122100</v>
      </c>
      <c r="CA83" s="229">
        <v>-2.8999999999999998E-3</v>
      </c>
      <c r="CB83" s="230">
        <v>25407900</v>
      </c>
      <c r="CC83" s="230">
        <v>32758875</v>
      </c>
      <c r="CD83" s="230">
        <v>-7350975</v>
      </c>
      <c r="CE83" s="229">
        <v>-0.22439999999999999</v>
      </c>
      <c r="CF83" s="230">
        <v>15639900</v>
      </c>
      <c r="CG83" s="230">
        <v>8580300</v>
      </c>
      <c r="CH83" s="230">
        <v>7059600</v>
      </c>
      <c r="CI83" s="229">
        <v>0.82279999999999998</v>
      </c>
      <c r="CJ83" s="230">
        <v>674325</v>
      </c>
      <c r="CK83" s="230">
        <v>505050</v>
      </c>
      <c r="CL83" s="230">
        <v>169275</v>
      </c>
      <c r="CM83" s="229">
        <v>0.3352</v>
      </c>
      <c r="CN83" s="230">
        <v>27619575</v>
      </c>
      <c r="CO83" s="230">
        <v>29106975</v>
      </c>
      <c r="CP83" s="230">
        <v>-1487400</v>
      </c>
      <c r="CQ83" s="229">
        <v>-5.11E-2</v>
      </c>
      <c r="CR83" s="230">
        <v>16611150</v>
      </c>
      <c r="CS83" s="230">
        <v>16794300</v>
      </c>
      <c r="CT83" s="230">
        <v>-183150</v>
      </c>
      <c r="CU83" s="229">
        <v>-1.09E-2</v>
      </c>
      <c r="CV83" s="230">
        <v>85952850</v>
      </c>
      <c r="CW83" s="230">
        <v>87745500</v>
      </c>
      <c r="CX83" s="230">
        <v>-1792650</v>
      </c>
      <c r="CY83" s="229">
        <v>-2.0400000000000001E-2</v>
      </c>
      <c r="CZ83" s="228">
        <v>38.96</v>
      </c>
      <c r="DA83" s="228">
        <v>39.1</v>
      </c>
      <c r="DB83" s="228">
        <v>-0.14000000000000001</v>
      </c>
      <c r="DC83" s="228">
        <v>-0.14000000000000001</v>
      </c>
      <c r="DD83" s="228">
        <v>49.67</v>
      </c>
      <c r="DE83" s="228">
        <v>49.74</v>
      </c>
      <c r="DF83" s="228">
        <v>-10.71</v>
      </c>
      <c r="DG83" s="228">
        <v>-7.0000000000000007E-2</v>
      </c>
      <c r="DH83" s="228">
        <v>39.369999999999997</v>
      </c>
      <c r="DI83" s="228">
        <v>40.76</v>
      </c>
      <c r="DJ83" s="228">
        <v>-1.39</v>
      </c>
      <c r="DK83" s="228">
        <v>-1.39</v>
      </c>
      <c r="DL83" s="228">
        <v>38.35</v>
      </c>
      <c r="DM83" s="228">
        <v>36.78</v>
      </c>
      <c r="DN83" s="228">
        <v>1.57</v>
      </c>
      <c r="DO83" s="228">
        <v>1.57</v>
      </c>
      <c r="DP83" s="228">
        <v>0.6</v>
      </c>
      <c r="DQ83" s="228">
        <v>0.57999999999999996</v>
      </c>
      <c r="DR83" s="228">
        <v>0.02</v>
      </c>
      <c r="DS83" s="229">
        <v>3.4500000000000003E-2</v>
      </c>
      <c r="DT83" s="228">
        <v>230</v>
      </c>
      <c r="DU83" s="228">
        <v>200</v>
      </c>
      <c r="DV83" s="228">
        <v>0.47</v>
      </c>
      <c r="DW83" s="228">
        <v>0.72</v>
      </c>
      <c r="DX83" s="228">
        <v>-0.25</v>
      </c>
      <c r="DY83" s="229">
        <v>-0.34720000000000001</v>
      </c>
      <c r="DZ83" s="229">
        <v>0.39100000000000001</v>
      </c>
      <c r="EA83" s="230">
        <v>9085350</v>
      </c>
      <c r="EB83" s="229">
        <v>3.0999999999999999E-3</v>
      </c>
      <c r="EC83" s="229">
        <v>0.39100000000000001</v>
      </c>
      <c r="ED83" s="228">
        <v>0.47</v>
      </c>
      <c r="EE83" s="229">
        <v>2.3E-3</v>
      </c>
      <c r="EF83" s="230">
        <v>826461</v>
      </c>
      <c r="EG83" s="230">
        <v>1113209</v>
      </c>
      <c r="EH83" s="229">
        <v>-0.2576</v>
      </c>
      <c r="EI83" s="229">
        <v>0.2707</v>
      </c>
      <c r="EJ83" s="231">
        <v>67753.009999999995</v>
      </c>
      <c r="EK83" s="231">
        <v>30454.7</v>
      </c>
      <c r="EL83" s="231">
        <v>59133.5</v>
      </c>
      <c r="EM83" s="231">
        <v>3875</v>
      </c>
      <c r="EN83" s="231">
        <v>157341.21</v>
      </c>
      <c r="EO83" s="231">
        <v>153987.35999999999</v>
      </c>
      <c r="EP83" s="231">
        <v>3353.85</v>
      </c>
      <c r="EQ83" s="229">
        <v>2.18E-2</v>
      </c>
      <c r="ER83" s="231">
        <v>62949</v>
      </c>
      <c r="ES83" s="231">
        <v>35131</v>
      </c>
      <c r="ET83" s="231">
        <v>86463</v>
      </c>
      <c r="EU83" s="231">
        <v>75071250</v>
      </c>
      <c r="EV83" s="231">
        <v>184542</v>
      </c>
      <c r="EW83" s="231">
        <v>187191</v>
      </c>
      <c r="EX83" s="231">
        <v>-2649</v>
      </c>
      <c r="EY83" s="229">
        <v>-1.4200000000000001E-2</v>
      </c>
      <c r="EZ83" s="229">
        <v>1.145</v>
      </c>
      <c r="FA83" s="227" t="s">
        <v>556</v>
      </c>
      <c r="FB83" s="161">
        <f t="shared" si="1"/>
        <v>16314225</v>
      </c>
    </row>
    <row r="84" spans="1:158" ht="17.25" hidden="1" thickBot="1" x14ac:dyDescent="0.3">
      <c r="A84" s="226">
        <v>46044</v>
      </c>
      <c r="B84" s="227" t="s">
        <v>172</v>
      </c>
      <c r="C84" s="227" t="s">
        <v>232</v>
      </c>
      <c r="D84" s="228">
        <v>700</v>
      </c>
      <c r="E84" s="231">
        <v>1348.6</v>
      </c>
      <c r="F84" s="231">
        <v>1347.2</v>
      </c>
      <c r="G84" s="228">
        <v>1.4</v>
      </c>
      <c r="H84" s="229">
        <v>1E-3</v>
      </c>
      <c r="I84" s="231">
        <v>1345.5</v>
      </c>
      <c r="J84" s="231">
        <v>1349</v>
      </c>
      <c r="K84" s="228">
        <v>-3.5</v>
      </c>
      <c r="L84" s="229">
        <v>-2.5999999999999999E-3</v>
      </c>
      <c r="M84" s="231">
        <v>1348.6</v>
      </c>
      <c r="N84" s="231">
        <v>1347.2</v>
      </c>
      <c r="O84" s="228">
        <v>1.4</v>
      </c>
      <c r="P84" s="229">
        <v>1E-3</v>
      </c>
      <c r="Q84" s="231">
        <v>1355.6</v>
      </c>
      <c r="R84" s="231">
        <v>1354.3</v>
      </c>
      <c r="S84" s="228">
        <v>1.3</v>
      </c>
      <c r="T84" s="229">
        <v>1E-3</v>
      </c>
      <c r="U84" s="231">
        <v>1365.5</v>
      </c>
      <c r="V84" s="231">
        <v>1362.4</v>
      </c>
      <c r="W84" s="228">
        <v>3.1</v>
      </c>
      <c r="X84" s="229">
        <v>2.3E-3</v>
      </c>
      <c r="Y84" s="228">
        <v>3.1</v>
      </c>
      <c r="Z84" s="228">
        <v>-1.8</v>
      </c>
      <c r="AA84" s="228">
        <v>4.9000000000000004</v>
      </c>
      <c r="AB84" s="229">
        <v>2.3E-3</v>
      </c>
      <c r="AC84" s="228">
        <v>3.1</v>
      </c>
      <c r="AD84" s="228">
        <v>-1.8</v>
      </c>
      <c r="AE84" s="228">
        <v>4.9000000000000004</v>
      </c>
      <c r="AF84" s="229">
        <v>2.3E-3</v>
      </c>
      <c r="AG84" s="228">
        <v>10.1</v>
      </c>
      <c r="AH84" s="228">
        <v>5.3</v>
      </c>
      <c r="AI84" s="228">
        <v>4.8</v>
      </c>
      <c r="AJ84" s="229">
        <v>7.4999999999999997E-3</v>
      </c>
      <c r="AK84" s="228">
        <v>20</v>
      </c>
      <c r="AL84" s="228">
        <v>13.4</v>
      </c>
      <c r="AM84" s="228">
        <v>6.6</v>
      </c>
      <c r="AN84" s="229">
        <v>1.49E-2</v>
      </c>
      <c r="AO84" s="231">
        <v>1347.17</v>
      </c>
      <c r="AP84" s="231">
        <v>1354.11</v>
      </c>
      <c r="AQ84" s="228">
        <v>0</v>
      </c>
      <c r="AR84" s="230">
        <v>64586900</v>
      </c>
      <c r="AS84" s="230">
        <v>63984200</v>
      </c>
      <c r="AT84" s="230">
        <v>602700</v>
      </c>
      <c r="AU84" s="229">
        <v>9.4000000000000004E-3</v>
      </c>
      <c r="AV84" s="230">
        <v>33149200</v>
      </c>
      <c r="AW84" s="230">
        <v>36816500</v>
      </c>
      <c r="AX84" s="230">
        <v>-3667300</v>
      </c>
      <c r="AY84" s="229">
        <v>-9.9599999999999994E-2</v>
      </c>
      <c r="AZ84" s="230">
        <v>31259200</v>
      </c>
      <c r="BA84" s="230">
        <v>26703600</v>
      </c>
      <c r="BB84" s="230">
        <v>4555600</v>
      </c>
      <c r="BC84" s="229">
        <v>0.1706</v>
      </c>
      <c r="BD84" s="230">
        <v>178500</v>
      </c>
      <c r="BE84" s="230">
        <v>464100</v>
      </c>
      <c r="BF84" s="230">
        <v>-285600</v>
      </c>
      <c r="BG84" s="229">
        <v>-0.61539999999999995</v>
      </c>
      <c r="BH84" s="230">
        <v>78468600</v>
      </c>
      <c r="BI84" s="230">
        <v>138505500</v>
      </c>
      <c r="BJ84" s="230">
        <v>-60036900</v>
      </c>
      <c r="BK84" s="229">
        <v>-0.4335</v>
      </c>
      <c r="BL84" s="230">
        <v>60602500</v>
      </c>
      <c r="BM84" s="230">
        <v>104743100</v>
      </c>
      <c r="BN84" s="230">
        <v>-44140600</v>
      </c>
      <c r="BO84" s="229">
        <v>-0.4214</v>
      </c>
      <c r="BP84" s="230">
        <v>203658000</v>
      </c>
      <c r="BQ84" s="230">
        <v>307232800</v>
      </c>
      <c r="BR84" s="230">
        <v>-103574800</v>
      </c>
      <c r="BS84" s="229">
        <v>-0.33710000000000001</v>
      </c>
      <c r="BT84" s="230">
        <v>17630577</v>
      </c>
      <c r="BU84" s="230">
        <v>22081180</v>
      </c>
      <c r="BV84" s="230">
        <v>-4450603</v>
      </c>
      <c r="BW84" s="229">
        <v>-0.2016</v>
      </c>
      <c r="BX84" s="230">
        <v>133422100</v>
      </c>
      <c r="BY84" s="230">
        <v>132836900</v>
      </c>
      <c r="BZ84" s="230">
        <v>585200</v>
      </c>
      <c r="CA84" s="229">
        <v>4.4000000000000003E-3</v>
      </c>
      <c r="CB84" s="230">
        <v>52949400</v>
      </c>
      <c r="CC84" s="230">
        <v>76850200</v>
      </c>
      <c r="CD84" s="230">
        <v>-23900800</v>
      </c>
      <c r="CE84" s="229">
        <v>-0.311</v>
      </c>
      <c r="CF84" s="230">
        <v>69391000</v>
      </c>
      <c r="CG84" s="230">
        <v>45001600</v>
      </c>
      <c r="CH84" s="230">
        <v>24389400</v>
      </c>
      <c r="CI84" s="229">
        <v>0.54200000000000004</v>
      </c>
      <c r="CJ84" s="230">
        <v>11081700</v>
      </c>
      <c r="CK84" s="230">
        <v>10985100</v>
      </c>
      <c r="CL84" s="230">
        <v>96600</v>
      </c>
      <c r="CM84" s="229">
        <v>8.8000000000000005E-3</v>
      </c>
      <c r="CN84" s="230">
        <v>51892400</v>
      </c>
      <c r="CO84" s="230">
        <v>53008200</v>
      </c>
      <c r="CP84" s="230">
        <v>-1115800</v>
      </c>
      <c r="CQ84" s="229">
        <v>-2.1000000000000001E-2</v>
      </c>
      <c r="CR84" s="230">
        <v>24416700</v>
      </c>
      <c r="CS84" s="230">
        <v>25251800</v>
      </c>
      <c r="CT84" s="230">
        <v>-835100</v>
      </c>
      <c r="CU84" s="229">
        <v>-3.3099999999999997E-2</v>
      </c>
      <c r="CV84" s="230">
        <v>209731200</v>
      </c>
      <c r="CW84" s="230">
        <v>211096900</v>
      </c>
      <c r="CX84" s="230">
        <v>-1365700</v>
      </c>
      <c r="CY84" s="229">
        <v>-6.4999999999999997E-3</v>
      </c>
      <c r="CZ84" s="228">
        <v>16.93</v>
      </c>
      <c r="DA84" s="228">
        <v>17.010000000000002</v>
      </c>
      <c r="DB84" s="228">
        <v>-0.08</v>
      </c>
      <c r="DC84" s="228">
        <v>-0.08</v>
      </c>
      <c r="DD84" s="228">
        <v>20.78</v>
      </c>
      <c r="DE84" s="228">
        <v>20.83</v>
      </c>
      <c r="DF84" s="228">
        <v>-3.85</v>
      </c>
      <c r="DG84" s="228">
        <v>-0.05</v>
      </c>
      <c r="DH84" s="228">
        <v>16.809999999999999</v>
      </c>
      <c r="DI84" s="228">
        <v>17.96</v>
      </c>
      <c r="DJ84" s="228">
        <v>-1.1499999999999999</v>
      </c>
      <c r="DK84" s="228">
        <v>-1.1499999999999999</v>
      </c>
      <c r="DL84" s="228">
        <v>17.16</v>
      </c>
      <c r="DM84" s="228">
        <v>15.75</v>
      </c>
      <c r="DN84" s="228">
        <v>1.41</v>
      </c>
      <c r="DO84" s="228">
        <v>1.41</v>
      </c>
      <c r="DP84" s="228">
        <v>0.47</v>
      </c>
      <c r="DQ84" s="228">
        <v>0.48</v>
      </c>
      <c r="DR84" s="228">
        <v>-0.01</v>
      </c>
      <c r="DS84" s="229">
        <v>-2.0799999999999999E-2</v>
      </c>
      <c r="DT84" s="231">
        <v>1450</v>
      </c>
      <c r="DU84" s="231">
        <v>1400</v>
      </c>
      <c r="DV84" s="228">
        <v>0.77</v>
      </c>
      <c r="DW84" s="228">
        <v>0.76</v>
      </c>
      <c r="DX84" s="228">
        <v>0.01</v>
      </c>
      <c r="DY84" s="229">
        <v>1.32E-2</v>
      </c>
      <c r="DZ84" s="229">
        <v>0.60309999999999997</v>
      </c>
      <c r="EA84" s="230">
        <v>55986700</v>
      </c>
      <c r="EB84" s="229">
        <v>5.1999999999999998E-3</v>
      </c>
      <c r="EC84" s="229">
        <v>0.60309999999999997</v>
      </c>
      <c r="ED84" s="228">
        <v>6.94</v>
      </c>
      <c r="EE84" s="229">
        <v>5.1999999999999998E-3</v>
      </c>
      <c r="EF84" s="230">
        <v>9837356</v>
      </c>
      <c r="EG84" s="230">
        <v>12609514</v>
      </c>
      <c r="EH84" s="229">
        <v>-0.2198</v>
      </c>
      <c r="EI84" s="229">
        <v>0.55800000000000005</v>
      </c>
      <c r="EJ84" s="231">
        <v>1086547.7</v>
      </c>
      <c r="EK84" s="231">
        <v>813261.58</v>
      </c>
      <c r="EL84" s="231">
        <v>872292.62</v>
      </c>
      <c r="EM84" s="231">
        <v>68136</v>
      </c>
      <c r="EN84" s="231">
        <v>2772101.9</v>
      </c>
      <c r="EO84" s="231">
        <v>4206284.6500000004</v>
      </c>
      <c r="EP84" s="231">
        <v>-1434182.75</v>
      </c>
      <c r="EQ84" s="229">
        <v>-0.34100000000000003</v>
      </c>
      <c r="ER84" s="231">
        <v>737078</v>
      </c>
      <c r="ES84" s="231">
        <v>333557</v>
      </c>
      <c r="ET84" s="231">
        <v>1806061</v>
      </c>
      <c r="EU84" s="231">
        <v>580601807</v>
      </c>
      <c r="EV84" s="231">
        <v>2876695</v>
      </c>
      <c r="EW84" s="231">
        <v>2893535</v>
      </c>
      <c r="EX84" s="231">
        <v>-16840</v>
      </c>
      <c r="EY84" s="229">
        <v>-5.7999999999999996E-3</v>
      </c>
      <c r="EZ84" s="229">
        <v>0.36120000000000002</v>
      </c>
      <c r="FA84" s="227" t="s">
        <v>555</v>
      </c>
      <c r="FB84" s="161">
        <f t="shared" si="1"/>
        <v>80472700</v>
      </c>
    </row>
    <row r="85" spans="1:158" ht="17.25" hidden="1" thickBot="1" x14ac:dyDescent="0.3">
      <c r="A85" s="226">
        <v>46044</v>
      </c>
      <c r="B85" s="227" t="s">
        <v>175</v>
      </c>
      <c r="C85" s="227" t="s">
        <v>472</v>
      </c>
      <c r="D85" s="228">
        <v>325</v>
      </c>
      <c r="E85" s="231">
        <v>1831.2</v>
      </c>
      <c r="F85" s="231">
        <v>1840.7</v>
      </c>
      <c r="G85" s="228">
        <v>-9.5</v>
      </c>
      <c r="H85" s="229">
        <v>-5.1999999999999998E-3</v>
      </c>
      <c r="I85" s="231">
        <v>1824.7</v>
      </c>
      <c r="J85" s="231">
        <v>1834.6</v>
      </c>
      <c r="K85" s="228">
        <v>-9.9</v>
      </c>
      <c r="L85" s="229">
        <v>-5.4000000000000003E-3</v>
      </c>
      <c r="M85" s="231">
        <v>1831.2</v>
      </c>
      <c r="N85" s="231">
        <v>1840.7</v>
      </c>
      <c r="O85" s="228">
        <v>-9.5</v>
      </c>
      <c r="P85" s="229">
        <v>-5.1999999999999998E-3</v>
      </c>
      <c r="Q85" s="231">
        <v>1829.6</v>
      </c>
      <c r="R85" s="231">
        <v>1839</v>
      </c>
      <c r="S85" s="228">
        <v>-9.4</v>
      </c>
      <c r="T85" s="229">
        <v>-5.1000000000000004E-3</v>
      </c>
      <c r="U85" s="231">
        <v>1836.3</v>
      </c>
      <c r="V85" s="231">
        <v>1840</v>
      </c>
      <c r="W85" s="228">
        <v>-3.7</v>
      </c>
      <c r="X85" s="229">
        <v>-2E-3</v>
      </c>
      <c r="Y85" s="228">
        <v>6.5</v>
      </c>
      <c r="Z85" s="228">
        <v>6.1</v>
      </c>
      <c r="AA85" s="228">
        <v>0.4</v>
      </c>
      <c r="AB85" s="229">
        <v>3.5999999999999999E-3</v>
      </c>
      <c r="AC85" s="228">
        <v>6.5</v>
      </c>
      <c r="AD85" s="228">
        <v>6.1</v>
      </c>
      <c r="AE85" s="228">
        <v>0.4</v>
      </c>
      <c r="AF85" s="229">
        <v>3.5999999999999999E-3</v>
      </c>
      <c r="AG85" s="228">
        <v>4.9000000000000004</v>
      </c>
      <c r="AH85" s="228">
        <v>4.4000000000000004</v>
      </c>
      <c r="AI85" s="228">
        <v>0.5</v>
      </c>
      <c r="AJ85" s="229">
        <v>2.7000000000000001E-3</v>
      </c>
      <c r="AK85" s="228">
        <v>11.6</v>
      </c>
      <c r="AL85" s="228">
        <v>5.4</v>
      </c>
      <c r="AM85" s="228">
        <v>6.2</v>
      </c>
      <c r="AN85" s="229">
        <v>6.4000000000000003E-3</v>
      </c>
      <c r="AO85" s="231">
        <v>1830.24</v>
      </c>
      <c r="AP85" s="231">
        <v>1830.49</v>
      </c>
      <c r="AQ85" s="228">
        <v>0</v>
      </c>
      <c r="AR85" s="230">
        <v>4708600</v>
      </c>
      <c r="AS85" s="230">
        <v>4124575</v>
      </c>
      <c r="AT85" s="230">
        <v>584025</v>
      </c>
      <c r="AU85" s="229">
        <v>0.1416</v>
      </c>
      <c r="AV85" s="230">
        <v>2431650</v>
      </c>
      <c r="AW85" s="230">
        <v>2313350</v>
      </c>
      <c r="AX85" s="230">
        <v>118300</v>
      </c>
      <c r="AY85" s="229">
        <v>5.11E-2</v>
      </c>
      <c r="AZ85" s="230">
        <v>2271750</v>
      </c>
      <c r="BA85" s="230">
        <v>1803425</v>
      </c>
      <c r="BB85" s="230">
        <v>468325</v>
      </c>
      <c r="BC85" s="229">
        <v>0.25969999999999999</v>
      </c>
      <c r="BD85" s="230">
        <v>5200</v>
      </c>
      <c r="BE85" s="230">
        <v>7800</v>
      </c>
      <c r="BF85" s="230">
        <v>-2600</v>
      </c>
      <c r="BG85" s="229">
        <v>-0.33329999999999999</v>
      </c>
      <c r="BH85" s="230">
        <v>1313975</v>
      </c>
      <c r="BI85" s="230">
        <v>2415725</v>
      </c>
      <c r="BJ85" s="230">
        <v>-1101750</v>
      </c>
      <c r="BK85" s="229">
        <v>-0.45610000000000001</v>
      </c>
      <c r="BL85" s="230">
        <v>754325</v>
      </c>
      <c r="BM85" s="230">
        <v>1352650</v>
      </c>
      <c r="BN85" s="230">
        <v>-598325</v>
      </c>
      <c r="BO85" s="229">
        <v>-0.44230000000000003</v>
      </c>
      <c r="BP85" s="230">
        <v>6776900</v>
      </c>
      <c r="BQ85" s="230">
        <v>7892950</v>
      </c>
      <c r="BR85" s="230">
        <v>-1116050</v>
      </c>
      <c r="BS85" s="229">
        <v>-0.1414</v>
      </c>
      <c r="BT85" s="230">
        <v>718230</v>
      </c>
      <c r="BU85" s="230">
        <v>1789883</v>
      </c>
      <c r="BV85" s="230">
        <v>-1071653</v>
      </c>
      <c r="BW85" s="229">
        <v>-0.59870000000000001</v>
      </c>
      <c r="BX85" s="230">
        <v>6439550</v>
      </c>
      <c r="BY85" s="230">
        <v>6760325</v>
      </c>
      <c r="BZ85" s="230">
        <v>-320775</v>
      </c>
      <c r="CA85" s="229">
        <v>-4.7399999999999998E-2</v>
      </c>
      <c r="CB85" s="230">
        <v>2781350</v>
      </c>
      <c r="CC85" s="230">
        <v>4331925</v>
      </c>
      <c r="CD85" s="230">
        <v>-1550575</v>
      </c>
      <c r="CE85" s="229">
        <v>-0.3579</v>
      </c>
      <c r="CF85" s="230">
        <v>3626675</v>
      </c>
      <c r="CG85" s="230">
        <v>2399150</v>
      </c>
      <c r="CH85" s="230">
        <v>1227525</v>
      </c>
      <c r="CI85" s="229">
        <v>0.51160000000000005</v>
      </c>
      <c r="CJ85" s="230">
        <v>31525</v>
      </c>
      <c r="CK85" s="230">
        <v>29250</v>
      </c>
      <c r="CL85" s="230">
        <v>2275</v>
      </c>
      <c r="CM85" s="229">
        <v>7.7799999999999994E-2</v>
      </c>
      <c r="CN85" s="230">
        <v>1397500</v>
      </c>
      <c r="CO85" s="230">
        <v>1479075</v>
      </c>
      <c r="CP85" s="230">
        <v>-81575</v>
      </c>
      <c r="CQ85" s="229">
        <v>-5.5199999999999999E-2</v>
      </c>
      <c r="CR85" s="230">
        <v>868400</v>
      </c>
      <c r="CS85" s="230">
        <v>921050</v>
      </c>
      <c r="CT85" s="230">
        <v>-52650</v>
      </c>
      <c r="CU85" s="229">
        <v>-5.7200000000000001E-2</v>
      </c>
      <c r="CV85" s="230">
        <v>8705450</v>
      </c>
      <c r="CW85" s="230">
        <v>9160450</v>
      </c>
      <c r="CX85" s="230">
        <v>-455000</v>
      </c>
      <c r="CY85" s="229">
        <v>-4.9700000000000001E-2</v>
      </c>
      <c r="CZ85" s="228">
        <v>23.07</v>
      </c>
      <c r="DA85" s="228">
        <v>24.23</v>
      </c>
      <c r="DB85" s="228">
        <v>-1.1599999999999999</v>
      </c>
      <c r="DC85" s="228">
        <v>-1.1599999999999999</v>
      </c>
      <c r="DD85" s="228">
        <v>27.55</v>
      </c>
      <c r="DE85" s="228">
        <v>27.61</v>
      </c>
      <c r="DF85" s="228">
        <v>-4.4800000000000004</v>
      </c>
      <c r="DG85" s="228">
        <v>-0.06</v>
      </c>
      <c r="DH85" s="228">
        <v>23.69</v>
      </c>
      <c r="DI85" s="228">
        <v>25.38</v>
      </c>
      <c r="DJ85" s="228">
        <v>-1.69</v>
      </c>
      <c r="DK85" s="228">
        <v>-1.69</v>
      </c>
      <c r="DL85" s="228">
        <v>22.46</v>
      </c>
      <c r="DM85" s="228">
        <v>22.17</v>
      </c>
      <c r="DN85" s="228">
        <v>0.28999999999999998</v>
      </c>
      <c r="DO85" s="228">
        <v>0.28999999999999998</v>
      </c>
      <c r="DP85" s="228">
        <v>0.62</v>
      </c>
      <c r="DQ85" s="228">
        <v>0.62</v>
      </c>
      <c r="DR85" s="228">
        <v>0</v>
      </c>
      <c r="DS85" s="229">
        <v>0</v>
      </c>
      <c r="DT85" s="231">
        <v>2000</v>
      </c>
      <c r="DU85" s="231">
        <v>1800</v>
      </c>
      <c r="DV85" s="228">
        <v>0.56999999999999995</v>
      </c>
      <c r="DW85" s="228">
        <v>0.56000000000000005</v>
      </c>
      <c r="DX85" s="228">
        <v>0.01</v>
      </c>
      <c r="DY85" s="229">
        <v>1.7899999999999999E-2</v>
      </c>
      <c r="DZ85" s="229">
        <v>0.56810000000000005</v>
      </c>
      <c r="EA85" s="230">
        <v>2428400</v>
      </c>
      <c r="EB85" s="229">
        <v>-8.9999999999999998E-4</v>
      </c>
      <c r="EC85" s="229">
        <v>0.56810000000000005</v>
      </c>
      <c r="ED85" s="228">
        <v>0.25</v>
      </c>
      <c r="EE85" s="229">
        <v>1E-4</v>
      </c>
      <c r="EF85" s="230">
        <v>469748</v>
      </c>
      <c r="EG85" s="230">
        <v>1144624</v>
      </c>
      <c r="EH85" s="229">
        <v>-0.58960000000000001</v>
      </c>
      <c r="EI85" s="229">
        <v>0.65400000000000003</v>
      </c>
      <c r="EJ85" s="231">
        <v>25421.88</v>
      </c>
      <c r="EK85" s="231">
        <v>13923.29</v>
      </c>
      <c r="EL85" s="231">
        <v>86184.54</v>
      </c>
      <c r="EM85" s="231">
        <v>7693</v>
      </c>
      <c r="EN85" s="231">
        <v>125529.71</v>
      </c>
      <c r="EO85" s="231">
        <v>147229.09</v>
      </c>
      <c r="EP85" s="231">
        <v>-21699.38</v>
      </c>
      <c r="EQ85" s="229">
        <v>-0.1474</v>
      </c>
      <c r="ER85" s="231">
        <v>27607</v>
      </c>
      <c r="ES85" s="231">
        <v>16079</v>
      </c>
      <c r="ET85" s="231">
        <v>117865</v>
      </c>
      <c r="EU85" s="231">
        <v>28747897</v>
      </c>
      <c r="EV85" s="231">
        <v>161551</v>
      </c>
      <c r="EW85" s="231">
        <v>170732</v>
      </c>
      <c r="EX85" s="231">
        <v>-9181</v>
      </c>
      <c r="EY85" s="229">
        <v>-5.3800000000000001E-2</v>
      </c>
      <c r="EZ85" s="229">
        <v>0.30280000000000001</v>
      </c>
      <c r="FA85" s="227" t="s">
        <v>568</v>
      </c>
      <c r="FB85" s="161">
        <f t="shared" si="1"/>
        <v>3658200</v>
      </c>
    </row>
    <row r="86" spans="1:158" ht="17.25" hidden="1" thickBot="1" x14ac:dyDescent="0.3">
      <c r="A86" s="226">
        <v>46044</v>
      </c>
      <c r="B86" s="227" t="s">
        <v>175</v>
      </c>
      <c r="C86" s="227" t="s">
        <v>233</v>
      </c>
      <c r="D86" s="228">
        <v>925</v>
      </c>
      <c r="E86" s="228">
        <v>653.95000000000005</v>
      </c>
      <c r="F86" s="228">
        <v>648</v>
      </c>
      <c r="G86" s="228">
        <v>5.95</v>
      </c>
      <c r="H86" s="229">
        <v>9.1999999999999998E-3</v>
      </c>
      <c r="I86" s="228">
        <v>653.15</v>
      </c>
      <c r="J86" s="228">
        <v>647.1</v>
      </c>
      <c r="K86" s="228">
        <v>6.05</v>
      </c>
      <c r="L86" s="229">
        <v>9.2999999999999992E-3</v>
      </c>
      <c r="M86" s="228">
        <v>653.95000000000005</v>
      </c>
      <c r="N86" s="228">
        <v>648</v>
      </c>
      <c r="O86" s="228">
        <v>5.95</v>
      </c>
      <c r="P86" s="229">
        <v>9.1999999999999998E-3</v>
      </c>
      <c r="Q86" s="228">
        <v>657.5</v>
      </c>
      <c r="R86" s="228">
        <v>651.35</v>
      </c>
      <c r="S86" s="228">
        <v>6.15</v>
      </c>
      <c r="T86" s="229">
        <v>9.4000000000000004E-3</v>
      </c>
      <c r="U86" s="228">
        <v>663.2</v>
      </c>
      <c r="V86" s="228">
        <v>659</v>
      </c>
      <c r="W86" s="228">
        <v>4.2</v>
      </c>
      <c r="X86" s="229">
        <v>6.4000000000000003E-3</v>
      </c>
      <c r="Y86" s="228">
        <v>0.8</v>
      </c>
      <c r="Z86" s="228">
        <v>0.9</v>
      </c>
      <c r="AA86" s="228">
        <v>-0.1</v>
      </c>
      <c r="AB86" s="229">
        <v>1.1999999999999999E-3</v>
      </c>
      <c r="AC86" s="228">
        <v>0.8</v>
      </c>
      <c r="AD86" s="228">
        <v>0.9</v>
      </c>
      <c r="AE86" s="228">
        <v>-0.1</v>
      </c>
      <c r="AF86" s="229">
        <v>1.1999999999999999E-3</v>
      </c>
      <c r="AG86" s="228">
        <v>4.3499999999999996</v>
      </c>
      <c r="AH86" s="228">
        <v>4.25</v>
      </c>
      <c r="AI86" s="228">
        <v>0.1</v>
      </c>
      <c r="AJ86" s="229">
        <v>6.7000000000000002E-3</v>
      </c>
      <c r="AK86" s="228">
        <v>10.050000000000001</v>
      </c>
      <c r="AL86" s="228">
        <v>11.9</v>
      </c>
      <c r="AM86" s="228">
        <v>-1.85</v>
      </c>
      <c r="AN86" s="229">
        <v>1.54E-2</v>
      </c>
      <c r="AO86" s="228">
        <v>653.83000000000004</v>
      </c>
      <c r="AP86" s="228">
        <v>657.42</v>
      </c>
      <c r="AQ86" s="228">
        <v>0</v>
      </c>
      <c r="AR86" s="230">
        <v>18422300</v>
      </c>
      <c r="AS86" s="230">
        <v>8173300</v>
      </c>
      <c r="AT86" s="230">
        <v>10249000</v>
      </c>
      <c r="AU86" s="229">
        <v>1.254</v>
      </c>
      <c r="AV86" s="230">
        <v>8882775</v>
      </c>
      <c r="AW86" s="230">
        <v>4341950</v>
      </c>
      <c r="AX86" s="230">
        <v>4540825</v>
      </c>
      <c r="AY86" s="229">
        <v>1.0458000000000001</v>
      </c>
      <c r="AZ86" s="230">
        <v>9535825</v>
      </c>
      <c r="BA86" s="230">
        <v>3829500</v>
      </c>
      <c r="BB86" s="230">
        <v>5706325</v>
      </c>
      <c r="BC86" s="229">
        <v>1.4901</v>
      </c>
      <c r="BD86" s="230">
        <v>3700</v>
      </c>
      <c r="BE86" s="230">
        <v>1850</v>
      </c>
      <c r="BF86" s="230">
        <v>1850</v>
      </c>
      <c r="BG86" s="229">
        <v>1</v>
      </c>
      <c r="BH86" s="230">
        <v>4492725</v>
      </c>
      <c r="BI86" s="230">
        <v>5285450</v>
      </c>
      <c r="BJ86" s="230">
        <v>-792725</v>
      </c>
      <c r="BK86" s="229">
        <v>-0.15</v>
      </c>
      <c r="BL86" s="230">
        <v>2350425</v>
      </c>
      <c r="BM86" s="230">
        <v>2986825</v>
      </c>
      <c r="BN86" s="230">
        <v>-636400</v>
      </c>
      <c r="BO86" s="229">
        <v>-0.21310000000000001</v>
      </c>
      <c r="BP86" s="230">
        <v>25265450</v>
      </c>
      <c r="BQ86" s="230">
        <v>16445575</v>
      </c>
      <c r="BR86" s="230">
        <v>8819875</v>
      </c>
      <c r="BS86" s="229">
        <v>0.5363</v>
      </c>
      <c r="BT86" s="230">
        <v>1539730</v>
      </c>
      <c r="BU86" s="230">
        <v>1376864</v>
      </c>
      <c r="BV86" s="230">
        <v>162866</v>
      </c>
      <c r="BW86" s="229">
        <v>0.1183</v>
      </c>
      <c r="BX86" s="230">
        <v>17483425</v>
      </c>
      <c r="BY86" s="230">
        <v>17271600</v>
      </c>
      <c r="BZ86" s="230">
        <v>211825</v>
      </c>
      <c r="CA86" s="229">
        <v>1.23E-2</v>
      </c>
      <c r="CB86" s="230">
        <v>6675725</v>
      </c>
      <c r="CC86" s="230">
        <v>14043350</v>
      </c>
      <c r="CD86" s="230">
        <v>-7367625</v>
      </c>
      <c r="CE86" s="229">
        <v>-0.52459999999999996</v>
      </c>
      <c r="CF86" s="230">
        <v>10779950</v>
      </c>
      <c r="CG86" s="230">
        <v>3203275</v>
      </c>
      <c r="CH86" s="230">
        <v>7576675</v>
      </c>
      <c r="CI86" s="229">
        <v>2.3653</v>
      </c>
      <c r="CJ86" s="230">
        <v>27750</v>
      </c>
      <c r="CK86" s="230">
        <v>24975</v>
      </c>
      <c r="CL86" s="230">
        <v>2775</v>
      </c>
      <c r="CM86" s="229">
        <v>0.1111</v>
      </c>
      <c r="CN86" s="230">
        <v>4781325</v>
      </c>
      <c r="CO86" s="230">
        <v>5397375</v>
      </c>
      <c r="CP86" s="230">
        <v>-616050</v>
      </c>
      <c r="CQ86" s="229">
        <v>-0.11409999999999999</v>
      </c>
      <c r="CR86" s="230">
        <v>2963700</v>
      </c>
      <c r="CS86" s="230">
        <v>3152400</v>
      </c>
      <c r="CT86" s="230">
        <v>-188700</v>
      </c>
      <c r="CU86" s="229">
        <v>-5.9900000000000002E-2</v>
      </c>
      <c r="CV86" s="230">
        <v>25228450</v>
      </c>
      <c r="CW86" s="230">
        <v>25821375</v>
      </c>
      <c r="CX86" s="230">
        <v>-592925</v>
      </c>
      <c r="CY86" s="229">
        <v>-2.3E-2</v>
      </c>
      <c r="CZ86" s="228">
        <v>26.03</v>
      </c>
      <c r="DA86" s="228">
        <v>25.86</v>
      </c>
      <c r="DB86" s="228">
        <v>0.17</v>
      </c>
      <c r="DC86" s="228">
        <v>0.17</v>
      </c>
      <c r="DD86" s="228">
        <v>26.76</v>
      </c>
      <c r="DE86" s="228">
        <v>26.8</v>
      </c>
      <c r="DF86" s="228">
        <v>-0.73</v>
      </c>
      <c r="DG86" s="228">
        <v>-0.04</v>
      </c>
      <c r="DH86" s="228">
        <v>25.93</v>
      </c>
      <c r="DI86" s="228">
        <v>26.57</v>
      </c>
      <c r="DJ86" s="228">
        <v>-0.64</v>
      </c>
      <c r="DK86" s="228">
        <v>-0.64</v>
      </c>
      <c r="DL86" s="228">
        <v>26.28</v>
      </c>
      <c r="DM86" s="228">
        <v>24.62</v>
      </c>
      <c r="DN86" s="228">
        <v>1.66</v>
      </c>
      <c r="DO86" s="228">
        <v>1.66</v>
      </c>
      <c r="DP86" s="228">
        <v>0.62</v>
      </c>
      <c r="DQ86" s="228">
        <v>0.57999999999999996</v>
      </c>
      <c r="DR86" s="228">
        <v>0.04</v>
      </c>
      <c r="DS86" s="229">
        <v>6.9000000000000006E-2</v>
      </c>
      <c r="DT86" s="228">
        <v>700</v>
      </c>
      <c r="DU86" s="228">
        <v>620</v>
      </c>
      <c r="DV86" s="228">
        <v>0.52</v>
      </c>
      <c r="DW86" s="228">
        <v>0.56999999999999995</v>
      </c>
      <c r="DX86" s="228">
        <v>-0.05</v>
      </c>
      <c r="DY86" s="229">
        <v>-8.77E-2</v>
      </c>
      <c r="DZ86" s="229">
        <v>0.61819999999999997</v>
      </c>
      <c r="EA86" s="230">
        <v>3228250</v>
      </c>
      <c r="EB86" s="229">
        <v>5.4000000000000003E-3</v>
      </c>
      <c r="EC86" s="229">
        <v>0.61819999999999997</v>
      </c>
      <c r="ED86" s="228">
        <v>3.59</v>
      </c>
      <c r="EE86" s="229">
        <v>5.4999999999999997E-3</v>
      </c>
      <c r="EF86" s="230">
        <v>996152</v>
      </c>
      <c r="EG86" s="230">
        <v>814335</v>
      </c>
      <c r="EH86" s="229">
        <v>0.2233</v>
      </c>
      <c r="EI86" s="229">
        <v>0.64700000000000002</v>
      </c>
      <c r="EJ86" s="231">
        <v>30433.34</v>
      </c>
      <c r="EK86" s="231">
        <v>15306.47</v>
      </c>
      <c r="EL86" s="231">
        <v>120793.09</v>
      </c>
      <c r="EM86" s="231">
        <v>5477</v>
      </c>
      <c r="EN86" s="231">
        <v>166532.9</v>
      </c>
      <c r="EO86" s="231">
        <v>108077.65</v>
      </c>
      <c r="EP86" s="231">
        <v>58455.25</v>
      </c>
      <c r="EQ86" s="229">
        <v>0.54090000000000005</v>
      </c>
      <c r="ER86" s="231">
        <v>33144</v>
      </c>
      <c r="ES86" s="231">
        <v>19232</v>
      </c>
      <c r="ET86" s="231">
        <v>114718</v>
      </c>
      <c r="EU86" s="231">
        <v>58746582</v>
      </c>
      <c r="EV86" s="231">
        <v>167094</v>
      </c>
      <c r="EW86" s="231">
        <v>169831</v>
      </c>
      <c r="EX86" s="231">
        <v>-2737</v>
      </c>
      <c r="EY86" s="229">
        <v>-1.61E-2</v>
      </c>
      <c r="EZ86" s="229">
        <v>0.4294</v>
      </c>
      <c r="FA86" s="227" t="s">
        <v>555</v>
      </c>
      <c r="FB86" s="161">
        <f t="shared" si="1"/>
        <v>10807700</v>
      </c>
    </row>
    <row r="87" spans="1:158" ht="17.25" hidden="1" thickBot="1" x14ac:dyDescent="0.3">
      <c r="A87" s="226">
        <v>46044</v>
      </c>
      <c r="B87" s="227" t="s">
        <v>188</v>
      </c>
      <c r="C87" s="227" t="s">
        <v>234</v>
      </c>
      <c r="D87" s="228">
        <v>71475</v>
      </c>
      <c r="E87" s="228">
        <v>10.220000000000001</v>
      </c>
      <c r="F87" s="228">
        <v>10.15</v>
      </c>
      <c r="G87" s="228">
        <v>7.0000000000000007E-2</v>
      </c>
      <c r="H87" s="229">
        <v>6.8999999999999999E-3</v>
      </c>
      <c r="I87" s="228">
        <v>10.18</v>
      </c>
      <c r="J87" s="228">
        <v>10.119999999999999</v>
      </c>
      <c r="K87" s="228">
        <v>0.06</v>
      </c>
      <c r="L87" s="229">
        <v>5.8999999999999999E-3</v>
      </c>
      <c r="M87" s="228">
        <v>10.220000000000001</v>
      </c>
      <c r="N87" s="228">
        <v>10.15</v>
      </c>
      <c r="O87" s="228">
        <v>7.0000000000000007E-2</v>
      </c>
      <c r="P87" s="229">
        <v>6.8999999999999999E-3</v>
      </c>
      <c r="Q87" s="228">
        <v>10.27</v>
      </c>
      <c r="R87" s="228">
        <v>10.19</v>
      </c>
      <c r="S87" s="228">
        <v>0.08</v>
      </c>
      <c r="T87" s="229">
        <v>7.9000000000000008E-3</v>
      </c>
      <c r="U87" s="228">
        <v>10.34</v>
      </c>
      <c r="V87" s="228">
        <v>10.29</v>
      </c>
      <c r="W87" s="228">
        <v>0.05</v>
      </c>
      <c r="X87" s="229">
        <v>4.8999999999999998E-3</v>
      </c>
      <c r="Y87" s="228">
        <v>0.04</v>
      </c>
      <c r="Z87" s="228">
        <v>0.03</v>
      </c>
      <c r="AA87" s="228">
        <v>0.01</v>
      </c>
      <c r="AB87" s="229">
        <v>3.8999999999999998E-3</v>
      </c>
      <c r="AC87" s="228">
        <v>0.04</v>
      </c>
      <c r="AD87" s="228">
        <v>0.03</v>
      </c>
      <c r="AE87" s="228">
        <v>0.01</v>
      </c>
      <c r="AF87" s="229">
        <v>3.8999999999999998E-3</v>
      </c>
      <c r="AG87" s="228">
        <v>0.09</v>
      </c>
      <c r="AH87" s="228">
        <v>7.0000000000000007E-2</v>
      </c>
      <c r="AI87" s="228">
        <v>0.02</v>
      </c>
      <c r="AJ87" s="229">
        <v>8.8000000000000005E-3</v>
      </c>
      <c r="AK87" s="228">
        <v>0.16</v>
      </c>
      <c r="AL87" s="228">
        <v>0.17</v>
      </c>
      <c r="AM87" s="228">
        <v>-0.01</v>
      </c>
      <c r="AN87" s="229">
        <v>1.5699999999999999E-2</v>
      </c>
      <c r="AO87" s="228">
        <v>10.220000000000001</v>
      </c>
      <c r="AP87" s="228">
        <v>10.28</v>
      </c>
      <c r="AQ87" s="228">
        <v>0</v>
      </c>
      <c r="AR87" s="230">
        <v>2637213075</v>
      </c>
      <c r="AS87" s="230">
        <v>4190007450</v>
      </c>
      <c r="AT87" s="230">
        <v>-1552794375</v>
      </c>
      <c r="AU87" s="229">
        <v>-0.37059999999999998</v>
      </c>
      <c r="AV87" s="230">
        <v>1308278400</v>
      </c>
      <c r="AW87" s="230">
        <v>2055763950</v>
      </c>
      <c r="AX87" s="230">
        <v>-747485550</v>
      </c>
      <c r="AY87" s="229">
        <v>-0.36359999999999998</v>
      </c>
      <c r="AZ87" s="230">
        <v>1307921025</v>
      </c>
      <c r="BA87" s="230">
        <v>2113015425</v>
      </c>
      <c r="BB87" s="230">
        <v>-805094400</v>
      </c>
      <c r="BC87" s="229">
        <v>-0.38100000000000001</v>
      </c>
      <c r="BD87" s="230">
        <v>21013650</v>
      </c>
      <c r="BE87" s="230">
        <v>21228075</v>
      </c>
      <c r="BF87" s="230">
        <v>-214425</v>
      </c>
      <c r="BG87" s="229">
        <v>-1.01E-2</v>
      </c>
      <c r="BH87" s="230">
        <v>1071553200</v>
      </c>
      <c r="BI87" s="230">
        <v>2088213600</v>
      </c>
      <c r="BJ87" s="230">
        <v>-1016660400</v>
      </c>
      <c r="BK87" s="229">
        <v>-0.4869</v>
      </c>
      <c r="BL87" s="230">
        <v>516692775</v>
      </c>
      <c r="BM87" s="230">
        <v>988141875</v>
      </c>
      <c r="BN87" s="230">
        <v>-471449100</v>
      </c>
      <c r="BO87" s="229">
        <v>-0.47710000000000002</v>
      </c>
      <c r="BP87" s="230">
        <v>4225459050</v>
      </c>
      <c r="BQ87" s="230">
        <v>7266362925</v>
      </c>
      <c r="BR87" s="230">
        <v>-3040903875</v>
      </c>
      <c r="BS87" s="229">
        <v>-0.41849999999999998</v>
      </c>
      <c r="BT87" s="230">
        <v>564426225</v>
      </c>
      <c r="BU87" s="230">
        <v>1241584071</v>
      </c>
      <c r="BV87" s="230">
        <v>-677157846</v>
      </c>
      <c r="BW87" s="229">
        <v>-0.5454</v>
      </c>
      <c r="BX87" s="230">
        <v>7418604675</v>
      </c>
      <c r="BY87" s="230">
        <v>7354848975</v>
      </c>
      <c r="BZ87" s="230">
        <v>63755700</v>
      </c>
      <c r="CA87" s="229">
        <v>8.6999999999999994E-3</v>
      </c>
      <c r="CB87" s="230">
        <v>3635790300</v>
      </c>
      <c r="CC87" s="230">
        <v>4575257700</v>
      </c>
      <c r="CD87" s="230">
        <v>-939467400</v>
      </c>
      <c r="CE87" s="229">
        <v>-0.20530000000000001</v>
      </c>
      <c r="CF87" s="230">
        <v>3680533650</v>
      </c>
      <c r="CG87" s="230">
        <v>2691033750</v>
      </c>
      <c r="CH87" s="230">
        <v>989499900</v>
      </c>
      <c r="CI87" s="229">
        <v>0.36770000000000003</v>
      </c>
      <c r="CJ87" s="230">
        <v>102280725</v>
      </c>
      <c r="CK87" s="230">
        <v>88557525</v>
      </c>
      <c r="CL87" s="230">
        <v>13723200</v>
      </c>
      <c r="CM87" s="229">
        <v>0.155</v>
      </c>
      <c r="CN87" s="230">
        <v>2917752450</v>
      </c>
      <c r="CO87" s="230">
        <v>3045120900</v>
      </c>
      <c r="CP87" s="230">
        <v>-127368450</v>
      </c>
      <c r="CQ87" s="229">
        <v>-4.1799999999999997E-2</v>
      </c>
      <c r="CR87" s="230">
        <v>1592177100</v>
      </c>
      <c r="CS87" s="230">
        <v>1603112775</v>
      </c>
      <c r="CT87" s="230">
        <v>-10935675</v>
      </c>
      <c r="CU87" s="229">
        <v>-6.7999999999999996E-3</v>
      </c>
      <c r="CV87" s="230">
        <v>11928534225</v>
      </c>
      <c r="CW87" s="230">
        <v>12003082650</v>
      </c>
      <c r="CX87" s="230">
        <v>-74548425</v>
      </c>
      <c r="CY87" s="229">
        <v>-6.1999999999999998E-3</v>
      </c>
      <c r="CZ87" s="228">
        <v>57.64</v>
      </c>
      <c r="DA87" s="228">
        <v>60.58</v>
      </c>
      <c r="DB87" s="228">
        <v>-2.94</v>
      </c>
      <c r="DC87" s="228">
        <v>-2.94</v>
      </c>
      <c r="DD87" s="228">
        <v>67.510000000000005</v>
      </c>
      <c r="DE87" s="228">
        <v>67.67</v>
      </c>
      <c r="DF87" s="228">
        <v>-9.8699999999999992</v>
      </c>
      <c r="DG87" s="228">
        <v>-0.16</v>
      </c>
      <c r="DH87" s="228">
        <v>60.36</v>
      </c>
      <c r="DI87" s="228">
        <v>61.29</v>
      </c>
      <c r="DJ87" s="228">
        <v>-0.93</v>
      </c>
      <c r="DK87" s="228">
        <v>-0.93</v>
      </c>
      <c r="DL87" s="228">
        <v>52.82</v>
      </c>
      <c r="DM87" s="228">
        <v>59.08</v>
      </c>
      <c r="DN87" s="228">
        <v>-6.26</v>
      </c>
      <c r="DO87" s="228">
        <v>-6.26</v>
      </c>
      <c r="DP87" s="228">
        <v>0.55000000000000004</v>
      </c>
      <c r="DQ87" s="228">
        <v>0.53</v>
      </c>
      <c r="DR87" s="228">
        <v>0.02</v>
      </c>
      <c r="DS87" s="229">
        <v>3.7699999999999997E-2</v>
      </c>
      <c r="DT87" s="228">
        <v>12</v>
      </c>
      <c r="DU87" s="228">
        <v>10</v>
      </c>
      <c r="DV87" s="228">
        <v>0.48</v>
      </c>
      <c r="DW87" s="228">
        <v>0.47</v>
      </c>
      <c r="DX87" s="228">
        <v>0.01</v>
      </c>
      <c r="DY87" s="229">
        <v>2.1299999999999999E-2</v>
      </c>
      <c r="DZ87" s="229">
        <v>0.50990000000000002</v>
      </c>
      <c r="EA87" s="230">
        <v>2779591275</v>
      </c>
      <c r="EB87" s="229">
        <v>4.8999999999999998E-3</v>
      </c>
      <c r="EC87" s="229">
        <v>0.50990000000000002</v>
      </c>
      <c r="ED87" s="228">
        <v>0.06</v>
      </c>
      <c r="EE87" s="229">
        <v>5.8999999999999999E-3</v>
      </c>
      <c r="EF87" s="230">
        <v>144453841</v>
      </c>
      <c r="EG87" s="230">
        <v>342799194</v>
      </c>
      <c r="EH87" s="229">
        <v>-0.5786</v>
      </c>
      <c r="EI87" s="229">
        <v>0.25590000000000002</v>
      </c>
      <c r="EJ87" s="231">
        <v>128600.72</v>
      </c>
      <c r="EK87" s="231">
        <v>54643.26</v>
      </c>
      <c r="EL87" s="231">
        <v>270365.39</v>
      </c>
      <c r="EM87" s="231">
        <v>24576</v>
      </c>
      <c r="EN87" s="231">
        <v>453609.37</v>
      </c>
      <c r="EO87" s="231">
        <v>768257.28</v>
      </c>
      <c r="EP87" s="231">
        <v>-314647.90999999997</v>
      </c>
      <c r="EQ87" s="229">
        <v>-0.40960000000000002</v>
      </c>
      <c r="ER87" s="231">
        <v>361861</v>
      </c>
      <c r="ES87" s="231">
        <v>170040</v>
      </c>
      <c r="ET87" s="231">
        <v>760144</v>
      </c>
      <c r="EU87" s="231">
        <v>12037179660</v>
      </c>
      <c r="EV87" s="231">
        <v>1292046</v>
      </c>
      <c r="EW87" s="231">
        <v>1299055</v>
      </c>
      <c r="EX87" s="231">
        <v>-7009</v>
      </c>
      <c r="EY87" s="229">
        <v>-5.4000000000000003E-3</v>
      </c>
      <c r="EZ87" s="229">
        <v>0.99099999999999999</v>
      </c>
      <c r="FA87" s="227" t="s">
        <v>555</v>
      </c>
      <c r="FB87" s="161">
        <f t="shared" si="1"/>
        <v>3782814375</v>
      </c>
    </row>
    <row r="88" spans="1:158" ht="17.25" hidden="1" thickBot="1" x14ac:dyDescent="0.3">
      <c r="A88" s="226">
        <v>46044</v>
      </c>
      <c r="B88" s="227" t="s">
        <v>172</v>
      </c>
      <c r="C88" s="227" t="s">
        <v>235</v>
      </c>
      <c r="D88" s="228">
        <v>9275</v>
      </c>
      <c r="E88" s="228">
        <v>84.14</v>
      </c>
      <c r="F88" s="228">
        <v>81.44</v>
      </c>
      <c r="G88" s="228">
        <v>2.7</v>
      </c>
      <c r="H88" s="229">
        <v>3.32E-2</v>
      </c>
      <c r="I88" s="228">
        <v>84.2</v>
      </c>
      <c r="J88" s="228">
        <v>81.510000000000005</v>
      </c>
      <c r="K88" s="228">
        <v>2.69</v>
      </c>
      <c r="L88" s="229">
        <v>3.3000000000000002E-2</v>
      </c>
      <c r="M88" s="228">
        <v>84.14</v>
      </c>
      <c r="N88" s="228">
        <v>81.44</v>
      </c>
      <c r="O88" s="228">
        <v>2.7</v>
      </c>
      <c r="P88" s="229">
        <v>3.32E-2</v>
      </c>
      <c r="Q88" s="228">
        <v>84.53</v>
      </c>
      <c r="R88" s="228">
        <v>81.86</v>
      </c>
      <c r="S88" s="228">
        <v>2.67</v>
      </c>
      <c r="T88" s="229">
        <v>3.2599999999999997E-2</v>
      </c>
      <c r="U88" s="228">
        <v>85.09</v>
      </c>
      <c r="V88" s="228">
        <v>82.44</v>
      </c>
      <c r="W88" s="228">
        <v>2.65</v>
      </c>
      <c r="X88" s="229">
        <v>3.2099999999999997E-2</v>
      </c>
      <c r="Y88" s="228">
        <v>-0.06</v>
      </c>
      <c r="Z88" s="228">
        <v>-7.0000000000000007E-2</v>
      </c>
      <c r="AA88" s="228">
        <v>0.01</v>
      </c>
      <c r="AB88" s="229">
        <v>-6.9999999999999999E-4</v>
      </c>
      <c r="AC88" s="228">
        <v>-0.06</v>
      </c>
      <c r="AD88" s="228">
        <v>-7.0000000000000007E-2</v>
      </c>
      <c r="AE88" s="228">
        <v>0.01</v>
      </c>
      <c r="AF88" s="229">
        <v>-6.9999999999999999E-4</v>
      </c>
      <c r="AG88" s="228">
        <v>0.33</v>
      </c>
      <c r="AH88" s="228">
        <v>0.35</v>
      </c>
      <c r="AI88" s="228">
        <v>-0.02</v>
      </c>
      <c r="AJ88" s="229">
        <v>3.8999999999999998E-3</v>
      </c>
      <c r="AK88" s="228">
        <v>0.89</v>
      </c>
      <c r="AL88" s="228">
        <v>0.93</v>
      </c>
      <c r="AM88" s="228">
        <v>-0.04</v>
      </c>
      <c r="AN88" s="229">
        <v>1.06E-2</v>
      </c>
      <c r="AO88" s="228">
        <v>83.52</v>
      </c>
      <c r="AP88" s="228">
        <v>83.93</v>
      </c>
      <c r="AQ88" s="228">
        <v>0</v>
      </c>
      <c r="AR88" s="230">
        <v>207008725</v>
      </c>
      <c r="AS88" s="230">
        <v>220299800</v>
      </c>
      <c r="AT88" s="230">
        <v>-13291075</v>
      </c>
      <c r="AU88" s="229">
        <v>-6.0299999999999999E-2</v>
      </c>
      <c r="AV88" s="230">
        <v>109426450</v>
      </c>
      <c r="AW88" s="230">
        <v>122263050</v>
      </c>
      <c r="AX88" s="230">
        <v>-12836600</v>
      </c>
      <c r="AY88" s="229">
        <v>-0.105</v>
      </c>
      <c r="AZ88" s="230">
        <v>95254250</v>
      </c>
      <c r="BA88" s="230">
        <v>94039225</v>
      </c>
      <c r="BB88" s="230">
        <v>1215025</v>
      </c>
      <c r="BC88" s="229">
        <v>1.29E-2</v>
      </c>
      <c r="BD88" s="230">
        <v>2328025</v>
      </c>
      <c r="BE88" s="230">
        <v>3997525</v>
      </c>
      <c r="BF88" s="230">
        <v>-1669500</v>
      </c>
      <c r="BG88" s="229">
        <v>-0.41760000000000003</v>
      </c>
      <c r="BH88" s="230">
        <v>186000850</v>
      </c>
      <c r="BI88" s="230">
        <v>148233050</v>
      </c>
      <c r="BJ88" s="230">
        <v>37767800</v>
      </c>
      <c r="BK88" s="229">
        <v>0.25480000000000003</v>
      </c>
      <c r="BL88" s="230">
        <v>79867025</v>
      </c>
      <c r="BM88" s="230">
        <v>94929625</v>
      </c>
      <c r="BN88" s="230">
        <v>-15062600</v>
      </c>
      <c r="BO88" s="229">
        <v>-0.15870000000000001</v>
      </c>
      <c r="BP88" s="230">
        <v>472876600</v>
      </c>
      <c r="BQ88" s="230">
        <v>463462475</v>
      </c>
      <c r="BR88" s="230">
        <v>9414125</v>
      </c>
      <c r="BS88" s="229">
        <v>2.0299999999999999E-2</v>
      </c>
      <c r="BT88" s="230">
        <v>40758931</v>
      </c>
      <c r="BU88" s="230">
        <v>30691443</v>
      </c>
      <c r="BV88" s="230">
        <v>10067488</v>
      </c>
      <c r="BW88" s="229">
        <v>0.32800000000000001</v>
      </c>
      <c r="BX88" s="230">
        <v>303125550</v>
      </c>
      <c r="BY88" s="230">
        <v>319542300</v>
      </c>
      <c r="BZ88" s="230">
        <v>-16416750</v>
      </c>
      <c r="CA88" s="229">
        <v>-5.1400000000000001E-2</v>
      </c>
      <c r="CB88" s="230">
        <v>96413625</v>
      </c>
      <c r="CC88" s="230">
        <v>172283125</v>
      </c>
      <c r="CD88" s="230">
        <v>-75869500</v>
      </c>
      <c r="CE88" s="229">
        <v>-0.44040000000000001</v>
      </c>
      <c r="CF88" s="230">
        <v>196806225</v>
      </c>
      <c r="CG88" s="230">
        <v>137372025</v>
      </c>
      <c r="CH88" s="230">
        <v>59434200</v>
      </c>
      <c r="CI88" s="229">
        <v>0.43269999999999997</v>
      </c>
      <c r="CJ88" s="230">
        <v>9905700</v>
      </c>
      <c r="CK88" s="230">
        <v>9887150</v>
      </c>
      <c r="CL88" s="230">
        <v>18550</v>
      </c>
      <c r="CM88" s="229">
        <v>1.9E-3</v>
      </c>
      <c r="CN88" s="230">
        <v>144968250</v>
      </c>
      <c r="CO88" s="230">
        <v>151636975</v>
      </c>
      <c r="CP88" s="230">
        <v>-6668725</v>
      </c>
      <c r="CQ88" s="229">
        <v>-4.3999999999999997E-2</v>
      </c>
      <c r="CR88" s="230">
        <v>87602375</v>
      </c>
      <c r="CS88" s="230">
        <v>83354425</v>
      </c>
      <c r="CT88" s="230">
        <v>4247950</v>
      </c>
      <c r="CU88" s="229">
        <v>5.0999999999999997E-2</v>
      </c>
      <c r="CV88" s="230">
        <v>535696175</v>
      </c>
      <c r="CW88" s="230">
        <v>554533700</v>
      </c>
      <c r="CX88" s="230">
        <v>-18837525</v>
      </c>
      <c r="CY88" s="229">
        <v>-3.4000000000000002E-2</v>
      </c>
      <c r="CZ88" s="228">
        <v>31.73</v>
      </c>
      <c r="DA88" s="228">
        <v>27.63</v>
      </c>
      <c r="DB88" s="228">
        <v>4.0999999999999996</v>
      </c>
      <c r="DC88" s="228">
        <v>4.0999999999999996</v>
      </c>
      <c r="DD88" s="228">
        <v>32.08</v>
      </c>
      <c r="DE88" s="228">
        <v>31.86</v>
      </c>
      <c r="DF88" s="228">
        <v>-0.35</v>
      </c>
      <c r="DG88" s="228">
        <v>0.22</v>
      </c>
      <c r="DH88" s="228">
        <v>31.63</v>
      </c>
      <c r="DI88" s="228">
        <v>28.2</v>
      </c>
      <c r="DJ88" s="228">
        <v>3.43</v>
      </c>
      <c r="DK88" s="228">
        <v>3.43</v>
      </c>
      <c r="DL88" s="228">
        <v>31.93</v>
      </c>
      <c r="DM88" s="228">
        <v>26.74</v>
      </c>
      <c r="DN88" s="228">
        <v>5.19</v>
      </c>
      <c r="DO88" s="228">
        <v>5.19</v>
      </c>
      <c r="DP88" s="228">
        <v>0.6</v>
      </c>
      <c r="DQ88" s="228">
        <v>0.55000000000000004</v>
      </c>
      <c r="DR88" s="228">
        <v>0.05</v>
      </c>
      <c r="DS88" s="229">
        <v>9.0899999999999995E-2</v>
      </c>
      <c r="DT88" s="228">
        <v>90</v>
      </c>
      <c r="DU88" s="228">
        <v>80</v>
      </c>
      <c r="DV88" s="228">
        <v>0.43</v>
      </c>
      <c r="DW88" s="228">
        <v>0.64</v>
      </c>
      <c r="DX88" s="228">
        <v>-0.21</v>
      </c>
      <c r="DY88" s="229">
        <v>-0.3281</v>
      </c>
      <c r="DZ88" s="229">
        <v>0.68189999999999995</v>
      </c>
      <c r="EA88" s="230">
        <v>147259175</v>
      </c>
      <c r="EB88" s="229">
        <v>4.5999999999999999E-3</v>
      </c>
      <c r="EC88" s="229">
        <v>0.68189999999999995</v>
      </c>
      <c r="ED88" s="228">
        <v>0.41</v>
      </c>
      <c r="EE88" s="229">
        <v>4.8999999999999998E-3</v>
      </c>
      <c r="EF88" s="230">
        <v>28671060</v>
      </c>
      <c r="EG88" s="230">
        <v>14597282</v>
      </c>
      <c r="EH88" s="229">
        <v>0.96409999999999996</v>
      </c>
      <c r="EI88" s="229">
        <v>0.70340000000000003</v>
      </c>
      <c r="EJ88" s="231">
        <v>161126.87</v>
      </c>
      <c r="EK88" s="231">
        <v>66119.7</v>
      </c>
      <c r="EL88" s="231">
        <v>173301.35</v>
      </c>
      <c r="EM88" s="231">
        <v>12444</v>
      </c>
      <c r="EN88" s="231">
        <v>400547.92</v>
      </c>
      <c r="EO88" s="231">
        <v>383851.97</v>
      </c>
      <c r="EP88" s="231">
        <v>16695.95</v>
      </c>
      <c r="EQ88" s="229">
        <v>4.3499999999999997E-2</v>
      </c>
      <c r="ER88" s="231">
        <v>126687</v>
      </c>
      <c r="ES88" s="231">
        <v>71529</v>
      </c>
      <c r="ET88" s="231">
        <v>255911</v>
      </c>
      <c r="EU88" s="231">
        <v>936861183</v>
      </c>
      <c r="EV88" s="231">
        <v>454128</v>
      </c>
      <c r="EW88" s="231">
        <v>461049</v>
      </c>
      <c r="EX88" s="231">
        <v>-6921</v>
      </c>
      <c r="EY88" s="229">
        <v>-1.4999999999999999E-2</v>
      </c>
      <c r="EZ88" s="229">
        <v>0.57179999999999997</v>
      </c>
      <c r="FA88" s="227" t="s">
        <v>556</v>
      </c>
      <c r="FB88" s="161">
        <f t="shared" si="1"/>
        <v>206711925</v>
      </c>
    </row>
    <row r="89" spans="1:158" ht="17.25" hidden="1" thickBot="1" x14ac:dyDescent="0.3">
      <c r="A89" s="226">
        <v>46044</v>
      </c>
      <c r="B89" s="227" t="s">
        <v>161</v>
      </c>
      <c r="C89" s="227" t="s">
        <v>514</v>
      </c>
      <c r="D89" s="228">
        <v>3750</v>
      </c>
      <c r="E89" s="228">
        <v>131.43</v>
      </c>
      <c r="F89" s="228">
        <v>128.44999999999999</v>
      </c>
      <c r="G89" s="228">
        <v>2.98</v>
      </c>
      <c r="H89" s="229">
        <v>2.3199999999999998E-2</v>
      </c>
      <c r="I89" s="228">
        <v>131.06</v>
      </c>
      <c r="J89" s="228">
        <v>128.41999999999999</v>
      </c>
      <c r="K89" s="228">
        <v>2.64</v>
      </c>
      <c r="L89" s="229">
        <v>2.06E-2</v>
      </c>
      <c r="M89" s="228">
        <v>131.43</v>
      </c>
      <c r="N89" s="228">
        <v>128.44999999999999</v>
      </c>
      <c r="O89" s="228">
        <v>2.98</v>
      </c>
      <c r="P89" s="229">
        <v>2.3199999999999998E-2</v>
      </c>
      <c r="Q89" s="228">
        <v>130.18</v>
      </c>
      <c r="R89" s="228">
        <v>127.6</v>
      </c>
      <c r="S89" s="228">
        <v>2.58</v>
      </c>
      <c r="T89" s="229">
        <v>2.0199999999999999E-2</v>
      </c>
      <c r="U89" s="228">
        <v>130.79</v>
      </c>
      <c r="V89" s="228">
        <v>128.38999999999999</v>
      </c>
      <c r="W89" s="228">
        <v>2.4</v>
      </c>
      <c r="X89" s="229">
        <v>1.8700000000000001E-2</v>
      </c>
      <c r="Y89" s="228">
        <v>0.37</v>
      </c>
      <c r="Z89" s="228">
        <v>0.03</v>
      </c>
      <c r="AA89" s="228">
        <v>0.34</v>
      </c>
      <c r="AB89" s="229">
        <v>2.8E-3</v>
      </c>
      <c r="AC89" s="228">
        <v>0.37</v>
      </c>
      <c r="AD89" s="228">
        <v>0.03</v>
      </c>
      <c r="AE89" s="228">
        <v>0.34</v>
      </c>
      <c r="AF89" s="229">
        <v>2.8E-3</v>
      </c>
      <c r="AG89" s="228">
        <v>-0.88</v>
      </c>
      <c r="AH89" s="228">
        <v>-0.82</v>
      </c>
      <c r="AI89" s="228">
        <v>-0.06</v>
      </c>
      <c r="AJ89" s="229">
        <v>-6.7000000000000002E-3</v>
      </c>
      <c r="AK89" s="228">
        <v>-0.27</v>
      </c>
      <c r="AL89" s="228">
        <v>-0.03</v>
      </c>
      <c r="AM89" s="228">
        <v>-0.24</v>
      </c>
      <c r="AN89" s="229">
        <v>-2.0999999999999999E-3</v>
      </c>
      <c r="AO89" s="228">
        <v>131.13999999999999</v>
      </c>
      <c r="AP89" s="228">
        <v>130.02000000000001</v>
      </c>
      <c r="AQ89" s="228">
        <v>0</v>
      </c>
      <c r="AR89" s="230">
        <v>65756250</v>
      </c>
      <c r="AS89" s="230">
        <v>57536250</v>
      </c>
      <c r="AT89" s="230">
        <v>8220000</v>
      </c>
      <c r="AU89" s="229">
        <v>0.1429</v>
      </c>
      <c r="AV89" s="230">
        <v>34875000</v>
      </c>
      <c r="AW89" s="230">
        <v>32171250</v>
      </c>
      <c r="AX89" s="230">
        <v>2703750</v>
      </c>
      <c r="AY89" s="229">
        <v>8.4000000000000005E-2</v>
      </c>
      <c r="AZ89" s="230">
        <v>30082500</v>
      </c>
      <c r="BA89" s="230">
        <v>24603750</v>
      </c>
      <c r="BB89" s="230">
        <v>5478750</v>
      </c>
      <c r="BC89" s="229">
        <v>0.22270000000000001</v>
      </c>
      <c r="BD89" s="230">
        <v>798750</v>
      </c>
      <c r="BE89" s="230">
        <v>761250</v>
      </c>
      <c r="BF89" s="230">
        <v>37500</v>
      </c>
      <c r="BG89" s="229">
        <v>4.9299999999999997E-2</v>
      </c>
      <c r="BH89" s="230">
        <v>77898750</v>
      </c>
      <c r="BI89" s="230">
        <v>106301250</v>
      </c>
      <c r="BJ89" s="230">
        <v>-28402500</v>
      </c>
      <c r="BK89" s="229">
        <v>-0.26719999999999999</v>
      </c>
      <c r="BL89" s="230">
        <v>39146250</v>
      </c>
      <c r="BM89" s="230">
        <v>63941250</v>
      </c>
      <c r="BN89" s="230">
        <v>-24795000</v>
      </c>
      <c r="BO89" s="229">
        <v>-0.38779999999999998</v>
      </c>
      <c r="BP89" s="230">
        <v>182801250</v>
      </c>
      <c r="BQ89" s="230">
        <v>227778750</v>
      </c>
      <c r="BR89" s="230">
        <v>-44977500</v>
      </c>
      <c r="BS89" s="229">
        <v>-0.19750000000000001</v>
      </c>
      <c r="BT89" s="230">
        <v>8728660</v>
      </c>
      <c r="BU89" s="230">
        <v>15722231</v>
      </c>
      <c r="BV89" s="230">
        <v>-6993571</v>
      </c>
      <c r="BW89" s="229">
        <v>-0.44479999999999997</v>
      </c>
      <c r="BX89" s="230">
        <v>84817500</v>
      </c>
      <c r="BY89" s="230">
        <v>93506250</v>
      </c>
      <c r="BZ89" s="230">
        <v>-8688750</v>
      </c>
      <c r="CA89" s="229">
        <v>-9.2899999999999996E-2</v>
      </c>
      <c r="CB89" s="230">
        <v>37882500</v>
      </c>
      <c r="CC89" s="230">
        <v>58470000</v>
      </c>
      <c r="CD89" s="230">
        <v>-20587500</v>
      </c>
      <c r="CE89" s="229">
        <v>-0.35210000000000002</v>
      </c>
      <c r="CF89" s="230">
        <v>44973750</v>
      </c>
      <c r="CG89" s="230">
        <v>33225000</v>
      </c>
      <c r="CH89" s="230">
        <v>11748750</v>
      </c>
      <c r="CI89" s="229">
        <v>0.35360000000000003</v>
      </c>
      <c r="CJ89" s="230">
        <v>1961250</v>
      </c>
      <c r="CK89" s="230">
        <v>1811250</v>
      </c>
      <c r="CL89" s="230">
        <v>150000</v>
      </c>
      <c r="CM89" s="229">
        <v>8.2799999999999999E-2</v>
      </c>
      <c r="CN89" s="230">
        <v>105116250</v>
      </c>
      <c r="CO89" s="230">
        <v>112095000</v>
      </c>
      <c r="CP89" s="230">
        <v>-6978750</v>
      </c>
      <c r="CQ89" s="229">
        <v>-6.2300000000000001E-2</v>
      </c>
      <c r="CR89" s="230">
        <v>70282500</v>
      </c>
      <c r="CS89" s="230">
        <v>73207500</v>
      </c>
      <c r="CT89" s="230">
        <v>-2925000</v>
      </c>
      <c r="CU89" s="229">
        <v>-0.04</v>
      </c>
      <c r="CV89" s="230">
        <v>260216250</v>
      </c>
      <c r="CW89" s="230">
        <v>278808750</v>
      </c>
      <c r="CX89" s="230">
        <v>-18592500</v>
      </c>
      <c r="CY89" s="229">
        <v>-6.6699999999999995E-2</v>
      </c>
      <c r="CZ89" s="228">
        <v>43.74</v>
      </c>
      <c r="DA89" s="228">
        <v>51.05</v>
      </c>
      <c r="DB89" s="228">
        <v>-7.31</v>
      </c>
      <c r="DC89" s="228">
        <v>-7.31</v>
      </c>
      <c r="DD89" s="228">
        <v>54.57</v>
      </c>
      <c r="DE89" s="228">
        <v>54.64</v>
      </c>
      <c r="DF89" s="228">
        <v>-10.83</v>
      </c>
      <c r="DG89" s="228">
        <v>-7.0000000000000007E-2</v>
      </c>
      <c r="DH89" s="228">
        <v>43.25</v>
      </c>
      <c r="DI89" s="228">
        <v>53.97</v>
      </c>
      <c r="DJ89" s="228">
        <v>-10.72</v>
      </c>
      <c r="DK89" s="228">
        <v>-10.72</v>
      </c>
      <c r="DL89" s="228">
        <v>44.38</v>
      </c>
      <c r="DM89" s="228">
        <v>46.19</v>
      </c>
      <c r="DN89" s="228">
        <v>-1.81</v>
      </c>
      <c r="DO89" s="228">
        <v>-1.81</v>
      </c>
      <c r="DP89" s="228">
        <v>0.67</v>
      </c>
      <c r="DQ89" s="228">
        <v>0.65</v>
      </c>
      <c r="DR89" s="228">
        <v>0.02</v>
      </c>
      <c r="DS89" s="229">
        <v>3.0800000000000001E-2</v>
      </c>
      <c r="DT89" s="228">
        <v>160</v>
      </c>
      <c r="DU89" s="228">
        <v>140</v>
      </c>
      <c r="DV89" s="228">
        <v>0.5</v>
      </c>
      <c r="DW89" s="228">
        <v>0.6</v>
      </c>
      <c r="DX89" s="228">
        <v>-0.1</v>
      </c>
      <c r="DY89" s="229">
        <v>-0.16669999999999999</v>
      </c>
      <c r="DZ89" s="229">
        <v>0.5534</v>
      </c>
      <c r="EA89" s="230">
        <v>35036250</v>
      </c>
      <c r="EB89" s="229">
        <v>-9.4999999999999998E-3</v>
      </c>
      <c r="EC89" s="229">
        <v>0.5534</v>
      </c>
      <c r="ED89" s="228">
        <v>-1.1200000000000001</v>
      </c>
      <c r="EE89" s="229">
        <v>-8.5000000000000006E-3</v>
      </c>
      <c r="EF89" s="230">
        <v>1750999</v>
      </c>
      <c r="EG89" s="230">
        <v>3202478</v>
      </c>
      <c r="EH89" s="229">
        <v>-0.45319999999999999</v>
      </c>
      <c r="EI89" s="229">
        <v>0.2006</v>
      </c>
      <c r="EJ89" s="231">
        <v>112935.17</v>
      </c>
      <c r="EK89" s="231">
        <v>52431.14</v>
      </c>
      <c r="EL89" s="231">
        <v>85895.61</v>
      </c>
      <c r="EM89" s="231">
        <v>12549</v>
      </c>
      <c r="EN89" s="231">
        <v>251261.92</v>
      </c>
      <c r="EO89" s="231">
        <v>312171.96000000002</v>
      </c>
      <c r="EP89" s="231">
        <v>-60910.04</v>
      </c>
      <c r="EQ89" s="229">
        <v>-0.1951</v>
      </c>
      <c r="ER89" s="231">
        <v>158731</v>
      </c>
      <c r="ES89" s="231">
        <v>96734</v>
      </c>
      <c r="ET89" s="231">
        <v>110901</v>
      </c>
      <c r="EU89" s="231">
        <v>133395043</v>
      </c>
      <c r="EV89" s="231">
        <v>366366</v>
      </c>
      <c r="EW89" s="231">
        <v>390251</v>
      </c>
      <c r="EX89" s="231">
        <v>-23885</v>
      </c>
      <c r="EY89" s="229">
        <v>-6.1199999999999997E-2</v>
      </c>
      <c r="EZ89" s="229">
        <v>1.9507000000000001</v>
      </c>
      <c r="FA89" s="227" t="s">
        <v>556</v>
      </c>
      <c r="FB89" s="161">
        <f t="shared" si="1"/>
        <v>46935000</v>
      </c>
    </row>
    <row r="90" spans="1:158" ht="17.25" hidden="1" thickBot="1" x14ac:dyDescent="0.3">
      <c r="A90" s="226">
        <v>46044</v>
      </c>
      <c r="B90" s="227" t="s">
        <v>175</v>
      </c>
      <c r="C90" s="227" t="s">
        <v>666</v>
      </c>
      <c r="D90" s="228">
        <v>1650</v>
      </c>
      <c r="E90" s="228">
        <v>542.70000000000005</v>
      </c>
      <c r="F90" s="228">
        <v>624.5</v>
      </c>
      <c r="G90" s="228">
        <v>-81.8</v>
      </c>
      <c r="H90" s="229">
        <v>-0.13100000000000001</v>
      </c>
      <c r="I90" s="228">
        <v>538.75</v>
      </c>
      <c r="J90" s="228">
        <v>622.85</v>
      </c>
      <c r="K90" s="228">
        <v>-84.1</v>
      </c>
      <c r="L90" s="229">
        <v>-0.13500000000000001</v>
      </c>
      <c r="M90" s="228">
        <v>542.70000000000005</v>
      </c>
      <c r="N90" s="228">
        <v>624.5</v>
      </c>
      <c r="O90" s="228">
        <v>-81.8</v>
      </c>
      <c r="P90" s="229">
        <v>-0.13100000000000001</v>
      </c>
      <c r="Q90" s="228">
        <v>0</v>
      </c>
      <c r="R90" s="228">
        <v>0</v>
      </c>
      <c r="S90" s="228">
        <v>0</v>
      </c>
      <c r="T90" s="229">
        <v>0</v>
      </c>
      <c r="U90" s="228">
        <v>0</v>
      </c>
      <c r="V90" s="228">
        <v>0</v>
      </c>
      <c r="W90" s="228">
        <v>0</v>
      </c>
      <c r="X90" s="229">
        <v>0</v>
      </c>
      <c r="Y90" s="228">
        <v>3.95</v>
      </c>
      <c r="Z90" s="228">
        <v>1.65</v>
      </c>
      <c r="AA90" s="228">
        <v>2.2999999999999998</v>
      </c>
      <c r="AB90" s="229">
        <v>7.3000000000000001E-3</v>
      </c>
      <c r="AC90" s="228">
        <v>3.95</v>
      </c>
      <c r="AD90" s="228">
        <v>1.65</v>
      </c>
      <c r="AE90" s="228">
        <v>2.2999999999999998</v>
      </c>
      <c r="AF90" s="229">
        <v>7.3000000000000001E-3</v>
      </c>
      <c r="AG90" s="228">
        <v>0</v>
      </c>
      <c r="AH90" s="228">
        <v>0</v>
      </c>
      <c r="AI90" s="228">
        <v>0</v>
      </c>
      <c r="AJ90" s="229">
        <v>0</v>
      </c>
      <c r="AK90" s="228">
        <v>0</v>
      </c>
      <c r="AL90" s="228">
        <v>0</v>
      </c>
      <c r="AM90" s="228">
        <v>0</v>
      </c>
      <c r="AN90" s="229">
        <v>0</v>
      </c>
      <c r="AO90" s="228">
        <v>567.46</v>
      </c>
      <c r="AP90" s="228">
        <v>0</v>
      </c>
      <c r="AQ90" s="228">
        <v>0</v>
      </c>
      <c r="AR90" s="230">
        <v>27972450</v>
      </c>
      <c r="AS90" s="230">
        <v>5365800</v>
      </c>
      <c r="AT90" s="230">
        <v>22606650</v>
      </c>
      <c r="AU90" s="229">
        <v>4.2130999999999998</v>
      </c>
      <c r="AV90" s="230">
        <v>27972450</v>
      </c>
      <c r="AW90" s="230">
        <v>5365800</v>
      </c>
      <c r="AX90" s="230">
        <v>22606650</v>
      </c>
      <c r="AY90" s="229">
        <v>4.2130999999999998</v>
      </c>
      <c r="AZ90" s="228">
        <v>0</v>
      </c>
      <c r="BA90" s="228">
        <v>0</v>
      </c>
      <c r="BB90" s="228">
        <v>0</v>
      </c>
      <c r="BC90" s="229">
        <v>0</v>
      </c>
      <c r="BD90" s="228">
        <v>0</v>
      </c>
      <c r="BE90" s="228">
        <v>0</v>
      </c>
      <c r="BF90" s="228">
        <v>0</v>
      </c>
      <c r="BG90" s="229">
        <v>0</v>
      </c>
      <c r="BH90" s="230">
        <v>99188100</v>
      </c>
      <c r="BI90" s="230">
        <v>21073800</v>
      </c>
      <c r="BJ90" s="230">
        <v>78114300</v>
      </c>
      <c r="BK90" s="229">
        <v>3.7067000000000001</v>
      </c>
      <c r="BL90" s="230">
        <v>104865750</v>
      </c>
      <c r="BM90" s="230">
        <v>14091000</v>
      </c>
      <c r="BN90" s="230">
        <v>90774750</v>
      </c>
      <c r="BO90" s="229">
        <v>6.4420000000000002</v>
      </c>
      <c r="BP90" s="230">
        <v>232026300</v>
      </c>
      <c r="BQ90" s="230">
        <v>40530600</v>
      </c>
      <c r="BR90" s="230">
        <v>191495700</v>
      </c>
      <c r="BS90" s="229">
        <v>4.7247000000000003</v>
      </c>
      <c r="BT90" s="230">
        <v>25581932</v>
      </c>
      <c r="BU90" s="230">
        <v>2817230</v>
      </c>
      <c r="BV90" s="230">
        <v>22764702</v>
      </c>
      <c r="BW90" s="229">
        <v>8.0805000000000007</v>
      </c>
      <c r="BX90" s="230">
        <v>11015400</v>
      </c>
      <c r="BY90" s="230">
        <v>9383550</v>
      </c>
      <c r="BZ90" s="230">
        <v>1631850</v>
      </c>
      <c r="CA90" s="229">
        <v>0.1739</v>
      </c>
      <c r="CB90" s="230">
        <v>11015400</v>
      </c>
      <c r="CC90" s="230">
        <v>9383550</v>
      </c>
      <c r="CD90" s="230">
        <v>1631850</v>
      </c>
      <c r="CE90" s="229">
        <v>0.1739</v>
      </c>
      <c r="CF90" s="228">
        <v>0</v>
      </c>
      <c r="CG90" s="228">
        <v>0</v>
      </c>
      <c r="CH90" s="228">
        <v>0</v>
      </c>
      <c r="CI90" s="229">
        <v>0</v>
      </c>
      <c r="CJ90" s="228">
        <v>0</v>
      </c>
      <c r="CK90" s="228">
        <v>0</v>
      </c>
      <c r="CL90" s="228">
        <v>0</v>
      </c>
      <c r="CM90" s="229">
        <v>0</v>
      </c>
      <c r="CN90" s="230">
        <v>14191650</v>
      </c>
      <c r="CO90" s="230">
        <v>8134500</v>
      </c>
      <c r="CP90" s="230">
        <v>6057150</v>
      </c>
      <c r="CQ90" s="229">
        <v>0.74460000000000004</v>
      </c>
      <c r="CR90" s="230">
        <v>7990950</v>
      </c>
      <c r="CS90" s="230">
        <v>5179350</v>
      </c>
      <c r="CT90" s="230">
        <v>2811600</v>
      </c>
      <c r="CU90" s="229">
        <v>0.54279999999999995</v>
      </c>
      <c r="CV90" s="230">
        <v>33198000</v>
      </c>
      <c r="CW90" s="230">
        <v>22697400</v>
      </c>
      <c r="CX90" s="230">
        <v>10500600</v>
      </c>
      <c r="CY90" s="229">
        <v>0.46260000000000001</v>
      </c>
      <c r="CZ90" s="228">
        <v>51.8</v>
      </c>
      <c r="DA90" s="228">
        <v>49.98</v>
      </c>
      <c r="DB90" s="228">
        <v>1.82</v>
      </c>
      <c r="DC90" s="228">
        <v>1.82</v>
      </c>
      <c r="DD90" s="228">
        <v>51.8</v>
      </c>
      <c r="DE90" s="228">
        <v>48.11</v>
      </c>
      <c r="DF90" s="228">
        <v>0</v>
      </c>
      <c r="DG90" s="228">
        <v>3.69</v>
      </c>
      <c r="DH90" s="228">
        <v>51.8</v>
      </c>
      <c r="DI90" s="228">
        <v>51.3</v>
      </c>
      <c r="DJ90" s="228">
        <v>0.5</v>
      </c>
      <c r="DK90" s="228">
        <v>0.5</v>
      </c>
      <c r="DL90" s="228">
        <v>51.8</v>
      </c>
      <c r="DM90" s="228">
        <v>48.01</v>
      </c>
      <c r="DN90" s="228">
        <v>3.79</v>
      </c>
      <c r="DO90" s="228">
        <v>3.79</v>
      </c>
      <c r="DP90" s="228">
        <v>0.56000000000000005</v>
      </c>
      <c r="DQ90" s="228">
        <v>0.64</v>
      </c>
      <c r="DR90" s="228">
        <v>-0.08</v>
      </c>
      <c r="DS90" s="229">
        <v>-0.125</v>
      </c>
      <c r="DT90" s="228">
        <v>600</v>
      </c>
      <c r="DU90" s="228">
        <v>500</v>
      </c>
      <c r="DV90" s="228">
        <v>1.06</v>
      </c>
      <c r="DW90" s="228">
        <v>0.67</v>
      </c>
      <c r="DX90" s="228">
        <v>0.39</v>
      </c>
      <c r="DY90" s="229">
        <v>0.58209999999999995</v>
      </c>
      <c r="DZ90" s="229">
        <v>0</v>
      </c>
      <c r="EA90" s="228">
        <v>0</v>
      </c>
      <c r="EB90" s="229">
        <v>0</v>
      </c>
      <c r="EC90" s="229">
        <v>0</v>
      </c>
      <c r="ED90" s="228">
        <v>0</v>
      </c>
      <c r="EE90" s="229">
        <v>0</v>
      </c>
      <c r="EF90" s="230">
        <v>6274251</v>
      </c>
      <c r="EG90" s="230">
        <v>874832</v>
      </c>
      <c r="EH90" s="229">
        <v>6.1718999999999999</v>
      </c>
      <c r="EI90" s="229">
        <v>0.24529999999999999</v>
      </c>
      <c r="EJ90" s="231">
        <v>615131.77</v>
      </c>
      <c r="EK90" s="231">
        <v>591859.42000000004</v>
      </c>
      <c r="EL90" s="231">
        <v>158733.70000000001</v>
      </c>
      <c r="EM90" s="231">
        <v>2234</v>
      </c>
      <c r="EN90" s="231">
        <v>1365724.89</v>
      </c>
      <c r="EO90" s="231">
        <v>257908.08</v>
      </c>
      <c r="EP90" s="231">
        <v>1107816.81</v>
      </c>
      <c r="EQ90" s="229">
        <v>4.2953999999999999</v>
      </c>
      <c r="ER90" s="231">
        <v>88566</v>
      </c>
      <c r="ES90" s="231">
        <v>44608</v>
      </c>
      <c r="ET90" s="231">
        <v>59781</v>
      </c>
      <c r="EU90" s="231">
        <v>35669230</v>
      </c>
      <c r="EV90" s="231">
        <v>192955</v>
      </c>
      <c r="EW90" s="231">
        <v>143426</v>
      </c>
      <c r="EX90" s="231">
        <v>49529</v>
      </c>
      <c r="EY90" s="229">
        <v>0.3453</v>
      </c>
      <c r="EZ90" s="229">
        <v>0.93069999999999997</v>
      </c>
      <c r="FA90" s="227" t="s">
        <v>567</v>
      </c>
      <c r="FB90" s="161">
        <f t="shared" si="1"/>
        <v>0</v>
      </c>
    </row>
    <row r="91" spans="1:158" ht="17.25" hidden="1" thickBot="1" x14ac:dyDescent="0.3">
      <c r="A91" s="226">
        <v>46044</v>
      </c>
      <c r="B91" s="227" t="s">
        <v>206</v>
      </c>
      <c r="C91" s="227" t="s">
        <v>501</v>
      </c>
      <c r="D91" s="228">
        <v>1000</v>
      </c>
      <c r="E91" s="228">
        <v>657.6</v>
      </c>
      <c r="F91" s="228">
        <v>655.29999999999995</v>
      </c>
      <c r="G91" s="228">
        <v>2.2999999999999998</v>
      </c>
      <c r="H91" s="229">
        <v>3.5000000000000001E-3</v>
      </c>
      <c r="I91" s="228">
        <v>656.55</v>
      </c>
      <c r="J91" s="228">
        <v>653.6</v>
      </c>
      <c r="K91" s="228">
        <v>2.95</v>
      </c>
      <c r="L91" s="229">
        <v>4.4999999999999997E-3</v>
      </c>
      <c r="M91" s="228">
        <v>657.6</v>
      </c>
      <c r="N91" s="228">
        <v>655.29999999999995</v>
      </c>
      <c r="O91" s="228">
        <v>2.2999999999999998</v>
      </c>
      <c r="P91" s="229">
        <v>3.5000000000000001E-3</v>
      </c>
      <c r="Q91" s="228">
        <v>661</v>
      </c>
      <c r="R91" s="228">
        <v>658.35</v>
      </c>
      <c r="S91" s="228">
        <v>2.65</v>
      </c>
      <c r="T91" s="229">
        <v>4.0000000000000001E-3</v>
      </c>
      <c r="U91" s="228">
        <v>666</v>
      </c>
      <c r="V91" s="228">
        <v>662.9</v>
      </c>
      <c r="W91" s="228">
        <v>3.1</v>
      </c>
      <c r="X91" s="229">
        <v>4.7000000000000002E-3</v>
      </c>
      <c r="Y91" s="228">
        <v>1.05</v>
      </c>
      <c r="Z91" s="228">
        <v>1.7</v>
      </c>
      <c r="AA91" s="228">
        <v>-0.65</v>
      </c>
      <c r="AB91" s="229">
        <v>1.6000000000000001E-3</v>
      </c>
      <c r="AC91" s="228">
        <v>1.05</v>
      </c>
      <c r="AD91" s="228">
        <v>1.7</v>
      </c>
      <c r="AE91" s="228">
        <v>-0.65</v>
      </c>
      <c r="AF91" s="229">
        <v>1.6000000000000001E-3</v>
      </c>
      <c r="AG91" s="228">
        <v>4.45</v>
      </c>
      <c r="AH91" s="228">
        <v>4.75</v>
      </c>
      <c r="AI91" s="228">
        <v>-0.3</v>
      </c>
      <c r="AJ91" s="229">
        <v>6.7999999999999996E-3</v>
      </c>
      <c r="AK91" s="228">
        <v>9.4499999999999993</v>
      </c>
      <c r="AL91" s="228">
        <v>9.3000000000000007</v>
      </c>
      <c r="AM91" s="228">
        <v>0.15</v>
      </c>
      <c r="AN91" s="229">
        <v>1.44E-2</v>
      </c>
      <c r="AO91" s="228">
        <v>656.58</v>
      </c>
      <c r="AP91" s="228">
        <v>659.84</v>
      </c>
      <c r="AQ91" s="228">
        <v>0</v>
      </c>
      <c r="AR91" s="230">
        <v>23446000</v>
      </c>
      <c r="AS91" s="230">
        <v>15768000</v>
      </c>
      <c r="AT91" s="230">
        <v>7678000</v>
      </c>
      <c r="AU91" s="229">
        <v>0.4869</v>
      </c>
      <c r="AV91" s="230">
        <v>11759000</v>
      </c>
      <c r="AW91" s="230">
        <v>9072000</v>
      </c>
      <c r="AX91" s="230">
        <v>2687000</v>
      </c>
      <c r="AY91" s="229">
        <v>0.29620000000000002</v>
      </c>
      <c r="AZ91" s="230">
        <v>11605000</v>
      </c>
      <c r="BA91" s="230">
        <v>6601000</v>
      </c>
      <c r="BB91" s="230">
        <v>5004000</v>
      </c>
      <c r="BC91" s="229">
        <v>0.7581</v>
      </c>
      <c r="BD91" s="230">
        <v>82000</v>
      </c>
      <c r="BE91" s="230">
        <v>95000</v>
      </c>
      <c r="BF91" s="230">
        <v>-13000</v>
      </c>
      <c r="BG91" s="229">
        <v>-0.1368</v>
      </c>
      <c r="BH91" s="230">
        <v>16301000</v>
      </c>
      <c r="BI91" s="230">
        <v>21870000</v>
      </c>
      <c r="BJ91" s="230">
        <v>-5569000</v>
      </c>
      <c r="BK91" s="229">
        <v>-0.25459999999999999</v>
      </c>
      <c r="BL91" s="230">
        <v>6781000</v>
      </c>
      <c r="BM91" s="230">
        <v>11653000</v>
      </c>
      <c r="BN91" s="230">
        <v>-4872000</v>
      </c>
      <c r="BO91" s="229">
        <v>-0.41810000000000003</v>
      </c>
      <c r="BP91" s="230">
        <v>46528000</v>
      </c>
      <c r="BQ91" s="230">
        <v>49291000</v>
      </c>
      <c r="BR91" s="230">
        <v>-2763000</v>
      </c>
      <c r="BS91" s="229">
        <v>-5.6099999999999997E-2</v>
      </c>
      <c r="BT91" s="230">
        <v>5858242</v>
      </c>
      <c r="BU91" s="230">
        <v>6049162</v>
      </c>
      <c r="BV91" s="230">
        <v>-190920</v>
      </c>
      <c r="BW91" s="229">
        <v>-3.1600000000000003E-2</v>
      </c>
      <c r="BX91" s="230">
        <v>28566000</v>
      </c>
      <c r="BY91" s="230">
        <v>27635000</v>
      </c>
      <c r="BZ91" s="230">
        <v>931000</v>
      </c>
      <c r="CA91" s="229">
        <v>3.3700000000000001E-2</v>
      </c>
      <c r="CB91" s="230">
        <v>13858000</v>
      </c>
      <c r="CC91" s="230">
        <v>21093000</v>
      </c>
      <c r="CD91" s="230">
        <v>-7235000</v>
      </c>
      <c r="CE91" s="229">
        <v>-0.34300000000000003</v>
      </c>
      <c r="CF91" s="230">
        <v>14295000</v>
      </c>
      <c r="CG91" s="230">
        <v>6167000</v>
      </c>
      <c r="CH91" s="230">
        <v>8128000</v>
      </c>
      <c r="CI91" s="229">
        <v>1.3180000000000001</v>
      </c>
      <c r="CJ91" s="230">
        <v>413000</v>
      </c>
      <c r="CK91" s="230">
        <v>375000</v>
      </c>
      <c r="CL91" s="230">
        <v>38000</v>
      </c>
      <c r="CM91" s="229">
        <v>0.1013</v>
      </c>
      <c r="CN91" s="230">
        <v>13842000</v>
      </c>
      <c r="CO91" s="230">
        <v>14926000</v>
      </c>
      <c r="CP91" s="230">
        <v>-1084000</v>
      </c>
      <c r="CQ91" s="229">
        <v>-7.2599999999999998E-2</v>
      </c>
      <c r="CR91" s="230">
        <v>9207000</v>
      </c>
      <c r="CS91" s="230">
        <v>9071000</v>
      </c>
      <c r="CT91" s="230">
        <v>136000</v>
      </c>
      <c r="CU91" s="229">
        <v>1.4999999999999999E-2</v>
      </c>
      <c r="CV91" s="230">
        <v>51615000</v>
      </c>
      <c r="CW91" s="230">
        <v>51632000</v>
      </c>
      <c r="CX91" s="230">
        <v>-17000</v>
      </c>
      <c r="CY91" s="229">
        <v>-2.9999999999999997E-4</v>
      </c>
      <c r="CZ91" s="228">
        <v>27.56</v>
      </c>
      <c r="DA91" s="228">
        <v>27.12</v>
      </c>
      <c r="DB91" s="228">
        <v>0.44</v>
      </c>
      <c r="DC91" s="228">
        <v>0.44</v>
      </c>
      <c r="DD91" s="228">
        <v>33.44</v>
      </c>
      <c r="DE91" s="228">
        <v>33.520000000000003</v>
      </c>
      <c r="DF91" s="228">
        <v>-5.88</v>
      </c>
      <c r="DG91" s="228">
        <v>-0.08</v>
      </c>
      <c r="DH91" s="228">
        <v>27.73</v>
      </c>
      <c r="DI91" s="228">
        <v>27.21</v>
      </c>
      <c r="DJ91" s="228">
        <v>0.52</v>
      </c>
      <c r="DK91" s="228">
        <v>0.52</v>
      </c>
      <c r="DL91" s="228">
        <v>27.23</v>
      </c>
      <c r="DM91" s="228">
        <v>26.96</v>
      </c>
      <c r="DN91" s="228">
        <v>0.27</v>
      </c>
      <c r="DO91" s="228">
        <v>0.27</v>
      </c>
      <c r="DP91" s="228">
        <v>0.67</v>
      </c>
      <c r="DQ91" s="228">
        <v>0.61</v>
      </c>
      <c r="DR91" s="228">
        <v>0.06</v>
      </c>
      <c r="DS91" s="229">
        <v>9.8400000000000001E-2</v>
      </c>
      <c r="DT91" s="228">
        <v>680</v>
      </c>
      <c r="DU91" s="228">
        <v>660</v>
      </c>
      <c r="DV91" s="228">
        <v>0.42</v>
      </c>
      <c r="DW91" s="228">
        <v>0.53</v>
      </c>
      <c r="DX91" s="228">
        <v>-0.11</v>
      </c>
      <c r="DY91" s="229">
        <v>-0.20749999999999999</v>
      </c>
      <c r="DZ91" s="229">
        <v>0.51490000000000002</v>
      </c>
      <c r="EA91" s="230">
        <v>6542000</v>
      </c>
      <c r="EB91" s="229">
        <v>5.1999999999999998E-3</v>
      </c>
      <c r="EC91" s="229">
        <v>0.51490000000000002</v>
      </c>
      <c r="ED91" s="228">
        <v>3.26</v>
      </c>
      <c r="EE91" s="229">
        <v>5.0000000000000001E-3</v>
      </c>
      <c r="EF91" s="230">
        <v>3515160</v>
      </c>
      <c r="EG91" s="230">
        <v>3472081</v>
      </c>
      <c r="EH91" s="229">
        <v>1.24E-2</v>
      </c>
      <c r="EI91" s="229">
        <v>0.6</v>
      </c>
      <c r="EJ91" s="231">
        <v>112202.74</v>
      </c>
      <c r="EK91" s="231">
        <v>45618.82</v>
      </c>
      <c r="EL91" s="231">
        <v>154327.51</v>
      </c>
      <c r="EM91" s="231">
        <v>8310</v>
      </c>
      <c r="EN91" s="231">
        <v>312149.07</v>
      </c>
      <c r="EO91" s="231">
        <v>328642.99</v>
      </c>
      <c r="EP91" s="231">
        <v>-16493.919999999998</v>
      </c>
      <c r="EQ91" s="229">
        <v>-5.0200000000000002E-2</v>
      </c>
      <c r="ER91" s="231">
        <v>99280</v>
      </c>
      <c r="ES91" s="231">
        <v>63074</v>
      </c>
      <c r="ET91" s="231">
        <v>188371</v>
      </c>
      <c r="EU91" s="231">
        <v>132129624</v>
      </c>
      <c r="EV91" s="231">
        <v>350725</v>
      </c>
      <c r="EW91" s="231">
        <v>350723</v>
      </c>
      <c r="EX91" s="228">
        <v>2</v>
      </c>
      <c r="EY91" s="229">
        <v>0</v>
      </c>
      <c r="EZ91" s="229">
        <v>0.3906</v>
      </c>
      <c r="FA91" s="227" t="s">
        <v>555</v>
      </c>
      <c r="FB91" s="161">
        <f t="shared" si="1"/>
        <v>14708000</v>
      </c>
    </row>
    <row r="92" spans="1:158" ht="17.25" hidden="1" thickBot="1" x14ac:dyDescent="0.3">
      <c r="A92" s="226">
        <v>46044</v>
      </c>
      <c r="B92" s="227" t="s">
        <v>172</v>
      </c>
      <c r="C92" s="227" t="s">
        <v>578</v>
      </c>
      <c r="D92" s="228">
        <v>1000</v>
      </c>
      <c r="E92" s="228">
        <v>897.1</v>
      </c>
      <c r="F92" s="228">
        <v>850.1</v>
      </c>
      <c r="G92" s="228">
        <v>47</v>
      </c>
      <c r="H92" s="229">
        <v>5.5300000000000002E-2</v>
      </c>
      <c r="I92" s="228">
        <v>896.75</v>
      </c>
      <c r="J92" s="228">
        <v>850.55</v>
      </c>
      <c r="K92" s="228">
        <v>46.2</v>
      </c>
      <c r="L92" s="229">
        <v>5.4300000000000001E-2</v>
      </c>
      <c r="M92" s="228">
        <v>897.1</v>
      </c>
      <c r="N92" s="228">
        <v>850.1</v>
      </c>
      <c r="O92" s="228">
        <v>47</v>
      </c>
      <c r="P92" s="229">
        <v>5.5300000000000002E-2</v>
      </c>
      <c r="Q92" s="228">
        <v>903.35</v>
      </c>
      <c r="R92" s="228">
        <v>854</v>
      </c>
      <c r="S92" s="228">
        <v>49.35</v>
      </c>
      <c r="T92" s="229">
        <v>5.7799999999999997E-2</v>
      </c>
      <c r="U92" s="228">
        <v>908.6</v>
      </c>
      <c r="V92" s="228">
        <v>856.3</v>
      </c>
      <c r="W92" s="228">
        <v>52.3</v>
      </c>
      <c r="X92" s="229">
        <v>6.1100000000000002E-2</v>
      </c>
      <c r="Y92" s="228">
        <v>0.35</v>
      </c>
      <c r="Z92" s="228">
        <v>-0.45</v>
      </c>
      <c r="AA92" s="228">
        <v>0.8</v>
      </c>
      <c r="AB92" s="229">
        <v>4.0000000000000002E-4</v>
      </c>
      <c r="AC92" s="228">
        <v>0.35</v>
      </c>
      <c r="AD92" s="228">
        <v>-0.45</v>
      </c>
      <c r="AE92" s="228">
        <v>0.8</v>
      </c>
      <c r="AF92" s="229">
        <v>4.0000000000000002E-4</v>
      </c>
      <c r="AG92" s="228">
        <v>6.6</v>
      </c>
      <c r="AH92" s="228">
        <v>3.45</v>
      </c>
      <c r="AI92" s="228">
        <v>3.15</v>
      </c>
      <c r="AJ92" s="229">
        <v>7.4000000000000003E-3</v>
      </c>
      <c r="AK92" s="228">
        <v>11.85</v>
      </c>
      <c r="AL92" s="228">
        <v>5.75</v>
      </c>
      <c r="AM92" s="228">
        <v>6.1</v>
      </c>
      <c r="AN92" s="229">
        <v>1.32E-2</v>
      </c>
      <c r="AO92" s="228">
        <v>874.3</v>
      </c>
      <c r="AP92" s="228">
        <v>878.45</v>
      </c>
      <c r="AQ92" s="228">
        <v>0</v>
      </c>
      <c r="AR92" s="230">
        <v>19569000</v>
      </c>
      <c r="AS92" s="230">
        <v>7858000</v>
      </c>
      <c r="AT92" s="230">
        <v>11711000</v>
      </c>
      <c r="AU92" s="229">
        <v>1.4903</v>
      </c>
      <c r="AV92" s="230">
        <v>10340000</v>
      </c>
      <c r="AW92" s="230">
        <v>4957000</v>
      </c>
      <c r="AX92" s="230">
        <v>5383000</v>
      </c>
      <c r="AY92" s="229">
        <v>1.0859000000000001</v>
      </c>
      <c r="AZ92" s="230">
        <v>9111000</v>
      </c>
      <c r="BA92" s="230">
        <v>2885000</v>
      </c>
      <c r="BB92" s="230">
        <v>6226000</v>
      </c>
      <c r="BC92" s="229">
        <v>2.1581000000000001</v>
      </c>
      <c r="BD92" s="230">
        <v>118000</v>
      </c>
      <c r="BE92" s="230">
        <v>16000</v>
      </c>
      <c r="BF92" s="230">
        <v>102000</v>
      </c>
      <c r="BG92" s="229">
        <v>6.375</v>
      </c>
      <c r="BH92" s="230">
        <v>53784000</v>
      </c>
      <c r="BI92" s="230">
        <v>7924000</v>
      </c>
      <c r="BJ92" s="230">
        <v>45860000</v>
      </c>
      <c r="BK92" s="229">
        <v>5.7874999999999996</v>
      </c>
      <c r="BL92" s="230">
        <v>17340000</v>
      </c>
      <c r="BM92" s="230">
        <v>3976000</v>
      </c>
      <c r="BN92" s="230">
        <v>13364000</v>
      </c>
      <c r="BO92" s="229">
        <v>3.3612000000000002</v>
      </c>
      <c r="BP92" s="230">
        <v>90693000</v>
      </c>
      <c r="BQ92" s="230">
        <v>19758000</v>
      </c>
      <c r="BR92" s="230">
        <v>70935000</v>
      </c>
      <c r="BS92" s="229">
        <v>3.5901999999999998</v>
      </c>
      <c r="BT92" s="230">
        <v>5623682</v>
      </c>
      <c r="BU92" s="230">
        <v>1852896</v>
      </c>
      <c r="BV92" s="230">
        <v>3770786</v>
      </c>
      <c r="BW92" s="229">
        <v>2.0350999999999999</v>
      </c>
      <c r="BX92" s="230">
        <v>11129000</v>
      </c>
      <c r="BY92" s="230">
        <v>10913000</v>
      </c>
      <c r="BZ92" s="230">
        <v>216000</v>
      </c>
      <c r="CA92" s="229">
        <v>1.9800000000000002E-2</v>
      </c>
      <c r="CB92" s="230">
        <v>4462000</v>
      </c>
      <c r="CC92" s="230">
        <v>8438000</v>
      </c>
      <c r="CD92" s="230">
        <v>-3976000</v>
      </c>
      <c r="CE92" s="229">
        <v>-0.47120000000000001</v>
      </c>
      <c r="CF92" s="230">
        <v>6562000</v>
      </c>
      <c r="CG92" s="230">
        <v>2396000</v>
      </c>
      <c r="CH92" s="230">
        <v>4166000</v>
      </c>
      <c r="CI92" s="229">
        <v>1.7386999999999999</v>
      </c>
      <c r="CJ92" s="230">
        <v>105000</v>
      </c>
      <c r="CK92" s="230">
        <v>79000</v>
      </c>
      <c r="CL92" s="230">
        <v>26000</v>
      </c>
      <c r="CM92" s="229">
        <v>0.3291</v>
      </c>
      <c r="CN92" s="230">
        <v>8284000</v>
      </c>
      <c r="CO92" s="230">
        <v>6484000</v>
      </c>
      <c r="CP92" s="230">
        <v>1800000</v>
      </c>
      <c r="CQ92" s="229">
        <v>0.27760000000000001</v>
      </c>
      <c r="CR92" s="230">
        <v>6424000</v>
      </c>
      <c r="CS92" s="230">
        <v>5361000</v>
      </c>
      <c r="CT92" s="230">
        <v>1063000</v>
      </c>
      <c r="CU92" s="229">
        <v>0.1983</v>
      </c>
      <c r="CV92" s="230">
        <v>25837000</v>
      </c>
      <c r="CW92" s="230">
        <v>22758000</v>
      </c>
      <c r="CX92" s="230">
        <v>3079000</v>
      </c>
      <c r="CY92" s="229">
        <v>0.1353</v>
      </c>
      <c r="CZ92" s="228">
        <v>33.22</v>
      </c>
      <c r="DA92" s="228">
        <v>40.380000000000003</v>
      </c>
      <c r="DB92" s="228">
        <v>-7.16</v>
      </c>
      <c r="DC92" s="228">
        <v>-7.16</v>
      </c>
      <c r="DD92" s="228">
        <v>37.909999999999997</v>
      </c>
      <c r="DE92" s="228">
        <v>37.32</v>
      </c>
      <c r="DF92" s="228">
        <v>-4.6900000000000004</v>
      </c>
      <c r="DG92" s="228">
        <v>0.59</v>
      </c>
      <c r="DH92" s="228">
        <v>32.74</v>
      </c>
      <c r="DI92" s="228">
        <v>39.799999999999997</v>
      </c>
      <c r="DJ92" s="228">
        <v>-7.06</v>
      </c>
      <c r="DK92" s="228">
        <v>-7.06</v>
      </c>
      <c r="DL92" s="228">
        <v>34.75</v>
      </c>
      <c r="DM92" s="228">
        <v>41.54</v>
      </c>
      <c r="DN92" s="228">
        <v>-6.79</v>
      </c>
      <c r="DO92" s="228">
        <v>-6.79</v>
      </c>
      <c r="DP92" s="228">
        <v>0.78</v>
      </c>
      <c r="DQ92" s="228">
        <v>0.83</v>
      </c>
      <c r="DR92" s="228">
        <v>-0.05</v>
      </c>
      <c r="DS92" s="229">
        <v>-6.0199999999999997E-2</v>
      </c>
      <c r="DT92" s="228">
        <v>900</v>
      </c>
      <c r="DU92" s="228">
        <v>850</v>
      </c>
      <c r="DV92" s="228">
        <v>0.32</v>
      </c>
      <c r="DW92" s="228">
        <v>0.5</v>
      </c>
      <c r="DX92" s="228">
        <v>-0.18</v>
      </c>
      <c r="DY92" s="229">
        <v>-0.36</v>
      </c>
      <c r="DZ92" s="229">
        <v>0.59909999999999997</v>
      </c>
      <c r="EA92" s="230">
        <v>2475000</v>
      </c>
      <c r="EB92" s="229">
        <v>7.0000000000000001E-3</v>
      </c>
      <c r="EC92" s="229">
        <v>0.59909999999999997</v>
      </c>
      <c r="ED92" s="228">
        <v>4.1500000000000004</v>
      </c>
      <c r="EE92" s="229">
        <v>4.7000000000000002E-3</v>
      </c>
      <c r="EF92" s="230">
        <v>2621477</v>
      </c>
      <c r="EG92" s="230">
        <v>809613</v>
      </c>
      <c r="EH92" s="229">
        <v>2.2378999999999998</v>
      </c>
      <c r="EI92" s="229">
        <v>0.46610000000000001</v>
      </c>
      <c r="EJ92" s="231">
        <v>489012.4</v>
      </c>
      <c r="EK92" s="231">
        <v>148142.14000000001</v>
      </c>
      <c r="EL92" s="231">
        <v>171478.48</v>
      </c>
      <c r="EM92" s="231">
        <v>4645</v>
      </c>
      <c r="EN92" s="231">
        <v>808633.02</v>
      </c>
      <c r="EO92" s="231">
        <v>169665.52</v>
      </c>
      <c r="EP92" s="231">
        <v>638967.5</v>
      </c>
      <c r="EQ92" s="229">
        <v>3.766</v>
      </c>
      <c r="ER92" s="231">
        <v>74778</v>
      </c>
      <c r="ES92" s="231">
        <v>52971</v>
      </c>
      <c r="ET92" s="231">
        <v>100260</v>
      </c>
      <c r="EU92" s="231">
        <v>52862157</v>
      </c>
      <c r="EV92" s="231">
        <v>228009</v>
      </c>
      <c r="EW92" s="231">
        <v>193543</v>
      </c>
      <c r="EX92" s="231">
        <v>34466</v>
      </c>
      <c r="EY92" s="229">
        <v>0.17810000000000001</v>
      </c>
      <c r="EZ92" s="229">
        <v>0.48880000000000001</v>
      </c>
      <c r="FA92" s="227" t="s">
        <v>555</v>
      </c>
      <c r="FB92" s="161">
        <f t="shared" si="1"/>
        <v>6667000</v>
      </c>
    </row>
    <row r="93" spans="1:158" ht="17.25" hidden="1" thickBot="1" x14ac:dyDescent="0.3">
      <c r="A93" s="226">
        <v>46044</v>
      </c>
      <c r="B93" s="227" t="s">
        <v>181</v>
      </c>
      <c r="C93" s="227" t="s">
        <v>688</v>
      </c>
      <c r="D93" s="228">
        <v>1</v>
      </c>
      <c r="E93" s="228">
        <v>13.35</v>
      </c>
      <c r="F93" s="228">
        <v>13.78</v>
      </c>
      <c r="G93" s="228">
        <v>-0.43</v>
      </c>
      <c r="H93" s="229">
        <v>-3.1199999999999999E-2</v>
      </c>
      <c r="I93" s="228">
        <v>13.35</v>
      </c>
      <c r="J93" s="228">
        <v>13.78</v>
      </c>
      <c r="K93" s="228">
        <v>-0.43</v>
      </c>
      <c r="L93" s="229">
        <v>-3.1199999999999999E-2</v>
      </c>
      <c r="M93" s="228">
        <v>0</v>
      </c>
      <c r="N93" s="228">
        <v>0</v>
      </c>
      <c r="O93" s="228">
        <v>0</v>
      </c>
      <c r="P93" s="229">
        <v>0</v>
      </c>
      <c r="Q93" s="228">
        <v>0</v>
      </c>
      <c r="R93" s="228">
        <v>0</v>
      </c>
      <c r="S93" s="228">
        <v>0</v>
      </c>
      <c r="T93" s="229">
        <v>0</v>
      </c>
      <c r="U93" s="228">
        <v>0</v>
      </c>
      <c r="V93" s="228">
        <v>0</v>
      </c>
      <c r="W93" s="228">
        <v>0</v>
      </c>
      <c r="X93" s="229">
        <v>0</v>
      </c>
      <c r="Y93" s="228">
        <v>0</v>
      </c>
      <c r="Z93" s="228">
        <v>0</v>
      </c>
      <c r="AA93" s="228">
        <v>0</v>
      </c>
      <c r="AB93" s="229">
        <v>0</v>
      </c>
      <c r="AC93" s="228">
        <v>0</v>
      </c>
      <c r="AD93" s="228">
        <v>0</v>
      </c>
      <c r="AE93" s="228">
        <v>0</v>
      </c>
      <c r="AF93" s="229">
        <v>0</v>
      </c>
      <c r="AG93" s="228">
        <v>0</v>
      </c>
      <c r="AH93" s="228">
        <v>0</v>
      </c>
      <c r="AI93" s="228">
        <v>0</v>
      </c>
      <c r="AJ93" s="229">
        <v>0</v>
      </c>
      <c r="AK93" s="228">
        <v>0</v>
      </c>
      <c r="AL93" s="228">
        <v>0</v>
      </c>
      <c r="AM93" s="228">
        <v>0</v>
      </c>
      <c r="AN93" s="229">
        <v>0</v>
      </c>
      <c r="AO93" s="228">
        <v>0</v>
      </c>
      <c r="AP93" s="228">
        <v>0</v>
      </c>
      <c r="AQ93" s="228">
        <v>0</v>
      </c>
      <c r="AR93" s="228">
        <v>0</v>
      </c>
      <c r="AS93" s="228">
        <v>0</v>
      </c>
      <c r="AT93" s="228">
        <v>0</v>
      </c>
      <c r="AU93" s="229">
        <v>0</v>
      </c>
      <c r="AV93" s="228">
        <v>0</v>
      </c>
      <c r="AW93" s="228">
        <v>0</v>
      </c>
      <c r="AX93" s="228">
        <v>0</v>
      </c>
      <c r="AY93" s="229">
        <v>0</v>
      </c>
      <c r="AZ93" s="228">
        <v>0</v>
      </c>
      <c r="BA93" s="228">
        <v>0</v>
      </c>
      <c r="BB93" s="228">
        <v>0</v>
      </c>
      <c r="BC93" s="229">
        <v>0</v>
      </c>
      <c r="BD93" s="228">
        <v>0</v>
      </c>
      <c r="BE93" s="228">
        <v>0</v>
      </c>
      <c r="BF93" s="228">
        <v>0</v>
      </c>
      <c r="BG93" s="229">
        <v>0</v>
      </c>
      <c r="BH93" s="228">
        <v>0</v>
      </c>
      <c r="BI93" s="228">
        <v>0</v>
      </c>
      <c r="BJ93" s="228">
        <v>0</v>
      </c>
      <c r="BK93" s="229">
        <v>0</v>
      </c>
      <c r="BL93" s="228">
        <v>0</v>
      </c>
      <c r="BM93" s="228">
        <v>0</v>
      </c>
      <c r="BN93" s="228">
        <v>0</v>
      </c>
      <c r="BO93" s="229">
        <v>0</v>
      </c>
      <c r="BP93" s="228">
        <v>0</v>
      </c>
      <c r="BQ93" s="228">
        <v>0</v>
      </c>
      <c r="BR93" s="228">
        <v>0</v>
      </c>
      <c r="BS93" s="229">
        <v>0</v>
      </c>
      <c r="BT93" s="228">
        <v>0</v>
      </c>
      <c r="BU93" s="228">
        <v>0</v>
      </c>
      <c r="BV93" s="228">
        <v>0</v>
      </c>
      <c r="BW93" s="229">
        <v>0</v>
      </c>
      <c r="BX93" s="228">
        <v>0</v>
      </c>
      <c r="BY93" s="228">
        <v>0</v>
      </c>
      <c r="BZ93" s="228">
        <v>0</v>
      </c>
      <c r="CA93" s="229">
        <v>0</v>
      </c>
      <c r="CB93" s="228">
        <v>0</v>
      </c>
      <c r="CC93" s="228">
        <v>0</v>
      </c>
      <c r="CD93" s="228">
        <v>0</v>
      </c>
      <c r="CE93" s="229">
        <v>0</v>
      </c>
      <c r="CF93" s="228">
        <v>0</v>
      </c>
      <c r="CG93" s="228">
        <v>0</v>
      </c>
      <c r="CH93" s="228">
        <v>0</v>
      </c>
      <c r="CI93" s="229">
        <v>0</v>
      </c>
      <c r="CJ93" s="228">
        <v>0</v>
      </c>
      <c r="CK93" s="228">
        <v>0</v>
      </c>
      <c r="CL93" s="228">
        <v>0</v>
      </c>
      <c r="CM93" s="229">
        <v>0</v>
      </c>
      <c r="CN93" s="228">
        <v>0</v>
      </c>
      <c r="CO93" s="228">
        <v>0</v>
      </c>
      <c r="CP93" s="228">
        <v>0</v>
      </c>
      <c r="CQ93" s="229">
        <v>0</v>
      </c>
      <c r="CR93" s="228">
        <v>0</v>
      </c>
      <c r="CS93" s="228">
        <v>0</v>
      </c>
      <c r="CT93" s="228">
        <v>0</v>
      </c>
      <c r="CU93" s="229">
        <v>0</v>
      </c>
      <c r="CV93" s="228">
        <v>0</v>
      </c>
      <c r="CW93" s="228">
        <v>0</v>
      </c>
      <c r="CX93" s="228">
        <v>0</v>
      </c>
      <c r="CY93" s="229">
        <v>0</v>
      </c>
      <c r="CZ93" s="228">
        <v>0</v>
      </c>
      <c r="DA93" s="228">
        <v>0</v>
      </c>
      <c r="DB93" s="228">
        <v>0</v>
      </c>
      <c r="DC93" s="228">
        <v>0</v>
      </c>
      <c r="DD93" s="228">
        <v>0</v>
      </c>
      <c r="DE93" s="228">
        <v>0</v>
      </c>
      <c r="DF93" s="228">
        <v>0</v>
      </c>
      <c r="DG93" s="228">
        <v>0</v>
      </c>
      <c r="DH93" s="228">
        <v>0</v>
      </c>
      <c r="DI93" s="228">
        <v>0</v>
      </c>
      <c r="DJ93" s="228">
        <v>0</v>
      </c>
      <c r="DK93" s="228">
        <v>0</v>
      </c>
      <c r="DL93" s="228">
        <v>0</v>
      </c>
      <c r="DM93" s="228">
        <v>0</v>
      </c>
      <c r="DN93" s="228">
        <v>0</v>
      </c>
      <c r="DO93" s="228">
        <v>0</v>
      </c>
      <c r="DP93" s="228">
        <v>0</v>
      </c>
      <c r="DQ93" s="228">
        <v>0</v>
      </c>
      <c r="DR93" s="228">
        <v>0</v>
      </c>
      <c r="DS93" s="229">
        <v>0</v>
      </c>
      <c r="DT93" s="228">
        <v>0</v>
      </c>
      <c r="DU93" s="228">
        <v>0</v>
      </c>
      <c r="DV93" s="228">
        <v>0</v>
      </c>
      <c r="DW93" s="228">
        <v>0</v>
      </c>
      <c r="DX93" s="228">
        <v>0</v>
      </c>
      <c r="DY93" s="229">
        <v>0</v>
      </c>
      <c r="DZ93" s="229">
        <v>0</v>
      </c>
      <c r="EA93" s="228">
        <v>0</v>
      </c>
      <c r="EB93" s="229">
        <v>0</v>
      </c>
      <c r="EC93" s="229">
        <v>0</v>
      </c>
      <c r="ED93" s="228">
        <v>0</v>
      </c>
      <c r="EE93" s="229">
        <v>0</v>
      </c>
      <c r="EF93" s="228">
        <v>0</v>
      </c>
      <c r="EG93" s="228">
        <v>0</v>
      </c>
      <c r="EH93" s="229">
        <v>0</v>
      </c>
      <c r="EI93" s="229">
        <v>0</v>
      </c>
      <c r="EJ93" s="228">
        <v>0</v>
      </c>
      <c r="EK93" s="228">
        <v>0</v>
      </c>
      <c r="EL93" s="228">
        <v>0</v>
      </c>
      <c r="EM93" s="228">
        <v>0</v>
      </c>
      <c r="EN93" s="228">
        <v>0</v>
      </c>
      <c r="EO93" s="228">
        <v>0</v>
      </c>
      <c r="EP93" s="228">
        <v>0</v>
      </c>
      <c r="EQ93" s="229">
        <v>0</v>
      </c>
      <c r="ER93" s="228">
        <v>0</v>
      </c>
      <c r="ES93" s="228">
        <v>0</v>
      </c>
      <c r="ET93" s="228">
        <v>0</v>
      </c>
      <c r="EU93" s="228">
        <v>0</v>
      </c>
      <c r="EV93" s="228">
        <v>0</v>
      </c>
      <c r="EW93" s="228">
        <v>0</v>
      </c>
      <c r="EX93" s="228">
        <v>0</v>
      </c>
      <c r="EY93" s="229">
        <v>0</v>
      </c>
      <c r="EZ93" s="229">
        <v>0</v>
      </c>
      <c r="FA93" s="227" t="s">
        <v>237</v>
      </c>
      <c r="FB93" s="161">
        <f t="shared" si="1"/>
        <v>0</v>
      </c>
    </row>
    <row r="94" spans="1:158" ht="17.25" hidden="1" thickBot="1" x14ac:dyDescent="0.3">
      <c r="A94" s="226">
        <v>46044</v>
      </c>
      <c r="B94" s="227" t="s">
        <v>215</v>
      </c>
      <c r="C94" s="227" t="s">
        <v>238</v>
      </c>
      <c r="D94" s="228">
        <v>150</v>
      </c>
      <c r="E94" s="231">
        <v>4916.5</v>
      </c>
      <c r="F94" s="231">
        <v>4873.5</v>
      </c>
      <c r="G94" s="228">
        <v>43</v>
      </c>
      <c r="H94" s="229">
        <v>8.8000000000000005E-3</v>
      </c>
      <c r="I94" s="231">
        <v>4909</v>
      </c>
      <c r="J94" s="231">
        <v>4857.5</v>
      </c>
      <c r="K94" s="228">
        <v>51.5</v>
      </c>
      <c r="L94" s="229">
        <v>1.06E-2</v>
      </c>
      <c r="M94" s="231">
        <v>4916.5</v>
      </c>
      <c r="N94" s="231">
        <v>4873.5</v>
      </c>
      <c r="O94" s="228">
        <v>43</v>
      </c>
      <c r="P94" s="229">
        <v>8.8000000000000005E-3</v>
      </c>
      <c r="Q94" s="231">
        <v>4938.5</v>
      </c>
      <c r="R94" s="231">
        <v>4894.5</v>
      </c>
      <c r="S94" s="228">
        <v>44</v>
      </c>
      <c r="T94" s="229">
        <v>8.9999999999999993E-3</v>
      </c>
      <c r="U94" s="231">
        <v>4966.5</v>
      </c>
      <c r="V94" s="231">
        <v>4918.5</v>
      </c>
      <c r="W94" s="228">
        <v>48</v>
      </c>
      <c r="X94" s="229">
        <v>9.7999999999999997E-3</v>
      </c>
      <c r="Y94" s="228">
        <v>7.5</v>
      </c>
      <c r="Z94" s="228">
        <v>16</v>
      </c>
      <c r="AA94" s="228">
        <v>-8.5</v>
      </c>
      <c r="AB94" s="229">
        <v>1.5E-3</v>
      </c>
      <c r="AC94" s="228">
        <v>7.5</v>
      </c>
      <c r="AD94" s="228">
        <v>16</v>
      </c>
      <c r="AE94" s="228">
        <v>-8.5</v>
      </c>
      <c r="AF94" s="229">
        <v>1.5E-3</v>
      </c>
      <c r="AG94" s="228">
        <v>29.5</v>
      </c>
      <c r="AH94" s="228">
        <v>37</v>
      </c>
      <c r="AI94" s="228">
        <v>-7.5</v>
      </c>
      <c r="AJ94" s="229">
        <v>6.0000000000000001E-3</v>
      </c>
      <c r="AK94" s="228">
        <v>57.5</v>
      </c>
      <c r="AL94" s="228">
        <v>61</v>
      </c>
      <c r="AM94" s="228">
        <v>-3.5</v>
      </c>
      <c r="AN94" s="229">
        <v>1.17E-2</v>
      </c>
      <c r="AO94" s="231">
        <v>4910.3599999999997</v>
      </c>
      <c r="AP94" s="231">
        <v>4934.1499999999996</v>
      </c>
      <c r="AQ94" s="228">
        <v>0</v>
      </c>
      <c r="AR94" s="230">
        <v>5624250</v>
      </c>
      <c r="AS94" s="230">
        <v>6153750</v>
      </c>
      <c r="AT94" s="230">
        <v>-529500</v>
      </c>
      <c r="AU94" s="229">
        <v>-8.5999999999999993E-2</v>
      </c>
      <c r="AV94" s="230">
        <v>2907600</v>
      </c>
      <c r="AW94" s="230">
        <v>3474000</v>
      </c>
      <c r="AX94" s="230">
        <v>-566400</v>
      </c>
      <c r="AY94" s="229">
        <v>-0.16300000000000001</v>
      </c>
      <c r="AZ94" s="230">
        <v>2699550</v>
      </c>
      <c r="BA94" s="230">
        <v>2649300</v>
      </c>
      <c r="BB94" s="230">
        <v>50250</v>
      </c>
      <c r="BC94" s="229">
        <v>1.9E-2</v>
      </c>
      <c r="BD94" s="230">
        <v>17100</v>
      </c>
      <c r="BE94" s="230">
        <v>30450</v>
      </c>
      <c r="BF94" s="230">
        <v>-13350</v>
      </c>
      <c r="BG94" s="229">
        <v>-0.43840000000000001</v>
      </c>
      <c r="BH94" s="230">
        <v>8636550</v>
      </c>
      <c r="BI94" s="230">
        <v>13977150</v>
      </c>
      <c r="BJ94" s="230">
        <v>-5340600</v>
      </c>
      <c r="BK94" s="229">
        <v>-0.3821</v>
      </c>
      <c r="BL94" s="230">
        <v>7633500</v>
      </c>
      <c r="BM94" s="230">
        <v>9259500</v>
      </c>
      <c r="BN94" s="230">
        <v>-1626000</v>
      </c>
      <c r="BO94" s="229">
        <v>-0.17560000000000001</v>
      </c>
      <c r="BP94" s="230">
        <v>21894300</v>
      </c>
      <c r="BQ94" s="230">
        <v>29390400</v>
      </c>
      <c r="BR94" s="230">
        <v>-7496100</v>
      </c>
      <c r="BS94" s="229">
        <v>-0.25509999999999999</v>
      </c>
      <c r="BT94" s="230">
        <v>1316949</v>
      </c>
      <c r="BU94" s="230">
        <v>1836401</v>
      </c>
      <c r="BV94" s="230">
        <v>-519452</v>
      </c>
      <c r="BW94" s="229">
        <v>-0.28289999999999998</v>
      </c>
      <c r="BX94" s="230">
        <v>8992200</v>
      </c>
      <c r="BY94" s="230">
        <v>8802900</v>
      </c>
      <c r="BZ94" s="230">
        <v>189300</v>
      </c>
      <c r="CA94" s="229">
        <v>2.1499999999999998E-2</v>
      </c>
      <c r="CB94" s="230">
        <v>4376100</v>
      </c>
      <c r="CC94" s="230">
        <v>6156300</v>
      </c>
      <c r="CD94" s="230">
        <v>-1780200</v>
      </c>
      <c r="CE94" s="229">
        <v>-0.28920000000000001</v>
      </c>
      <c r="CF94" s="230">
        <v>4542600</v>
      </c>
      <c r="CG94" s="230">
        <v>2577300</v>
      </c>
      <c r="CH94" s="230">
        <v>1965300</v>
      </c>
      <c r="CI94" s="229">
        <v>0.76249999999999996</v>
      </c>
      <c r="CJ94" s="230">
        <v>73500</v>
      </c>
      <c r="CK94" s="230">
        <v>69300</v>
      </c>
      <c r="CL94" s="230">
        <v>4200</v>
      </c>
      <c r="CM94" s="229">
        <v>6.0600000000000001E-2</v>
      </c>
      <c r="CN94" s="230">
        <v>5932650</v>
      </c>
      <c r="CO94" s="230">
        <v>5756550</v>
      </c>
      <c r="CP94" s="230">
        <v>176100</v>
      </c>
      <c r="CQ94" s="229">
        <v>3.0599999999999999E-2</v>
      </c>
      <c r="CR94" s="230">
        <v>4072650</v>
      </c>
      <c r="CS94" s="230">
        <v>3919800</v>
      </c>
      <c r="CT94" s="230">
        <v>152850</v>
      </c>
      <c r="CU94" s="229">
        <v>3.9E-2</v>
      </c>
      <c r="CV94" s="230">
        <v>18997500</v>
      </c>
      <c r="CW94" s="230">
        <v>18479250</v>
      </c>
      <c r="CX94" s="230">
        <v>518250</v>
      </c>
      <c r="CY94" s="229">
        <v>2.8000000000000001E-2</v>
      </c>
      <c r="CZ94" s="228">
        <v>29.92</v>
      </c>
      <c r="DA94" s="228">
        <v>35.07</v>
      </c>
      <c r="DB94" s="228">
        <v>-5.15</v>
      </c>
      <c r="DC94" s="228">
        <v>-5.15</v>
      </c>
      <c r="DD94" s="228">
        <v>33.31</v>
      </c>
      <c r="DE94" s="228">
        <v>33.36</v>
      </c>
      <c r="DF94" s="228">
        <v>-3.39</v>
      </c>
      <c r="DG94" s="228">
        <v>-0.05</v>
      </c>
      <c r="DH94" s="228">
        <v>29.07</v>
      </c>
      <c r="DI94" s="228">
        <v>33.630000000000003</v>
      </c>
      <c r="DJ94" s="228">
        <v>-4.5599999999999996</v>
      </c>
      <c r="DK94" s="228">
        <v>-4.5599999999999996</v>
      </c>
      <c r="DL94" s="228">
        <v>30.96</v>
      </c>
      <c r="DM94" s="228">
        <v>37.24</v>
      </c>
      <c r="DN94" s="228">
        <v>-6.28</v>
      </c>
      <c r="DO94" s="228">
        <v>-6.28</v>
      </c>
      <c r="DP94" s="228">
        <v>0.69</v>
      </c>
      <c r="DQ94" s="228">
        <v>0.68</v>
      </c>
      <c r="DR94" s="228">
        <v>0.01</v>
      </c>
      <c r="DS94" s="229">
        <v>1.47E-2</v>
      </c>
      <c r="DT94" s="231">
        <v>5100</v>
      </c>
      <c r="DU94" s="231">
        <v>4700</v>
      </c>
      <c r="DV94" s="228">
        <v>0.88</v>
      </c>
      <c r="DW94" s="228">
        <v>0.66</v>
      </c>
      <c r="DX94" s="228">
        <v>0.22</v>
      </c>
      <c r="DY94" s="229">
        <v>0.33329999999999999</v>
      </c>
      <c r="DZ94" s="229">
        <v>0.51329999999999998</v>
      </c>
      <c r="EA94" s="230">
        <v>2646600</v>
      </c>
      <c r="EB94" s="229">
        <v>4.4999999999999997E-3</v>
      </c>
      <c r="EC94" s="229">
        <v>0.51329999999999998</v>
      </c>
      <c r="ED94" s="228">
        <v>23.79</v>
      </c>
      <c r="EE94" s="229">
        <v>4.7999999999999996E-3</v>
      </c>
      <c r="EF94" s="230">
        <v>834832</v>
      </c>
      <c r="EG94" s="230">
        <v>800156</v>
      </c>
      <c r="EH94" s="229">
        <v>4.3299999999999998E-2</v>
      </c>
      <c r="EI94" s="229">
        <v>0.63390000000000002</v>
      </c>
      <c r="EJ94" s="231">
        <v>443792.38</v>
      </c>
      <c r="EK94" s="231">
        <v>367607.61</v>
      </c>
      <c r="EL94" s="231">
        <v>276822.33</v>
      </c>
      <c r="EM94" s="231">
        <v>20707</v>
      </c>
      <c r="EN94" s="231">
        <v>1088222.32</v>
      </c>
      <c r="EO94" s="231">
        <v>1450308.79</v>
      </c>
      <c r="EP94" s="231">
        <v>-362086.47</v>
      </c>
      <c r="EQ94" s="229">
        <v>-0.24970000000000001</v>
      </c>
      <c r="ER94" s="231">
        <v>308766</v>
      </c>
      <c r="ES94" s="231">
        <v>196049</v>
      </c>
      <c r="ET94" s="231">
        <v>443138</v>
      </c>
      <c r="EU94" s="231">
        <v>33874835</v>
      </c>
      <c r="EV94" s="231">
        <v>947953</v>
      </c>
      <c r="EW94" s="231">
        <v>916477</v>
      </c>
      <c r="EX94" s="231">
        <v>31476</v>
      </c>
      <c r="EY94" s="229">
        <v>3.4299999999999997E-2</v>
      </c>
      <c r="EZ94" s="229">
        <v>0.56079999999999997</v>
      </c>
      <c r="FA94" s="227" t="s">
        <v>555</v>
      </c>
      <c r="FB94" s="161">
        <f t="shared" si="1"/>
        <v>4616100</v>
      </c>
    </row>
    <row r="95" spans="1:158" ht="17.25" hidden="1" thickBot="1" x14ac:dyDescent="0.3">
      <c r="A95" s="226">
        <v>46044</v>
      </c>
      <c r="B95" s="227" t="s">
        <v>172</v>
      </c>
      <c r="C95" s="227" t="s">
        <v>239</v>
      </c>
      <c r="D95" s="228">
        <v>700</v>
      </c>
      <c r="E95" s="228">
        <v>903.95</v>
      </c>
      <c r="F95" s="228">
        <v>906.7</v>
      </c>
      <c r="G95" s="228">
        <v>-2.75</v>
      </c>
      <c r="H95" s="229">
        <v>-3.0000000000000001E-3</v>
      </c>
      <c r="I95" s="228">
        <v>902.45</v>
      </c>
      <c r="J95" s="228">
        <v>907.15</v>
      </c>
      <c r="K95" s="228">
        <v>-4.7</v>
      </c>
      <c r="L95" s="229">
        <v>-5.1999999999999998E-3</v>
      </c>
      <c r="M95" s="228">
        <v>903.95</v>
      </c>
      <c r="N95" s="228">
        <v>906.7</v>
      </c>
      <c r="O95" s="228">
        <v>-2.75</v>
      </c>
      <c r="P95" s="229">
        <v>-3.0000000000000001E-3</v>
      </c>
      <c r="Q95" s="228">
        <v>908.5</v>
      </c>
      <c r="R95" s="228">
        <v>911.6</v>
      </c>
      <c r="S95" s="228">
        <v>-3.1</v>
      </c>
      <c r="T95" s="229">
        <v>-3.3999999999999998E-3</v>
      </c>
      <c r="U95" s="228">
        <v>914.3</v>
      </c>
      <c r="V95" s="228">
        <v>917.05</v>
      </c>
      <c r="W95" s="228">
        <v>-2.75</v>
      </c>
      <c r="X95" s="229">
        <v>-3.0000000000000001E-3</v>
      </c>
      <c r="Y95" s="228">
        <v>1.5</v>
      </c>
      <c r="Z95" s="228">
        <v>-0.45</v>
      </c>
      <c r="AA95" s="228">
        <v>1.95</v>
      </c>
      <c r="AB95" s="229">
        <v>1.6999999999999999E-3</v>
      </c>
      <c r="AC95" s="228">
        <v>1.5</v>
      </c>
      <c r="AD95" s="228">
        <v>-0.45</v>
      </c>
      <c r="AE95" s="228">
        <v>1.95</v>
      </c>
      <c r="AF95" s="229">
        <v>1.6999999999999999E-3</v>
      </c>
      <c r="AG95" s="228">
        <v>6.05</v>
      </c>
      <c r="AH95" s="228">
        <v>4.45</v>
      </c>
      <c r="AI95" s="228">
        <v>1.6</v>
      </c>
      <c r="AJ95" s="229">
        <v>6.7000000000000002E-3</v>
      </c>
      <c r="AK95" s="228">
        <v>11.85</v>
      </c>
      <c r="AL95" s="228">
        <v>9.9</v>
      </c>
      <c r="AM95" s="228">
        <v>1.95</v>
      </c>
      <c r="AN95" s="229">
        <v>1.3100000000000001E-2</v>
      </c>
      <c r="AO95" s="228">
        <v>901.57</v>
      </c>
      <c r="AP95" s="228">
        <v>906.14</v>
      </c>
      <c r="AQ95" s="228">
        <v>0</v>
      </c>
      <c r="AR95" s="230">
        <v>21809200</v>
      </c>
      <c r="AS95" s="230">
        <v>21856100</v>
      </c>
      <c r="AT95" s="230">
        <v>-46900</v>
      </c>
      <c r="AU95" s="229">
        <v>-2.0999999999999999E-3</v>
      </c>
      <c r="AV95" s="230">
        <v>10927700</v>
      </c>
      <c r="AW95" s="230">
        <v>12660200</v>
      </c>
      <c r="AX95" s="230">
        <v>-1732500</v>
      </c>
      <c r="AY95" s="229">
        <v>-0.1368</v>
      </c>
      <c r="AZ95" s="230">
        <v>10840200</v>
      </c>
      <c r="BA95" s="230">
        <v>9112600</v>
      </c>
      <c r="BB95" s="230">
        <v>1727600</v>
      </c>
      <c r="BC95" s="229">
        <v>0.18959999999999999</v>
      </c>
      <c r="BD95" s="230">
        <v>41300</v>
      </c>
      <c r="BE95" s="230">
        <v>83300</v>
      </c>
      <c r="BF95" s="230">
        <v>-42000</v>
      </c>
      <c r="BG95" s="229">
        <v>-0.50419999999999998</v>
      </c>
      <c r="BH95" s="230">
        <v>16871400</v>
      </c>
      <c r="BI95" s="230">
        <v>16709700</v>
      </c>
      <c r="BJ95" s="230">
        <v>161700</v>
      </c>
      <c r="BK95" s="229">
        <v>9.7000000000000003E-3</v>
      </c>
      <c r="BL95" s="230">
        <v>11729200</v>
      </c>
      <c r="BM95" s="230">
        <v>12304600</v>
      </c>
      <c r="BN95" s="230">
        <v>-575400</v>
      </c>
      <c r="BO95" s="229">
        <v>-4.6800000000000001E-2</v>
      </c>
      <c r="BP95" s="230">
        <v>50409800</v>
      </c>
      <c r="BQ95" s="230">
        <v>50870400</v>
      </c>
      <c r="BR95" s="230">
        <v>-460600</v>
      </c>
      <c r="BS95" s="229">
        <v>-9.1000000000000004E-3</v>
      </c>
      <c r="BT95" s="230">
        <v>2423034</v>
      </c>
      <c r="BU95" s="230">
        <v>3658431</v>
      </c>
      <c r="BV95" s="230">
        <v>-1235397</v>
      </c>
      <c r="BW95" s="229">
        <v>-0.3377</v>
      </c>
      <c r="BX95" s="230">
        <v>39314800</v>
      </c>
      <c r="BY95" s="230">
        <v>39085200</v>
      </c>
      <c r="BZ95" s="230">
        <v>229600</v>
      </c>
      <c r="CA95" s="229">
        <v>5.8999999999999999E-3</v>
      </c>
      <c r="CB95" s="230">
        <v>19822600</v>
      </c>
      <c r="CC95" s="230">
        <v>26550300</v>
      </c>
      <c r="CD95" s="230">
        <v>-6727700</v>
      </c>
      <c r="CE95" s="229">
        <v>-0.25340000000000001</v>
      </c>
      <c r="CF95" s="230">
        <v>19224800</v>
      </c>
      <c r="CG95" s="230">
        <v>12290600</v>
      </c>
      <c r="CH95" s="230">
        <v>6934200</v>
      </c>
      <c r="CI95" s="229">
        <v>0.56420000000000003</v>
      </c>
      <c r="CJ95" s="230">
        <v>267400</v>
      </c>
      <c r="CK95" s="230">
        <v>244300</v>
      </c>
      <c r="CL95" s="230">
        <v>23100</v>
      </c>
      <c r="CM95" s="229">
        <v>9.4600000000000004E-2</v>
      </c>
      <c r="CN95" s="230">
        <v>11303600</v>
      </c>
      <c r="CO95" s="230">
        <v>10948700</v>
      </c>
      <c r="CP95" s="230">
        <v>354900</v>
      </c>
      <c r="CQ95" s="229">
        <v>3.2399999999999998E-2</v>
      </c>
      <c r="CR95" s="230">
        <v>10787700</v>
      </c>
      <c r="CS95" s="230">
        <v>10684100</v>
      </c>
      <c r="CT95" s="230">
        <v>103600</v>
      </c>
      <c r="CU95" s="229">
        <v>9.7000000000000003E-3</v>
      </c>
      <c r="CV95" s="230">
        <v>61406100</v>
      </c>
      <c r="CW95" s="230">
        <v>60718000</v>
      </c>
      <c r="CX95" s="230">
        <v>688100</v>
      </c>
      <c r="CY95" s="229">
        <v>1.1299999999999999E-2</v>
      </c>
      <c r="CZ95" s="228">
        <v>33.51</v>
      </c>
      <c r="DA95" s="228">
        <v>38.08</v>
      </c>
      <c r="DB95" s="228">
        <v>-4.57</v>
      </c>
      <c r="DC95" s="228">
        <v>-4.57</v>
      </c>
      <c r="DD95" s="228">
        <v>43.31</v>
      </c>
      <c r="DE95" s="228">
        <v>43.41</v>
      </c>
      <c r="DF95" s="228">
        <v>-9.8000000000000007</v>
      </c>
      <c r="DG95" s="228">
        <v>-0.1</v>
      </c>
      <c r="DH95" s="228">
        <v>33.53</v>
      </c>
      <c r="DI95" s="228">
        <v>37.869999999999997</v>
      </c>
      <c r="DJ95" s="228">
        <v>-4.34</v>
      </c>
      <c r="DK95" s="228">
        <v>-4.34</v>
      </c>
      <c r="DL95" s="228">
        <v>33.47</v>
      </c>
      <c r="DM95" s="228">
        <v>38.36</v>
      </c>
      <c r="DN95" s="228">
        <v>-4.8899999999999997</v>
      </c>
      <c r="DO95" s="228">
        <v>-4.8899999999999997</v>
      </c>
      <c r="DP95" s="228">
        <v>0.95</v>
      </c>
      <c r="DQ95" s="228">
        <v>0.98</v>
      </c>
      <c r="DR95" s="228">
        <v>-0.03</v>
      </c>
      <c r="DS95" s="229">
        <v>-3.0599999999999999E-2</v>
      </c>
      <c r="DT95" s="228">
        <v>950</v>
      </c>
      <c r="DU95" s="228">
        <v>870</v>
      </c>
      <c r="DV95" s="228">
        <v>0.7</v>
      </c>
      <c r="DW95" s="228">
        <v>0.74</v>
      </c>
      <c r="DX95" s="228">
        <v>-0.04</v>
      </c>
      <c r="DY95" s="229">
        <v>-5.4100000000000002E-2</v>
      </c>
      <c r="DZ95" s="229">
        <v>0.49580000000000002</v>
      </c>
      <c r="EA95" s="230">
        <v>12534900</v>
      </c>
      <c r="EB95" s="229">
        <v>5.0000000000000001E-3</v>
      </c>
      <c r="EC95" s="229">
        <v>0.49580000000000002</v>
      </c>
      <c r="ED95" s="228">
        <v>4.57</v>
      </c>
      <c r="EE95" s="229">
        <v>5.1000000000000004E-3</v>
      </c>
      <c r="EF95" s="230">
        <v>1081939</v>
      </c>
      <c r="EG95" s="230">
        <v>1325939</v>
      </c>
      <c r="EH95" s="229">
        <v>-0.184</v>
      </c>
      <c r="EI95" s="229">
        <v>0.44650000000000001</v>
      </c>
      <c r="EJ95" s="231">
        <v>159354.47</v>
      </c>
      <c r="EK95" s="231">
        <v>105841.01</v>
      </c>
      <c r="EL95" s="231">
        <v>197124.03</v>
      </c>
      <c r="EM95" s="231">
        <v>21817</v>
      </c>
      <c r="EN95" s="231">
        <v>462319.51</v>
      </c>
      <c r="EO95" s="231">
        <v>467604.56</v>
      </c>
      <c r="EP95" s="231">
        <v>-5285.05</v>
      </c>
      <c r="EQ95" s="229">
        <v>-1.1299999999999999E-2</v>
      </c>
      <c r="ER95" s="231">
        <v>105716</v>
      </c>
      <c r="ES95" s="231">
        <v>95024</v>
      </c>
      <c r="ET95" s="231">
        <v>356289</v>
      </c>
      <c r="EU95" s="231">
        <v>93808799</v>
      </c>
      <c r="EV95" s="231">
        <v>557028</v>
      </c>
      <c r="EW95" s="231">
        <v>551698</v>
      </c>
      <c r="EX95" s="231">
        <v>5330</v>
      </c>
      <c r="EY95" s="229">
        <v>9.7000000000000003E-3</v>
      </c>
      <c r="EZ95" s="229">
        <v>0.65459999999999996</v>
      </c>
      <c r="FA95" s="227" t="s">
        <v>567</v>
      </c>
      <c r="FB95" s="161">
        <f t="shared" si="1"/>
        <v>19492200</v>
      </c>
    </row>
    <row r="96" spans="1:158" ht="17.25" hidden="1" thickBot="1" x14ac:dyDescent="0.3">
      <c r="A96" s="226">
        <v>46044</v>
      </c>
      <c r="B96" s="227" t="s">
        <v>188</v>
      </c>
      <c r="C96" s="227" t="s">
        <v>473</v>
      </c>
      <c r="D96" s="228">
        <v>1700</v>
      </c>
      <c r="E96" s="228">
        <v>419.65</v>
      </c>
      <c r="F96" s="228">
        <v>414.4</v>
      </c>
      <c r="G96" s="228">
        <v>5.25</v>
      </c>
      <c r="H96" s="229">
        <v>1.2699999999999999E-2</v>
      </c>
      <c r="I96" s="228">
        <v>419.2</v>
      </c>
      <c r="J96" s="228">
        <v>414</v>
      </c>
      <c r="K96" s="228">
        <v>5.2</v>
      </c>
      <c r="L96" s="229">
        <v>1.26E-2</v>
      </c>
      <c r="M96" s="228">
        <v>419.65</v>
      </c>
      <c r="N96" s="228">
        <v>414.4</v>
      </c>
      <c r="O96" s="228">
        <v>5.25</v>
      </c>
      <c r="P96" s="229">
        <v>1.2699999999999999E-2</v>
      </c>
      <c r="Q96" s="228">
        <v>421.8</v>
      </c>
      <c r="R96" s="228">
        <v>416.65</v>
      </c>
      <c r="S96" s="228">
        <v>5.15</v>
      </c>
      <c r="T96" s="229">
        <v>1.24E-2</v>
      </c>
      <c r="U96" s="228">
        <v>425.3</v>
      </c>
      <c r="V96" s="228">
        <v>419.45</v>
      </c>
      <c r="W96" s="228">
        <v>5.85</v>
      </c>
      <c r="X96" s="229">
        <v>1.3899999999999999E-2</v>
      </c>
      <c r="Y96" s="228">
        <v>0.45</v>
      </c>
      <c r="Z96" s="228">
        <v>0.4</v>
      </c>
      <c r="AA96" s="228">
        <v>0.05</v>
      </c>
      <c r="AB96" s="229">
        <v>1.1000000000000001E-3</v>
      </c>
      <c r="AC96" s="228">
        <v>0.45</v>
      </c>
      <c r="AD96" s="228">
        <v>0.4</v>
      </c>
      <c r="AE96" s="228">
        <v>0.05</v>
      </c>
      <c r="AF96" s="229">
        <v>1.1000000000000001E-3</v>
      </c>
      <c r="AG96" s="228">
        <v>2.6</v>
      </c>
      <c r="AH96" s="228">
        <v>2.65</v>
      </c>
      <c r="AI96" s="228">
        <v>-0.05</v>
      </c>
      <c r="AJ96" s="229">
        <v>6.1999999999999998E-3</v>
      </c>
      <c r="AK96" s="228">
        <v>6.1</v>
      </c>
      <c r="AL96" s="228">
        <v>5.45</v>
      </c>
      <c r="AM96" s="228">
        <v>0.65</v>
      </c>
      <c r="AN96" s="229">
        <v>1.46E-2</v>
      </c>
      <c r="AO96" s="228">
        <v>416.82</v>
      </c>
      <c r="AP96" s="228">
        <v>418.95</v>
      </c>
      <c r="AQ96" s="228">
        <v>0</v>
      </c>
      <c r="AR96" s="230">
        <v>47605100</v>
      </c>
      <c r="AS96" s="230">
        <v>61337700</v>
      </c>
      <c r="AT96" s="230">
        <v>-13732600</v>
      </c>
      <c r="AU96" s="229">
        <v>-0.22389999999999999</v>
      </c>
      <c r="AV96" s="230">
        <v>24000600</v>
      </c>
      <c r="AW96" s="230">
        <v>33964300</v>
      </c>
      <c r="AX96" s="230">
        <v>-9963700</v>
      </c>
      <c r="AY96" s="229">
        <v>-0.29339999999999999</v>
      </c>
      <c r="AZ96" s="230">
        <v>23483800</v>
      </c>
      <c r="BA96" s="230">
        <v>27222100</v>
      </c>
      <c r="BB96" s="230">
        <v>-3738300</v>
      </c>
      <c r="BC96" s="229">
        <v>-0.13730000000000001</v>
      </c>
      <c r="BD96" s="230">
        <v>120700</v>
      </c>
      <c r="BE96" s="230">
        <v>151300</v>
      </c>
      <c r="BF96" s="230">
        <v>-30600</v>
      </c>
      <c r="BG96" s="229">
        <v>-0.20219999999999999</v>
      </c>
      <c r="BH96" s="230">
        <v>31555400</v>
      </c>
      <c r="BI96" s="230">
        <v>54068500</v>
      </c>
      <c r="BJ96" s="230">
        <v>-22513100</v>
      </c>
      <c r="BK96" s="229">
        <v>-0.41639999999999999</v>
      </c>
      <c r="BL96" s="230">
        <v>17102000</v>
      </c>
      <c r="BM96" s="230">
        <v>43174900</v>
      </c>
      <c r="BN96" s="230">
        <v>-26072900</v>
      </c>
      <c r="BO96" s="229">
        <v>-0.60389999999999999</v>
      </c>
      <c r="BP96" s="230">
        <v>96262500</v>
      </c>
      <c r="BQ96" s="230">
        <v>158581100</v>
      </c>
      <c r="BR96" s="230">
        <v>-62318600</v>
      </c>
      <c r="BS96" s="229">
        <v>-0.39300000000000002</v>
      </c>
      <c r="BT96" s="230">
        <v>7220405</v>
      </c>
      <c r="BU96" s="230">
        <v>8632746</v>
      </c>
      <c r="BV96" s="230">
        <v>-1412341</v>
      </c>
      <c r="BW96" s="229">
        <v>-0.1636</v>
      </c>
      <c r="BX96" s="230">
        <v>100752200</v>
      </c>
      <c r="BY96" s="230">
        <v>99152500</v>
      </c>
      <c r="BZ96" s="230">
        <v>1599700</v>
      </c>
      <c r="CA96" s="229">
        <v>1.61E-2</v>
      </c>
      <c r="CB96" s="230">
        <v>50207800</v>
      </c>
      <c r="CC96" s="230">
        <v>68051000</v>
      </c>
      <c r="CD96" s="230">
        <v>-17843200</v>
      </c>
      <c r="CE96" s="229">
        <v>-0.26219999999999999</v>
      </c>
      <c r="CF96" s="230">
        <v>50187400</v>
      </c>
      <c r="CG96" s="230">
        <v>30768300</v>
      </c>
      <c r="CH96" s="230">
        <v>19419100</v>
      </c>
      <c r="CI96" s="229">
        <v>0.63109999999999999</v>
      </c>
      <c r="CJ96" s="230">
        <v>357000</v>
      </c>
      <c r="CK96" s="230">
        <v>333200</v>
      </c>
      <c r="CL96" s="230">
        <v>23800</v>
      </c>
      <c r="CM96" s="229">
        <v>7.1400000000000005E-2</v>
      </c>
      <c r="CN96" s="230">
        <v>30314400</v>
      </c>
      <c r="CO96" s="230">
        <v>32039900</v>
      </c>
      <c r="CP96" s="230">
        <v>-1725500</v>
      </c>
      <c r="CQ96" s="229">
        <v>-5.3900000000000003E-2</v>
      </c>
      <c r="CR96" s="230">
        <v>16024200</v>
      </c>
      <c r="CS96" s="230">
        <v>17166600</v>
      </c>
      <c r="CT96" s="230">
        <v>-1142400</v>
      </c>
      <c r="CU96" s="229">
        <v>-6.6500000000000004E-2</v>
      </c>
      <c r="CV96" s="230">
        <v>147090800</v>
      </c>
      <c r="CW96" s="230">
        <v>148359000</v>
      </c>
      <c r="CX96" s="230">
        <v>-1268200</v>
      </c>
      <c r="CY96" s="229">
        <v>-8.5000000000000006E-3</v>
      </c>
      <c r="CZ96" s="228">
        <v>32.49</v>
      </c>
      <c r="DA96" s="228">
        <v>28.91</v>
      </c>
      <c r="DB96" s="228">
        <v>3.58</v>
      </c>
      <c r="DC96" s="228">
        <v>3.58</v>
      </c>
      <c r="DD96" s="228">
        <v>37.630000000000003</v>
      </c>
      <c r="DE96" s="228">
        <v>37.69</v>
      </c>
      <c r="DF96" s="228">
        <v>-5.14</v>
      </c>
      <c r="DG96" s="228">
        <v>-0.06</v>
      </c>
      <c r="DH96" s="228">
        <v>32.229999999999997</v>
      </c>
      <c r="DI96" s="228">
        <v>29.7</v>
      </c>
      <c r="DJ96" s="228">
        <v>2.5299999999999998</v>
      </c>
      <c r="DK96" s="228">
        <v>2.5299999999999998</v>
      </c>
      <c r="DL96" s="228">
        <v>32.86</v>
      </c>
      <c r="DM96" s="228">
        <v>27.92</v>
      </c>
      <c r="DN96" s="228">
        <v>4.9400000000000004</v>
      </c>
      <c r="DO96" s="228">
        <v>4.9400000000000004</v>
      </c>
      <c r="DP96" s="228">
        <v>0.53</v>
      </c>
      <c r="DQ96" s="228">
        <v>0.54</v>
      </c>
      <c r="DR96" s="228">
        <v>-0.01</v>
      </c>
      <c r="DS96" s="229">
        <v>-1.8499999999999999E-2</v>
      </c>
      <c r="DT96" s="228">
        <v>450</v>
      </c>
      <c r="DU96" s="228">
        <v>420</v>
      </c>
      <c r="DV96" s="228">
        <v>0.54</v>
      </c>
      <c r="DW96" s="228">
        <v>0.8</v>
      </c>
      <c r="DX96" s="228">
        <v>-0.26</v>
      </c>
      <c r="DY96" s="229">
        <v>-0.32500000000000001</v>
      </c>
      <c r="DZ96" s="229">
        <v>0.50170000000000003</v>
      </c>
      <c r="EA96" s="230">
        <v>31101500</v>
      </c>
      <c r="EB96" s="229">
        <v>5.1000000000000004E-3</v>
      </c>
      <c r="EC96" s="229">
        <v>0.50170000000000003</v>
      </c>
      <c r="ED96" s="228">
        <v>2.13</v>
      </c>
      <c r="EE96" s="229">
        <v>5.1000000000000004E-3</v>
      </c>
      <c r="EF96" s="230">
        <v>4782086</v>
      </c>
      <c r="EG96" s="230">
        <v>4141438</v>
      </c>
      <c r="EH96" s="229">
        <v>0.1547</v>
      </c>
      <c r="EI96" s="229">
        <v>0.6623</v>
      </c>
      <c r="EJ96" s="231">
        <v>137438.07999999999</v>
      </c>
      <c r="EK96" s="231">
        <v>71323.67</v>
      </c>
      <c r="EL96" s="231">
        <v>198933.73</v>
      </c>
      <c r="EM96" s="231">
        <v>16569</v>
      </c>
      <c r="EN96" s="231">
        <v>407695.48</v>
      </c>
      <c r="EO96" s="231">
        <v>663408.12</v>
      </c>
      <c r="EP96" s="231">
        <v>-255712.64000000001</v>
      </c>
      <c r="EQ96" s="229">
        <v>-0.38550000000000001</v>
      </c>
      <c r="ER96" s="231">
        <v>136326</v>
      </c>
      <c r="ES96" s="231">
        <v>66786</v>
      </c>
      <c r="ET96" s="231">
        <v>423906</v>
      </c>
      <c r="EU96" s="231">
        <v>193623116</v>
      </c>
      <c r="EV96" s="231">
        <v>627018</v>
      </c>
      <c r="EW96" s="231">
        <v>627070</v>
      </c>
      <c r="EX96" s="228">
        <v>-52</v>
      </c>
      <c r="EY96" s="229">
        <v>-1E-4</v>
      </c>
      <c r="EZ96" s="229">
        <v>0.75970000000000004</v>
      </c>
      <c r="FA96" s="227" t="s">
        <v>555</v>
      </c>
      <c r="FB96" s="161">
        <f t="shared" si="1"/>
        <v>50544400</v>
      </c>
    </row>
    <row r="97" spans="1:158" ht="17.25" hidden="1" thickBot="1" x14ac:dyDescent="0.3">
      <c r="A97" s="226">
        <v>46044</v>
      </c>
      <c r="B97" s="227" t="s">
        <v>221</v>
      </c>
      <c r="C97" s="227" t="s">
        <v>240</v>
      </c>
      <c r="D97" s="228">
        <v>400</v>
      </c>
      <c r="E97" s="231">
        <v>1667.4</v>
      </c>
      <c r="F97" s="231">
        <v>1656.5</v>
      </c>
      <c r="G97" s="228">
        <v>10.9</v>
      </c>
      <c r="H97" s="229">
        <v>6.6E-3</v>
      </c>
      <c r="I97" s="231">
        <v>1663.5</v>
      </c>
      <c r="J97" s="231">
        <v>1654.4</v>
      </c>
      <c r="K97" s="228">
        <v>9.1</v>
      </c>
      <c r="L97" s="229">
        <v>5.4999999999999997E-3</v>
      </c>
      <c r="M97" s="231">
        <v>1667.4</v>
      </c>
      <c r="N97" s="231">
        <v>1656.5</v>
      </c>
      <c r="O97" s="228">
        <v>10.9</v>
      </c>
      <c r="P97" s="229">
        <v>6.6E-3</v>
      </c>
      <c r="Q97" s="231">
        <v>1675.2</v>
      </c>
      <c r="R97" s="231">
        <v>1664.6</v>
      </c>
      <c r="S97" s="228">
        <v>10.6</v>
      </c>
      <c r="T97" s="229">
        <v>6.4000000000000003E-3</v>
      </c>
      <c r="U97" s="231">
        <v>1686.1</v>
      </c>
      <c r="V97" s="231">
        <v>1675.8</v>
      </c>
      <c r="W97" s="228">
        <v>10.3</v>
      </c>
      <c r="X97" s="229">
        <v>6.1000000000000004E-3</v>
      </c>
      <c r="Y97" s="228">
        <v>3.9</v>
      </c>
      <c r="Z97" s="228">
        <v>2.1</v>
      </c>
      <c r="AA97" s="228">
        <v>1.8</v>
      </c>
      <c r="AB97" s="229">
        <v>2.3E-3</v>
      </c>
      <c r="AC97" s="228">
        <v>3.9</v>
      </c>
      <c r="AD97" s="228">
        <v>2.1</v>
      </c>
      <c r="AE97" s="228">
        <v>1.8</v>
      </c>
      <c r="AF97" s="229">
        <v>2.3E-3</v>
      </c>
      <c r="AG97" s="228">
        <v>11.7</v>
      </c>
      <c r="AH97" s="228">
        <v>10.199999999999999</v>
      </c>
      <c r="AI97" s="228">
        <v>1.5</v>
      </c>
      <c r="AJ97" s="229">
        <v>7.0000000000000001E-3</v>
      </c>
      <c r="AK97" s="228">
        <v>22.6</v>
      </c>
      <c r="AL97" s="228">
        <v>21.4</v>
      </c>
      <c r="AM97" s="228">
        <v>1.2</v>
      </c>
      <c r="AN97" s="229">
        <v>1.3599999999999999E-2</v>
      </c>
      <c r="AO97" s="231">
        <v>1663.09</v>
      </c>
      <c r="AP97" s="231">
        <v>1670.74</v>
      </c>
      <c r="AQ97" s="228">
        <v>0</v>
      </c>
      <c r="AR97" s="230">
        <v>45820000</v>
      </c>
      <c r="AS97" s="230">
        <v>52660000</v>
      </c>
      <c r="AT97" s="230">
        <v>-6840000</v>
      </c>
      <c r="AU97" s="229">
        <v>-0.12989999999999999</v>
      </c>
      <c r="AV97" s="230">
        <v>23206000</v>
      </c>
      <c r="AW97" s="230">
        <v>28122800</v>
      </c>
      <c r="AX97" s="230">
        <v>-4916800</v>
      </c>
      <c r="AY97" s="229">
        <v>-0.17480000000000001</v>
      </c>
      <c r="AZ97" s="230">
        <v>22406000</v>
      </c>
      <c r="BA97" s="230">
        <v>24460400</v>
      </c>
      <c r="BB97" s="230">
        <v>-2054400</v>
      </c>
      <c r="BC97" s="229">
        <v>-8.4000000000000005E-2</v>
      </c>
      <c r="BD97" s="230">
        <v>208000</v>
      </c>
      <c r="BE97" s="230">
        <v>76800</v>
      </c>
      <c r="BF97" s="230">
        <v>131200</v>
      </c>
      <c r="BG97" s="229">
        <v>1.7082999999999999</v>
      </c>
      <c r="BH97" s="230">
        <v>63550400</v>
      </c>
      <c r="BI97" s="230">
        <v>46379200</v>
      </c>
      <c r="BJ97" s="230">
        <v>17171200</v>
      </c>
      <c r="BK97" s="229">
        <v>0.37019999999999997</v>
      </c>
      <c r="BL97" s="230">
        <v>36432000</v>
      </c>
      <c r="BM97" s="230">
        <v>41131200</v>
      </c>
      <c r="BN97" s="230">
        <v>-4699200</v>
      </c>
      <c r="BO97" s="229">
        <v>-0.1142</v>
      </c>
      <c r="BP97" s="230">
        <v>145802400</v>
      </c>
      <c r="BQ97" s="230">
        <v>140170400</v>
      </c>
      <c r="BR97" s="230">
        <v>5632000</v>
      </c>
      <c r="BS97" s="229">
        <v>4.02E-2</v>
      </c>
      <c r="BT97" s="230">
        <v>6492800</v>
      </c>
      <c r="BU97" s="230">
        <v>6453448</v>
      </c>
      <c r="BV97" s="230">
        <v>39352</v>
      </c>
      <c r="BW97" s="229">
        <v>6.1000000000000004E-3</v>
      </c>
      <c r="BX97" s="230">
        <v>71394000</v>
      </c>
      <c r="BY97" s="230">
        <v>70315600</v>
      </c>
      <c r="BZ97" s="230">
        <v>1078400</v>
      </c>
      <c r="CA97" s="229">
        <v>1.5299999999999999E-2</v>
      </c>
      <c r="CB97" s="230">
        <v>25454000</v>
      </c>
      <c r="CC97" s="230">
        <v>43315200</v>
      </c>
      <c r="CD97" s="230">
        <v>-17861200</v>
      </c>
      <c r="CE97" s="229">
        <v>-0.41239999999999999</v>
      </c>
      <c r="CF97" s="230">
        <v>45259600</v>
      </c>
      <c r="CG97" s="230">
        <v>26446800</v>
      </c>
      <c r="CH97" s="230">
        <v>18812800</v>
      </c>
      <c r="CI97" s="229">
        <v>0.71130000000000004</v>
      </c>
      <c r="CJ97" s="230">
        <v>680400</v>
      </c>
      <c r="CK97" s="230">
        <v>553600</v>
      </c>
      <c r="CL97" s="230">
        <v>126800</v>
      </c>
      <c r="CM97" s="229">
        <v>0.22900000000000001</v>
      </c>
      <c r="CN97" s="230">
        <v>30394800</v>
      </c>
      <c r="CO97" s="230">
        <v>30731200</v>
      </c>
      <c r="CP97" s="230">
        <v>-336400</v>
      </c>
      <c r="CQ97" s="229">
        <v>-1.09E-2</v>
      </c>
      <c r="CR97" s="230">
        <v>18228400</v>
      </c>
      <c r="CS97" s="230">
        <v>19785600</v>
      </c>
      <c r="CT97" s="230">
        <v>-1557200</v>
      </c>
      <c r="CU97" s="229">
        <v>-7.8700000000000006E-2</v>
      </c>
      <c r="CV97" s="230">
        <v>120017200</v>
      </c>
      <c r="CW97" s="230">
        <v>120832400</v>
      </c>
      <c r="CX97" s="230">
        <v>-815200</v>
      </c>
      <c r="CY97" s="229">
        <v>-6.7000000000000002E-3</v>
      </c>
      <c r="CZ97" s="228">
        <v>20.93</v>
      </c>
      <c r="DA97" s="228">
        <v>17.059999999999999</v>
      </c>
      <c r="DB97" s="228">
        <v>3.87</v>
      </c>
      <c r="DC97" s="228">
        <v>3.87</v>
      </c>
      <c r="DD97" s="228">
        <v>28.67</v>
      </c>
      <c r="DE97" s="228">
        <v>28.73</v>
      </c>
      <c r="DF97" s="228">
        <v>-7.74</v>
      </c>
      <c r="DG97" s="228">
        <v>-0.06</v>
      </c>
      <c r="DH97" s="228">
        <v>20.59</v>
      </c>
      <c r="DI97" s="228">
        <v>15.2</v>
      </c>
      <c r="DJ97" s="228">
        <v>5.39</v>
      </c>
      <c r="DK97" s="228">
        <v>5.39</v>
      </c>
      <c r="DL97" s="228">
        <v>21.57</v>
      </c>
      <c r="DM97" s="228">
        <v>19.16</v>
      </c>
      <c r="DN97" s="228">
        <v>2.41</v>
      </c>
      <c r="DO97" s="228">
        <v>2.41</v>
      </c>
      <c r="DP97" s="228">
        <v>0.6</v>
      </c>
      <c r="DQ97" s="228">
        <v>0.64</v>
      </c>
      <c r="DR97" s="228">
        <v>-0.04</v>
      </c>
      <c r="DS97" s="229">
        <v>-6.25E-2</v>
      </c>
      <c r="DT97" s="231">
        <v>1660</v>
      </c>
      <c r="DU97" s="231">
        <v>1680</v>
      </c>
      <c r="DV97" s="228">
        <v>0.56999999999999995</v>
      </c>
      <c r="DW97" s="228">
        <v>0.89</v>
      </c>
      <c r="DX97" s="228">
        <v>-0.32</v>
      </c>
      <c r="DY97" s="229">
        <v>-0.35959999999999998</v>
      </c>
      <c r="DZ97" s="229">
        <v>0.64349999999999996</v>
      </c>
      <c r="EA97" s="230">
        <v>27000400</v>
      </c>
      <c r="EB97" s="229">
        <v>4.7000000000000002E-3</v>
      </c>
      <c r="EC97" s="229">
        <v>0.64349999999999996</v>
      </c>
      <c r="ED97" s="228">
        <v>7.65</v>
      </c>
      <c r="EE97" s="229">
        <v>4.5999999999999999E-3</v>
      </c>
      <c r="EF97" s="230">
        <v>3257960</v>
      </c>
      <c r="EG97" s="230">
        <v>3501888</v>
      </c>
      <c r="EH97" s="229">
        <v>-6.9699999999999998E-2</v>
      </c>
      <c r="EI97" s="229">
        <v>0.50180000000000002</v>
      </c>
      <c r="EJ97" s="231">
        <v>1081589.1599999999</v>
      </c>
      <c r="EK97" s="231">
        <v>593011.09</v>
      </c>
      <c r="EL97" s="231">
        <v>763782.98</v>
      </c>
      <c r="EM97" s="231">
        <v>64750</v>
      </c>
      <c r="EN97" s="231">
        <v>2438383.23</v>
      </c>
      <c r="EO97" s="231">
        <v>2324617.84</v>
      </c>
      <c r="EP97" s="231">
        <v>113765.39</v>
      </c>
      <c r="EQ97" s="229">
        <v>4.8899999999999999E-2</v>
      </c>
      <c r="ER97" s="231">
        <v>513977</v>
      </c>
      <c r="ES97" s="231">
        <v>292275</v>
      </c>
      <c r="ET97" s="231">
        <v>1194081</v>
      </c>
      <c r="EU97" s="231">
        <v>368703409</v>
      </c>
      <c r="EV97" s="231">
        <v>2000333</v>
      </c>
      <c r="EW97" s="231">
        <v>2003471</v>
      </c>
      <c r="EX97" s="231">
        <v>-3138</v>
      </c>
      <c r="EY97" s="229">
        <v>-1.6000000000000001E-3</v>
      </c>
      <c r="EZ97" s="229">
        <v>0.32550000000000001</v>
      </c>
      <c r="FA97" s="227" t="s">
        <v>555</v>
      </c>
      <c r="FB97" s="161">
        <f t="shared" si="1"/>
        <v>45940000</v>
      </c>
    </row>
    <row r="98" spans="1:158" ht="17.25" hidden="1" thickBot="1" x14ac:dyDescent="0.3">
      <c r="A98" s="226">
        <v>46044</v>
      </c>
      <c r="B98" s="227" t="s">
        <v>161</v>
      </c>
      <c r="C98" s="227" t="s">
        <v>669</v>
      </c>
      <c r="D98" s="228">
        <v>3575</v>
      </c>
      <c r="E98" s="228">
        <v>107.21</v>
      </c>
      <c r="F98" s="228">
        <v>105.12</v>
      </c>
      <c r="G98" s="228">
        <v>2.09</v>
      </c>
      <c r="H98" s="229">
        <v>1.9900000000000001E-2</v>
      </c>
      <c r="I98" s="228">
        <v>106.89</v>
      </c>
      <c r="J98" s="228">
        <v>104.69</v>
      </c>
      <c r="K98" s="228">
        <v>2.2000000000000002</v>
      </c>
      <c r="L98" s="229">
        <v>2.1000000000000001E-2</v>
      </c>
      <c r="M98" s="228">
        <v>107.21</v>
      </c>
      <c r="N98" s="228">
        <v>105.12</v>
      </c>
      <c r="O98" s="228">
        <v>2.09</v>
      </c>
      <c r="P98" s="229">
        <v>1.9900000000000001E-2</v>
      </c>
      <c r="Q98" s="228">
        <v>107.84</v>
      </c>
      <c r="R98" s="228">
        <v>105.59</v>
      </c>
      <c r="S98" s="228">
        <v>2.25</v>
      </c>
      <c r="T98" s="229">
        <v>2.1299999999999999E-2</v>
      </c>
      <c r="U98" s="228">
        <v>108.26</v>
      </c>
      <c r="V98" s="228">
        <v>106.29</v>
      </c>
      <c r="W98" s="228">
        <v>1.97</v>
      </c>
      <c r="X98" s="229">
        <v>1.8499999999999999E-2</v>
      </c>
      <c r="Y98" s="228">
        <v>0.32</v>
      </c>
      <c r="Z98" s="228">
        <v>0.43</v>
      </c>
      <c r="AA98" s="228">
        <v>-0.11</v>
      </c>
      <c r="AB98" s="229">
        <v>3.0000000000000001E-3</v>
      </c>
      <c r="AC98" s="228">
        <v>0.32</v>
      </c>
      <c r="AD98" s="228">
        <v>0.43</v>
      </c>
      <c r="AE98" s="228">
        <v>-0.11</v>
      </c>
      <c r="AF98" s="229">
        <v>3.0000000000000001E-3</v>
      </c>
      <c r="AG98" s="228">
        <v>0.95</v>
      </c>
      <c r="AH98" s="228">
        <v>0.9</v>
      </c>
      <c r="AI98" s="228">
        <v>0.05</v>
      </c>
      <c r="AJ98" s="229">
        <v>8.8999999999999999E-3</v>
      </c>
      <c r="AK98" s="228">
        <v>1.37</v>
      </c>
      <c r="AL98" s="228">
        <v>1.6</v>
      </c>
      <c r="AM98" s="228">
        <v>-0.23</v>
      </c>
      <c r="AN98" s="229">
        <v>1.2800000000000001E-2</v>
      </c>
      <c r="AO98" s="228">
        <v>106.29</v>
      </c>
      <c r="AP98" s="228">
        <v>106.88</v>
      </c>
      <c r="AQ98" s="228">
        <v>0</v>
      </c>
      <c r="AR98" s="230">
        <v>55519750</v>
      </c>
      <c r="AS98" s="230">
        <v>45012825</v>
      </c>
      <c r="AT98" s="230">
        <v>10506925</v>
      </c>
      <c r="AU98" s="229">
        <v>0.2334</v>
      </c>
      <c r="AV98" s="230">
        <v>25732850</v>
      </c>
      <c r="AW98" s="230">
        <v>25493325</v>
      </c>
      <c r="AX98" s="230">
        <v>239525</v>
      </c>
      <c r="AY98" s="229">
        <v>9.4000000000000004E-3</v>
      </c>
      <c r="AZ98" s="230">
        <v>29575975</v>
      </c>
      <c r="BA98" s="230">
        <v>19244225</v>
      </c>
      <c r="BB98" s="230">
        <v>10331750</v>
      </c>
      <c r="BC98" s="229">
        <v>0.53690000000000004</v>
      </c>
      <c r="BD98" s="230">
        <v>210925</v>
      </c>
      <c r="BE98" s="230">
        <v>275275</v>
      </c>
      <c r="BF98" s="230">
        <v>-64350</v>
      </c>
      <c r="BG98" s="229">
        <v>-0.23380000000000001</v>
      </c>
      <c r="BH98" s="230">
        <v>31284825</v>
      </c>
      <c r="BI98" s="230">
        <v>67714075</v>
      </c>
      <c r="BJ98" s="230">
        <v>-36429250</v>
      </c>
      <c r="BK98" s="229">
        <v>-0.53800000000000003</v>
      </c>
      <c r="BL98" s="230">
        <v>16126825</v>
      </c>
      <c r="BM98" s="230">
        <v>38917450</v>
      </c>
      <c r="BN98" s="230">
        <v>-22790625</v>
      </c>
      <c r="BO98" s="229">
        <v>-0.58560000000000001</v>
      </c>
      <c r="BP98" s="230">
        <v>102931400</v>
      </c>
      <c r="BQ98" s="230">
        <v>151644350</v>
      </c>
      <c r="BR98" s="230">
        <v>-48712950</v>
      </c>
      <c r="BS98" s="229">
        <v>-0.32119999999999999</v>
      </c>
      <c r="BT98" s="230">
        <v>7941719</v>
      </c>
      <c r="BU98" s="230">
        <v>12757470</v>
      </c>
      <c r="BV98" s="230">
        <v>-4815751</v>
      </c>
      <c r="BW98" s="229">
        <v>-0.3775</v>
      </c>
      <c r="BX98" s="230">
        <v>109502250</v>
      </c>
      <c r="BY98" s="230">
        <v>107471650</v>
      </c>
      <c r="BZ98" s="230">
        <v>2030600</v>
      </c>
      <c r="CA98" s="229">
        <v>1.89E-2</v>
      </c>
      <c r="CB98" s="230">
        <v>61086025</v>
      </c>
      <c r="CC98" s="230">
        <v>80505425</v>
      </c>
      <c r="CD98" s="230">
        <v>-19419400</v>
      </c>
      <c r="CE98" s="229">
        <v>-0.2412</v>
      </c>
      <c r="CF98" s="230">
        <v>47050575</v>
      </c>
      <c r="CG98" s="230">
        <v>25689950</v>
      </c>
      <c r="CH98" s="230">
        <v>21360625</v>
      </c>
      <c r="CI98" s="229">
        <v>0.83150000000000002</v>
      </c>
      <c r="CJ98" s="230">
        <v>1365650</v>
      </c>
      <c r="CK98" s="230">
        <v>1276275</v>
      </c>
      <c r="CL98" s="230">
        <v>89375</v>
      </c>
      <c r="CM98" s="229">
        <v>7.0000000000000007E-2</v>
      </c>
      <c r="CN98" s="230">
        <v>45162975</v>
      </c>
      <c r="CO98" s="230">
        <v>46768150</v>
      </c>
      <c r="CP98" s="230">
        <v>-1605175</v>
      </c>
      <c r="CQ98" s="229">
        <v>-3.4299999999999997E-2</v>
      </c>
      <c r="CR98" s="230">
        <v>27495325</v>
      </c>
      <c r="CS98" s="230">
        <v>27759875</v>
      </c>
      <c r="CT98" s="230">
        <v>-264550</v>
      </c>
      <c r="CU98" s="229">
        <v>-9.4999999999999998E-3</v>
      </c>
      <c r="CV98" s="230">
        <v>182160550</v>
      </c>
      <c r="CW98" s="230">
        <v>181999675</v>
      </c>
      <c r="CX98" s="230">
        <v>160875</v>
      </c>
      <c r="CY98" s="229">
        <v>8.9999999999999998E-4</v>
      </c>
      <c r="CZ98" s="228">
        <v>48.67</v>
      </c>
      <c r="DA98" s="228">
        <v>41.8</v>
      </c>
      <c r="DB98" s="228">
        <v>6.87</v>
      </c>
      <c r="DC98" s="228">
        <v>6.87</v>
      </c>
      <c r="DD98" s="228">
        <v>51.8</v>
      </c>
      <c r="DE98" s="228">
        <v>51.86</v>
      </c>
      <c r="DF98" s="228">
        <v>-3.13</v>
      </c>
      <c r="DG98" s="228">
        <v>-0.06</v>
      </c>
      <c r="DH98" s="228">
        <v>48.23</v>
      </c>
      <c r="DI98" s="228">
        <v>45</v>
      </c>
      <c r="DJ98" s="228">
        <v>3.23</v>
      </c>
      <c r="DK98" s="228">
        <v>3.23</v>
      </c>
      <c r="DL98" s="228">
        <v>49.53</v>
      </c>
      <c r="DM98" s="228">
        <v>36.24</v>
      </c>
      <c r="DN98" s="228">
        <v>13.29</v>
      </c>
      <c r="DO98" s="228">
        <v>13.29</v>
      </c>
      <c r="DP98" s="228">
        <v>0.61</v>
      </c>
      <c r="DQ98" s="228">
        <v>0.59</v>
      </c>
      <c r="DR98" s="228">
        <v>0.02</v>
      </c>
      <c r="DS98" s="229">
        <v>3.39E-2</v>
      </c>
      <c r="DT98" s="228">
        <v>125</v>
      </c>
      <c r="DU98" s="228">
        <v>102.5</v>
      </c>
      <c r="DV98" s="228">
        <v>0.52</v>
      </c>
      <c r="DW98" s="228">
        <v>0.56999999999999995</v>
      </c>
      <c r="DX98" s="228">
        <v>-0.05</v>
      </c>
      <c r="DY98" s="229">
        <v>-8.77E-2</v>
      </c>
      <c r="DZ98" s="229">
        <v>0.44209999999999999</v>
      </c>
      <c r="EA98" s="230">
        <v>26966225</v>
      </c>
      <c r="EB98" s="229">
        <v>5.8999999999999999E-3</v>
      </c>
      <c r="EC98" s="229">
        <v>0.44209999999999999</v>
      </c>
      <c r="ED98" s="228">
        <v>0.59</v>
      </c>
      <c r="EE98" s="229">
        <v>5.5999999999999999E-3</v>
      </c>
      <c r="EF98" s="230">
        <v>2531644</v>
      </c>
      <c r="EG98" s="230">
        <v>3788867</v>
      </c>
      <c r="EH98" s="229">
        <v>-0.33179999999999998</v>
      </c>
      <c r="EI98" s="229">
        <v>0.31879999999999997</v>
      </c>
      <c r="EJ98" s="231">
        <v>36322.629999999997</v>
      </c>
      <c r="EK98" s="231">
        <v>18319</v>
      </c>
      <c r="EL98" s="231">
        <v>59189.86</v>
      </c>
      <c r="EM98" s="231">
        <v>7103</v>
      </c>
      <c r="EN98" s="231">
        <v>113831.49</v>
      </c>
      <c r="EO98" s="231">
        <v>167200.04999999999</v>
      </c>
      <c r="EP98" s="231">
        <v>-53368.56</v>
      </c>
      <c r="EQ98" s="229">
        <v>-0.31919999999999998</v>
      </c>
      <c r="ER98" s="231">
        <v>55429</v>
      </c>
      <c r="ES98" s="231">
        <v>31949</v>
      </c>
      <c r="ET98" s="231">
        <v>117708</v>
      </c>
      <c r="EU98" s="231">
        <v>144708707</v>
      </c>
      <c r="EV98" s="231">
        <v>205086</v>
      </c>
      <c r="EW98" s="231">
        <v>203043</v>
      </c>
      <c r="EX98" s="231">
        <v>2043</v>
      </c>
      <c r="EY98" s="229">
        <v>1.01E-2</v>
      </c>
      <c r="EZ98" s="229">
        <v>1.2587999999999999</v>
      </c>
      <c r="FA98" s="227" t="s">
        <v>555</v>
      </c>
      <c r="FB98" s="161">
        <f t="shared" si="1"/>
        <v>48416225</v>
      </c>
    </row>
    <row r="99" spans="1:158" ht="17.25" hidden="1" thickBot="1" x14ac:dyDescent="0.3">
      <c r="A99" s="226">
        <v>46044</v>
      </c>
      <c r="B99" s="227" t="s">
        <v>193</v>
      </c>
      <c r="C99" s="227" t="s">
        <v>241</v>
      </c>
      <c r="D99" s="228">
        <v>4875</v>
      </c>
      <c r="E99" s="228">
        <v>158.91999999999999</v>
      </c>
      <c r="F99" s="228">
        <v>158.88999999999999</v>
      </c>
      <c r="G99" s="228">
        <v>0.03</v>
      </c>
      <c r="H99" s="229">
        <v>2.0000000000000001E-4</v>
      </c>
      <c r="I99" s="228">
        <v>159.05000000000001</v>
      </c>
      <c r="J99" s="228">
        <v>158.82</v>
      </c>
      <c r="K99" s="228">
        <v>0.23</v>
      </c>
      <c r="L99" s="229">
        <v>1.4E-3</v>
      </c>
      <c r="M99" s="228">
        <v>158.91999999999999</v>
      </c>
      <c r="N99" s="228">
        <v>158.88999999999999</v>
      </c>
      <c r="O99" s="228">
        <v>0.03</v>
      </c>
      <c r="P99" s="229">
        <v>2.0000000000000001E-4</v>
      </c>
      <c r="Q99" s="228">
        <v>159.66999999999999</v>
      </c>
      <c r="R99" s="228">
        <v>159.66999999999999</v>
      </c>
      <c r="S99" s="228">
        <v>0</v>
      </c>
      <c r="T99" s="229">
        <v>0</v>
      </c>
      <c r="U99" s="228">
        <v>160.56</v>
      </c>
      <c r="V99" s="228">
        <v>160.51</v>
      </c>
      <c r="W99" s="228">
        <v>0.05</v>
      </c>
      <c r="X99" s="229">
        <v>2.9999999999999997E-4</v>
      </c>
      <c r="Y99" s="228">
        <v>-0.13</v>
      </c>
      <c r="Z99" s="228">
        <v>7.0000000000000007E-2</v>
      </c>
      <c r="AA99" s="228">
        <v>-0.2</v>
      </c>
      <c r="AB99" s="229">
        <v>-8.0000000000000004E-4</v>
      </c>
      <c r="AC99" s="228">
        <v>-0.13</v>
      </c>
      <c r="AD99" s="228">
        <v>7.0000000000000007E-2</v>
      </c>
      <c r="AE99" s="228">
        <v>-0.2</v>
      </c>
      <c r="AF99" s="229">
        <v>-8.0000000000000004E-4</v>
      </c>
      <c r="AG99" s="228">
        <v>0.62</v>
      </c>
      <c r="AH99" s="228">
        <v>0.85</v>
      </c>
      <c r="AI99" s="228">
        <v>-0.23</v>
      </c>
      <c r="AJ99" s="229">
        <v>3.8999999999999998E-3</v>
      </c>
      <c r="AK99" s="228">
        <v>1.51</v>
      </c>
      <c r="AL99" s="228">
        <v>1.69</v>
      </c>
      <c r="AM99" s="228">
        <v>-0.18</v>
      </c>
      <c r="AN99" s="229">
        <v>9.4999999999999998E-3</v>
      </c>
      <c r="AO99" s="228">
        <v>159.72</v>
      </c>
      <c r="AP99" s="228">
        <v>160.5</v>
      </c>
      <c r="AQ99" s="228">
        <v>0</v>
      </c>
      <c r="AR99" s="230">
        <v>62989875</v>
      </c>
      <c r="AS99" s="230">
        <v>56740125</v>
      </c>
      <c r="AT99" s="230">
        <v>6249750</v>
      </c>
      <c r="AU99" s="229">
        <v>0.1101</v>
      </c>
      <c r="AV99" s="230">
        <v>30868500</v>
      </c>
      <c r="AW99" s="230">
        <v>32033625</v>
      </c>
      <c r="AX99" s="230">
        <v>-1165125</v>
      </c>
      <c r="AY99" s="229">
        <v>-3.6400000000000002E-2</v>
      </c>
      <c r="AZ99" s="230">
        <v>31867875</v>
      </c>
      <c r="BA99" s="230">
        <v>24394500</v>
      </c>
      <c r="BB99" s="230">
        <v>7473375</v>
      </c>
      <c r="BC99" s="229">
        <v>0.30640000000000001</v>
      </c>
      <c r="BD99" s="230">
        <v>253500</v>
      </c>
      <c r="BE99" s="230">
        <v>312000</v>
      </c>
      <c r="BF99" s="230">
        <v>-58500</v>
      </c>
      <c r="BG99" s="229">
        <v>-0.1875</v>
      </c>
      <c r="BH99" s="230">
        <v>59192250</v>
      </c>
      <c r="BI99" s="230">
        <v>62463375</v>
      </c>
      <c r="BJ99" s="230">
        <v>-3271125</v>
      </c>
      <c r="BK99" s="229">
        <v>-5.2400000000000002E-2</v>
      </c>
      <c r="BL99" s="230">
        <v>33349875</v>
      </c>
      <c r="BM99" s="230">
        <v>44806125</v>
      </c>
      <c r="BN99" s="230">
        <v>-11456250</v>
      </c>
      <c r="BO99" s="229">
        <v>-0.25569999999999998</v>
      </c>
      <c r="BP99" s="230">
        <v>155532000</v>
      </c>
      <c r="BQ99" s="230">
        <v>164009625</v>
      </c>
      <c r="BR99" s="230">
        <v>-8477625</v>
      </c>
      <c r="BS99" s="229">
        <v>-5.1700000000000003E-2</v>
      </c>
      <c r="BT99" s="230">
        <v>9695528</v>
      </c>
      <c r="BU99" s="230">
        <v>12565068</v>
      </c>
      <c r="BV99" s="230">
        <v>-2869540</v>
      </c>
      <c r="BW99" s="229">
        <v>-0.22839999999999999</v>
      </c>
      <c r="BX99" s="230">
        <v>96330000</v>
      </c>
      <c r="BY99" s="230">
        <v>95457375</v>
      </c>
      <c r="BZ99" s="230">
        <v>872625</v>
      </c>
      <c r="CA99" s="229">
        <v>9.1000000000000004E-3</v>
      </c>
      <c r="CB99" s="230">
        <v>46156500</v>
      </c>
      <c r="CC99" s="230">
        <v>69580875</v>
      </c>
      <c r="CD99" s="230">
        <v>-23424375</v>
      </c>
      <c r="CE99" s="229">
        <v>-0.33660000000000001</v>
      </c>
      <c r="CF99" s="230">
        <v>48964500</v>
      </c>
      <c r="CG99" s="230">
        <v>24687000</v>
      </c>
      <c r="CH99" s="230">
        <v>24277500</v>
      </c>
      <c r="CI99" s="229">
        <v>0.98340000000000005</v>
      </c>
      <c r="CJ99" s="230">
        <v>1209000</v>
      </c>
      <c r="CK99" s="230">
        <v>1189500</v>
      </c>
      <c r="CL99" s="230">
        <v>19500</v>
      </c>
      <c r="CM99" s="229">
        <v>1.6400000000000001E-2</v>
      </c>
      <c r="CN99" s="230">
        <v>54853500</v>
      </c>
      <c r="CO99" s="230">
        <v>57013125</v>
      </c>
      <c r="CP99" s="230">
        <v>-2159625</v>
      </c>
      <c r="CQ99" s="229">
        <v>-3.7900000000000003E-2</v>
      </c>
      <c r="CR99" s="230">
        <v>34573500</v>
      </c>
      <c r="CS99" s="230">
        <v>36703875</v>
      </c>
      <c r="CT99" s="230">
        <v>-2130375</v>
      </c>
      <c r="CU99" s="229">
        <v>-5.8000000000000003E-2</v>
      </c>
      <c r="CV99" s="230">
        <v>185757000</v>
      </c>
      <c r="CW99" s="230">
        <v>189174375</v>
      </c>
      <c r="CX99" s="230">
        <v>-3417375</v>
      </c>
      <c r="CY99" s="229">
        <v>-1.8100000000000002E-2</v>
      </c>
      <c r="CZ99" s="228">
        <v>25.54</v>
      </c>
      <c r="DA99" s="228">
        <v>25.5</v>
      </c>
      <c r="DB99" s="228">
        <v>0.04</v>
      </c>
      <c r="DC99" s="228">
        <v>0.04</v>
      </c>
      <c r="DD99" s="228">
        <v>30.39</v>
      </c>
      <c r="DE99" s="228">
        <v>30.46</v>
      </c>
      <c r="DF99" s="228">
        <v>-4.8499999999999996</v>
      </c>
      <c r="DG99" s="228">
        <v>-7.0000000000000007E-2</v>
      </c>
      <c r="DH99" s="228">
        <v>25.76</v>
      </c>
      <c r="DI99" s="228">
        <v>25.38</v>
      </c>
      <c r="DJ99" s="228">
        <v>0.38</v>
      </c>
      <c r="DK99" s="228">
        <v>0.38</v>
      </c>
      <c r="DL99" s="228">
        <v>25.27</v>
      </c>
      <c r="DM99" s="228">
        <v>25.67</v>
      </c>
      <c r="DN99" s="228">
        <v>-0.4</v>
      </c>
      <c r="DO99" s="228">
        <v>-0.4</v>
      </c>
      <c r="DP99" s="228">
        <v>0.63</v>
      </c>
      <c r="DQ99" s="228">
        <v>0.64</v>
      </c>
      <c r="DR99" s="228">
        <v>-0.01</v>
      </c>
      <c r="DS99" s="229">
        <v>-1.5599999999999999E-2</v>
      </c>
      <c r="DT99" s="228">
        <v>170</v>
      </c>
      <c r="DU99" s="228">
        <v>160</v>
      </c>
      <c r="DV99" s="228">
        <v>0.56000000000000005</v>
      </c>
      <c r="DW99" s="228">
        <v>0.72</v>
      </c>
      <c r="DX99" s="228">
        <v>-0.16</v>
      </c>
      <c r="DY99" s="229">
        <v>-0.22220000000000001</v>
      </c>
      <c r="DZ99" s="229">
        <v>0.52090000000000003</v>
      </c>
      <c r="EA99" s="230">
        <v>25876500</v>
      </c>
      <c r="EB99" s="229">
        <v>4.7000000000000002E-3</v>
      </c>
      <c r="EC99" s="229">
        <v>0.52090000000000003</v>
      </c>
      <c r="ED99" s="228">
        <v>0.78</v>
      </c>
      <c r="EE99" s="229">
        <v>4.8999999999999998E-3</v>
      </c>
      <c r="EF99" s="230">
        <v>5283639</v>
      </c>
      <c r="EG99" s="230">
        <v>6435038</v>
      </c>
      <c r="EH99" s="229">
        <v>-0.1789</v>
      </c>
      <c r="EI99" s="229">
        <v>0.54500000000000004</v>
      </c>
      <c r="EJ99" s="231">
        <v>98081.73</v>
      </c>
      <c r="EK99" s="231">
        <v>53366.83</v>
      </c>
      <c r="EL99" s="231">
        <v>100861.06</v>
      </c>
      <c r="EM99" s="231">
        <v>5284</v>
      </c>
      <c r="EN99" s="231">
        <v>252309.62</v>
      </c>
      <c r="EO99" s="231">
        <v>264700.99</v>
      </c>
      <c r="EP99" s="231">
        <v>-12391.37</v>
      </c>
      <c r="EQ99" s="229">
        <v>-4.6800000000000001E-2</v>
      </c>
      <c r="ER99" s="231">
        <v>91817</v>
      </c>
      <c r="ES99" s="231">
        <v>54896</v>
      </c>
      <c r="ET99" s="231">
        <v>153475</v>
      </c>
      <c r="EU99" s="231">
        <v>684903861</v>
      </c>
      <c r="EV99" s="231">
        <v>300188</v>
      </c>
      <c r="EW99" s="231">
        <v>305363</v>
      </c>
      <c r="EX99" s="231">
        <v>-5175</v>
      </c>
      <c r="EY99" s="229">
        <v>-1.6899999999999998E-2</v>
      </c>
      <c r="EZ99" s="229">
        <v>0.2712</v>
      </c>
      <c r="FA99" s="227" t="s">
        <v>555</v>
      </c>
      <c r="FB99" s="161">
        <f t="shared" si="1"/>
        <v>50173500</v>
      </c>
    </row>
    <row r="100" spans="1:158" ht="17.25" hidden="1" thickBot="1" x14ac:dyDescent="0.3">
      <c r="A100" s="226">
        <v>46044</v>
      </c>
      <c r="B100" s="227" t="s">
        <v>215</v>
      </c>
      <c r="C100" s="227" t="s">
        <v>490</v>
      </c>
      <c r="D100" s="228">
        <v>875</v>
      </c>
      <c r="E100" s="228">
        <v>630.29999999999995</v>
      </c>
      <c r="F100" s="228">
        <v>614.1</v>
      </c>
      <c r="G100" s="228">
        <v>16.2</v>
      </c>
      <c r="H100" s="229">
        <v>2.64E-2</v>
      </c>
      <c r="I100" s="228">
        <v>628.85</v>
      </c>
      <c r="J100" s="228">
        <v>613.70000000000005</v>
      </c>
      <c r="K100" s="228">
        <v>15.15</v>
      </c>
      <c r="L100" s="229">
        <v>2.47E-2</v>
      </c>
      <c r="M100" s="228">
        <v>630.29999999999995</v>
      </c>
      <c r="N100" s="228">
        <v>614.1</v>
      </c>
      <c r="O100" s="228">
        <v>16.2</v>
      </c>
      <c r="P100" s="229">
        <v>2.64E-2</v>
      </c>
      <c r="Q100" s="228">
        <v>604</v>
      </c>
      <c r="R100" s="228">
        <v>605.6</v>
      </c>
      <c r="S100" s="228">
        <v>-1.6</v>
      </c>
      <c r="T100" s="229">
        <v>-2.5999999999999999E-3</v>
      </c>
      <c r="U100" s="228">
        <v>0</v>
      </c>
      <c r="V100" s="228">
        <v>0</v>
      </c>
      <c r="W100" s="228">
        <v>0</v>
      </c>
      <c r="X100" s="229">
        <v>0</v>
      </c>
      <c r="Y100" s="228">
        <v>1.45</v>
      </c>
      <c r="Z100" s="228">
        <v>0.4</v>
      </c>
      <c r="AA100" s="228">
        <v>1.05</v>
      </c>
      <c r="AB100" s="229">
        <v>2.3E-3</v>
      </c>
      <c r="AC100" s="228">
        <v>1.45</v>
      </c>
      <c r="AD100" s="228">
        <v>0.4</v>
      </c>
      <c r="AE100" s="228">
        <v>1.05</v>
      </c>
      <c r="AF100" s="229">
        <v>2.3E-3</v>
      </c>
      <c r="AG100" s="228">
        <v>-24.85</v>
      </c>
      <c r="AH100" s="228">
        <v>-8.1</v>
      </c>
      <c r="AI100" s="228">
        <v>-16.75</v>
      </c>
      <c r="AJ100" s="229">
        <v>-3.95E-2</v>
      </c>
      <c r="AK100" s="228">
        <v>0</v>
      </c>
      <c r="AL100" s="228">
        <v>0</v>
      </c>
      <c r="AM100" s="228">
        <v>0</v>
      </c>
      <c r="AN100" s="229">
        <v>0</v>
      </c>
      <c r="AO100" s="228">
        <v>625.54</v>
      </c>
      <c r="AP100" s="228">
        <v>606.86</v>
      </c>
      <c r="AQ100" s="228">
        <v>0</v>
      </c>
      <c r="AR100" s="230">
        <v>23643375</v>
      </c>
      <c r="AS100" s="230">
        <v>21446250</v>
      </c>
      <c r="AT100" s="230">
        <v>2197125</v>
      </c>
      <c r="AU100" s="229">
        <v>0.1024</v>
      </c>
      <c r="AV100" s="230">
        <v>12151125</v>
      </c>
      <c r="AW100" s="230">
        <v>11353125</v>
      </c>
      <c r="AX100" s="230">
        <v>798000</v>
      </c>
      <c r="AY100" s="229">
        <v>7.0300000000000001E-2</v>
      </c>
      <c r="AZ100" s="230">
        <v>11492250</v>
      </c>
      <c r="BA100" s="230">
        <v>10093125</v>
      </c>
      <c r="BB100" s="230">
        <v>1399125</v>
      </c>
      <c r="BC100" s="229">
        <v>0.1386</v>
      </c>
      <c r="BD100" s="228">
        <v>0</v>
      </c>
      <c r="BE100" s="228">
        <v>0</v>
      </c>
      <c r="BF100" s="228">
        <v>0</v>
      </c>
      <c r="BG100" s="229">
        <v>0</v>
      </c>
      <c r="BH100" s="230">
        <v>24082625</v>
      </c>
      <c r="BI100" s="230">
        <v>28171500</v>
      </c>
      <c r="BJ100" s="230">
        <v>-4088875</v>
      </c>
      <c r="BK100" s="229">
        <v>-0.14510000000000001</v>
      </c>
      <c r="BL100" s="230">
        <v>10465000</v>
      </c>
      <c r="BM100" s="230">
        <v>10841250</v>
      </c>
      <c r="BN100" s="230">
        <v>-376250</v>
      </c>
      <c r="BO100" s="229">
        <v>-3.4700000000000002E-2</v>
      </c>
      <c r="BP100" s="230">
        <v>58191000</v>
      </c>
      <c r="BQ100" s="230">
        <v>60459000</v>
      </c>
      <c r="BR100" s="230">
        <v>-2268000</v>
      </c>
      <c r="BS100" s="229">
        <v>-3.7499999999999999E-2</v>
      </c>
      <c r="BT100" s="230">
        <v>1507986</v>
      </c>
      <c r="BU100" s="230">
        <v>1900173</v>
      </c>
      <c r="BV100" s="230">
        <v>-392187</v>
      </c>
      <c r="BW100" s="229">
        <v>-0.2064</v>
      </c>
      <c r="BX100" s="230">
        <v>26356750</v>
      </c>
      <c r="BY100" s="230">
        <v>25151000</v>
      </c>
      <c r="BZ100" s="230">
        <v>1205750</v>
      </c>
      <c r="CA100" s="229">
        <v>4.7899999999999998E-2</v>
      </c>
      <c r="CB100" s="230">
        <v>9981125</v>
      </c>
      <c r="CC100" s="230">
        <v>15484875</v>
      </c>
      <c r="CD100" s="230">
        <v>-5503750</v>
      </c>
      <c r="CE100" s="229">
        <v>-0.35539999999999999</v>
      </c>
      <c r="CF100" s="230">
        <v>16375625</v>
      </c>
      <c r="CG100" s="230">
        <v>9666125</v>
      </c>
      <c r="CH100" s="230">
        <v>6709500</v>
      </c>
      <c r="CI100" s="229">
        <v>0.69410000000000005</v>
      </c>
      <c r="CJ100" s="228">
        <v>0</v>
      </c>
      <c r="CK100" s="228">
        <v>0</v>
      </c>
      <c r="CL100" s="228">
        <v>0</v>
      </c>
      <c r="CM100" s="229">
        <v>0</v>
      </c>
      <c r="CN100" s="230">
        <v>25291875</v>
      </c>
      <c r="CO100" s="230">
        <v>26785500</v>
      </c>
      <c r="CP100" s="230">
        <v>-1493625</v>
      </c>
      <c r="CQ100" s="229">
        <v>-5.5800000000000002E-2</v>
      </c>
      <c r="CR100" s="230">
        <v>12241250</v>
      </c>
      <c r="CS100" s="230">
        <v>12049625</v>
      </c>
      <c r="CT100" s="230">
        <v>191625</v>
      </c>
      <c r="CU100" s="229">
        <v>1.5900000000000001E-2</v>
      </c>
      <c r="CV100" s="230">
        <v>63889875</v>
      </c>
      <c r="CW100" s="230">
        <v>63986125</v>
      </c>
      <c r="CX100" s="230">
        <v>-96250</v>
      </c>
      <c r="CY100" s="229">
        <v>-1.5E-3</v>
      </c>
      <c r="CZ100" s="228">
        <v>32.200000000000003</v>
      </c>
      <c r="DA100" s="228">
        <v>27.46</v>
      </c>
      <c r="DB100" s="228">
        <v>4.74</v>
      </c>
      <c r="DC100" s="228">
        <v>4.74</v>
      </c>
      <c r="DD100" s="228">
        <v>29.65</v>
      </c>
      <c r="DE100" s="228">
        <v>29.51</v>
      </c>
      <c r="DF100" s="228">
        <v>2.5499999999999998</v>
      </c>
      <c r="DG100" s="228">
        <v>0.14000000000000001</v>
      </c>
      <c r="DH100" s="228">
        <v>32.799999999999997</v>
      </c>
      <c r="DI100" s="228">
        <v>27.85</v>
      </c>
      <c r="DJ100" s="228">
        <v>4.95</v>
      </c>
      <c r="DK100" s="228">
        <v>4.95</v>
      </c>
      <c r="DL100" s="228">
        <v>31.1</v>
      </c>
      <c r="DM100" s="228">
        <v>26.43</v>
      </c>
      <c r="DN100" s="228">
        <v>4.67</v>
      </c>
      <c r="DO100" s="228">
        <v>4.67</v>
      </c>
      <c r="DP100" s="228">
        <v>0.48</v>
      </c>
      <c r="DQ100" s="228">
        <v>0.45</v>
      </c>
      <c r="DR100" s="228">
        <v>0.03</v>
      </c>
      <c r="DS100" s="229">
        <v>6.6699999999999995E-2</v>
      </c>
      <c r="DT100" s="228">
        <v>700</v>
      </c>
      <c r="DU100" s="228">
        <v>700</v>
      </c>
      <c r="DV100" s="228">
        <v>0.43</v>
      </c>
      <c r="DW100" s="228">
        <v>0.38</v>
      </c>
      <c r="DX100" s="228">
        <v>0.05</v>
      </c>
      <c r="DY100" s="229">
        <v>0.13159999999999999</v>
      </c>
      <c r="DZ100" s="229">
        <v>0.62129999999999996</v>
      </c>
      <c r="EA100" s="230">
        <v>9666125</v>
      </c>
      <c r="EB100" s="229">
        <v>-4.1700000000000001E-2</v>
      </c>
      <c r="EC100" s="229">
        <v>0.62129999999999996</v>
      </c>
      <c r="ED100" s="228">
        <v>-18.68</v>
      </c>
      <c r="EE100" s="229">
        <v>-2.9899999999999999E-2</v>
      </c>
      <c r="EF100" s="230">
        <v>634258</v>
      </c>
      <c r="EG100" s="230">
        <v>698356</v>
      </c>
      <c r="EH100" s="229">
        <v>-9.1800000000000007E-2</v>
      </c>
      <c r="EI100" s="229">
        <v>0.42059999999999997</v>
      </c>
      <c r="EJ100" s="231">
        <v>158445.06</v>
      </c>
      <c r="EK100" s="231">
        <v>67247.710000000006</v>
      </c>
      <c r="EL100" s="231">
        <v>145751.76999999999</v>
      </c>
      <c r="EM100" s="231">
        <v>10855</v>
      </c>
      <c r="EN100" s="231">
        <v>371444.54</v>
      </c>
      <c r="EO100" s="231">
        <v>378934.84</v>
      </c>
      <c r="EP100" s="231">
        <v>-7490.3</v>
      </c>
      <c r="EQ100" s="229">
        <v>-1.9800000000000002E-2</v>
      </c>
      <c r="ER100" s="231">
        <v>174407</v>
      </c>
      <c r="ES100" s="231">
        <v>79939</v>
      </c>
      <c r="ET100" s="231">
        <v>161820</v>
      </c>
      <c r="EU100" s="231">
        <v>32504261</v>
      </c>
      <c r="EV100" s="231">
        <v>416166</v>
      </c>
      <c r="EW100" s="231">
        <v>417994</v>
      </c>
      <c r="EX100" s="231">
        <v>-1828</v>
      </c>
      <c r="EY100" s="229">
        <v>-4.4000000000000003E-3</v>
      </c>
      <c r="EZ100" s="229">
        <v>1.9656</v>
      </c>
      <c r="FA100" s="227" t="s">
        <v>555</v>
      </c>
      <c r="FB100" s="161">
        <f t="shared" si="1"/>
        <v>16375625</v>
      </c>
    </row>
    <row r="101" spans="1:158" ht="17.25" hidden="1" thickBot="1" x14ac:dyDescent="0.3">
      <c r="A101" s="226">
        <v>46044</v>
      </c>
      <c r="B101" s="227" t="s">
        <v>175</v>
      </c>
      <c r="C101" s="227" t="s">
        <v>664</v>
      </c>
      <c r="D101" s="228">
        <v>3450</v>
      </c>
      <c r="E101" s="228">
        <v>130.29</v>
      </c>
      <c r="F101" s="228">
        <v>127.11</v>
      </c>
      <c r="G101" s="228">
        <v>3.18</v>
      </c>
      <c r="H101" s="229">
        <v>2.5000000000000001E-2</v>
      </c>
      <c r="I101" s="228">
        <v>129.93</v>
      </c>
      <c r="J101" s="228">
        <v>127.38</v>
      </c>
      <c r="K101" s="228">
        <v>2.5499999999999998</v>
      </c>
      <c r="L101" s="229">
        <v>0.02</v>
      </c>
      <c r="M101" s="228">
        <v>130.29</v>
      </c>
      <c r="N101" s="228">
        <v>127.11</v>
      </c>
      <c r="O101" s="228">
        <v>3.18</v>
      </c>
      <c r="P101" s="229">
        <v>2.5000000000000001E-2</v>
      </c>
      <c r="Q101" s="228">
        <v>125.73</v>
      </c>
      <c r="R101" s="228">
        <v>124.38</v>
      </c>
      <c r="S101" s="228">
        <v>1.35</v>
      </c>
      <c r="T101" s="229">
        <v>1.09E-2</v>
      </c>
      <c r="U101" s="228">
        <v>124.08</v>
      </c>
      <c r="V101" s="228">
        <v>123.89</v>
      </c>
      <c r="W101" s="228">
        <v>0.19</v>
      </c>
      <c r="X101" s="229">
        <v>1.5E-3</v>
      </c>
      <c r="Y101" s="228">
        <v>0.36</v>
      </c>
      <c r="Z101" s="228">
        <v>-0.27</v>
      </c>
      <c r="AA101" s="228">
        <v>0.63</v>
      </c>
      <c r="AB101" s="229">
        <v>2.8E-3</v>
      </c>
      <c r="AC101" s="228">
        <v>0.36</v>
      </c>
      <c r="AD101" s="228">
        <v>-0.27</v>
      </c>
      <c r="AE101" s="228">
        <v>0.63</v>
      </c>
      <c r="AF101" s="229">
        <v>2.8E-3</v>
      </c>
      <c r="AG101" s="228">
        <v>-4.2</v>
      </c>
      <c r="AH101" s="228">
        <v>-3</v>
      </c>
      <c r="AI101" s="228">
        <v>-1.2</v>
      </c>
      <c r="AJ101" s="229">
        <v>-3.2300000000000002E-2</v>
      </c>
      <c r="AK101" s="228">
        <v>-5.85</v>
      </c>
      <c r="AL101" s="228">
        <v>-3.49</v>
      </c>
      <c r="AM101" s="228">
        <v>-2.36</v>
      </c>
      <c r="AN101" s="229">
        <v>-4.4999999999999998E-2</v>
      </c>
      <c r="AO101" s="228">
        <v>130.22</v>
      </c>
      <c r="AP101" s="228">
        <v>126.44</v>
      </c>
      <c r="AQ101" s="228">
        <v>0</v>
      </c>
      <c r="AR101" s="230">
        <v>67961550</v>
      </c>
      <c r="AS101" s="230">
        <v>46416300</v>
      </c>
      <c r="AT101" s="230">
        <v>21545250</v>
      </c>
      <c r="AU101" s="229">
        <v>0.4642</v>
      </c>
      <c r="AV101" s="230">
        <v>32554200</v>
      </c>
      <c r="AW101" s="230">
        <v>24091350</v>
      </c>
      <c r="AX101" s="230">
        <v>8462850</v>
      </c>
      <c r="AY101" s="229">
        <v>0.3513</v>
      </c>
      <c r="AZ101" s="230">
        <v>33778950</v>
      </c>
      <c r="BA101" s="230">
        <v>21545250</v>
      </c>
      <c r="BB101" s="230">
        <v>12233700</v>
      </c>
      <c r="BC101" s="229">
        <v>0.56779999999999997</v>
      </c>
      <c r="BD101" s="230">
        <v>1628400</v>
      </c>
      <c r="BE101" s="230">
        <v>779700</v>
      </c>
      <c r="BF101" s="230">
        <v>848700</v>
      </c>
      <c r="BG101" s="229">
        <v>1.0885</v>
      </c>
      <c r="BH101" s="230">
        <v>51712050</v>
      </c>
      <c r="BI101" s="230">
        <v>63552450</v>
      </c>
      <c r="BJ101" s="230">
        <v>-11840400</v>
      </c>
      <c r="BK101" s="229">
        <v>-0.18629999999999999</v>
      </c>
      <c r="BL101" s="230">
        <v>17205150</v>
      </c>
      <c r="BM101" s="230">
        <v>27862200</v>
      </c>
      <c r="BN101" s="230">
        <v>-10657050</v>
      </c>
      <c r="BO101" s="229">
        <v>-0.38250000000000001</v>
      </c>
      <c r="BP101" s="230">
        <v>136878750</v>
      </c>
      <c r="BQ101" s="230">
        <v>137830950</v>
      </c>
      <c r="BR101" s="230">
        <v>-952200</v>
      </c>
      <c r="BS101" s="229">
        <v>-6.8999999999999999E-3</v>
      </c>
      <c r="BT101" s="230">
        <v>9422162</v>
      </c>
      <c r="BU101" s="230">
        <v>14450263</v>
      </c>
      <c r="BV101" s="230">
        <v>-5028101</v>
      </c>
      <c r="BW101" s="229">
        <v>-0.34799999999999998</v>
      </c>
      <c r="BX101" s="230">
        <v>72198150</v>
      </c>
      <c r="BY101" s="230">
        <v>81075000</v>
      </c>
      <c r="BZ101" s="230">
        <v>-8876850</v>
      </c>
      <c r="CA101" s="229">
        <v>-0.1095</v>
      </c>
      <c r="CB101" s="230">
        <v>24139650</v>
      </c>
      <c r="CC101" s="230">
        <v>45512400</v>
      </c>
      <c r="CD101" s="230">
        <v>-21372750</v>
      </c>
      <c r="CE101" s="229">
        <v>-0.46960000000000002</v>
      </c>
      <c r="CF101" s="230">
        <v>43918500</v>
      </c>
      <c r="CG101" s="230">
        <v>31919400</v>
      </c>
      <c r="CH101" s="230">
        <v>11999100</v>
      </c>
      <c r="CI101" s="229">
        <v>0.37590000000000001</v>
      </c>
      <c r="CJ101" s="230">
        <v>4140000</v>
      </c>
      <c r="CK101" s="230">
        <v>3643200</v>
      </c>
      <c r="CL101" s="230">
        <v>496800</v>
      </c>
      <c r="CM101" s="229">
        <v>0.13639999999999999</v>
      </c>
      <c r="CN101" s="230">
        <v>57984150</v>
      </c>
      <c r="CO101" s="230">
        <v>64414950</v>
      </c>
      <c r="CP101" s="230">
        <v>-6430800</v>
      </c>
      <c r="CQ101" s="229">
        <v>-9.98E-2</v>
      </c>
      <c r="CR101" s="230">
        <v>29224950</v>
      </c>
      <c r="CS101" s="230">
        <v>29397450</v>
      </c>
      <c r="CT101" s="230">
        <v>-172500</v>
      </c>
      <c r="CU101" s="229">
        <v>-5.8999999999999999E-3</v>
      </c>
      <c r="CV101" s="230">
        <v>159407250</v>
      </c>
      <c r="CW101" s="230">
        <v>174887400</v>
      </c>
      <c r="CX101" s="230">
        <v>-15480150</v>
      </c>
      <c r="CY101" s="229">
        <v>-8.8499999999999995E-2</v>
      </c>
      <c r="CZ101" s="228">
        <v>41.93</v>
      </c>
      <c r="DA101" s="228">
        <v>42.27</v>
      </c>
      <c r="DB101" s="228">
        <v>-0.34</v>
      </c>
      <c r="DC101" s="228">
        <v>-0.34</v>
      </c>
      <c r="DD101" s="228">
        <v>48.43</v>
      </c>
      <c r="DE101" s="228">
        <v>48.44</v>
      </c>
      <c r="DF101" s="228">
        <v>-6.5</v>
      </c>
      <c r="DG101" s="228">
        <v>-0.01</v>
      </c>
      <c r="DH101" s="228">
        <v>42.5</v>
      </c>
      <c r="DI101" s="228">
        <v>44.09</v>
      </c>
      <c r="DJ101" s="228">
        <v>-1.59</v>
      </c>
      <c r="DK101" s="228">
        <v>-1.59</v>
      </c>
      <c r="DL101" s="228">
        <v>40.409999999999997</v>
      </c>
      <c r="DM101" s="228">
        <v>38.119999999999997</v>
      </c>
      <c r="DN101" s="228">
        <v>2.29</v>
      </c>
      <c r="DO101" s="228">
        <v>2.29</v>
      </c>
      <c r="DP101" s="228">
        <v>0.5</v>
      </c>
      <c r="DQ101" s="228">
        <v>0.46</v>
      </c>
      <c r="DR101" s="228">
        <v>0.04</v>
      </c>
      <c r="DS101" s="229">
        <v>8.6999999999999994E-2</v>
      </c>
      <c r="DT101" s="228">
        <v>150</v>
      </c>
      <c r="DU101" s="228">
        <v>140</v>
      </c>
      <c r="DV101" s="228">
        <v>0.33</v>
      </c>
      <c r="DW101" s="228">
        <v>0.44</v>
      </c>
      <c r="DX101" s="228">
        <v>-0.11</v>
      </c>
      <c r="DY101" s="229">
        <v>-0.25</v>
      </c>
      <c r="DZ101" s="229">
        <v>0.66559999999999997</v>
      </c>
      <c r="EA101" s="230">
        <v>35562600</v>
      </c>
      <c r="EB101" s="229">
        <v>-3.5000000000000003E-2</v>
      </c>
      <c r="EC101" s="229">
        <v>0.66559999999999997</v>
      </c>
      <c r="ED101" s="228">
        <v>-3.78</v>
      </c>
      <c r="EE101" s="229">
        <v>-2.9000000000000001E-2</v>
      </c>
      <c r="EF101" s="230">
        <v>3696582</v>
      </c>
      <c r="EG101" s="230">
        <v>3863955</v>
      </c>
      <c r="EH101" s="229">
        <v>-4.3299999999999998E-2</v>
      </c>
      <c r="EI101" s="229">
        <v>0.39229999999999998</v>
      </c>
      <c r="EJ101" s="231">
        <v>72103.429999999993</v>
      </c>
      <c r="EK101" s="231">
        <v>22893.52</v>
      </c>
      <c r="EL101" s="231">
        <v>87134.91</v>
      </c>
      <c r="EM101" s="231">
        <v>8892</v>
      </c>
      <c r="EN101" s="231">
        <v>182131.86</v>
      </c>
      <c r="EO101" s="231">
        <v>183652.38</v>
      </c>
      <c r="EP101" s="231">
        <v>-1520.52</v>
      </c>
      <c r="EQ101" s="229">
        <v>-8.3000000000000001E-3</v>
      </c>
      <c r="ER101" s="231">
        <v>83876</v>
      </c>
      <c r="ES101" s="231">
        <v>39359</v>
      </c>
      <c r="ET101" s="231">
        <v>91807</v>
      </c>
      <c r="EU101" s="231">
        <v>119011160</v>
      </c>
      <c r="EV101" s="231">
        <v>215043</v>
      </c>
      <c r="EW101" s="231">
        <v>234917</v>
      </c>
      <c r="EX101" s="231">
        <v>-19874</v>
      </c>
      <c r="EY101" s="229">
        <v>-8.4599999999999995E-2</v>
      </c>
      <c r="EZ101" s="229">
        <v>1.3393999999999999</v>
      </c>
      <c r="FA101" s="227" t="s">
        <v>556</v>
      </c>
      <c r="FB101" s="161">
        <f t="shared" si="1"/>
        <v>48058500</v>
      </c>
    </row>
    <row r="102" spans="1:158" ht="17.25" hidden="1" thickBot="1" x14ac:dyDescent="0.3">
      <c r="A102" s="226">
        <v>46044</v>
      </c>
      <c r="B102" s="227" t="s">
        <v>215</v>
      </c>
      <c r="C102" s="227" t="s">
        <v>592</v>
      </c>
      <c r="D102" s="228">
        <v>4250</v>
      </c>
      <c r="E102" s="228">
        <v>117.37</v>
      </c>
      <c r="F102" s="228">
        <v>115.27</v>
      </c>
      <c r="G102" s="228">
        <v>2.1</v>
      </c>
      <c r="H102" s="229">
        <v>1.8200000000000001E-2</v>
      </c>
      <c r="I102" s="228">
        <v>117.02</v>
      </c>
      <c r="J102" s="228">
        <v>115.14</v>
      </c>
      <c r="K102" s="228">
        <v>1.88</v>
      </c>
      <c r="L102" s="229">
        <v>1.6299999999999999E-2</v>
      </c>
      <c r="M102" s="228">
        <v>117.37</v>
      </c>
      <c r="N102" s="228">
        <v>115.27</v>
      </c>
      <c r="O102" s="228">
        <v>2.1</v>
      </c>
      <c r="P102" s="229">
        <v>1.8200000000000001E-2</v>
      </c>
      <c r="Q102" s="228">
        <v>117.09</v>
      </c>
      <c r="R102" s="228">
        <v>115.15</v>
      </c>
      <c r="S102" s="228">
        <v>1.94</v>
      </c>
      <c r="T102" s="229">
        <v>1.6799999999999999E-2</v>
      </c>
      <c r="U102" s="228">
        <v>117.29</v>
      </c>
      <c r="V102" s="228">
        <v>115.36</v>
      </c>
      <c r="W102" s="228">
        <v>1.93</v>
      </c>
      <c r="X102" s="229">
        <v>1.67E-2</v>
      </c>
      <c r="Y102" s="228">
        <v>0.35</v>
      </c>
      <c r="Z102" s="228">
        <v>0.13</v>
      </c>
      <c r="AA102" s="228">
        <v>0.22</v>
      </c>
      <c r="AB102" s="229">
        <v>3.0000000000000001E-3</v>
      </c>
      <c r="AC102" s="228">
        <v>0.35</v>
      </c>
      <c r="AD102" s="228">
        <v>0.13</v>
      </c>
      <c r="AE102" s="228">
        <v>0.22</v>
      </c>
      <c r="AF102" s="229">
        <v>3.0000000000000001E-3</v>
      </c>
      <c r="AG102" s="228">
        <v>7.0000000000000007E-2</v>
      </c>
      <c r="AH102" s="228">
        <v>0.01</v>
      </c>
      <c r="AI102" s="228">
        <v>0.06</v>
      </c>
      <c r="AJ102" s="229">
        <v>5.9999999999999995E-4</v>
      </c>
      <c r="AK102" s="228">
        <v>0.27</v>
      </c>
      <c r="AL102" s="228">
        <v>0.22</v>
      </c>
      <c r="AM102" s="228">
        <v>0.05</v>
      </c>
      <c r="AN102" s="229">
        <v>2.3E-3</v>
      </c>
      <c r="AO102" s="228">
        <v>117.14</v>
      </c>
      <c r="AP102" s="228">
        <v>116.93</v>
      </c>
      <c r="AQ102" s="228">
        <v>0</v>
      </c>
      <c r="AR102" s="230">
        <v>56125500</v>
      </c>
      <c r="AS102" s="230">
        <v>50383750</v>
      </c>
      <c r="AT102" s="230">
        <v>5741750</v>
      </c>
      <c r="AU102" s="229">
        <v>0.114</v>
      </c>
      <c r="AV102" s="230">
        <v>27714250</v>
      </c>
      <c r="AW102" s="230">
        <v>27986250</v>
      </c>
      <c r="AX102" s="230">
        <v>-272000</v>
      </c>
      <c r="AY102" s="229">
        <v>-9.7000000000000003E-3</v>
      </c>
      <c r="AZ102" s="230">
        <v>27591000</v>
      </c>
      <c r="BA102" s="230">
        <v>21709000</v>
      </c>
      <c r="BB102" s="230">
        <v>5882000</v>
      </c>
      <c r="BC102" s="229">
        <v>0.27089999999999997</v>
      </c>
      <c r="BD102" s="230">
        <v>820250</v>
      </c>
      <c r="BE102" s="230">
        <v>688500</v>
      </c>
      <c r="BF102" s="230">
        <v>131750</v>
      </c>
      <c r="BG102" s="229">
        <v>0.19139999999999999</v>
      </c>
      <c r="BH102" s="230">
        <v>188164500</v>
      </c>
      <c r="BI102" s="230">
        <v>172265250</v>
      </c>
      <c r="BJ102" s="230">
        <v>15899250</v>
      </c>
      <c r="BK102" s="229">
        <v>9.2299999999999993E-2</v>
      </c>
      <c r="BL102" s="230">
        <v>37693250</v>
      </c>
      <c r="BM102" s="230">
        <v>52066750</v>
      </c>
      <c r="BN102" s="230">
        <v>-14373500</v>
      </c>
      <c r="BO102" s="229">
        <v>-0.27610000000000001</v>
      </c>
      <c r="BP102" s="230">
        <v>281983250</v>
      </c>
      <c r="BQ102" s="230">
        <v>274715750</v>
      </c>
      <c r="BR102" s="230">
        <v>7267500</v>
      </c>
      <c r="BS102" s="229">
        <v>2.6499999999999999E-2</v>
      </c>
      <c r="BT102" s="230">
        <v>19429321</v>
      </c>
      <c r="BU102" s="230">
        <v>27062883</v>
      </c>
      <c r="BV102" s="230">
        <v>-7633562</v>
      </c>
      <c r="BW102" s="229">
        <v>-0.28210000000000002</v>
      </c>
      <c r="BX102" s="230">
        <v>67039500</v>
      </c>
      <c r="BY102" s="230">
        <v>73860750</v>
      </c>
      <c r="BZ102" s="230">
        <v>-6821250</v>
      </c>
      <c r="CA102" s="229">
        <v>-9.2399999999999996E-2</v>
      </c>
      <c r="CB102" s="230">
        <v>28764000</v>
      </c>
      <c r="CC102" s="230">
        <v>45020250</v>
      </c>
      <c r="CD102" s="230">
        <v>-16256250</v>
      </c>
      <c r="CE102" s="229">
        <v>-0.36109999999999998</v>
      </c>
      <c r="CF102" s="230">
        <v>36533000</v>
      </c>
      <c r="CG102" s="230">
        <v>27306250</v>
      </c>
      <c r="CH102" s="230">
        <v>9226750</v>
      </c>
      <c r="CI102" s="229">
        <v>0.33789999999999998</v>
      </c>
      <c r="CJ102" s="230">
        <v>1742500</v>
      </c>
      <c r="CK102" s="230">
        <v>1534250</v>
      </c>
      <c r="CL102" s="230">
        <v>208250</v>
      </c>
      <c r="CM102" s="229">
        <v>0.13569999999999999</v>
      </c>
      <c r="CN102" s="230">
        <v>116836750</v>
      </c>
      <c r="CO102" s="230">
        <v>116968500</v>
      </c>
      <c r="CP102" s="230">
        <v>-131750</v>
      </c>
      <c r="CQ102" s="229">
        <v>-1.1000000000000001E-3</v>
      </c>
      <c r="CR102" s="230">
        <v>42772000</v>
      </c>
      <c r="CS102" s="230">
        <v>42423500</v>
      </c>
      <c r="CT102" s="230">
        <v>348500</v>
      </c>
      <c r="CU102" s="229">
        <v>8.2000000000000007E-3</v>
      </c>
      <c r="CV102" s="230">
        <v>226648250</v>
      </c>
      <c r="CW102" s="230">
        <v>233252750</v>
      </c>
      <c r="CX102" s="230">
        <v>-6604500</v>
      </c>
      <c r="CY102" s="229">
        <v>-2.8299999999999999E-2</v>
      </c>
      <c r="CZ102" s="228">
        <v>42.66</v>
      </c>
      <c r="DA102" s="228">
        <v>36.770000000000003</v>
      </c>
      <c r="DB102" s="228">
        <v>5.89</v>
      </c>
      <c r="DC102" s="228">
        <v>5.89</v>
      </c>
      <c r="DD102" s="228">
        <v>45.17</v>
      </c>
      <c r="DE102" s="228">
        <v>45.22</v>
      </c>
      <c r="DF102" s="228">
        <v>-2.5099999999999998</v>
      </c>
      <c r="DG102" s="228">
        <v>-0.05</v>
      </c>
      <c r="DH102" s="228">
        <v>42.94</v>
      </c>
      <c r="DI102" s="228">
        <v>38.21</v>
      </c>
      <c r="DJ102" s="228">
        <v>4.7300000000000004</v>
      </c>
      <c r="DK102" s="228">
        <v>4.7300000000000004</v>
      </c>
      <c r="DL102" s="228">
        <v>41.65</v>
      </c>
      <c r="DM102" s="228">
        <v>31.99</v>
      </c>
      <c r="DN102" s="228">
        <v>9.66</v>
      </c>
      <c r="DO102" s="228">
        <v>9.66</v>
      </c>
      <c r="DP102" s="228">
        <v>0.37</v>
      </c>
      <c r="DQ102" s="228">
        <v>0.36</v>
      </c>
      <c r="DR102" s="228">
        <v>0.01</v>
      </c>
      <c r="DS102" s="229">
        <v>2.7799999999999998E-2</v>
      </c>
      <c r="DT102" s="228">
        <v>130</v>
      </c>
      <c r="DU102" s="228">
        <v>115</v>
      </c>
      <c r="DV102" s="228">
        <v>0.2</v>
      </c>
      <c r="DW102" s="228">
        <v>0.3</v>
      </c>
      <c r="DX102" s="228">
        <v>-0.1</v>
      </c>
      <c r="DY102" s="229">
        <v>-0.33329999999999999</v>
      </c>
      <c r="DZ102" s="229">
        <v>0.57089999999999996</v>
      </c>
      <c r="EA102" s="230">
        <v>28840500</v>
      </c>
      <c r="EB102" s="229">
        <v>-2.3999999999999998E-3</v>
      </c>
      <c r="EC102" s="229">
        <v>0.57089999999999996</v>
      </c>
      <c r="ED102" s="228">
        <v>-0.21</v>
      </c>
      <c r="EE102" s="229">
        <v>-1.8E-3</v>
      </c>
      <c r="EF102" s="230">
        <v>4633127</v>
      </c>
      <c r="EG102" s="230">
        <v>6245897</v>
      </c>
      <c r="EH102" s="229">
        <v>-0.25819999999999999</v>
      </c>
      <c r="EI102" s="229">
        <v>0.23849999999999999</v>
      </c>
      <c r="EJ102" s="231">
        <v>234123.61</v>
      </c>
      <c r="EK102" s="231">
        <v>44563.59</v>
      </c>
      <c r="EL102" s="231">
        <v>65687.149999999994</v>
      </c>
      <c r="EM102" s="231">
        <v>9263</v>
      </c>
      <c r="EN102" s="231">
        <v>344374.35</v>
      </c>
      <c r="EO102" s="231">
        <v>331465.14</v>
      </c>
      <c r="EP102" s="231">
        <v>12909.21</v>
      </c>
      <c r="EQ102" s="229">
        <v>3.8899999999999997E-2</v>
      </c>
      <c r="ER102" s="231">
        <v>153373</v>
      </c>
      <c r="ES102" s="231">
        <v>50963</v>
      </c>
      <c r="ET102" s="231">
        <v>78581</v>
      </c>
      <c r="EU102" s="231">
        <v>200960551</v>
      </c>
      <c r="EV102" s="231">
        <v>282917</v>
      </c>
      <c r="EW102" s="231">
        <v>289237</v>
      </c>
      <c r="EX102" s="231">
        <v>-6320</v>
      </c>
      <c r="EY102" s="229">
        <v>-2.1899999999999999E-2</v>
      </c>
      <c r="EZ102" s="229">
        <v>1.1277999999999999</v>
      </c>
      <c r="FA102" s="227" t="s">
        <v>556</v>
      </c>
      <c r="FB102" s="161">
        <f t="shared" si="1"/>
        <v>38275500</v>
      </c>
    </row>
    <row r="103" spans="1:158" ht="17.25" hidden="1" thickBot="1" x14ac:dyDescent="0.3">
      <c r="A103" s="226">
        <v>46044</v>
      </c>
      <c r="B103" s="227" t="s">
        <v>168</v>
      </c>
      <c r="C103" s="227" t="s">
        <v>242</v>
      </c>
      <c r="D103" s="228">
        <v>1600</v>
      </c>
      <c r="E103" s="228">
        <v>325.25</v>
      </c>
      <c r="F103" s="228">
        <v>324.85000000000002</v>
      </c>
      <c r="G103" s="228">
        <v>0.4</v>
      </c>
      <c r="H103" s="229">
        <v>1.1999999999999999E-3</v>
      </c>
      <c r="I103" s="228">
        <v>324.85000000000002</v>
      </c>
      <c r="J103" s="228">
        <v>324.75</v>
      </c>
      <c r="K103" s="228">
        <v>0.1</v>
      </c>
      <c r="L103" s="229">
        <v>2.9999999999999997E-4</v>
      </c>
      <c r="M103" s="228">
        <v>325.25</v>
      </c>
      <c r="N103" s="228">
        <v>324.85000000000002</v>
      </c>
      <c r="O103" s="228">
        <v>0.4</v>
      </c>
      <c r="P103" s="229">
        <v>1.1999999999999999E-3</v>
      </c>
      <c r="Q103" s="228">
        <v>326.05</v>
      </c>
      <c r="R103" s="228">
        <v>325.7</v>
      </c>
      <c r="S103" s="228">
        <v>0.35</v>
      </c>
      <c r="T103" s="229">
        <v>1.1000000000000001E-3</v>
      </c>
      <c r="U103" s="228">
        <v>328.35</v>
      </c>
      <c r="V103" s="228">
        <v>327.75</v>
      </c>
      <c r="W103" s="228">
        <v>0.6</v>
      </c>
      <c r="X103" s="229">
        <v>1.8E-3</v>
      </c>
      <c r="Y103" s="228">
        <v>0.4</v>
      </c>
      <c r="Z103" s="228">
        <v>0.1</v>
      </c>
      <c r="AA103" s="228">
        <v>0.3</v>
      </c>
      <c r="AB103" s="229">
        <v>1.1999999999999999E-3</v>
      </c>
      <c r="AC103" s="228">
        <v>0.4</v>
      </c>
      <c r="AD103" s="228">
        <v>0.1</v>
      </c>
      <c r="AE103" s="228">
        <v>0.3</v>
      </c>
      <c r="AF103" s="229">
        <v>1.1999999999999999E-3</v>
      </c>
      <c r="AG103" s="228">
        <v>1.2</v>
      </c>
      <c r="AH103" s="228">
        <v>0.95</v>
      </c>
      <c r="AI103" s="228">
        <v>0.25</v>
      </c>
      <c r="AJ103" s="229">
        <v>3.7000000000000002E-3</v>
      </c>
      <c r="AK103" s="228">
        <v>3.5</v>
      </c>
      <c r="AL103" s="228">
        <v>3</v>
      </c>
      <c r="AM103" s="228">
        <v>0.5</v>
      </c>
      <c r="AN103" s="229">
        <v>1.0800000000000001E-2</v>
      </c>
      <c r="AO103" s="228">
        <v>325.37</v>
      </c>
      <c r="AP103" s="228">
        <v>326.12</v>
      </c>
      <c r="AQ103" s="228">
        <v>0</v>
      </c>
      <c r="AR103" s="230">
        <v>95824000</v>
      </c>
      <c r="AS103" s="230">
        <v>61683200</v>
      </c>
      <c r="AT103" s="230">
        <v>34140800</v>
      </c>
      <c r="AU103" s="229">
        <v>0.55349999999999999</v>
      </c>
      <c r="AV103" s="230">
        <v>50081600</v>
      </c>
      <c r="AW103" s="230">
        <v>36248000</v>
      </c>
      <c r="AX103" s="230">
        <v>13833600</v>
      </c>
      <c r="AY103" s="229">
        <v>0.38159999999999999</v>
      </c>
      <c r="AZ103" s="230">
        <v>44409600</v>
      </c>
      <c r="BA103" s="230">
        <v>24392000</v>
      </c>
      <c r="BB103" s="230">
        <v>20017600</v>
      </c>
      <c r="BC103" s="229">
        <v>0.82069999999999999</v>
      </c>
      <c r="BD103" s="230">
        <v>1332800</v>
      </c>
      <c r="BE103" s="230">
        <v>1043200</v>
      </c>
      <c r="BF103" s="230">
        <v>289600</v>
      </c>
      <c r="BG103" s="229">
        <v>0.27760000000000001</v>
      </c>
      <c r="BH103" s="230">
        <v>248382400</v>
      </c>
      <c r="BI103" s="230">
        <v>249409600</v>
      </c>
      <c r="BJ103" s="230">
        <v>-1027200</v>
      </c>
      <c r="BK103" s="229">
        <v>-4.1000000000000003E-3</v>
      </c>
      <c r="BL103" s="230">
        <v>171132800</v>
      </c>
      <c r="BM103" s="230">
        <v>125856000</v>
      </c>
      <c r="BN103" s="230">
        <v>45276800</v>
      </c>
      <c r="BO103" s="229">
        <v>0.35980000000000001</v>
      </c>
      <c r="BP103" s="230">
        <v>515339200</v>
      </c>
      <c r="BQ103" s="230">
        <v>436948800</v>
      </c>
      <c r="BR103" s="230">
        <v>78390400</v>
      </c>
      <c r="BS103" s="229">
        <v>0.1794</v>
      </c>
      <c r="BT103" s="230">
        <v>19376312</v>
      </c>
      <c r="BU103" s="230">
        <v>15479938</v>
      </c>
      <c r="BV103" s="230">
        <v>3896374</v>
      </c>
      <c r="BW103" s="229">
        <v>0.25169999999999998</v>
      </c>
      <c r="BX103" s="230">
        <v>238308800</v>
      </c>
      <c r="BY103" s="230">
        <v>249748800</v>
      </c>
      <c r="BZ103" s="230">
        <v>-11440000</v>
      </c>
      <c r="CA103" s="229">
        <v>-4.58E-2</v>
      </c>
      <c r="CB103" s="230">
        <v>148833600</v>
      </c>
      <c r="CC103" s="230">
        <v>180843200</v>
      </c>
      <c r="CD103" s="230">
        <v>-32009600</v>
      </c>
      <c r="CE103" s="229">
        <v>-0.17699999999999999</v>
      </c>
      <c r="CF103" s="230">
        <v>80040000</v>
      </c>
      <c r="CG103" s="230">
        <v>59881600</v>
      </c>
      <c r="CH103" s="230">
        <v>20158400</v>
      </c>
      <c r="CI103" s="229">
        <v>0.33660000000000001</v>
      </c>
      <c r="CJ103" s="230">
        <v>9435200</v>
      </c>
      <c r="CK103" s="230">
        <v>9024000</v>
      </c>
      <c r="CL103" s="230">
        <v>411200</v>
      </c>
      <c r="CM103" s="229">
        <v>4.5600000000000002E-2</v>
      </c>
      <c r="CN103" s="230">
        <v>292944000</v>
      </c>
      <c r="CO103" s="230">
        <v>309920000</v>
      </c>
      <c r="CP103" s="230">
        <v>-16976000</v>
      </c>
      <c r="CQ103" s="229">
        <v>-5.4800000000000001E-2</v>
      </c>
      <c r="CR103" s="230">
        <v>117958400</v>
      </c>
      <c r="CS103" s="230">
        <v>118017600</v>
      </c>
      <c r="CT103" s="230">
        <v>-59200</v>
      </c>
      <c r="CU103" s="229">
        <v>-5.0000000000000001E-4</v>
      </c>
      <c r="CV103" s="230">
        <v>649211200</v>
      </c>
      <c r="CW103" s="230">
        <v>677686400</v>
      </c>
      <c r="CX103" s="230">
        <v>-28475200</v>
      </c>
      <c r="CY103" s="229">
        <v>-4.2000000000000003E-2</v>
      </c>
      <c r="CZ103" s="228">
        <v>27.25</v>
      </c>
      <c r="DA103" s="228">
        <v>22.9</v>
      </c>
      <c r="DB103" s="228">
        <v>4.3499999999999996</v>
      </c>
      <c r="DC103" s="228">
        <v>4.3499999999999996</v>
      </c>
      <c r="DD103" s="228">
        <v>23.21</v>
      </c>
      <c r="DE103" s="228">
        <v>23.27</v>
      </c>
      <c r="DF103" s="228">
        <v>4.04</v>
      </c>
      <c r="DG103" s="228">
        <v>-0.06</v>
      </c>
      <c r="DH103" s="228">
        <v>27.45</v>
      </c>
      <c r="DI103" s="228">
        <v>23.86</v>
      </c>
      <c r="DJ103" s="228">
        <v>3.59</v>
      </c>
      <c r="DK103" s="228">
        <v>3.59</v>
      </c>
      <c r="DL103" s="228">
        <v>26.99</v>
      </c>
      <c r="DM103" s="228">
        <v>21</v>
      </c>
      <c r="DN103" s="228">
        <v>5.99</v>
      </c>
      <c r="DO103" s="228">
        <v>5.99</v>
      </c>
      <c r="DP103" s="228">
        <v>0.4</v>
      </c>
      <c r="DQ103" s="228">
        <v>0.38</v>
      </c>
      <c r="DR103" s="228">
        <v>0.02</v>
      </c>
      <c r="DS103" s="229">
        <v>5.2600000000000001E-2</v>
      </c>
      <c r="DT103" s="228">
        <v>350</v>
      </c>
      <c r="DU103" s="228">
        <v>350</v>
      </c>
      <c r="DV103" s="228">
        <v>0.69</v>
      </c>
      <c r="DW103" s="228">
        <v>0.5</v>
      </c>
      <c r="DX103" s="228">
        <v>0.19</v>
      </c>
      <c r="DY103" s="229">
        <v>0.38</v>
      </c>
      <c r="DZ103" s="229">
        <v>0.3755</v>
      </c>
      <c r="EA103" s="230">
        <v>68905600</v>
      </c>
      <c r="EB103" s="229">
        <v>2.5000000000000001E-3</v>
      </c>
      <c r="EC103" s="229">
        <v>0.3755</v>
      </c>
      <c r="ED103" s="228">
        <v>0.75</v>
      </c>
      <c r="EE103" s="229">
        <v>2.3E-3</v>
      </c>
      <c r="EF103" s="230">
        <v>10973099</v>
      </c>
      <c r="EG103" s="230">
        <v>8733648</v>
      </c>
      <c r="EH103" s="229">
        <v>0.25640000000000002</v>
      </c>
      <c r="EI103" s="229">
        <v>0.56630000000000003</v>
      </c>
      <c r="EJ103" s="231">
        <v>854855.09</v>
      </c>
      <c r="EK103" s="231">
        <v>559877.69999999995</v>
      </c>
      <c r="EL103" s="231">
        <v>312159.34000000003</v>
      </c>
      <c r="EM103" s="231">
        <v>26042</v>
      </c>
      <c r="EN103" s="231">
        <v>1726892.13</v>
      </c>
      <c r="EO103" s="231">
        <v>1487250.14</v>
      </c>
      <c r="EP103" s="231">
        <v>239641.99</v>
      </c>
      <c r="EQ103" s="229">
        <v>0.16109999999999999</v>
      </c>
      <c r="ER103" s="231">
        <v>1073602</v>
      </c>
      <c r="ES103" s="231">
        <v>409747</v>
      </c>
      <c r="ET103" s="231">
        <v>776032</v>
      </c>
      <c r="EU103" s="231">
        <v>1252401670</v>
      </c>
      <c r="EV103" s="231">
        <v>2259382</v>
      </c>
      <c r="EW103" s="231">
        <v>2361779</v>
      </c>
      <c r="EX103" s="231">
        <v>-102397</v>
      </c>
      <c r="EY103" s="229">
        <v>-4.3400000000000001E-2</v>
      </c>
      <c r="EZ103" s="229">
        <v>0.51839999999999997</v>
      </c>
      <c r="FA103" s="227" t="s">
        <v>556</v>
      </c>
      <c r="FB103" s="161">
        <f t="shared" si="1"/>
        <v>89475200</v>
      </c>
    </row>
    <row r="104" spans="1:158" ht="17.25" hidden="1" thickBot="1" x14ac:dyDescent="0.3">
      <c r="A104" s="226">
        <v>46044</v>
      </c>
      <c r="B104" s="227" t="s">
        <v>227</v>
      </c>
      <c r="C104" s="227" t="s">
        <v>243</v>
      </c>
      <c r="D104" s="228">
        <v>625</v>
      </c>
      <c r="E104" s="231">
        <v>1075.5999999999999</v>
      </c>
      <c r="F104" s="231">
        <v>1041.4000000000001</v>
      </c>
      <c r="G104" s="228">
        <v>34.200000000000003</v>
      </c>
      <c r="H104" s="229">
        <v>3.2800000000000003E-2</v>
      </c>
      <c r="I104" s="231">
        <v>1076</v>
      </c>
      <c r="J104" s="231">
        <v>1041.4000000000001</v>
      </c>
      <c r="K104" s="228">
        <v>34.6</v>
      </c>
      <c r="L104" s="229">
        <v>3.32E-2</v>
      </c>
      <c r="M104" s="231">
        <v>1075.5999999999999</v>
      </c>
      <c r="N104" s="231">
        <v>1041.4000000000001</v>
      </c>
      <c r="O104" s="228">
        <v>34.200000000000003</v>
      </c>
      <c r="P104" s="229">
        <v>3.2800000000000003E-2</v>
      </c>
      <c r="Q104" s="231">
        <v>1080.7</v>
      </c>
      <c r="R104" s="231">
        <v>1046.9000000000001</v>
      </c>
      <c r="S104" s="228">
        <v>33.799999999999997</v>
      </c>
      <c r="T104" s="229">
        <v>3.2300000000000002E-2</v>
      </c>
      <c r="U104" s="231">
        <v>1088.0999999999999</v>
      </c>
      <c r="V104" s="231">
        <v>1055.8</v>
      </c>
      <c r="W104" s="228">
        <v>32.299999999999997</v>
      </c>
      <c r="X104" s="229">
        <v>3.0599999999999999E-2</v>
      </c>
      <c r="Y104" s="228">
        <v>-0.4</v>
      </c>
      <c r="Z104" s="228">
        <v>0</v>
      </c>
      <c r="AA104" s="228">
        <v>-0.4</v>
      </c>
      <c r="AB104" s="229">
        <v>-4.0000000000000002E-4</v>
      </c>
      <c r="AC104" s="228">
        <v>-0.4</v>
      </c>
      <c r="AD104" s="228">
        <v>0</v>
      </c>
      <c r="AE104" s="228">
        <v>-0.4</v>
      </c>
      <c r="AF104" s="229">
        <v>-4.0000000000000002E-4</v>
      </c>
      <c r="AG104" s="228">
        <v>4.7</v>
      </c>
      <c r="AH104" s="228">
        <v>5.5</v>
      </c>
      <c r="AI104" s="228">
        <v>-0.8</v>
      </c>
      <c r="AJ104" s="229">
        <v>4.4000000000000003E-3</v>
      </c>
      <c r="AK104" s="228">
        <v>12.1</v>
      </c>
      <c r="AL104" s="228">
        <v>14.4</v>
      </c>
      <c r="AM104" s="228">
        <v>-2.2999999999999998</v>
      </c>
      <c r="AN104" s="229">
        <v>1.12E-2</v>
      </c>
      <c r="AO104" s="231">
        <v>1069.99</v>
      </c>
      <c r="AP104" s="231">
        <v>1075.7</v>
      </c>
      <c r="AQ104" s="228">
        <v>0</v>
      </c>
      <c r="AR104" s="230">
        <v>8442500</v>
      </c>
      <c r="AS104" s="230">
        <v>7585000</v>
      </c>
      <c r="AT104" s="230">
        <v>857500</v>
      </c>
      <c r="AU104" s="229">
        <v>0.11310000000000001</v>
      </c>
      <c r="AV104" s="230">
        <v>4578125</v>
      </c>
      <c r="AW104" s="230">
        <v>4427500</v>
      </c>
      <c r="AX104" s="230">
        <v>150625</v>
      </c>
      <c r="AY104" s="229">
        <v>3.4000000000000002E-2</v>
      </c>
      <c r="AZ104" s="230">
        <v>3833750</v>
      </c>
      <c r="BA104" s="230">
        <v>3144375</v>
      </c>
      <c r="BB104" s="230">
        <v>689375</v>
      </c>
      <c r="BC104" s="229">
        <v>0.21920000000000001</v>
      </c>
      <c r="BD104" s="230">
        <v>30625</v>
      </c>
      <c r="BE104" s="230">
        <v>13125</v>
      </c>
      <c r="BF104" s="230">
        <v>17500</v>
      </c>
      <c r="BG104" s="229">
        <v>1.3332999999999999</v>
      </c>
      <c r="BH104" s="230">
        <v>12373750</v>
      </c>
      <c r="BI104" s="230">
        <v>5840000</v>
      </c>
      <c r="BJ104" s="230">
        <v>6533750</v>
      </c>
      <c r="BK104" s="229">
        <v>1.1188</v>
      </c>
      <c r="BL104" s="230">
        <v>5819375</v>
      </c>
      <c r="BM104" s="230">
        <v>4022500</v>
      </c>
      <c r="BN104" s="230">
        <v>1796875</v>
      </c>
      <c r="BO104" s="229">
        <v>0.44669999999999999</v>
      </c>
      <c r="BP104" s="230">
        <v>26635625</v>
      </c>
      <c r="BQ104" s="230">
        <v>17447500</v>
      </c>
      <c r="BR104" s="230">
        <v>9188125</v>
      </c>
      <c r="BS104" s="229">
        <v>0.52659999999999996</v>
      </c>
      <c r="BT104" s="230">
        <v>2095667</v>
      </c>
      <c r="BU104" s="230">
        <v>1694134</v>
      </c>
      <c r="BV104" s="230">
        <v>401533</v>
      </c>
      <c r="BW104" s="229">
        <v>0.23699999999999999</v>
      </c>
      <c r="BX104" s="230">
        <v>11535625</v>
      </c>
      <c r="BY104" s="230">
        <v>11684375</v>
      </c>
      <c r="BZ104" s="230">
        <v>-148750</v>
      </c>
      <c r="CA104" s="229">
        <v>-1.2699999999999999E-2</v>
      </c>
      <c r="CB104" s="230">
        <v>4317500</v>
      </c>
      <c r="CC104" s="230">
        <v>7199375</v>
      </c>
      <c r="CD104" s="230">
        <v>-2881875</v>
      </c>
      <c r="CE104" s="229">
        <v>-0.40029999999999999</v>
      </c>
      <c r="CF104" s="230">
        <v>7173750</v>
      </c>
      <c r="CG104" s="230">
        <v>4448125</v>
      </c>
      <c r="CH104" s="230">
        <v>2725625</v>
      </c>
      <c r="CI104" s="229">
        <v>0.61280000000000001</v>
      </c>
      <c r="CJ104" s="230">
        <v>44375</v>
      </c>
      <c r="CK104" s="230">
        <v>36875</v>
      </c>
      <c r="CL104" s="230">
        <v>7500</v>
      </c>
      <c r="CM104" s="229">
        <v>0.2034</v>
      </c>
      <c r="CN104" s="230">
        <v>4353125</v>
      </c>
      <c r="CO104" s="230">
        <v>4792500</v>
      </c>
      <c r="CP104" s="230">
        <v>-439375</v>
      </c>
      <c r="CQ104" s="229">
        <v>-9.1700000000000004E-2</v>
      </c>
      <c r="CR104" s="230">
        <v>4091250</v>
      </c>
      <c r="CS104" s="230">
        <v>3918750</v>
      </c>
      <c r="CT104" s="230">
        <v>172500</v>
      </c>
      <c r="CU104" s="229">
        <v>4.3999999999999997E-2</v>
      </c>
      <c r="CV104" s="230">
        <v>19980000</v>
      </c>
      <c r="CW104" s="230">
        <v>20395625</v>
      </c>
      <c r="CX104" s="230">
        <v>-415625</v>
      </c>
      <c r="CY104" s="229">
        <v>-2.0400000000000001E-2</v>
      </c>
      <c r="CZ104" s="228">
        <v>31.54</v>
      </c>
      <c r="DA104" s="228">
        <v>27.64</v>
      </c>
      <c r="DB104" s="228">
        <v>3.9</v>
      </c>
      <c r="DC104" s="228">
        <v>3.9</v>
      </c>
      <c r="DD104" s="228">
        <v>34.770000000000003</v>
      </c>
      <c r="DE104" s="228">
        <v>34.57</v>
      </c>
      <c r="DF104" s="228">
        <v>-3.23</v>
      </c>
      <c r="DG104" s="228">
        <v>0.2</v>
      </c>
      <c r="DH104" s="228">
        <v>31.38</v>
      </c>
      <c r="DI104" s="228">
        <v>27.69</v>
      </c>
      <c r="DJ104" s="228">
        <v>3.69</v>
      </c>
      <c r="DK104" s="228">
        <v>3.69</v>
      </c>
      <c r="DL104" s="228">
        <v>31.77</v>
      </c>
      <c r="DM104" s="228">
        <v>27.57</v>
      </c>
      <c r="DN104" s="228">
        <v>4.2</v>
      </c>
      <c r="DO104" s="228">
        <v>4.2</v>
      </c>
      <c r="DP104" s="228">
        <v>0.94</v>
      </c>
      <c r="DQ104" s="228">
        <v>0.82</v>
      </c>
      <c r="DR104" s="228">
        <v>0.12</v>
      </c>
      <c r="DS104" s="229">
        <v>0.14630000000000001</v>
      </c>
      <c r="DT104" s="231">
        <v>1100</v>
      </c>
      <c r="DU104" s="231">
        <v>1000</v>
      </c>
      <c r="DV104" s="228">
        <v>0.47</v>
      </c>
      <c r="DW104" s="228">
        <v>0.69</v>
      </c>
      <c r="DX104" s="228">
        <v>-0.22</v>
      </c>
      <c r="DY104" s="229">
        <v>-0.31879999999999997</v>
      </c>
      <c r="DZ104" s="229">
        <v>0.62570000000000003</v>
      </c>
      <c r="EA104" s="230">
        <v>4485000</v>
      </c>
      <c r="EB104" s="229">
        <v>4.7000000000000002E-3</v>
      </c>
      <c r="EC104" s="229">
        <v>0.62570000000000003</v>
      </c>
      <c r="ED104" s="228">
        <v>5.71</v>
      </c>
      <c r="EE104" s="229">
        <v>5.3E-3</v>
      </c>
      <c r="EF104" s="230">
        <v>921081</v>
      </c>
      <c r="EG104" s="230">
        <v>515795</v>
      </c>
      <c r="EH104" s="229">
        <v>0.78580000000000005</v>
      </c>
      <c r="EI104" s="229">
        <v>0.4395</v>
      </c>
      <c r="EJ104" s="231">
        <v>135911.75</v>
      </c>
      <c r="EK104" s="231">
        <v>61032.19</v>
      </c>
      <c r="EL104" s="231">
        <v>90556.14</v>
      </c>
      <c r="EM104" s="231">
        <v>6510</v>
      </c>
      <c r="EN104" s="231">
        <v>287500.08</v>
      </c>
      <c r="EO104" s="231">
        <v>183828.74</v>
      </c>
      <c r="EP104" s="231">
        <v>103671.34</v>
      </c>
      <c r="EQ104" s="229">
        <v>0.56399999999999995</v>
      </c>
      <c r="ER104" s="231">
        <v>48007</v>
      </c>
      <c r="ES104" s="231">
        <v>41370</v>
      </c>
      <c r="ET104" s="231">
        <v>124449</v>
      </c>
      <c r="EU104" s="231">
        <v>48257090</v>
      </c>
      <c r="EV104" s="231">
        <v>213826</v>
      </c>
      <c r="EW104" s="231">
        <v>213868</v>
      </c>
      <c r="EX104" s="228">
        <v>-42</v>
      </c>
      <c r="EY104" s="229">
        <v>-2.0000000000000001E-4</v>
      </c>
      <c r="EZ104" s="229">
        <v>0.41399999999999998</v>
      </c>
      <c r="FA104" s="227" t="s">
        <v>556</v>
      </c>
      <c r="FB104" s="161">
        <f t="shared" si="1"/>
        <v>7218125</v>
      </c>
    </row>
    <row r="105" spans="1:158" ht="17.25" hidden="1" thickBot="1" x14ac:dyDescent="0.3">
      <c r="A105" s="226">
        <v>46044</v>
      </c>
      <c r="B105" s="227" t="s">
        <v>175</v>
      </c>
      <c r="C105" s="227" t="s">
        <v>570</v>
      </c>
      <c r="D105" s="228">
        <v>2350</v>
      </c>
      <c r="E105" s="228">
        <v>263.35000000000002</v>
      </c>
      <c r="F105" s="228">
        <v>263.7</v>
      </c>
      <c r="G105" s="228">
        <v>-0.35</v>
      </c>
      <c r="H105" s="229">
        <v>-1.2999999999999999E-3</v>
      </c>
      <c r="I105" s="228">
        <v>262.60000000000002</v>
      </c>
      <c r="J105" s="228">
        <v>263.25</v>
      </c>
      <c r="K105" s="228">
        <v>-0.65</v>
      </c>
      <c r="L105" s="229">
        <v>-2.5000000000000001E-3</v>
      </c>
      <c r="M105" s="228">
        <v>263.35000000000002</v>
      </c>
      <c r="N105" s="228">
        <v>263.7</v>
      </c>
      <c r="O105" s="228">
        <v>-0.35</v>
      </c>
      <c r="P105" s="229">
        <v>-1.2999999999999999E-3</v>
      </c>
      <c r="Q105" s="228">
        <v>264.7</v>
      </c>
      <c r="R105" s="228">
        <v>265.14999999999998</v>
      </c>
      <c r="S105" s="228">
        <v>-0.45</v>
      </c>
      <c r="T105" s="229">
        <v>-1.6999999999999999E-3</v>
      </c>
      <c r="U105" s="228">
        <v>266.45</v>
      </c>
      <c r="V105" s="228">
        <v>266.85000000000002</v>
      </c>
      <c r="W105" s="228">
        <v>-0.4</v>
      </c>
      <c r="X105" s="229">
        <v>-1.5E-3</v>
      </c>
      <c r="Y105" s="228">
        <v>0.75</v>
      </c>
      <c r="Z105" s="228">
        <v>0.45</v>
      </c>
      <c r="AA105" s="228">
        <v>0.3</v>
      </c>
      <c r="AB105" s="229">
        <v>2.8999999999999998E-3</v>
      </c>
      <c r="AC105" s="228">
        <v>0.75</v>
      </c>
      <c r="AD105" s="228">
        <v>0.45</v>
      </c>
      <c r="AE105" s="228">
        <v>0.3</v>
      </c>
      <c r="AF105" s="229">
        <v>2.8999999999999998E-3</v>
      </c>
      <c r="AG105" s="228">
        <v>2.1</v>
      </c>
      <c r="AH105" s="228">
        <v>1.9</v>
      </c>
      <c r="AI105" s="228">
        <v>0.2</v>
      </c>
      <c r="AJ105" s="229">
        <v>8.0000000000000002E-3</v>
      </c>
      <c r="AK105" s="228">
        <v>3.85</v>
      </c>
      <c r="AL105" s="228">
        <v>3.6</v>
      </c>
      <c r="AM105" s="228">
        <v>0.25</v>
      </c>
      <c r="AN105" s="229">
        <v>1.47E-2</v>
      </c>
      <c r="AO105" s="228">
        <v>263.41000000000003</v>
      </c>
      <c r="AP105" s="228">
        <v>264.89</v>
      </c>
      <c r="AQ105" s="228">
        <v>0</v>
      </c>
      <c r="AR105" s="230">
        <v>90463250</v>
      </c>
      <c r="AS105" s="230">
        <v>61224550</v>
      </c>
      <c r="AT105" s="230">
        <v>29238700</v>
      </c>
      <c r="AU105" s="229">
        <v>0.47760000000000002</v>
      </c>
      <c r="AV105" s="230">
        <v>48384150</v>
      </c>
      <c r="AW105" s="230">
        <v>34763550</v>
      </c>
      <c r="AX105" s="230">
        <v>13620600</v>
      </c>
      <c r="AY105" s="229">
        <v>0.39179999999999998</v>
      </c>
      <c r="AZ105" s="230">
        <v>41141450</v>
      </c>
      <c r="BA105" s="230">
        <v>24959350</v>
      </c>
      <c r="BB105" s="230">
        <v>16182100</v>
      </c>
      <c r="BC105" s="229">
        <v>0.64829999999999999</v>
      </c>
      <c r="BD105" s="230">
        <v>937650</v>
      </c>
      <c r="BE105" s="230">
        <v>1501650</v>
      </c>
      <c r="BF105" s="230">
        <v>-564000</v>
      </c>
      <c r="BG105" s="229">
        <v>-0.37559999999999999</v>
      </c>
      <c r="BH105" s="230">
        <v>100789150</v>
      </c>
      <c r="BI105" s="230">
        <v>138997800</v>
      </c>
      <c r="BJ105" s="230">
        <v>-38208650</v>
      </c>
      <c r="BK105" s="229">
        <v>-0.27489999999999998</v>
      </c>
      <c r="BL105" s="230">
        <v>57511550</v>
      </c>
      <c r="BM105" s="230">
        <v>85739750</v>
      </c>
      <c r="BN105" s="230">
        <v>-28228200</v>
      </c>
      <c r="BO105" s="229">
        <v>-0.32919999999999999</v>
      </c>
      <c r="BP105" s="230">
        <v>248763950</v>
      </c>
      <c r="BQ105" s="230">
        <v>285962100</v>
      </c>
      <c r="BR105" s="230">
        <v>-37198150</v>
      </c>
      <c r="BS105" s="229">
        <v>-0.13009999999999999</v>
      </c>
      <c r="BT105" s="230">
        <v>12789931</v>
      </c>
      <c r="BU105" s="230">
        <v>21228701</v>
      </c>
      <c r="BV105" s="230">
        <v>-8438770</v>
      </c>
      <c r="BW105" s="229">
        <v>-0.39750000000000002</v>
      </c>
      <c r="BX105" s="230">
        <v>167059150</v>
      </c>
      <c r="BY105" s="230">
        <v>164868950</v>
      </c>
      <c r="BZ105" s="230">
        <v>2190200</v>
      </c>
      <c r="CA105" s="229">
        <v>1.3299999999999999E-2</v>
      </c>
      <c r="CB105" s="230">
        <v>76078900</v>
      </c>
      <c r="CC105" s="230">
        <v>108617000</v>
      </c>
      <c r="CD105" s="230">
        <v>-32538100</v>
      </c>
      <c r="CE105" s="229">
        <v>-0.29959999999999998</v>
      </c>
      <c r="CF105" s="230">
        <v>86162750</v>
      </c>
      <c r="CG105" s="230">
        <v>51857450</v>
      </c>
      <c r="CH105" s="230">
        <v>34305300</v>
      </c>
      <c r="CI105" s="229">
        <v>0.66149999999999998</v>
      </c>
      <c r="CJ105" s="230">
        <v>4817500</v>
      </c>
      <c r="CK105" s="230">
        <v>4394500</v>
      </c>
      <c r="CL105" s="230">
        <v>423000</v>
      </c>
      <c r="CM105" s="229">
        <v>9.6299999999999997E-2</v>
      </c>
      <c r="CN105" s="230">
        <v>96568550</v>
      </c>
      <c r="CO105" s="230">
        <v>96657850</v>
      </c>
      <c r="CP105" s="230">
        <v>-89300</v>
      </c>
      <c r="CQ105" s="229">
        <v>-8.9999999999999998E-4</v>
      </c>
      <c r="CR105" s="230">
        <v>58841650</v>
      </c>
      <c r="CS105" s="230">
        <v>59986100</v>
      </c>
      <c r="CT105" s="230">
        <v>-1144450</v>
      </c>
      <c r="CU105" s="229">
        <v>-1.9099999999999999E-2</v>
      </c>
      <c r="CV105" s="230">
        <v>322469350</v>
      </c>
      <c r="CW105" s="230">
        <v>321512900</v>
      </c>
      <c r="CX105" s="230">
        <v>956450</v>
      </c>
      <c r="CY105" s="229">
        <v>3.0000000000000001E-3</v>
      </c>
      <c r="CZ105" s="228">
        <v>31.15</v>
      </c>
      <c r="DA105" s="228">
        <v>32.65</v>
      </c>
      <c r="DB105" s="228">
        <v>-1.5</v>
      </c>
      <c r="DC105" s="228">
        <v>-1.5</v>
      </c>
      <c r="DD105" s="228">
        <v>33.729999999999997</v>
      </c>
      <c r="DE105" s="228">
        <v>33.81</v>
      </c>
      <c r="DF105" s="228">
        <v>-2.58</v>
      </c>
      <c r="DG105" s="228">
        <v>-0.08</v>
      </c>
      <c r="DH105" s="228">
        <v>31.07</v>
      </c>
      <c r="DI105" s="228">
        <v>33.659999999999997</v>
      </c>
      <c r="DJ105" s="228">
        <v>-2.59</v>
      </c>
      <c r="DK105" s="228">
        <v>-2.59</v>
      </c>
      <c r="DL105" s="228">
        <v>31.28</v>
      </c>
      <c r="DM105" s="228">
        <v>31</v>
      </c>
      <c r="DN105" s="228">
        <v>0.28000000000000003</v>
      </c>
      <c r="DO105" s="228">
        <v>0.28000000000000003</v>
      </c>
      <c r="DP105" s="228">
        <v>0.61</v>
      </c>
      <c r="DQ105" s="228">
        <v>0.62</v>
      </c>
      <c r="DR105" s="228">
        <v>-0.01</v>
      </c>
      <c r="DS105" s="229">
        <v>-1.61E-2</v>
      </c>
      <c r="DT105" s="228">
        <v>300</v>
      </c>
      <c r="DU105" s="228">
        <v>270</v>
      </c>
      <c r="DV105" s="228">
        <v>0.56999999999999995</v>
      </c>
      <c r="DW105" s="228">
        <v>0.62</v>
      </c>
      <c r="DX105" s="228">
        <v>-0.05</v>
      </c>
      <c r="DY105" s="229">
        <v>-8.0600000000000005E-2</v>
      </c>
      <c r="DZ105" s="229">
        <v>0.54459999999999997</v>
      </c>
      <c r="EA105" s="230">
        <v>56251950</v>
      </c>
      <c r="EB105" s="229">
        <v>5.1000000000000004E-3</v>
      </c>
      <c r="EC105" s="229">
        <v>0.54459999999999997</v>
      </c>
      <c r="ED105" s="228">
        <v>1.48</v>
      </c>
      <c r="EE105" s="229">
        <v>5.5999999999999999E-3</v>
      </c>
      <c r="EF105" s="230">
        <v>5862176</v>
      </c>
      <c r="EG105" s="230">
        <v>7225925</v>
      </c>
      <c r="EH105" s="229">
        <v>-0.18870000000000001</v>
      </c>
      <c r="EI105" s="229">
        <v>0.45829999999999999</v>
      </c>
      <c r="EJ105" s="231">
        <v>286428.32</v>
      </c>
      <c r="EK105" s="231">
        <v>160423.73000000001</v>
      </c>
      <c r="EL105" s="231">
        <v>238929.68</v>
      </c>
      <c r="EM105" s="231">
        <v>20019</v>
      </c>
      <c r="EN105" s="231">
        <v>685781.73</v>
      </c>
      <c r="EO105" s="231">
        <v>791368.5</v>
      </c>
      <c r="EP105" s="231">
        <v>-105586.77</v>
      </c>
      <c r="EQ105" s="229">
        <v>-0.13339999999999999</v>
      </c>
      <c r="ER105" s="231">
        <v>289787</v>
      </c>
      <c r="ES105" s="231">
        <v>168322</v>
      </c>
      <c r="ET105" s="231">
        <v>441263</v>
      </c>
      <c r="EU105" s="231">
        <v>355358091</v>
      </c>
      <c r="EV105" s="231">
        <v>899371</v>
      </c>
      <c r="EW105" s="231">
        <v>898370</v>
      </c>
      <c r="EX105" s="231">
        <v>1001</v>
      </c>
      <c r="EY105" s="229">
        <v>1.1000000000000001E-3</v>
      </c>
      <c r="EZ105" s="229">
        <v>0.90739999999999998</v>
      </c>
      <c r="FA105" s="227" t="s">
        <v>567</v>
      </c>
      <c r="FB105" s="161">
        <f t="shared" si="1"/>
        <v>90980250</v>
      </c>
    </row>
    <row r="106" spans="1:158" ht="17.25" hidden="1" thickBot="1" x14ac:dyDescent="0.3">
      <c r="A106" s="226">
        <v>46044</v>
      </c>
      <c r="B106" s="227" t="s">
        <v>161</v>
      </c>
      <c r="C106" s="227" t="s">
        <v>580</v>
      </c>
      <c r="D106" s="228">
        <v>1000</v>
      </c>
      <c r="E106" s="228">
        <v>492.15</v>
      </c>
      <c r="F106" s="228">
        <v>477.9</v>
      </c>
      <c r="G106" s="228">
        <v>14.25</v>
      </c>
      <c r="H106" s="229">
        <v>2.98E-2</v>
      </c>
      <c r="I106" s="228">
        <v>492.35</v>
      </c>
      <c r="J106" s="228">
        <v>477.8</v>
      </c>
      <c r="K106" s="228">
        <v>14.55</v>
      </c>
      <c r="L106" s="229">
        <v>3.0499999999999999E-2</v>
      </c>
      <c r="M106" s="228">
        <v>492.15</v>
      </c>
      <c r="N106" s="228">
        <v>477.9</v>
      </c>
      <c r="O106" s="228">
        <v>14.25</v>
      </c>
      <c r="P106" s="229">
        <v>2.98E-2</v>
      </c>
      <c r="Q106" s="228">
        <v>494.55</v>
      </c>
      <c r="R106" s="228">
        <v>480.05</v>
      </c>
      <c r="S106" s="228">
        <v>14.5</v>
      </c>
      <c r="T106" s="229">
        <v>3.0200000000000001E-2</v>
      </c>
      <c r="U106" s="228">
        <v>497.8</v>
      </c>
      <c r="V106" s="228">
        <v>479.7</v>
      </c>
      <c r="W106" s="228">
        <v>18.100000000000001</v>
      </c>
      <c r="X106" s="229">
        <v>3.7699999999999997E-2</v>
      </c>
      <c r="Y106" s="228">
        <v>-0.2</v>
      </c>
      <c r="Z106" s="228">
        <v>0.1</v>
      </c>
      <c r="AA106" s="228">
        <v>-0.3</v>
      </c>
      <c r="AB106" s="229">
        <v>-4.0000000000000002E-4</v>
      </c>
      <c r="AC106" s="228">
        <v>-0.2</v>
      </c>
      <c r="AD106" s="228">
        <v>0.1</v>
      </c>
      <c r="AE106" s="228">
        <v>-0.3</v>
      </c>
      <c r="AF106" s="229">
        <v>-4.0000000000000002E-4</v>
      </c>
      <c r="AG106" s="228">
        <v>2.2000000000000002</v>
      </c>
      <c r="AH106" s="228">
        <v>2.25</v>
      </c>
      <c r="AI106" s="228">
        <v>-0.05</v>
      </c>
      <c r="AJ106" s="229">
        <v>4.4999999999999997E-3</v>
      </c>
      <c r="AK106" s="228">
        <v>5.45</v>
      </c>
      <c r="AL106" s="228">
        <v>1.9</v>
      </c>
      <c r="AM106" s="228">
        <v>3.55</v>
      </c>
      <c r="AN106" s="229">
        <v>1.11E-2</v>
      </c>
      <c r="AO106" s="228">
        <v>490</v>
      </c>
      <c r="AP106" s="228">
        <v>492.53</v>
      </c>
      <c r="AQ106" s="228">
        <v>0</v>
      </c>
      <c r="AR106" s="230">
        <v>14105000</v>
      </c>
      <c r="AS106" s="230">
        <v>19669000</v>
      </c>
      <c r="AT106" s="230">
        <v>-5564000</v>
      </c>
      <c r="AU106" s="229">
        <v>-0.28289999999999998</v>
      </c>
      <c r="AV106" s="230">
        <v>7554000</v>
      </c>
      <c r="AW106" s="230">
        <v>10761000</v>
      </c>
      <c r="AX106" s="230">
        <v>-3207000</v>
      </c>
      <c r="AY106" s="229">
        <v>-0.29799999999999999</v>
      </c>
      <c r="AZ106" s="230">
        <v>6533000</v>
      </c>
      <c r="BA106" s="230">
        <v>8888000</v>
      </c>
      <c r="BB106" s="230">
        <v>-2355000</v>
      </c>
      <c r="BC106" s="229">
        <v>-0.26500000000000001</v>
      </c>
      <c r="BD106" s="230">
        <v>18000</v>
      </c>
      <c r="BE106" s="230">
        <v>20000</v>
      </c>
      <c r="BF106" s="230">
        <v>-2000</v>
      </c>
      <c r="BG106" s="229">
        <v>-0.1</v>
      </c>
      <c r="BH106" s="230">
        <v>10364000</v>
      </c>
      <c r="BI106" s="230">
        <v>6932000</v>
      </c>
      <c r="BJ106" s="230">
        <v>3432000</v>
      </c>
      <c r="BK106" s="229">
        <v>0.49509999999999998</v>
      </c>
      <c r="BL106" s="230">
        <v>4675000</v>
      </c>
      <c r="BM106" s="230">
        <v>5551000</v>
      </c>
      <c r="BN106" s="230">
        <v>-876000</v>
      </c>
      <c r="BO106" s="229">
        <v>-0.1578</v>
      </c>
      <c r="BP106" s="230">
        <v>29144000</v>
      </c>
      <c r="BQ106" s="230">
        <v>32152000</v>
      </c>
      <c r="BR106" s="230">
        <v>-3008000</v>
      </c>
      <c r="BS106" s="229">
        <v>-9.3600000000000003E-2</v>
      </c>
      <c r="BT106" s="230">
        <v>1352008</v>
      </c>
      <c r="BU106" s="230">
        <v>1672664</v>
      </c>
      <c r="BV106" s="230">
        <v>-320656</v>
      </c>
      <c r="BW106" s="229">
        <v>-0.19170000000000001</v>
      </c>
      <c r="BX106" s="230">
        <v>37745000</v>
      </c>
      <c r="BY106" s="230">
        <v>38449000</v>
      </c>
      <c r="BZ106" s="230">
        <v>-704000</v>
      </c>
      <c r="CA106" s="229">
        <v>-1.83E-2</v>
      </c>
      <c r="CB106" s="230">
        <v>23223000</v>
      </c>
      <c r="CC106" s="230">
        <v>28986000</v>
      </c>
      <c r="CD106" s="230">
        <v>-5763000</v>
      </c>
      <c r="CE106" s="229">
        <v>-0.1988</v>
      </c>
      <c r="CF106" s="230">
        <v>14466000</v>
      </c>
      <c r="CG106" s="230">
        <v>9414000</v>
      </c>
      <c r="CH106" s="230">
        <v>5052000</v>
      </c>
      <c r="CI106" s="229">
        <v>0.53659999999999997</v>
      </c>
      <c r="CJ106" s="230">
        <v>56000</v>
      </c>
      <c r="CK106" s="230">
        <v>49000</v>
      </c>
      <c r="CL106" s="230">
        <v>7000</v>
      </c>
      <c r="CM106" s="229">
        <v>0.1429</v>
      </c>
      <c r="CN106" s="230">
        <v>8811000</v>
      </c>
      <c r="CO106" s="230">
        <v>8952000</v>
      </c>
      <c r="CP106" s="230">
        <v>-141000</v>
      </c>
      <c r="CQ106" s="229">
        <v>-1.5800000000000002E-2</v>
      </c>
      <c r="CR106" s="230">
        <v>6500000</v>
      </c>
      <c r="CS106" s="230">
        <v>6761000</v>
      </c>
      <c r="CT106" s="230">
        <v>-261000</v>
      </c>
      <c r="CU106" s="229">
        <v>-3.8600000000000002E-2</v>
      </c>
      <c r="CV106" s="230">
        <v>53056000</v>
      </c>
      <c r="CW106" s="230">
        <v>54162000</v>
      </c>
      <c r="CX106" s="230">
        <v>-1106000</v>
      </c>
      <c r="CY106" s="229">
        <v>-2.0400000000000001E-2</v>
      </c>
      <c r="CZ106" s="228">
        <v>31.59</v>
      </c>
      <c r="DA106" s="228">
        <v>39.65</v>
      </c>
      <c r="DB106" s="228">
        <v>-8.06</v>
      </c>
      <c r="DC106" s="228">
        <v>-8.06</v>
      </c>
      <c r="DD106" s="228">
        <v>41.91</v>
      </c>
      <c r="DE106" s="228">
        <v>41.83</v>
      </c>
      <c r="DF106" s="228">
        <v>-10.32</v>
      </c>
      <c r="DG106" s="228">
        <v>0.08</v>
      </c>
      <c r="DH106" s="228">
        <v>31.93</v>
      </c>
      <c r="DI106" s="228">
        <v>40.04</v>
      </c>
      <c r="DJ106" s="228">
        <v>-8.11</v>
      </c>
      <c r="DK106" s="228">
        <v>-8.11</v>
      </c>
      <c r="DL106" s="228">
        <v>31.13</v>
      </c>
      <c r="DM106" s="228">
        <v>39.159999999999997</v>
      </c>
      <c r="DN106" s="228">
        <v>-8.0299999999999994</v>
      </c>
      <c r="DO106" s="228">
        <v>-8.0299999999999994</v>
      </c>
      <c r="DP106" s="228">
        <v>0.74</v>
      </c>
      <c r="DQ106" s="228">
        <v>0.76</v>
      </c>
      <c r="DR106" s="228">
        <v>-0.02</v>
      </c>
      <c r="DS106" s="229">
        <v>-2.63E-2</v>
      </c>
      <c r="DT106" s="228">
        <v>520</v>
      </c>
      <c r="DU106" s="228">
        <v>470</v>
      </c>
      <c r="DV106" s="228">
        <v>0.45</v>
      </c>
      <c r="DW106" s="228">
        <v>0.8</v>
      </c>
      <c r="DX106" s="228">
        <v>-0.35</v>
      </c>
      <c r="DY106" s="229">
        <v>-0.4375</v>
      </c>
      <c r="DZ106" s="229">
        <v>0.38469999999999999</v>
      </c>
      <c r="EA106" s="230">
        <v>9463000</v>
      </c>
      <c r="EB106" s="229">
        <v>4.8999999999999998E-3</v>
      </c>
      <c r="EC106" s="229">
        <v>0.38469999999999999</v>
      </c>
      <c r="ED106" s="228">
        <v>2.5299999999999998</v>
      </c>
      <c r="EE106" s="229">
        <v>5.1999999999999998E-3</v>
      </c>
      <c r="EF106" s="230">
        <v>504415</v>
      </c>
      <c r="EG106" s="230">
        <v>604822</v>
      </c>
      <c r="EH106" s="229">
        <v>-0.16600000000000001</v>
      </c>
      <c r="EI106" s="229">
        <v>0.37309999999999999</v>
      </c>
      <c r="EJ106" s="231">
        <v>53220.79</v>
      </c>
      <c r="EK106" s="231">
        <v>23720.51</v>
      </c>
      <c r="EL106" s="231">
        <v>69280.38</v>
      </c>
      <c r="EM106" s="231">
        <v>8158</v>
      </c>
      <c r="EN106" s="231">
        <v>146221.68</v>
      </c>
      <c r="EO106" s="231">
        <v>155473.03</v>
      </c>
      <c r="EP106" s="231">
        <v>-9251.35</v>
      </c>
      <c r="EQ106" s="229">
        <v>-5.9499999999999997E-2</v>
      </c>
      <c r="ER106" s="231">
        <v>45408</v>
      </c>
      <c r="ES106" s="231">
        <v>31867</v>
      </c>
      <c r="ET106" s="231">
        <v>186112</v>
      </c>
      <c r="EU106" s="231">
        <v>80385888</v>
      </c>
      <c r="EV106" s="231">
        <v>263387</v>
      </c>
      <c r="EW106" s="231">
        <v>263177</v>
      </c>
      <c r="EX106" s="228">
        <v>210</v>
      </c>
      <c r="EY106" s="229">
        <v>8.0000000000000004E-4</v>
      </c>
      <c r="EZ106" s="229">
        <v>0.66</v>
      </c>
      <c r="FA106" s="227" t="s">
        <v>556</v>
      </c>
      <c r="FB106" s="161">
        <f t="shared" si="1"/>
        <v>14522000</v>
      </c>
    </row>
    <row r="107" spans="1:158" ht="17.25" hidden="1" thickBot="1" x14ac:dyDescent="0.3">
      <c r="A107" s="226">
        <v>46044</v>
      </c>
      <c r="B107" s="227" t="s">
        <v>227</v>
      </c>
      <c r="C107" s="227" t="s">
        <v>244</v>
      </c>
      <c r="D107" s="228">
        <v>675</v>
      </c>
      <c r="E107" s="231">
        <v>1187</v>
      </c>
      <c r="F107" s="231">
        <v>1173.8</v>
      </c>
      <c r="G107" s="228">
        <v>13.2</v>
      </c>
      <c r="H107" s="229">
        <v>1.12E-2</v>
      </c>
      <c r="I107" s="231">
        <v>1184.4000000000001</v>
      </c>
      <c r="J107" s="231">
        <v>1174.5999999999999</v>
      </c>
      <c r="K107" s="228">
        <v>9.8000000000000007</v>
      </c>
      <c r="L107" s="229">
        <v>8.3000000000000001E-3</v>
      </c>
      <c r="M107" s="231">
        <v>1187</v>
      </c>
      <c r="N107" s="231">
        <v>1173.8</v>
      </c>
      <c r="O107" s="228">
        <v>13.2</v>
      </c>
      <c r="P107" s="229">
        <v>1.12E-2</v>
      </c>
      <c r="Q107" s="231">
        <v>1193.2</v>
      </c>
      <c r="R107" s="231">
        <v>1180.0999999999999</v>
      </c>
      <c r="S107" s="228">
        <v>13.1</v>
      </c>
      <c r="T107" s="229">
        <v>1.11E-2</v>
      </c>
      <c r="U107" s="231">
        <v>1201.0999999999999</v>
      </c>
      <c r="V107" s="231">
        <v>1187.2</v>
      </c>
      <c r="W107" s="228">
        <v>13.9</v>
      </c>
      <c r="X107" s="229">
        <v>1.17E-2</v>
      </c>
      <c r="Y107" s="228">
        <v>2.6</v>
      </c>
      <c r="Z107" s="228">
        <v>-0.8</v>
      </c>
      <c r="AA107" s="228">
        <v>3.4</v>
      </c>
      <c r="AB107" s="229">
        <v>2.2000000000000001E-3</v>
      </c>
      <c r="AC107" s="228">
        <v>2.6</v>
      </c>
      <c r="AD107" s="228">
        <v>-0.8</v>
      </c>
      <c r="AE107" s="228">
        <v>3.4</v>
      </c>
      <c r="AF107" s="229">
        <v>2.2000000000000001E-3</v>
      </c>
      <c r="AG107" s="228">
        <v>8.8000000000000007</v>
      </c>
      <c r="AH107" s="228">
        <v>5.5</v>
      </c>
      <c r="AI107" s="228">
        <v>3.3</v>
      </c>
      <c r="AJ107" s="229">
        <v>7.4000000000000003E-3</v>
      </c>
      <c r="AK107" s="228">
        <v>16.7</v>
      </c>
      <c r="AL107" s="228">
        <v>12.6</v>
      </c>
      <c r="AM107" s="228">
        <v>4.0999999999999996</v>
      </c>
      <c r="AN107" s="229">
        <v>1.41E-2</v>
      </c>
      <c r="AO107" s="231">
        <v>1183.79</v>
      </c>
      <c r="AP107" s="231">
        <v>1190.1199999999999</v>
      </c>
      <c r="AQ107" s="228">
        <v>0</v>
      </c>
      <c r="AR107" s="230">
        <v>29745225</v>
      </c>
      <c r="AS107" s="230">
        <v>24017850</v>
      </c>
      <c r="AT107" s="230">
        <v>5727375</v>
      </c>
      <c r="AU107" s="229">
        <v>0.23849999999999999</v>
      </c>
      <c r="AV107" s="230">
        <v>15167925</v>
      </c>
      <c r="AW107" s="230">
        <v>12600900</v>
      </c>
      <c r="AX107" s="230">
        <v>2567025</v>
      </c>
      <c r="AY107" s="229">
        <v>0.20369999999999999</v>
      </c>
      <c r="AZ107" s="230">
        <v>14527350</v>
      </c>
      <c r="BA107" s="230">
        <v>11396025</v>
      </c>
      <c r="BB107" s="230">
        <v>3131325</v>
      </c>
      <c r="BC107" s="229">
        <v>0.27479999999999999</v>
      </c>
      <c r="BD107" s="230">
        <v>49950</v>
      </c>
      <c r="BE107" s="230">
        <v>20925</v>
      </c>
      <c r="BF107" s="230">
        <v>29025</v>
      </c>
      <c r="BG107" s="229">
        <v>1.3871</v>
      </c>
      <c r="BH107" s="230">
        <v>13042350</v>
      </c>
      <c r="BI107" s="230">
        <v>11320425</v>
      </c>
      <c r="BJ107" s="230">
        <v>1721925</v>
      </c>
      <c r="BK107" s="229">
        <v>0.15210000000000001</v>
      </c>
      <c r="BL107" s="230">
        <v>6484050</v>
      </c>
      <c r="BM107" s="230">
        <v>6712875</v>
      </c>
      <c r="BN107" s="230">
        <v>-228825</v>
      </c>
      <c r="BO107" s="229">
        <v>-3.4099999999999998E-2</v>
      </c>
      <c r="BP107" s="230">
        <v>49271625</v>
      </c>
      <c r="BQ107" s="230">
        <v>42051150</v>
      </c>
      <c r="BR107" s="230">
        <v>7220475</v>
      </c>
      <c r="BS107" s="229">
        <v>0.17169999999999999</v>
      </c>
      <c r="BT107" s="230">
        <v>1456291</v>
      </c>
      <c r="BU107" s="230">
        <v>1429457</v>
      </c>
      <c r="BV107" s="230">
        <v>26834</v>
      </c>
      <c r="BW107" s="229">
        <v>1.8800000000000001E-2</v>
      </c>
      <c r="BX107" s="230">
        <v>50118075</v>
      </c>
      <c r="BY107" s="230">
        <v>49801500</v>
      </c>
      <c r="BZ107" s="230">
        <v>316575</v>
      </c>
      <c r="CA107" s="229">
        <v>6.4000000000000003E-3</v>
      </c>
      <c r="CB107" s="230">
        <v>20731950</v>
      </c>
      <c r="CC107" s="230">
        <v>33991650</v>
      </c>
      <c r="CD107" s="230">
        <v>-13259700</v>
      </c>
      <c r="CE107" s="229">
        <v>-0.3901</v>
      </c>
      <c r="CF107" s="230">
        <v>29199825</v>
      </c>
      <c r="CG107" s="230">
        <v>15652575</v>
      </c>
      <c r="CH107" s="230">
        <v>13547250</v>
      </c>
      <c r="CI107" s="229">
        <v>0.86550000000000005</v>
      </c>
      <c r="CJ107" s="230">
        <v>186300</v>
      </c>
      <c r="CK107" s="230">
        <v>157275</v>
      </c>
      <c r="CL107" s="230">
        <v>29025</v>
      </c>
      <c r="CM107" s="229">
        <v>0.1845</v>
      </c>
      <c r="CN107" s="230">
        <v>7013925</v>
      </c>
      <c r="CO107" s="230">
        <v>7211025</v>
      </c>
      <c r="CP107" s="230">
        <v>-197100</v>
      </c>
      <c r="CQ107" s="229">
        <v>-2.7300000000000001E-2</v>
      </c>
      <c r="CR107" s="230">
        <v>6488775</v>
      </c>
      <c r="CS107" s="230">
        <v>6421275</v>
      </c>
      <c r="CT107" s="230">
        <v>67500</v>
      </c>
      <c r="CU107" s="229">
        <v>1.0500000000000001E-2</v>
      </c>
      <c r="CV107" s="230">
        <v>63620775</v>
      </c>
      <c r="CW107" s="230">
        <v>63433800</v>
      </c>
      <c r="CX107" s="230">
        <v>186975</v>
      </c>
      <c r="CY107" s="229">
        <v>2.8999999999999998E-3</v>
      </c>
      <c r="CZ107" s="228">
        <v>26.19</v>
      </c>
      <c r="DA107" s="228">
        <v>27.6</v>
      </c>
      <c r="DB107" s="228">
        <v>-1.41</v>
      </c>
      <c r="DC107" s="228">
        <v>-1.41</v>
      </c>
      <c r="DD107" s="228">
        <v>29.15</v>
      </c>
      <c r="DE107" s="228">
        <v>29.18</v>
      </c>
      <c r="DF107" s="228">
        <v>-2.96</v>
      </c>
      <c r="DG107" s="228">
        <v>-0.03</v>
      </c>
      <c r="DH107" s="228">
        <v>26.04</v>
      </c>
      <c r="DI107" s="228">
        <v>27.58</v>
      </c>
      <c r="DJ107" s="228">
        <v>-1.54</v>
      </c>
      <c r="DK107" s="228">
        <v>-1.54</v>
      </c>
      <c r="DL107" s="228">
        <v>26.47</v>
      </c>
      <c r="DM107" s="228">
        <v>27.64</v>
      </c>
      <c r="DN107" s="228">
        <v>-1.17</v>
      </c>
      <c r="DO107" s="228">
        <v>-1.17</v>
      </c>
      <c r="DP107" s="228">
        <v>0.93</v>
      </c>
      <c r="DQ107" s="228">
        <v>0.89</v>
      </c>
      <c r="DR107" s="228">
        <v>0.04</v>
      </c>
      <c r="DS107" s="229">
        <v>4.4900000000000002E-2</v>
      </c>
      <c r="DT107" s="231">
        <v>1200</v>
      </c>
      <c r="DU107" s="231">
        <v>1100</v>
      </c>
      <c r="DV107" s="228">
        <v>0.5</v>
      </c>
      <c r="DW107" s="228">
        <v>0.59</v>
      </c>
      <c r="DX107" s="228">
        <v>-0.09</v>
      </c>
      <c r="DY107" s="229">
        <v>-0.1525</v>
      </c>
      <c r="DZ107" s="229">
        <v>0.58630000000000004</v>
      </c>
      <c r="EA107" s="230">
        <v>15809850</v>
      </c>
      <c r="EB107" s="229">
        <v>5.1999999999999998E-3</v>
      </c>
      <c r="EC107" s="229">
        <v>0.58630000000000004</v>
      </c>
      <c r="ED107" s="228">
        <v>6.33</v>
      </c>
      <c r="EE107" s="229">
        <v>5.3E-3</v>
      </c>
      <c r="EF107" s="230">
        <v>692935</v>
      </c>
      <c r="EG107" s="230">
        <v>599874</v>
      </c>
      <c r="EH107" s="229">
        <v>0.15509999999999999</v>
      </c>
      <c r="EI107" s="229">
        <v>0.4758</v>
      </c>
      <c r="EJ107" s="231">
        <v>158726.79</v>
      </c>
      <c r="EK107" s="231">
        <v>75476.47</v>
      </c>
      <c r="EL107" s="231">
        <v>353046.06</v>
      </c>
      <c r="EM107" s="231">
        <v>15981</v>
      </c>
      <c r="EN107" s="231">
        <v>587249.31999999995</v>
      </c>
      <c r="EO107" s="231">
        <v>496327.84</v>
      </c>
      <c r="EP107" s="231">
        <v>90921.48</v>
      </c>
      <c r="EQ107" s="229">
        <v>0.1832</v>
      </c>
      <c r="ER107" s="231">
        <v>84142</v>
      </c>
      <c r="ES107" s="231">
        <v>72273</v>
      </c>
      <c r="ET107" s="231">
        <v>596738</v>
      </c>
      <c r="EU107" s="231">
        <v>133434355</v>
      </c>
      <c r="EV107" s="231">
        <v>753153</v>
      </c>
      <c r="EW107" s="231">
        <v>743484</v>
      </c>
      <c r="EX107" s="231">
        <v>9669</v>
      </c>
      <c r="EY107" s="229">
        <v>1.2999999999999999E-2</v>
      </c>
      <c r="EZ107" s="229">
        <v>0.4768</v>
      </c>
      <c r="FA107" s="227" t="s">
        <v>555</v>
      </c>
      <c r="FB107" s="161">
        <f t="shared" si="1"/>
        <v>29386125</v>
      </c>
    </row>
    <row r="108" spans="1:158" ht="17.25" hidden="1" thickBot="1" x14ac:dyDescent="0.3">
      <c r="A108" s="226">
        <v>46044</v>
      </c>
      <c r="B108" s="227" t="s">
        <v>168</v>
      </c>
      <c r="C108" s="227" t="s">
        <v>245</v>
      </c>
      <c r="D108" s="228">
        <v>1250</v>
      </c>
      <c r="E108" s="228">
        <v>503.1</v>
      </c>
      <c r="F108" s="228">
        <v>508.7</v>
      </c>
      <c r="G108" s="228">
        <v>-5.6</v>
      </c>
      <c r="H108" s="229">
        <v>-1.0999999999999999E-2</v>
      </c>
      <c r="I108" s="228">
        <v>501</v>
      </c>
      <c r="J108" s="228">
        <v>507.5</v>
      </c>
      <c r="K108" s="228">
        <v>-6.5</v>
      </c>
      <c r="L108" s="229">
        <v>-1.2800000000000001E-2</v>
      </c>
      <c r="M108" s="228">
        <v>503.1</v>
      </c>
      <c r="N108" s="228">
        <v>508.7</v>
      </c>
      <c r="O108" s="228">
        <v>-5.6</v>
      </c>
      <c r="P108" s="229">
        <v>-1.0999999999999999E-2</v>
      </c>
      <c r="Q108" s="228">
        <v>492.75</v>
      </c>
      <c r="R108" s="228">
        <v>502.05</v>
      </c>
      <c r="S108" s="228">
        <v>-9.3000000000000007</v>
      </c>
      <c r="T108" s="229">
        <v>-1.8499999999999999E-2</v>
      </c>
      <c r="U108" s="228">
        <v>489.5</v>
      </c>
      <c r="V108" s="228">
        <v>500.25</v>
      </c>
      <c r="W108" s="228">
        <v>-10.75</v>
      </c>
      <c r="X108" s="229">
        <v>-2.1499999999999998E-2</v>
      </c>
      <c r="Y108" s="228">
        <v>2.1</v>
      </c>
      <c r="Z108" s="228">
        <v>1.2</v>
      </c>
      <c r="AA108" s="228">
        <v>0.9</v>
      </c>
      <c r="AB108" s="229">
        <v>4.1999999999999997E-3</v>
      </c>
      <c r="AC108" s="228">
        <v>2.1</v>
      </c>
      <c r="AD108" s="228">
        <v>1.2</v>
      </c>
      <c r="AE108" s="228">
        <v>0.9</v>
      </c>
      <c r="AF108" s="229">
        <v>4.1999999999999997E-3</v>
      </c>
      <c r="AG108" s="228">
        <v>-8.25</v>
      </c>
      <c r="AH108" s="228">
        <v>-5.45</v>
      </c>
      <c r="AI108" s="228">
        <v>-2.8</v>
      </c>
      <c r="AJ108" s="229">
        <v>-1.6500000000000001E-2</v>
      </c>
      <c r="AK108" s="228">
        <v>-11.5</v>
      </c>
      <c r="AL108" s="228">
        <v>-7.25</v>
      </c>
      <c r="AM108" s="228">
        <v>-4.25</v>
      </c>
      <c r="AN108" s="229">
        <v>-2.3E-2</v>
      </c>
      <c r="AO108" s="228">
        <v>504.92</v>
      </c>
      <c r="AP108" s="228">
        <v>497.3</v>
      </c>
      <c r="AQ108" s="228">
        <v>0</v>
      </c>
      <c r="AR108" s="230">
        <v>24697500</v>
      </c>
      <c r="AS108" s="230">
        <v>19495000</v>
      </c>
      <c r="AT108" s="230">
        <v>5202500</v>
      </c>
      <c r="AU108" s="229">
        <v>0.26690000000000003</v>
      </c>
      <c r="AV108" s="230">
        <v>11455000</v>
      </c>
      <c r="AW108" s="230">
        <v>10277500</v>
      </c>
      <c r="AX108" s="230">
        <v>1177500</v>
      </c>
      <c r="AY108" s="229">
        <v>0.11459999999999999</v>
      </c>
      <c r="AZ108" s="230">
        <v>12836250</v>
      </c>
      <c r="BA108" s="230">
        <v>9011250</v>
      </c>
      <c r="BB108" s="230">
        <v>3825000</v>
      </c>
      <c r="BC108" s="229">
        <v>0.42449999999999999</v>
      </c>
      <c r="BD108" s="230">
        <v>406250</v>
      </c>
      <c r="BE108" s="230">
        <v>206250</v>
      </c>
      <c r="BF108" s="230">
        <v>200000</v>
      </c>
      <c r="BG108" s="229">
        <v>0.96970000000000001</v>
      </c>
      <c r="BH108" s="230">
        <v>11952500</v>
      </c>
      <c r="BI108" s="230">
        <v>11612500</v>
      </c>
      <c r="BJ108" s="230">
        <v>340000</v>
      </c>
      <c r="BK108" s="229">
        <v>2.93E-2</v>
      </c>
      <c r="BL108" s="230">
        <v>5948750</v>
      </c>
      <c r="BM108" s="230">
        <v>6057500</v>
      </c>
      <c r="BN108" s="230">
        <v>-108750</v>
      </c>
      <c r="BO108" s="229">
        <v>-1.7999999999999999E-2</v>
      </c>
      <c r="BP108" s="230">
        <v>42598750</v>
      </c>
      <c r="BQ108" s="230">
        <v>37165000</v>
      </c>
      <c r="BR108" s="230">
        <v>5433750</v>
      </c>
      <c r="BS108" s="229">
        <v>0.1462</v>
      </c>
      <c r="BT108" s="230">
        <v>4005483</v>
      </c>
      <c r="BU108" s="230">
        <v>2092374</v>
      </c>
      <c r="BV108" s="230">
        <v>1913109</v>
      </c>
      <c r="BW108" s="229">
        <v>0.9143</v>
      </c>
      <c r="BX108" s="230">
        <v>26746250</v>
      </c>
      <c r="BY108" s="230">
        <v>23918750</v>
      </c>
      <c r="BZ108" s="230">
        <v>2827500</v>
      </c>
      <c r="CA108" s="229">
        <v>0.1182</v>
      </c>
      <c r="CB108" s="230">
        <v>9451250</v>
      </c>
      <c r="CC108" s="230">
        <v>14772500</v>
      </c>
      <c r="CD108" s="230">
        <v>-5321250</v>
      </c>
      <c r="CE108" s="229">
        <v>-0.36020000000000002</v>
      </c>
      <c r="CF108" s="230">
        <v>16683750</v>
      </c>
      <c r="CG108" s="230">
        <v>8682500</v>
      </c>
      <c r="CH108" s="230">
        <v>8001250</v>
      </c>
      <c r="CI108" s="229">
        <v>0.92149999999999999</v>
      </c>
      <c r="CJ108" s="230">
        <v>611250</v>
      </c>
      <c r="CK108" s="230">
        <v>463750</v>
      </c>
      <c r="CL108" s="230">
        <v>147500</v>
      </c>
      <c r="CM108" s="229">
        <v>0.31809999999999999</v>
      </c>
      <c r="CN108" s="230">
        <v>12468750</v>
      </c>
      <c r="CO108" s="230">
        <v>12797500</v>
      </c>
      <c r="CP108" s="230">
        <v>-328750</v>
      </c>
      <c r="CQ108" s="229">
        <v>-2.5700000000000001E-2</v>
      </c>
      <c r="CR108" s="230">
        <v>7615000</v>
      </c>
      <c r="CS108" s="230">
        <v>7721250</v>
      </c>
      <c r="CT108" s="230">
        <v>-106250</v>
      </c>
      <c r="CU108" s="229">
        <v>-1.38E-2</v>
      </c>
      <c r="CV108" s="230">
        <v>46830000</v>
      </c>
      <c r="CW108" s="230">
        <v>44437500</v>
      </c>
      <c r="CX108" s="230">
        <v>2392500</v>
      </c>
      <c r="CY108" s="229">
        <v>5.3800000000000001E-2</v>
      </c>
      <c r="CZ108" s="228">
        <v>31.91</v>
      </c>
      <c r="DA108" s="228">
        <v>28.68</v>
      </c>
      <c r="DB108" s="228">
        <v>3.23</v>
      </c>
      <c r="DC108" s="228">
        <v>3.23</v>
      </c>
      <c r="DD108" s="228">
        <v>32.729999999999997</v>
      </c>
      <c r="DE108" s="228">
        <v>32.770000000000003</v>
      </c>
      <c r="DF108" s="228">
        <v>-0.82</v>
      </c>
      <c r="DG108" s="228">
        <v>-0.04</v>
      </c>
      <c r="DH108" s="228">
        <v>32.299999999999997</v>
      </c>
      <c r="DI108" s="228">
        <v>30.18</v>
      </c>
      <c r="DJ108" s="228">
        <v>2.12</v>
      </c>
      <c r="DK108" s="228">
        <v>2.12</v>
      </c>
      <c r="DL108" s="228">
        <v>31.22</v>
      </c>
      <c r="DM108" s="228">
        <v>25.79</v>
      </c>
      <c r="DN108" s="228">
        <v>5.43</v>
      </c>
      <c r="DO108" s="228">
        <v>5.43</v>
      </c>
      <c r="DP108" s="228">
        <v>0.61</v>
      </c>
      <c r="DQ108" s="228">
        <v>0.6</v>
      </c>
      <c r="DR108" s="228">
        <v>0.01</v>
      </c>
      <c r="DS108" s="229">
        <v>1.67E-2</v>
      </c>
      <c r="DT108" s="228">
        <v>600</v>
      </c>
      <c r="DU108" s="228">
        <v>560</v>
      </c>
      <c r="DV108" s="228">
        <v>0.5</v>
      </c>
      <c r="DW108" s="228">
        <v>0.52</v>
      </c>
      <c r="DX108" s="228">
        <v>-0.02</v>
      </c>
      <c r="DY108" s="229">
        <v>-3.85E-2</v>
      </c>
      <c r="DZ108" s="229">
        <v>0.64659999999999995</v>
      </c>
      <c r="EA108" s="230">
        <v>9146250</v>
      </c>
      <c r="EB108" s="229">
        <v>-2.06E-2</v>
      </c>
      <c r="EC108" s="229">
        <v>0.64659999999999995</v>
      </c>
      <c r="ED108" s="228">
        <v>-7.62</v>
      </c>
      <c r="EE108" s="229">
        <v>-1.5100000000000001E-2</v>
      </c>
      <c r="EF108" s="230">
        <v>2336224</v>
      </c>
      <c r="EG108" s="230">
        <v>936777</v>
      </c>
      <c r="EH108" s="229">
        <v>1.4939</v>
      </c>
      <c r="EI108" s="229">
        <v>0.58330000000000004</v>
      </c>
      <c r="EJ108" s="231">
        <v>64039.08</v>
      </c>
      <c r="EK108" s="231">
        <v>30678.55</v>
      </c>
      <c r="EL108" s="231">
        <v>123677.34</v>
      </c>
      <c r="EM108" s="231">
        <v>7732</v>
      </c>
      <c r="EN108" s="231">
        <v>218394.97</v>
      </c>
      <c r="EO108" s="231">
        <v>191666.77</v>
      </c>
      <c r="EP108" s="231">
        <v>26728.2</v>
      </c>
      <c r="EQ108" s="229">
        <v>0.13950000000000001</v>
      </c>
      <c r="ER108" s="231">
        <v>70405</v>
      </c>
      <c r="ES108" s="231">
        <v>40311</v>
      </c>
      <c r="ET108" s="231">
        <v>132750</v>
      </c>
      <c r="EU108" s="231">
        <v>58761693</v>
      </c>
      <c r="EV108" s="231">
        <v>243466</v>
      </c>
      <c r="EW108" s="231">
        <v>234693</v>
      </c>
      <c r="EX108" s="231">
        <v>8773</v>
      </c>
      <c r="EY108" s="229">
        <v>3.7400000000000003E-2</v>
      </c>
      <c r="EZ108" s="229">
        <v>0.79690000000000005</v>
      </c>
      <c r="FA108" s="227" t="s">
        <v>567</v>
      </c>
      <c r="FB108" s="161">
        <f t="shared" si="1"/>
        <v>17295000</v>
      </c>
    </row>
    <row r="109" spans="1:158" ht="17.25" hidden="1" thickBot="1" x14ac:dyDescent="0.3">
      <c r="A109" s="226">
        <v>46044</v>
      </c>
      <c r="B109" s="227" t="s">
        <v>168</v>
      </c>
      <c r="C109" s="227" t="s">
        <v>582</v>
      </c>
      <c r="D109" s="228">
        <v>1175</v>
      </c>
      <c r="E109" s="228">
        <v>375.1</v>
      </c>
      <c r="F109" s="228">
        <v>396.85</v>
      </c>
      <c r="G109" s="228">
        <v>-21.75</v>
      </c>
      <c r="H109" s="229">
        <v>-5.4800000000000001E-2</v>
      </c>
      <c r="I109" s="228">
        <v>373.55</v>
      </c>
      <c r="J109" s="228">
        <v>396.55</v>
      </c>
      <c r="K109" s="228">
        <v>-23</v>
      </c>
      <c r="L109" s="229">
        <v>-5.8000000000000003E-2</v>
      </c>
      <c r="M109" s="228">
        <v>375.1</v>
      </c>
      <c r="N109" s="228">
        <v>396.85</v>
      </c>
      <c r="O109" s="228">
        <v>-21.75</v>
      </c>
      <c r="P109" s="229">
        <v>-5.4800000000000001E-2</v>
      </c>
      <c r="Q109" s="228">
        <v>376.65</v>
      </c>
      <c r="R109" s="228">
        <v>399.1</v>
      </c>
      <c r="S109" s="228">
        <v>-22.45</v>
      </c>
      <c r="T109" s="229">
        <v>-5.6300000000000003E-2</v>
      </c>
      <c r="U109" s="228">
        <v>379.55</v>
      </c>
      <c r="V109" s="228">
        <v>401.65</v>
      </c>
      <c r="W109" s="228">
        <v>-22.1</v>
      </c>
      <c r="X109" s="229">
        <v>-5.5E-2</v>
      </c>
      <c r="Y109" s="228">
        <v>1.55</v>
      </c>
      <c r="Z109" s="228">
        <v>0.3</v>
      </c>
      <c r="AA109" s="228">
        <v>1.25</v>
      </c>
      <c r="AB109" s="229">
        <v>4.1000000000000003E-3</v>
      </c>
      <c r="AC109" s="228">
        <v>1.55</v>
      </c>
      <c r="AD109" s="228">
        <v>0.3</v>
      </c>
      <c r="AE109" s="228">
        <v>1.25</v>
      </c>
      <c r="AF109" s="229">
        <v>4.1000000000000003E-3</v>
      </c>
      <c r="AG109" s="228">
        <v>3.1</v>
      </c>
      <c r="AH109" s="228">
        <v>2.5499999999999998</v>
      </c>
      <c r="AI109" s="228">
        <v>0.55000000000000004</v>
      </c>
      <c r="AJ109" s="229">
        <v>8.3000000000000001E-3</v>
      </c>
      <c r="AK109" s="228">
        <v>6</v>
      </c>
      <c r="AL109" s="228">
        <v>5.0999999999999996</v>
      </c>
      <c r="AM109" s="228">
        <v>0.9</v>
      </c>
      <c r="AN109" s="229">
        <v>1.61E-2</v>
      </c>
      <c r="AO109" s="228">
        <v>384.93</v>
      </c>
      <c r="AP109" s="228">
        <v>387.23</v>
      </c>
      <c r="AQ109" s="228">
        <v>0</v>
      </c>
      <c r="AR109" s="230">
        <v>42856950</v>
      </c>
      <c r="AS109" s="230">
        <v>49234850</v>
      </c>
      <c r="AT109" s="230">
        <v>-6377900</v>
      </c>
      <c r="AU109" s="229">
        <v>-0.1295</v>
      </c>
      <c r="AV109" s="230">
        <v>18937475</v>
      </c>
      <c r="AW109" s="230">
        <v>26770025</v>
      </c>
      <c r="AX109" s="230">
        <v>-7832550</v>
      </c>
      <c r="AY109" s="229">
        <v>-0.29260000000000003</v>
      </c>
      <c r="AZ109" s="230">
        <v>23454175</v>
      </c>
      <c r="BA109" s="230">
        <v>21959575</v>
      </c>
      <c r="BB109" s="230">
        <v>1494600</v>
      </c>
      <c r="BC109" s="229">
        <v>6.8099999999999994E-2</v>
      </c>
      <c r="BD109" s="230">
        <v>465300</v>
      </c>
      <c r="BE109" s="230">
        <v>505250</v>
      </c>
      <c r="BF109" s="230">
        <v>-39950</v>
      </c>
      <c r="BG109" s="229">
        <v>-7.9100000000000004E-2</v>
      </c>
      <c r="BH109" s="230">
        <v>99721075</v>
      </c>
      <c r="BI109" s="230">
        <v>182005150</v>
      </c>
      <c r="BJ109" s="230">
        <v>-82284075</v>
      </c>
      <c r="BK109" s="229">
        <v>-0.4521</v>
      </c>
      <c r="BL109" s="230">
        <v>115524825</v>
      </c>
      <c r="BM109" s="230">
        <v>171143450</v>
      </c>
      <c r="BN109" s="230">
        <v>-55618625</v>
      </c>
      <c r="BO109" s="229">
        <v>-0.32500000000000001</v>
      </c>
      <c r="BP109" s="230">
        <v>258102850</v>
      </c>
      <c r="BQ109" s="230">
        <v>402383450</v>
      </c>
      <c r="BR109" s="230">
        <v>-144280600</v>
      </c>
      <c r="BS109" s="229">
        <v>-0.35859999999999997</v>
      </c>
      <c r="BT109" s="230">
        <v>19400291</v>
      </c>
      <c r="BU109" s="230">
        <v>40291191</v>
      </c>
      <c r="BV109" s="230">
        <v>-20890900</v>
      </c>
      <c r="BW109" s="229">
        <v>-0.51849999999999996</v>
      </c>
      <c r="BX109" s="230">
        <v>34315875</v>
      </c>
      <c r="BY109" s="230">
        <v>35064350</v>
      </c>
      <c r="BZ109" s="230">
        <v>-748475</v>
      </c>
      <c r="CA109" s="229">
        <v>-2.1299999999999999E-2</v>
      </c>
      <c r="CB109" s="230">
        <v>14669875</v>
      </c>
      <c r="CC109" s="230">
        <v>22836125</v>
      </c>
      <c r="CD109" s="230">
        <v>-8166250</v>
      </c>
      <c r="CE109" s="229">
        <v>-0.35759999999999997</v>
      </c>
      <c r="CF109" s="230">
        <v>19011500</v>
      </c>
      <c r="CG109" s="230">
        <v>11697125</v>
      </c>
      <c r="CH109" s="230">
        <v>7314375</v>
      </c>
      <c r="CI109" s="229">
        <v>0.62529999999999997</v>
      </c>
      <c r="CJ109" s="230">
        <v>634500</v>
      </c>
      <c r="CK109" s="230">
        <v>531100</v>
      </c>
      <c r="CL109" s="230">
        <v>103400</v>
      </c>
      <c r="CM109" s="229">
        <v>0.19470000000000001</v>
      </c>
      <c r="CN109" s="230">
        <v>30592300</v>
      </c>
      <c r="CO109" s="230">
        <v>31213875</v>
      </c>
      <c r="CP109" s="230">
        <v>-621575</v>
      </c>
      <c r="CQ109" s="229">
        <v>-1.9900000000000001E-2</v>
      </c>
      <c r="CR109" s="230">
        <v>17069225</v>
      </c>
      <c r="CS109" s="230">
        <v>14807350</v>
      </c>
      <c r="CT109" s="230">
        <v>2261875</v>
      </c>
      <c r="CU109" s="229">
        <v>0.15279999999999999</v>
      </c>
      <c r="CV109" s="230">
        <v>81977400</v>
      </c>
      <c r="CW109" s="230">
        <v>81085575</v>
      </c>
      <c r="CX109" s="230">
        <v>891825</v>
      </c>
      <c r="CY109" s="229">
        <v>1.0999999999999999E-2</v>
      </c>
      <c r="CZ109" s="228">
        <v>57.05</v>
      </c>
      <c r="DA109" s="228">
        <v>57.75</v>
      </c>
      <c r="DB109" s="228">
        <v>-0.7</v>
      </c>
      <c r="DC109" s="228">
        <v>-0.7</v>
      </c>
      <c r="DD109" s="228">
        <v>50.42</v>
      </c>
      <c r="DE109" s="228">
        <v>49.89</v>
      </c>
      <c r="DF109" s="228">
        <v>6.63</v>
      </c>
      <c r="DG109" s="228">
        <v>0.53</v>
      </c>
      <c r="DH109" s="228">
        <v>56.8</v>
      </c>
      <c r="DI109" s="228">
        <v>59.84</v>
      </c>
      <c r="DJ109" s="228">
        <v>-3.04</v>
      </c>
      <c r="DK109" s="228">
        <v>-3.04</v>
      </c>
      <c r="DL109" s="228">
        <v>57.33</v>
      </c>
      <c r="DM109" s="228">
        <v>55.53</v>
      </c>
      <c r="DN109" s="228">
        <v>1.8</v>
      </c>
      <c r="DO109" s="228">
        <v>1.8</v>
      </c>
      <c r="DP109" s="228">
        <v>0.56000000000000005</v>
      </c>
      <c r="DQ109" s="228">
        <v>0.47</v>
      </c>
      <c r="DR109" s="228">
        <v>0.09</v>
      </c>
      <c r="DS109" s="229">
        <v>0.1915</v>
      </c>
      <c r="DT109" s="228">
        <v>400</v>
      </c>
      <c r="DU109" s="228">
        <v>380</v>
      </c>
      <c r="DV109" s="228">
        <v>1.1599999999999999</v>
      </c>
      <c r="DW109" s="228">
        <v>0.94</v>
      </c>
      <c r="DX109" s="228">
        <v>0.22</v>
      </c>
      <c r="DY109" s="229">
        <v>0.23400000000000001</v>
      </c>
      <c r="DZ109" s="229">
        <v>0.57250000000000001</v>
      </c>
      <c r="EA109" s="230">
        <v>12228225</v>
      </c>
      <c r="EB109" s="229">
        <v>4.1000000000000003E-3</v>
      </c>
      <c r="EC109" s="229">
        <v>0.57250000000000001</v>
      </c>
      <c r="ED109" s="228">
        <v>2.2999999999999998</v>
      </c>
      <c r="EE109" s="229">
        <v>6.0000000000000001E-3</v>
      </c>
      <c r="EF109" s="230">
        <v>4876030</v>
      </c>
      <c r="EG109" s="230">
        <v>8015758</v>
      </c>
      <c r="EH109" s="229">
        <v>-0.39169999999999999</v>
      </c>
      <c r="EI109" s="229">
        <v>0.25130000000000002</v>
      </c>
      <c r="EJ109" s="231">
        <v>420375.01</v>
      </c>
      <c r="EK109" s="231">
        <v>447125.01</v>
      </c>
      <c r="EL109" s="231">
        <v>165530.67000000001</v>
      </c>
      <c r="EM109" s="231">
        <v>16907</v>
      </c>
      <c r="EN109" s="231">
        <v>1033030.69</v>
      </c>
      <c r="EO109" s="231">
        <v>1717178.75</v>
      </c>
      <c r="EP109" s="231">
        <v>-684148.06</v>
      </c>
      <c r="EQ109" s="229">
        <v>-0.39839999999999998</v>
      </c>
      <c r="ER109" s="231">
        <v>139128</v>
      </c>
      <c r="ES109" s="231">
        <v>69306</v>
      </c>
      <c r="ET109" s="231">
        <v>129042</v>
      </c>
      <c r="EU109" s="231">
        <v>57654984</v>
      </c>
      <c r="EV109" s="231">
        <v>337476</v>
      </c>
      <c r="EW109" s="231">
        <v>348329</v>
      </c>
      <c r="EX109" s="231">
        <v>-10853</v>
      </c>
      <c r="EY109" s="229">
        <v>-3.1199999999999999E-2</v>
      </c>
      <c r="EZ109" s="229">
        <v>1.4218999999999999</v>
      </c>
      <c r="FA109" s="227" t="s">
        <v>568</v>
      </c>
      <c r="FB109" s="161">
        <f t="shared" si="1"/>
        <v>19646000</v>
      </c>
    </row>
    <row r="110" spans="1:158" ht="17.25" hidden="1" thickBot="1" x14ac:dyDescent="0.3">
      <c r="A110" s="226">
        <v>46044</v>
      </c>
      <c r="B110" s="227" t="s">
        <v>184</v>
      </c>
      <c r="C110" s="227" t="s">
        <v>676</v>
      </c>
      <c r="D110" s="228">
        <v>100</v>
      </c>
      <c r="E110" s="231">
        <v>3536.8</v>
      </c>
      <c r="F110" s="231">
        <v>3496</v>
      </c>
      <c r="G110" s="228">
        <v>40.799999999999997</v>
      </c>
      <c r="H110" s="229">
        <v>1.17E-2</v>
      </c>
      <c r="I110" s="231">
        <v>3527.2</v>
      </c>
      <c r="J110" s="231">
        <v>3490.8</v>
      </c>
      <c r="K110" s="228">
        <v>36.4</v>
      </c>
      <c r="L110" s="229">
        <v>1.04E-2</v>
      </c>
      <c r="M110" s="231">
        <v>3536.8</v>
      </c>
      <c r="N110" s="231">
        <v>3496</v>
      </c>
      <c r="O110" s="228">
        <v>40.799999999999997</v>
      </c>
      <c r="P110" s="229">
        <v>1.17E-2</v>
      </c>
      <c r="Q110" s="231">
        <v>3509</v>
      </c>
      <c r="R110" s="231">
        <v>3488</v>
      </c>
      <c r="S110" s="228">
        <v>21</v>
      </c>
      <c r="T110" s="229">
        <v>6.0000000000000001E-3</v>
      </c>
      <c r="U110" s="231">
        <v>3524.9</v>
      </c>
      <c r="V110" s="231">
        <v>3496.1</v>
      </c>
      <c r="W110" s="228">
        <v>28.8</v>
      </c>
      <c r="X110" s="229">
        <v>8.2000000000000007E-3</v>
      </c>
      <c r="Y110" s="228">
        <v>9.6</v>
      </c>
      <c r="Z110" s="228">
        <v>5.2</v>
      </c>
      <c r="AA110" s="228">
        <v>4.4000000000000004</v>
      </c>
      <c r="AB110" s="229">
        <v>2.7000000000000001E-3</v>
      </c>
      <c r="AC110" s="228">
        <v>9.6</v>
      </c>
      <c r="AD110" s="228">
        <v>5.2</v>
      </c>
      <c r="AE110" s="228">
        <v>4.4000000000000004</v>
      </c>
      <c r="AF110" s="229">
        <v>2.7000000000000001E-3</v>
      </c>
      <c r="AG110" s="228">
        <v>-18.2</v>
      </c>
      <c r="AH110" s="228">
        <v>-2.8</v>
      </c>
      <c r="AI110" s="228">
        <v>-15.4</v>
      </c>
      <c r="AJ110" s="229">
        <v>-5.1999999999999998E-3</v>
      </c>
      <c r="AK110" s="228">
        <v>-2.2999999999999998</v>
      </c>
      <c r="AL110" s="228">
        <v>5.3</v>
      </c>
      <c r="AM110" s="228">
        <v>-7.6</v>
      </c>
      <c r="AN110" s="229">
        <v>-6.9999999999999999E-4</v>
      </c>
      <c r="AO110" s="231">
        <v>3531.25</v>
      </c>
      <c r="AP110" s="231">
        <v>3512.62</v>
      </c>
      <c r="AQ110" s="228">
        <v>0</v>
      </c>
      <c r="AR110" s="230">
        <v>3153900</v>
      </c>
      <c r="AS110" s="230">
        <v>2316900</v>
      </c>
      <c r="AT110" s="230">
        <v>837000</v>
      </c>
      <c r="AU110" s="229">
        <v>0.36130000000000001</v>
      </c>
      <c r="AV110" s="230">
        <v>1530900</v>
      </c>
      <c r="AW110" s="230">
        <v>1368300</v>
      </c>
      <c r="AX110" s="230">
        <v>162600</v>
      </c>
      <c r="AY110" s="229">
        <v>0.1188</v>
      </c>
      <c r="AZ110" s="230">
        <v>1564400</v>
      </c>
      <c r="BA110" s="230">
        <v>913100</v>
      </c>
      <c r="BB110" s="230">
        <v>651300</v>
      </c>
      <c r="BC110" s="229">
        <v>0.71330000000000005</v>
      </c>
      <c r="BD110" s="230">
        <v>58600</v>
      </c>
      <c r="BE110" s="230">
        <v>35500</v>
      </c>
      <c r="BF110" s="230">
        <v>23100</v>
      </c>
      <c r="BG110" s="229">
        <v>0.65069999999999995</v>
      </c>
      <c r="BH110" s="230">
        <v>3361000</v>
      </c>
      <c r="BI110" s="230">
        <v>4592500</v>
      </c>
      <c r="BJ110" s="230">
        <v>-1231500</v>
      </c>
      <c r="BK110" s="229">
        <v>-0.26819999999999999</v>
      </c>
      <c r="BL110" s="230">
        <v>1457500</v>
      </c>
      <c r="BM110" s="230">
        <v>2432700</v>
      </c>
      <c r="BN110" s="230">
        <v>-975200</v>
      </c>
      <c r="BO110" s="229">
        <v>-0.40089999999999998</v>
      </c>
      <c r="BP110" s="230">
        <v>7972400</v>
      </c>
      <c r="BQ110" s="230">
        <v>9342100</v>
      </c>
      <c r="BR110" s="230">
        <v>-1369700</v>
      </c>
      <c r="BS110" s="229">
        <v>-0.14660000000000001</v>
      </c>
      <c r="BT110" s="230">
        <v>750736</v>
      </c>
      <c r="BU110" s="230">
        <v>1711308</v>
      </c>
      <c r="BV110" s="230">
        <v>-960572</v>
      </c>
      <c r="BW110" s="229">
        <v>-0.56130000000000002</v>
      </c>
      <c r="BX110" s="230">
        <v>3593300</v>
      </c>
      <c r="BY110" s="230">
        <v>3381000</v>
      </c>
      <c r="BZ110" s="230">
        <v>212300</v>
      </c>
      <c r="CA110" s="229">
        <v>6.2799999999999995E-2</v>
      </c>
      <c r="CB110" s="230">
        <v>1646400</v>
      </c>
      <c r="CC110" s="230">
        <v>2533500</v>
      </c>
      <c r="CD110" s="230">
        <v>-887100</v>
      </c>
      <c r="CE110" s="229">
        <v>-0.35010000000000002</v>
      </c>
      <c r="CF110" s="230">
        <v>1863400</v>
      </c>
      <c r="CG110" s="230">
        <v>785100</v>
      </c>
      <c r="CH110" s="230">
        <v>1078300</v>
      </c>
      <c r="CI110" s="229">
        <v>1.3734999999999999</v>
      </c>
      <c r="CJ110" s="230">
        <v>83500</v>
      </c>
      <c r="CK110" s="230">
        <v>62400</v>
      </c>
      <c r="CL110" s="230">
        <v>21100</v>
      </c>
      <c r="CM110" s="229">
        <v>0.33810000000000001</v>
      </c>
      <c r="CN110" s="230">
        <v>3395700</v>
      </c>
      <c r="CO110" s="230">
        <v>3692700</v>
      </c>
      <c r="CP110" s="230">
        <v>-297000</v>
      </c>
      <c r="CQ110" s="229">
        <v>-8.0399999999999999E-2</v>
      </c>
      <c r="CR110" s="230">
        <v>1644200</v>
      </c>
      <c r="CS110" s="230">
        <v>1795500</v>
      </c>
      <c r="CT110" s="230">
        <v>-151300</v>
      </c>
      <c r="CU110" s="229">
        <v>-8.43E-2</v>
      </c>
      <c r="CV110" s="230">
        <v>8633200</v>
      </c>
      <c r="CW110" s="230">
        <v>8869200</v>
      </c>
      <c r="CX110" s="230">
        <v>-236000</v>
      </c>
      <c r="CY110" s="229">
        <v>-2.6599999999999999E-2</v>
      </c>
      <c r="CZ110" s="228">
        <v>51.17</v>
      </c>
      <c r="DA110" s="228">
        <v>46.19</v>
      </c>
      <c r="DB110" s="228">
        <v>4.9800000000000004</v>
      </c>
      <c r="DC110" s="228">
        <v>4.9800000000000004</v>
      </c>
      <c r="DD110" s="228">
        <v>60.75</v>
      </c>
      <c r="DE110" s="228">
        <v>60.88</v>
      </c>
      <c r="DF110" s="228">
        <v>-9.58</v>
      </c>
      <c r="DG110" s="228">
        <v>-0.13</v>
      </c>
      <c r="DH110" s="228">
        <v>51.06</v>
      </c>
      <c r="DI110" s="228">
        <v>47.6</v>
      </c>
      <c r="DJ110" s="228">
        <v>3.46</v>
      </c>
      <c r="DK110" s="228">
        <v>3.46</v>
      </c>
      <c r="DL110" s="228">
        <v>51.37</v>
      </c>
      <c r="DM110" s="228">
        <v>43.53</v>
      </c>
      <c r="DN110" s="228">
        <v>7.84</v>
      </c>
      <c r="DO110" s="228">
        <v>7.84</v>
      </c>
      <c r="DP110" s="228">
        <v>0.48</v>
      </c>
      <c r="DQ110" s="228">
        <v>0.49</v>
      </c>
      <c r="DR110" s="228">
        <v>-0.01</v>
      </c>
      <c r="DS110" s="229">
        <v>-2.0400000000000001E-2</v>
      </c>
      <c r="DT110" s="231">
        <v>4000</v>
      </c>
      <c r="DU110" s="231">
        <v>3500</v>
      </c>
      <c r="DV110" s="228">
        <v>0.43</v>
      </c>
      <c r="DW110" s="228">
        <v>0.53</v>
      </c>
      <c r="DX110" s="228">
        <v>-0.1</v>
      </c>
      <c r="DY110" s="229">
        <v>-0.18870000000000001</v>
      </c>
      <c r="DZ110" s="229">
        <v>0.54179999999999995</v>
      </c>
      <c r="EA110" s="230">
        <v>847500</v>
      </c>
      <c r="EB110" s="229">
        <v>-7.9000000000000008E-3</v>
      </c>
      <c r="EC110" s="229">
        <v>0.54179999999999995</v>
      </c>
      <c r="ED110" s="228">
        <v>-18.63</v>
      </c>
      <c r="EE110" s="229">
        <v>-5.3E-3</v>
      </c>
      <c r="EF110" s="230">
        <v>158652</v>
      </c>
      <c r="EG110" s="230">
        <v>262978</v>
      </c>
      <c r="EH110" s="229">
        <v>-0.3967</v>
      </c>
      <c r="EI110" s="229">
        <v>0.21129999999999999</v>
      </c>
      <c r="EJ110" s="231">
        <v>129492.6</v>
      </c>
      <c r="EK110" s="231">
        <v>52356.08</v>
      </c>
      <c r="EL110" s="231">
        <v>111070.97</v>
      </c>
      <c r="EM110" s="231">
        <v>12969</v>
      </c>
      <c r="EN110" s="231">
        <v>292919.65000000002</v>
      </c>
      <c r="EO110" s="231">
        <v>341910.22</v>
      </c>
      <c r="EP110" s="231">
        <v>-48990.57</v>
      </c>
      <c r="EQ110" s="229">
        <v>-0.14330000000000001</v>
      </c>
      <c r="ER110" s="231">
        <v>139029</v>
      </c>
      <c r="ES110" s="231">
        <v>60924</v>
      </c>
      <c r="ET110" s="231">
        <v>126560</v>
      </c>
      <c r="EU110" s="231">
        <v>4679418</v>
      </c>
      <c r="EV110" s="231">
        <v>326513</v>
      </c>
      <c r="EW110" s="231">
        <v>336136</v>
      </c>
      <c r="EX110" s="231">
        <v>-9623</v>
      </c>
      <c r="EY110" s="229">
        <v>-2.86E-2</v>
      </c>
      <c r="EZ110" s="229">
        <v>1.8449</v>
      </c>
      <c r="FA110" s="227" t="s">
        <v>555</v>
      </c>
      <c r="FB110" s="161">
        <f t="shared" si="1"/>
        <v>1946900</v>
      </c>
    </row>
    <row r="111" spans="1:158" ht="17.25" hidden="1" thickBot="1" x14ac:dyDescent="0.3">
      <c r="A111" s="226">
        <v>46044</v>
      </c>
      <c r="B111" s="227" t="s">
        <v>161</v>
      </c>
      <c r="C111" s="227" t="s">
        <v>610</v>
      </c>
      <c r="D111" s="228">
        <v>175</v>
      </c>
      <c r="E111" s="231">
        <v>3855.7</v>
      </c>
      <c r="F111" s="231">
        <v>3936.6</v>
      </c>
      <c r="G111" s="228">
        <v>-80.900000000000006</v>
      </c>
      <c r="H111" s="229">
        <v>-2.06E-2</v>
      </c>
      <c r="I111" s="231">
        <v>3848.4</v>
      </c>
      <c r="J111" s="231">
        <v>3939.3</v>
      </c>
      <c r="K111" s="228">
        <v>-90.9</v>
      </c>
      <c r="L111" s="229">
        <v>-2.3099999999999999E-2</v>
      </c>
      <c r="M111" s="231">
        <v>3855.7</v>
      </c>
      <c r="N111" s="231">
        <v>3936.6</v>
      </c>
      <c r="O111" s="228">
        <v>-80.900000000000006</v>
      </c>
      <c r="P111" s="229">
        <v>-2.06E-2</v>
      </c>
      <c r="Q111" s="231">
        <v>3853.3</v>
      </c>
      <c r="R111" s="231">
        <v>3939.3</v>
      </c>
      <c r="S111" s="228">
        <v>-86</v>
      </c>
      <c r="T111" s="229">
        <v>-2.18E-2</v>
      </c>
      <c r="U111" s="231">
        <v>3853.4</v>
      </c>
      <c r="V111" s="231">
        <v>3898.6</v>
      </c>
      <c r="W111" s="228">
        <v>-45.2</v>
      </c>
      <c r="X111" s="229">
        <v>-1.1599999999999999E-2</v>
      </c>
      <c r="Y111" s="228">
        <v>7.3</v>
      </c>
      <c r="Z111" s="228">
        <v>-2.7</v>
      </c>
      <c r="AA111" s="228">
        <v>10</v>
      </c>
      <c r="AB111" s="229">
        <v>1.9E-3</v>
      </c>
      <c r="AC111" s="228">
        <v>7.3</v>
      </c>
      <c r="AD111" s="228">
        <v>-2.7</v>
      </c>
      <c r="AE111" s="228">
        <v>10</v>
      </c>
      <c r="AF111" s="229">
        <v>1.9E-3</v>
      </c>
      <c r="AG111" s="228">
        <v>4.9000000000000004</v>
      </c>
      <c r="AH111" s="228">
        <v>0</v>
      </c>
      <c r="AI111" s="228">
        <v>4.9000000000000004</v>
      </c>
      <c r="AJ111" s="229">
        <v>1.2999999999999999E-3</v>
      </c>
      <c r="AK111" s="228">
        <v>5</v>
      </c>
      <c r="AL111" s="228">
        <v>-40.700000000000003</v>
      </c>
      <c r="AM111" s="228">
        <v>45.7</v>
      </c>
      <c r="AN111" s="229">
        <v>1.2999999999999999E-3</v>
      </c>
      <c r="AO111" s="231">
        <v>3842.99</v>
      </c>
      <c r="AP111" s="231">
        <v>3828.06</v>
      </c>
      <c r="AQ111" s="228">
        <v>0</v>
      </c>
      <c r="AR111" s="230">
        <v>3258850</v>
      </c>
      <c r="AS111" s="230">
        <v>1407000</v>
      </c>
      <c r="AT111" s="230">
        <v>1851850</v>
      </c>
      <c r="AU111" s="229">
        <v>1.3162</v>
      </c>
      <c r="AV111" s="230">
        <v>1710275</v>
      </c>
      <c r="AW111" s="230">
        <v>974400</v>
      </c>
      <c r="AX111" s="230">
        <v>735875</v>
      </c>
      <c r="AY111" s="229">
        <v>0.75519999999999998</v>
      </c>
      <c r="AZ111" s="230">
        <v>1537725</v>
      </c>
      <c r="BA111" s="230">
        <v>430850</v>
      </c>
      <c r="BB111" s="230">
        <v>1106875</v>
      </c>
      <c r="BC111" s="229">
        <v>2.569</v>
      </c>
      <c r="BD111" s="230">
        <v>10850</v>
      </c>
      <c r="BE111" s="230">
        <v>1750</v>
      </c>
      <c r="BF111" s="230">
        <v>9100</v>
      </c>
      <c r="BG111" s="229">
        <v>5.2</v>
      </c>
      <c r="BH111" s="230">
        <v>7897750</v>
      </c>
      <c r="BI111" s="230">
        <v>2932300</v>
      </c>
      <c r="BJ111" s="230">
        <v>4965450</v>
      </c>
      <c r="BK111" s="229">
        <v>1.6934</v>
      </c>
      <c r="BL111" s="230">
        <v>6317150</v>
      </c>
      <c r="BM111" s="230">
        <v>2623775</v>
      </c>
      <c r="BN111" s="230">
        <v>3693375</v>
      </c>
      <c r="BO111" s="229">
        <v>1.4077</v>
      </c>
      <c r="BP111" s="230">
        <v>17473750</v>
      </c>
      <c r="BQ111" s="230">
        <v>6963075</v>
      </c>
      <c r="BR111" s="230">
        <v>10510675</v>
      </c>
      <c r="BS111" s="229">
        <v>1.5095000000000001</v>
      </c>
      <c r="BT111" s="230">
        <v>1328577</v>
      </c>
      <c r="BU111" s="230">
        <v>439681</v>
      </c>
      <c r="BV111" s="230">
        <v>888896</v>
      </c>
      <c r="BW111" s="229">
        <v>2.0217000000000001</v>
      </c>
      <c r="BX111" s="230">
        <v>1148700</v>
      </c>
      <c r="BY111" s="230">
        <v>921900</v>
      </c>
      <c r="BZ111" s="230">
        <v>226800</v>
      </c>
      <c r="CA111" s="229">
        <v>0.246</v>
      </c>
      <c r="CB111" s="230">
        <v>389025</v>
      </c>
      <c r="CC111" s="230">
        <v>750575</v>
      </c>
      <c r="CD111" s="230">
        <v>-361550</v>
      </c>
      <c r="CE111" s="229">
        <v>-0.48170000000000002</v>
      </c>
      <c r="CF111" s="230">
        <v>753900</v>
      </c>
      <c r="CG111" s="230">
        <v>168000</v>
      </c>
      <c r="CH111" s="230">
        <v>585900</v>
      </c>
      <c r="CI111" s="229">
        <v>3.4874999999999998</v>
      </c>
      <c r="CJ111" s="230">
        <v>5775</v>
      </c>
      <c r="CK111" s="230">
        <v>3325</v>
      </c>
      <c r="CL111" s="230">
        <v>2450</v>
      </c>
      <c r="CM111" s="229">
        <v>0.73680000000000001</v>
      </c>
      <c r="CN111" s="230">
        <v>1195075</v>
      </c>
      <c r="CO111" s="230">
        <v>953050</v>
      </c>
      <c r="CP111" s="230">
        <v>242025</v>
      </c>
      <c r="CQ111" s="229">
        <v>0.25390000000000001</v>
      </c>
      <c r="CR111" s="230">
        <v>714525</v>
      </c>
      <c r="CS111" s="230">
        <v>753025</v>
      </c>
      <c r="CT111" s="230">
        <v>-38500</v>
      </c>
      <c r="CU111" s="229">
        <v>-5.11E-2</v>
      </c>
      <c r="CV111" s="230">
        <v>3058300</v>
      </c>
      <c r="CW111" s="230">
        <v>2627975</v>
      </c>
      <c r="CX111" s="230">
        <v>430325</v>
      </c>
      <c r="CY111" s="229">
        <v>0.16370000000000001</v>
      </c>
      <c r="CZ111" s="228">
        <v>32.840000000000003</v>
      </c>
      <c r="DA111" s="228">
        <v>46.06</v>
      </c>
      <c r="DB111" s="228">
        <v>-13.22</v>
      </c>
      <c r="DC111" s="228">
        <v>-13.22</v>
      </c>
      <c r="DD111" s="228">
        <v>45.27</v>
      </c>
      <c r="DE111" s="228">
        <v>45.29</v>
      </c>
      <c r="DF111" s="228">
        <v>-12.43</v>
      </c>
      <c r="DG111" s="228">
        <v>-0.02</v>
      </c>
      <c r="DH111" s="228">
        <v>32.619999999999997</v>
      </c>
      <c r="DI111" s="228">
        <v>47.03</v>
      </c>
      <c r="DJ111" s="228">
        <v>-14.41</v>
      </c>
      <c r="DK111" s="228">
        <v>-14.41</v>
      </c>
      <c r="DL111" s="228">
        <v>33.340000000000003</v>
      </c>
      <c r="DM111" s="228">
        <v>44.97</v>
      </c>
      <c r="DN111" s="228">
        <v>-11.63</v>
      </c>
      <c r="DO111" s="228">
        <v>-11.63</v>
      </c>
      <c r="DP111" s="228">
        <v>0.6</v>
      </c>
      <c r="DQ111" s="228">
        <v>0.79</v>
      </c>
      <c r="DR111" s="228">
        <v>-0.19</v>
      </c>
      <c r="DS111" s="229">
        <v>-0.24049999999999999</v>
      </c>
      <c r="DT111" s="231">
        <v>4100</v>
      </c>
      <c r="DU111" s="231">
        <v>3700</v>
      </c>
      <c r="DV111" s="228">
        <v>0.8</v>
      </c>
      <c r="DW111" s="228">
        <v>0.89</v>
      </c>
      <c r="DX111" s="228">
        <v>-0.09</v>
      </c>
      <c r="DY111" s="229">
        <v>-0.1011</v>
      </c>
      <c r="DZ111" s="229">
        <v>0.6613</v>
      </c>
      <c r="EA111" s="230">
        <v>171325</v>
      </c>
      <c r="EB111" s="229">
        <v>-5.9999999999999995E-4</v>
      </c>
      <c r="EC111" s="229">
        <v>0.6613</v>
      </c>
      <c r="ED111" s="228">
        <v>-14.93</v>
      </c>
      <c r="EE111" s="229">
        <v>-3.8999999999999998E-3</v>
      </c>
      <c r="EF111" s="230">
        <v>392277</v>
      </c>
      <c r="EG111" s="230">
        <v>150725</v>
      </c>
      <c r="EH111" s="229">
        <v>1.6026</v>
      </c>
      <c r="EI111" s="229">
        <v>0.29530000000000001</v>
      </c>
      <c r="EJ111" s="231">
        <v>321009.40000000002</v>
      </c>
      <c r="EK111" s="231">
        <v>240292.34</v>
      </c>
      <c r="EL111" s="231">
        <v>125004.73</v>
      </c>
      <c r="EM111" s="231">
        <v>4919</v>
      </c>
      <c r="EN111" s="231">
        <v>686306.47</v>
      </c>
      <c r="EO111" s="231">
        <v>283734.71000000002</v>
      </c>
      <c r="EP111" s="231">
        <v>402571.76</v>
      </c>
      <c r="EQ111" s="229">
        <v>1.4188000000000001</v>
      </c>
      <c r="ER111" s="231">
        <v>51026</v>
      </c>
      <c r="ES111" s="231">
        <v>28370</v>
      </c>
      <c r="ET111" s="231">
        <v>44272</v>
      </c>
      <c r="EU111" s="231">
        <v>8553821</v>
      </c>
      <c r="EV111" s="231">
        <v>123668</v>
      </c>
      <c r="EW111" s="231">
        <v>107854</v>
      </c>
      <c r="EX111" s="231">
        <v>15814</v>
      </c>
      <c r="EY111" s="229">
        <v>0.14660000000000001</v>
      </c>
      <c r="EZ111" s="229">
        <v>0.35749999999999998</v>
      </c>
      <c r="FA111" s="227" t="s">
        <v>567</v>
      </c>
      <c r="FB111" s="161">
        <f t="shared" si="1"/>
        <v>759675</v>
      </c>
    </row>
    <row r="112" spans="1:158" ht="17.25" hidden="1" thickBot="1" x14ac:dyDescent="0.3">
      <c r="A112" s="226">
        <v>46044</v>
      </c>
      <c r="B112" s="227" t="s">
        <v>175</v>
      </c>
      <c r="C112" s="227" t="s">
        <v>683</v>
      </c>
      <c r="D112" s="228">
        <v>500</v>
      </c>
      <c r="E112" s="231">
        <v>1035.3</v>
      </c>
      <c r="F112" s="228">
        <v>996.8</v>
      </c>
      <c r="G112" s="228">
        <v>38.5</v>
      </c>
      <c r="H112" s="229">
        <v>3.8600000000000002E-2</v>
      </c>
      <c r="I112" s="231">
        <v>1033.5</v>
      </c>
      <c r="J112" s="231">
        <v>1000.4</v>
      </c>
      <c r="K112" s="228">
        <v>33.1</v>
      </c>
      <c r="L112" s="229">
        <v>3.3099999999999997E-2</v>
      </c>
      <c r="M112" s="231">
        <v>1035.3</v>
      </c>
      <c r="N112" s="228">
        <v>996.8</v>
      </c>
      <c r="O112" s="228">
        <v>38.5</v>
      </c>
      <c r="P112" s="229">
        <v>3.8600000000000002E-2</v>
      </c>
      <c r="Q112" s="228">
        <v>983.2</v>
      </c>
      <c r="R112" s="228">
        <v>956.8</v>
      </c>
      <c r="S112" s="228">
        <v>26.4</v>
      </c>
      <c r="T112" s="229">
        <v>2.76E-2</v>
      </c>
      <c r="U112" s="228">
        <v>957.5</v>
      </c>
      <c r="V112" s="228">
        <v>951</v>
      </c>
      <c r="W112" s="228">
        <v>6.5</v>
      </c>
      <c r="X112" s="229">
        <v>6.7999999999999996E-3</v>
      </c>
      <c r="Y112" s="228">
        <v>1.8</v>
      </c>
      <c r="Z112" s="228">
        <v>-3.6</v>
      </c>
      <c r="AA112" s="228">
        <v>5.4</v>
      </c>
      <c r="AB112" s="229">
        <v>1.6999999999999999E-3</v>
      </c>
      <c r="AC112" s="228">
        <v>1.8</v>
      </c>
      <c r="AD112" s="228">
        <v>-3.6</v>
      </c>
      <c r="AE112" s="228">
        <v>5.4</v>
      </c>
      <c r="AF112" s="229">
        <v>1.6999999999999999E-3</v>
      </c>
      <c r="AG112" s="228">
        <v>-50.3</v>
      </c>
      <c r="AH112" s="228">
        <v>-43.6</v>
      </c>
      <c r="AI112" s="228">
        <v>-6.7</v>
      </c>
      <c r="AJ112" s="229">
        <v>-4.87E-2</v>
      </c>
      <c r="AK112" s="228">
        <v>-76</v>
      </c>
      <c r="AL112" s="228">
        <v>-49.4</v>
      </c>
      <c r="AM112" s="228">
        <v>-26.6</v>
      </c>
      <c r="AN112" s="229">
        <v>-7.3499999999999996E-2</v>
      </c>
      <c r="AO112" s="231">
        <v>1033.94</v>
      </c>
      <c r="AP112" s="228">
        <v>986.92</v>
      </c>
      <c r="AQ112" s="228">
        <v>0</v>
      </c>
      <c r="AR112" s="230">
        <v>7202000</v>
      </c>
      <c r="AS112" s="230">
        <v>5881500</v>
      </c>
      <c r="AT112" s="230">
        <v>1320500</v>
      </c>
      <c r="AU112" s="229">
        <v>0.22450000000000001</v>
      </c>
      <c r="AV112" s="230">
        <v>3712000</v>
      </c>
      <c r="AW112" s="230">
        <v>3068500</v>
      </c>
      <c r="AX112" s="230">
        <v>643500</v>
      </c>
      <c r="AY112" s="229">
        <v>0.2097</v>
      </c>
      <c r="AZ112" s="230">
        <v>3403500</v>
      </c>
      <c r="BA112" s="230">
        <v>2776000</v>
      </c>
      <c r="BB112" s="230">
        <v>627500</v>
      </c>
      <c r="BC112" s="229">
        <v>0.22600000000000001</v>
      </c>
      <c r="BD112" s="230">
        <v>86500</v>
      </c>
      <c r="BE112" s="230">
        <v>37000</v>
      </c>
      <c r="BF112" s="230">
        <v>49500</v>
      </c>
      <c r="BG112" s="229">
        <v>1.3378000000000001</v>
      </c>
      <c r="BH112" s="230">
        <v>5759500</v>
      </c>
      <c r="BI112" s="230">
        <v>2900000</v>
      </c>
      <c r="BJ112" s="230">
        <v>2859500</v>
      </c>
      <c r="BK112" s="229">
        <v>0.98599999999999999</v>
      </c>
      <c r="BL112" s="230">
        <v>2767000</v>
      </c>
      <c r="BM112" s="230">
        <v>4800500</v>
      </c>
      <c r="BN112" s="230">
        <v>-2033500</v>
      </c>
      <c r="BO112" s="229">
        <v>-0.42359999999999998</v>
      </c>
      <c r="BP112" s="230">
        <v>15728500</v>
      </c>
      <c r="BQ112" s="230">
        <v>13582000</v>
      </c>
      <c r="BR112" s="230">
        <v>2146500</v>
      </c>
      <c r="BS112" s="229">
        <v>0.158</v>
      </c>
      <c r="BT112" s="230">
        <v>841929</v>
      </c>
      <c r="BU112" s="230">
        <v>1033303</v>
      </c>
      <c r="BV112" s="230">
        <v>-191374</v>
      </c>
      <c r="BW112" s="229">
        <v>-0.1852</v>
      </c>
      <c r="BX112" s="230">
        <v>6813000</v>
      </c>
      <c r="BY112" s="230">
        <v>7466500</v>
      </c>
      <c r="BZ112" s="230">
        <v>-653500</v>
      </c>
      <c r="CA112" s="229">
        <v>-8.7499999999999994E-2</v>
      </c>
      <c r="CB112" s="230">
        <v>2620500</v>
      </c>
      <c r="CC112" s="230">
        <v>4233000</v>
      </c>
      <c r="CD112" s="230">
        <v>-1612500</v>
      </c>
      <c r="CE112" s="229">
        <v>-0.38090000000000002</v>
      </c>
      <c r="CF112" s="230">
        <v>3997000</v>
      </c>
      <c r="CG112" s="230">
        <v>3076000</v>
      </c>
      <c r="CH112" s="230">
        <v>921000</v>
      </c>
      <c r="CI112" s="229">
        <v>0.2994</v>
      </c>
      <c r="CJ112" s="230">
        <v>195500</v>
      </c>
      <c r="CK112" s="230">
        <v>157500</v>
      </c>
      <c r="CL112" s="230">
        <v>38000</v>
      </c>
      <c r="CM112" s="229">
        <v>0.24129999999999999</v>
      </c>
      <c r="CN112" s="230">
        <v>1866000</v>
      </c>
      <c r="CO112" s="230">
        <v>2187000</v>
      </c>
      <c r="CP112" s="230">
        <v>-321000</v>
      </c>
      <c r="CQ112" s="229">
        <v>-0.14680000000000001</v>
      </c>
      <c r="CR112" s="230">
        <v>1676000</v>
      </c>
      <c r="CS112" s="230">
        <v>1766500</v>
      </c>
      <c r="CT112" s="230">
        <v>-90500</v>
      </c>
      <c r="CU112" s="229">
        <v>-5.1200000000000002E-2</v>
      </c>
      <c r="CV112" s="230">
        <v>10355000</v>
      </c>
      <c r="CW112" s="230">
        <v>11420000</v>
      </c>
      <c r="CX112" s="230">
        <v>-1065000</v>
      </c>
      <c r="CY112" s="229">
        <v>-9.3299999999999994E-2</v>
      </c>
      <c r="CZ112" s="228">
        <v>36.35</v>
      </c>
      <c r="DA112" s="228">
        <v>31.51</v>
      </c>
      <c r="DB112" s="228">
        <v>4.84</v>
      </c>
      <c r="DC112" s="228">
        <v>4.84</v>
      </c>
      <c r="DD112" s="228">
        <v>50.78</v>
      </c>
      <c r="DE112" s="228">
        <v>50.65</v>
      </c>
      <c r="DF112" s="228">
        <v>-14.43</v>
      </c>
      <c r="DG112" s="228">
        <v>0.13</v>
      </c>
      <c r="DH112" s="228">
        <v>35.200000000000003</v>
      </c>
      <c r="DI112" s="228">
        <v>34.28</v>
      </c>
      <c r="DJ112" s="228">
        <v>0.92</v>
      </c>
      <c r="DK112" s="228">
        <v>0.92</v>
      </c>
      <c r="DL112" s="228">
        <v>38.15</v>
      </c>
      <c r="DM112" s="228">
        <v>29.84</v>
      </c>
      <c r="DN112" s="228">
        <v>8.31</v>
      </c>
      <c r="DO112" s="228">
        <v>8.31</v>
      </c>
      <c r="DP112" s="228">
        <v>0.9</v>
      </c>
      <c r="DQ112" s="228">
        <v>0.81</v>
      </c>
      <c r="DR112" s="228">
        <v>0.09</v>
      </c>
      <c r="DS112" s="229">
        <v>0.1111</v>
      </c>
      <c r="DT112" s="231">
        <v>1100</v>
      </c>
      <c r="DU112" s="228">
        <v>960</v>
      </c>
      <c r="DV112" s="228">
        <v>0.48</v>
      </c>
      <c r="DW112" s="228">
        <v>1.66</v>
      </c>
      <c r="DX112" s="228">
        <v>-1.18</v>
      </c>
      <c r="DY112" s="229">
        <v>-0.71079999999999999</v>
      </c>
      <c r="DZ112" s="229">
        <v>0.61539999999999995</v>
      </c>
      <c r="EA112" s="230">
        <v>3233500</v>
      </c>
      <c r="EB112" s="229">
        <v>-5.0299999999999997E-2</v>
      </c>
      <c r="EC112" s="229">
        <v>0.61539999999999995</v>
      </c>
      <c r="ED112" s="228">
        <v>-47.02</v>
      </c>
      <c r="EE112" s="229">
        <v>-4.5499999999999999E-2</v>
      </c>
      <c r="EF112" s="230">
        <v>201525</v>
      </c>
      <c r="EG112" s="230">
        <v>411243</v>
      </c>
      <c r="EH112" s="229">
        <v>-0.51</v>
      </c>
      <c r="EI112" s="229">
        <v>0.2394</v>
      </c>
      <c r="EJ112" s="231">
        <v>61713.47</v>
      </c>
      <c r="EK112" s="231">
        <v>28249.56</v>
      </c>
      <c r="EL112" s="231">
        <v>72806.570000000007</v>
      </c>
      <c r="EM112" s="231">
        <v>6243</v>
      </c>
      <c r="EN112" s="231">
        <v>162769.60000000001</v>
      </c>
      <c r="EO112" s="231">
        <v>136419.94</v>
      </c>
      <c r="EP112" s="231">
        <v>26349.66</v>
      </c>
      <c r="EQ112" s="229">
        <v>0.19320000000000001</v>
      </c>
      <c r="ER112" s="231">
        <v>20282</v>
      </c>
      <c r="ES112" s="231">
        <v>16809</v>
      </c>
      <c r="ET112" s="231">
        <v>68300</v>
      </c>
      <c r="EU112" s="231">
        <v>19924232</v>
      </c>
      <c r="EV112" s="231">
        <v>105391</v>
      </c>
      <c r="EW112" s="231">
        <v>114593</v>
      </c>
      <c r="EX112" s="231">
        <v>-9202</v>
      </c>
      <c r="EY112" s="229">
        <v>-8.0299999999999996E-2</v>
      </c>
      <c r="EZ112" s="229">
        <v>0.51970000000000005</v>
      </c>
      <c r="FA112" s="227" t="s">
        <v>556</v>
      </c>
      <c r="FB112" s="161">
        <f t="shared" si="1"/>
        <v>4192500</v>
      </c>
    </row>
    <row r="113" spans="1:158" ht="17.25" hidden="1" thickBot="1" x14ac:dyDescent="0.3">
      <c r="A113" s="226">
        <v>46044</v>
      </c>
      <c r="B113" s="227" t="s">
        <v>172</v>
      </c>
      <c r="C113" s="227" t="s">
        <v>246</v>
      </c>
      <c r="D113" s="228">
        <v>2000</v>
      </c>
      <c r="E113" s="228">
        <v>426.2</v>
      </c>
      <c r="F113" s="228">
        <v>422.1</v>
      </c>
      <c r="G113" s="228">
        <v>4.0999999999999996</v>
      </c>
      <c r="H113" s="229">
        <v>9.7000000000000003E-3</v>
      </c>
      <c r="I113" s="228">
        <v>426</v>
      </c>
      <c r="J113" s="228">
        <v>421.6</v>
      </c>
      <c r="K113" s="228">
        <v>4.4000000000000004</v>
      </c>
      <c r="L113" s="229">
        <v>1.04E-2</v>
      </c>
      <c r="M113" s="228">
        <v>426.2</v>
      </c>
      <c r="N113" s="228">
        <v>422.1</v>
      </c>
      <c r="O113" s="228">
        <v>4.0999999999999996</v>
      </c>
      <c r="P113" s="229">
        <v>9.7000000000000003E-3</v>
      </c>
      <c r="Q113" s="228">
        <v>428.5</v>
      </c>
      <c r="R113" s="228">
        <v>424.5</v>
      </c>
      <c r="S113" s="228">
        <v>4</v>
      </c>
      <c r="T113" s="229">
        <v>9.4000000000000004E-3</v>
      </c>
      <c r="U113" s="228">
        <v>431.5</v>
      </c>
      <c r="V113" s="228">
        <v>427</v>
      </c>
      <c r="W113" s="228">
        <v>4.5</v>
      </c>
      <c r="X113" s="229">
        <v>1.0500000000000001E-2</v>
      </c>
      <c r="Y113" s="228">
        <v>0.2</v>
      </c>
      <c r="Z113" s="228">
        <v>0.5</v>
      </c>
      <c r="AA113" s="228">
        <v>-0.3</v>
      </c>
      <c r="AB113" s="229">
        <v>5.0000000000000001E-4</v>
      </c>
      <c r="AC113" s="228">
        <v>0.2</v>
      </c>
      <c r="AD113" s="228">
        <v>0.5</v>
      </c>
      <c r="AE113" s="228">
        <v>-0.3</v>
      </c>
      <c r="AF113" s="229">
        <v>5.0000000000000001E-4</v>
      </c>
      <c r="AG113" s="228">
        <v>2.5</v>
      </c>
      <c r="AH113" s="228">
        <v>2.9</v>
      </c>
      <c r="AI113" s="228">
        <v>-0.4</v>
      </c>
      <c r="AJ113" s="229">
        <v>5.8999999999999999E-3</v>
      </c>
      <c r="AK113" s="228">
        <v>5.5</v>
      </c>
      <c r="AL113" s="228">
        <v>5.4</v>
      </c>
      <c r="AM113" s="228">
        <v>0.1</v>
      </c>
      <c r="AN113" s="229">
        <v>1.29E-2</v>
      </c>
      <c r="AO113" s="228">
        <v>424.83</v>
      </c>
      <c r="AP113" s="228">
        <v>427.08</v>
      </c>
      <c r="AQ113" s="228">
        <v>0</v>
      </c>
      <c r="AR113" s="230">
        <v>103386000</v>
      </c>
      <c r="AS113" s="230">
        <v>110906000</v>
      </c>
      <c r="AT113" s="230">
        <v>-7520000</v>
      </c>
      <c r="AU113" s="229">
        <v>-6.7799999999999999E-2</v>
      </c>
      <c r="AV113" s="230">
        <v>53858000</v>
      </c>
      <c r="AW113" s="230">
        <v>56384000</v>
      </c>
      <c r="AX113" s="230">
        <v>-2526000</v>
      </c>
      <c r="AY113" s="229">
        <v>-4.48E-2</v>
      </c>
      <c r="AZ113" s="230">
        <v>49410000</v>
      </c>
      <c r="BA113" s="230">
        <v>54152000</v>
      </c>
      <c r="BB113" s="230">
        <v>-4742000</v>
      </c>
      <c r="BC113" s="229">
        <v>-8.7599999999999997E-2</v>
      </c>
      <c r="BD113" s="230">
        <v>118000</v>
      </c>
      <c r="BE113" s="230">
        <v>370000</v>
      </c>
      <c r="BF113" s="230">
        <v>-252000</v>
      </c>
      <c r="BG113" s="229">
        <v>-0.68110000000000004</v>
      </c>
      <c r="BH113" s="230">
        <v>33900000</v>
      </c>
      <c r="BI113" s="230">
        <v>42502000</v>
      </c>
      <c r="BJ113" s="230">
        <v>-8602000</v>
      </c>
      <c r="BK113" s="229">
        <v>-0.2024</v>
      </c>
      <c r="BL113" s="230">
        <v>21656000</v>
      </c>
      <c r="BM113" s="230">
        <v>23306000</v>
      </c>
      <c r="BN113" s="230">
        <v>-1650000</v>
      </c>
      <c r="BO113" s="229">
        <v>-7.0800000000000002E-2</v>
      </c>
      <c r="BP113" s="230">
        <v>158942000</v>
      </c>
      <c r="BQ113" s="230">
        <v>176714000</v>
      </c>
      <c r="BR113" s="230">
        <v>-17772000</v>
      </c>
      <c r="BS113" s="229">
        <v>-0.10059999999999999</v>
      </c>
      <c r="BT113" s="230">
        <v>10216457</v>
      </c>
      <c r="BU113" s="230">
        <v>16518854</v>
      </c>
      <c r="BV113" s="230">
        <v>-6302397</v>
      </c>
      <c r="BW113" s="229">
        <v>-0.38150000000000001</v>
      </c>
      <c r="BX113" s="230">
        <v>196264000</v>
      </c>
      <c r="BY113" s="230">
        <v>196042000</v>
      </c>
      <c r="BZ113" s="230">
        <v>222000</v>
      </c>
      <c r="CA113" s="229">
        <v>1.1000000000000001E-3</v>
      </c>
      <c r="CB113" s="230">
        <v>67000000</v>
      </c>
      <c r="CC113" s="230">
        <v>110034000</v>
      </c>
      <c r="CD113" s="230">
        <v>-43034000</v>
      </c>
      <c r="CE113" s="229">
        <v>-0.3911</v>
      </c>
      <c r="CF113" s="230">
        <v>118718000</v>
      </c>
      <c r="CG113" s="230">
        <v>75508000</v>
      </c>
      <c r="CH113" s="230">
        <v>43210000</v>
      </c>
      <c r="CI113" s="229">
        <v>0.57230000000000003</v>
      </c>
      <c r="CJ113" s="230">
        <v>10546000</v>
      </c>
      <c r="CK113" s="230">
        <v>10500000</v>
      </c>
      <c r="CL113" s="230">
        <v>46000</v>
      </c>
      <c r="CM113" s="229">
        <v>4.4000000000000003E-3</v>
      </c>
      <c r="CN113" s="230">
        <v>43444000</v>
      </c>
      <c r="CO113" s="230">
        <v>44418000</v>
      </c>
      <c r="CP113" s="230">
        <v>-974000</v>
      </c>
      <c r="CQ113" s="229">
        <v>-2.1899999999999999E-2</v>
      </c>
      <c r="CR113" s="230">
        <v>27416000</v>
      </c>
      <c r="CS113" s="230">
        <v>28536000</v>
      </c>
      <c r="CT113" s="230">
        <v>-1120000</v>
      </c>
      <c r="CU113" s="229">
        <v>-3.9199999999999999E-2</v>
      </c>
      <c r="CV113" s="230">
        <v>267124000</v>
      </c>
      <c r="CW113" s="230">
        <v>268996000</v>
      </c>
      <c r="CX113" s="230">
        <v>-1872000</v>
      </c>
      <c r="CY113" s="229">
        <v>-7.0000000000000001E-3</v>
      </c>
      <c r="CZ113" s="228">
        <v>24.22</v>
      </c>
      <c r="DA113" s="228">
        <v>30.28</v>
      </c>
      <c r="DB113" s="228">
        <v>-6.06</v>
      </c>
      <c r="DC113" s="228">
        <v>-6.06</v>
      </c>
      <c r="DD113" s="228">
        <v>25.03</v>
      </c>
      <c r="DE113" s="228">
        <v>25.05</v>
      </c>
      <c r="DF113" s="228">
        <v>-0.81</v>
      </c>
      <c r="DG113" s="228">
        <v>-0.02</v>
      </c>
      <c r="DH113" s="228">
        <v>23.47</v>
      </c>
      <c r="DI113" s="228">
        <v>30.24</v>
      </c>
      <c r="DJ113" s="228">
        <v>-6.77</v>
      </c>
      <c r="DK113" s="228">
        <v>-6.77</v>
      </c>
      <c r="DL113" s="228">
        <v>25.26</v>
      </c>
      <c r="DM113" s="228">
        <v>30.37</v>
      </c>
      <c r="DN113" s="228">
        <v>-5.1100000000000003</v>
      </c>
      <c r="DO113" s="228">
        <v>-5.1100000000000003</v>
      </c>
      <c r="DP113" s="228">
        <v>0.63</v>
      </c>
      <c r="DQ113" s="228">
        <v>0.64</v>
      </c>
      <c r="DR113" s="228">
        <v>-0.01</v>
      </c>
      <c r="DS113" s="229">
        <v>-1.5599999999999999E-2</v>
      </c>
      <c r="DT113" s="228">
        <v>440</v>
      </c>
      <c r="DU113" s="228">
        <v>420</v>
      </c>
      <c r="DV113" s="228">
        <v>0.64</v>
      </c>
      <c r="DW113" s="228">
        <v>0.55000000000000004</v>
      </c>
      <c r="DX113" s="228">
        <v>0.09</v>
      </c>
      <c r="DY113" s="229">
        <v>0.1636</v>
      </c>
      <c r="DZ113" s="229">
        <v>0.65859999999999996</v>
      </c>
      <c r="EA113" s="230">
        <v>86008000</v>
      </c>
      <c r="EB113" s="229">
        <v>5.4000000000000003E-3</v>
      </c>
      <c r="EC113" s="229">
        <v>0.65859999999999996</v>
      </c>
      <c r="ED113" s="228">
        <v>2.25</v>
      </c>
      <c r="EE113" s="229">
        <v>5.3E-3</v>
      </c>
      <c r="EF113" s="230">
        <v>6541432</v>
      </c>
      <c r="EG113" s="230">
        <v>11598699</v>
      </c>
      <c r="EH113" s="229">
        <v>-0.436</v>
      </c>
      <c r="EI113" s="229">
        <v>0.64029999999999998</v>
      </c>
      <c r="EJ113" s="231">
        <v>149086.51</v>
      </c>
      <c r="EK113" s="231">
        <v>91569.04</v>
      </c>
      <c r="EL113" s="231">
        <v>440331.23</v>
      </c>
      <c r="EM113" s="231">
        <v>28600</v>
      </c>
      <c r="EN113" s="231">
        <v>680986.78</v>
      </c>
      <c r="EO113" s="231">
        <v>755172.11</v>
      </c>
      <c r="EP113" s="231">
        <v>-74185.33</v>
      </c>
      <c r="EQ113" s="229">
        <v>-9.8199999999999996E-2</v>
      </c>
      <c r="ER113" s="231">
        <v>192943</v>
      </c>
      <c r="ES113" s="231">
        <v>115011</v>
      </c>
      <c r="ET113" s="231">
        <v>839767</v>
      </c>
      <c r="EU113" s="231">
        <v>781025350</v>
      </c>
      <c r="EV113" s="231">
        <v>1147721</v>
      </c>
      <c r="EW113" s="231">
        <v>1146619</v>
      </c>
      <c r="EX113" s="231">
        <v>1102</v>
      </c>
      <c r="EY113" s="229">
        <v>1E-3</v>
      </c>
      <c r="EZ113" s="229">
        <v>0.34200000000000003</v>
      </c>
      <c r="FA113" s="227" t="s">
        <v>555</v>
      </c>
      <c r="FB113" s="161">
        <f t="shared" si="1"/>
        <v>129264000</v>
      </c>
    </row>
    <row r="114" spans="1:158" ht="17.25" hidden="1" thickBot="1" x14ac:dyDescent="0.3">
      <c r="A114" s="226">
        <v>46044</v>
      </c>
      <c r="B114" s="227" t="s">
        <v>221</v>
      </c>
      <c r="C114" s="227" t="s">
        <v>577</v>
      </c>
      <c r="D114" s="228">
        <v>425</v>
      </c>
      <c r="E114" s="231">
        <v>1113.3</v>
      </c>
      <c r="F114" s="231">
        <v>1119</v>
      </c>
      <c r="G114" s="228">
        <v>-5.7</v>
      </c>
      <c r="H114" s="229">
        <v>-5.1000000000000004E-3</v>
      </c>
      <c r="I114" s="231">
        <v>1109.2</v>
      </c>
      <c r="J114" s="231">
        <v>1114.9000000000001</v>
      </c>
      <c r="K114" s="228">
        <v>-5.7</v>
      </c>
      <c r="L114" s="229">
        <v>-5.1000000000000004E-3</v>
      </c>
      <c r="M114" s="231">
        <v>1113.3</v>
      </c>
      <c r="N114" s="231">
        <v>1119</v>
      </c>
      <c r="O114" s="228">
        <v>-5.7</v>
      </c>
      <c r="P114" s="229">
        <v>-5.1000000000000004E-3</v>
      </c>
      <c r="Q114" s="231">
        <v>1113.4000000000001</v>
      </c>
      <c r="R114" s="231">
        <v>1115.8</v>
      </c>
      <c r="S114" s="228">
        <v>-2.4</v>
      </c>
      <c r="T114" s="229">
        <v>-2.2000000000000001E-3</v>
      </c>
      <c r="U114" s="231">
        <v>1115.5</v>
      </c>
      <c r="V114" s="231">
        <v>1116.3</v>
      </c>
      <c r="W114" s="228">
        <v>-0.8</v>
      </c>
      <c r="X114" s="229">
        <v>-6.9999999999999999E-4</v>
      </c>
      <c r="Y114" s="228">
        <v>4.0999999999999996</v>
      </c>
      <c r="Z114" s="228">
        <v>4.0999999999999996</v>
      </c>
      <c r="AA114" s="228">
        <v>0</v>
      </c>
      <c r="AB114" s="229">
        <v>3.7000000000000002E-3</v>
      </c>
      <c r="AC114" s="228">
        <v>4.0999999999999996</v>
      </c>
      <c r="AD114" s="228">
        <v>4.0999999999999996</v>
      </c>
      <c r="AE114" s="228">
        <v>0</v>
      </c>
      <c r="AF114" s="229">
        <v>3.7000000000000002E-3</v>
      </c>
      <c r="AG114" s="228">
        <v>4.2</v>
      </c>
      <c r="AH114" s="228">
        <v>0.9</v>
      </c>
      <c r="AI114" s="228">
        <v>3.3</v>
      </c>
      <c r="AJ114" s="229">
        <v>3.8E-3</v>
      </c>
      <c r="AK114" s="228">
        <v>6.3</v>
      </c>
      <c r="AL114" s="228">
        <v>1.4</v>
      </c>
      <c r="AM114" s="228">
        <v>4.9000000000000004</v>
      </c>
      <c r="AN114" s="229">
        <v>5.7000000000000002E-3</v>
      </c>
      <c r="AO114" s="231">
        <v>1125.21</v>
      </c>
      <c r="AP114" s="231">
        <v>1124.3699999999999</v>
      </c>
      <c r="AQ114" s="228">
        <v>0</v>
      </c>
      <c r="AR114" s="230">
        <v>3764650</v>
      </c>
      <c r="AS114" s="230">
        <v>3794400</v>
      </c>
      <c r="AT114" s="230">
        <v>-29750</v>
      </c>
      <c r="AU114" s="229">
        <v>-7.7999999999999996E-3</v>
      </c>
      <c r="AV114" s="230">
        <v>1888700</v>
      </c>
      <c r="AW114" s="230">
        <v>1989425</v>
      </c>
      <c r="AX114" s="230">
        <v>-100725</v>
      </c>
      <c r="AY114" s="229">
        <v>-5.0599999999999999E-2</v>
      </c>
      <c r="AZ114" s="230">
        <v>1849175</v>
      </c>
      <c r="BA114" s="230">
        <v>1784150</v>
      </c>
      <c r="BB114" s="230">
        <v>65025</v>
      </c>
      <c r="BC114" s="229">
        <v>3.6400000000000002E-2</v>
      </c>
      <c r="BD114" s="230">
        <v>26775</v>
      </c>
      <c r="BE114" s="230">
        <v>20825</v>
      </c>
      <c r="BF114" s="230">
        <v>5950</v>
      </c>
      <c r="BG114" s="229">
        <v>0.28570000000000001</v>
      </c>
      <c r="BH114" s="230">
        <v>3669025</v>
      </c>
      <c r="BI114" s="230">
        <v>4282725</v>
      </c>
      <c r="BJ114" s="230">
        <v>-613700</v>
      </c>
      <c r="BK114" s="229">
        <v>-0.14330000000000001</v>
      </c>
      <c r="BL114" s="230">
        <v>1532550</v>
      </c>
      <c r="BM114" s="230">
        <v>3804600</v>
      </c>
      <c r="BN114" s="230">
        <v>-2272050</v>
      </c>
      <c r="BO114" s="229">
        <v>-0.59719999999999995</v>
      </c>
      <c r="BP114" s="230">
        <v>8966225</v>
      </c>
      <c r="BQ114" s="230">
        <v>11881725</v>
      </c>
      <c r="BR114" s="230">
        <v>-2915500</v>
      </c>
      <c r="BS114" s="229">
        <v>-0.24540000000000001</v>
      </c>
      <c r="BT114" s="230">
        <v>532924</v>
      </c>
      <c r="BU114" s="230">
        <v>1101227</v>
      </c>
      <c r="BV114" s="230">
        <v>-568303</v>
      </c>
      <c r="BW114" s="229">
        <v>-0.5161</v>
      </c>
      <c r="BX114" s="230">
        <v>4396625</v>
      </c>
      <c r="BY114" s="230">
        <v>4442525</v>
      </c>
      <c r="BZ114" s="230">
        <v>-45900</v>
      </c>
      <c r="CA114" s="229">
        <v>-1.03E-2</v>
      </c>
      <c r="CB114" s="230">
        <v>1738675</v>
      </c>
      <c r="CC114" s="230">
        <v>2720000</v>
      </c>
      <c r="CD114" s="230">
        <v>-981325</v>
      </c>
      <c r="CE114" s="229">
        <v>-0.36080000000000001</v>
      </c>
      <c r="CF114" s="230">
        <v>2584425</v>
      </c>
      <c r="CG114" s="230">
        <v>1655800</v>
      </c>
      <c r="CH114" s="230">
        <v>928625</v>
      </c>
      <c r="CI114" s="229">
        <v>0.56079999999999997</v>
      </c>
      <c r="CJ114" s="230">
        <v>73525</v>
      </c>
      <c r="CK114" s="230">
        <v>66725</v>
      </c>
      <c r="CL114" s="230">
        <v>6800</v>
      </c>
      <c r="CM114" s="229">
        <v>0.1019</v>
      </c>
      <c r="CN114" s="230">
        <v>2756550</v>
      </c>
      <c r="CO114" s="230">
        <v>2751450</v>
      </c>
      <c r="CP114" s="230">
        <v>5100</v>
      </c>
      <c r="CQ114" s="229">
        <v>1.9E-3</v>
      </c>
      <c r="CR114" s="230">
        <v>1869575</v>
      </c>
      <c r="CS114" s="230">
        <v>1872125</v>
      </c>
      <c r="CT114" s="230">
        <v>-2550</v>
      </c>
      <c r="CU114" s="229">
        <v>-1.4E-3</v>
      </c>
      <c r="CV114" s="230">
        <v>9022750</v>
      </c>
      <c r="CW114" s="230">
        <v>9066100</v>
      </c>
      <c r="CX114" s="230">
        <v>-43350</v>
      </c>
      <c r="CY114" s="229">
        <v>-4.7999999999999996E-3</v>
      </c>
      <c r="CZ114" s="228">
        <v>36.33</v>
      </c>
      <c r="DA114" s="228">
        <v>31.01</v>
      </c>
      <c r="DB114" s="228">
        <v>5.32</v>
      </c>
      <c r="DC114" s="228">
        <v>5.32</v>
      </c>
      <c r="DD114" s="228">
        <v>42.37</v>
      </c>
      <c r="DE114" s="228">
        <v>42.48</v>
      </c>
      <c r="DF114" s="228">
        <v>-6.04</v>
      </c>
      <c r="DG114" s="228">
        <v>-0.11</v>
      </c>
      <c r="DH114" s="228">
        <v>37.130000000000003</v>
      </c>
      <c r="DI114" s="228">
        <v>33.58</v>
      </c>
      <c r="DJ114" s="228">
        <v>3.55</v>
      </c>
      <c r="DK114" s="228">
        <v>3.55</v>
      </c>
      <c r="DL114" s="228">
        <v>35.35</v>
      </c>
      <c r="DM114" s="228">
        <v>28.11</v>
      </c>
      <c r="DN114" s="228">
        <v>7.24</v>
      </c>
      <c r="DO114" s="228">
        <v>7.24</v>
      </c>
      <c r="DP114" s="228">
        <v>0.68</v>
      </c>
      <c r="DQ114" s="228">
        <v>0.68</v>
      </c>
      <c r="DR114" s="228">
        <v>0</v>
      </c>
      <c r="DS114" s="229">
        <v>0</v>
      </c>
      <c r="DT114" s="231">
        <v>1300</v>
      </c>
      <c r="DU114" s="231">
        <v>1090</v>
      </c>
      <c r="DV114" s="228">
        <v>0.42</v>
      </c>
      <c r="DW114" s="228">
        <v>0.89</v>
      </c>
      <c r="DX114" s="228">
        <v>-0.47</v>
      </c>
      <c r="DY114" s="229">
        <v>-0.52810000000000001</v>
      </c>
      <c r="DZ114" s="229">
        <v>0.60450000000000004</v>
      </c>
      <c r="EA114" s="230">
        <v>1722525</v>
      </c>
      <c r="EB114" s="229">
        <v>1E-4</v>
      </c>
      <c r="EC114" s="229">
        <v>0.60450000000000004</v>
      </c>
      <c r="ED114" s="228">
        <v>-0.84</v>
      </c>
      <c r="EE114" s="229">
        <v>-6.9999999999999999E-4</v>
      </c>
      <c r="EF114" s="230">
        <v>236539</v>
      </c>
      <c r="EG114" s="230">
        <v>485510</v>
      </c>
      <c r="EH114" s="229">
        <v>-0.51280000000000003</v>
      </c>
      <c r="EI114" s="229">
        <v>0.44390000000000002</v>
      </c>
      <c r="EJ114" s="231">
        <v>43060.49</v>
      </c>
      <c r="EK114" s="231">
        <v>16938.57</v>
      </c>
      <c r="EL114" s="231">
        <v>42345.53</v>
      </c>
      <c r="EM114" s="231">
        <v>5512</v>
      </c>
      <c r="EN114" s="231">
        <v>102344.59</v>
      </c>
      <c r="EO114" s="231">
        <v>134476.67000000001</v>
      </c>
      <c r="EP114" s="231">
        <v>-32132.080000000002</v>
      </c>
      <c r="EQ114" s="229">
        <v>-0.2389</v>
      </c>
      <c r="ER114" s="231">
        <v>33518</v>
      </c>
      <c r="ES114" s="231">
        <v>21103</v>
      </c>
      <c r="ET114" s="231">
        <v>48952</v>
      </c>
      <c r="EU114" s="231">
        <v>24589408</v>
      </c>
      <c r="EV114" s="231">
        <v>103573</v>
      </c>
      <c r="EW114" s="231">
        <v>104210</v>
      </c>
      <c r="EX114" s="228">
        <v>-637</v>
      </c>
      <c r="EY114" s="229">
        <v>-6.1000000000000004E-3</v>
      </c>
      <c r="EZ114" s="229">
        <v>0.3669</v>
      </c>
      <c r="FA114" s="227" t="s">
        <v>568</v>
      </c>
      <c r="FB114" s="161">
        <f t="shared" si="1"/>
        <v>2657950</v>
      </c>
    </row>
    <row r="115" spans="1:158" ht="17.25" hidden="1" thickBot="1" x14ac:dyDescent="0.3">
      <c r="A115" s="226">
        <v>46044</v>
      </c>
      <c r="B115" s="227" t="s">
        <v>170</v>
      </c>
      <c r="C115" s="227" t="s">
        <v>535</v>
      </c>
      <c r="D115" s="228">
        <v>850</v>
      </c>
      <c r="E115" s="231">
        <v>1009.8</v>
      </c>
      <c r="F115" s="228">
        <v>990.4</v>
      </c>
      <c r="G115" s="228">
        <v>19.399999999999999</v>
      </c>
      <c r="H115" s="229">
        <v>1.9599999999999999E-2</v>
      </c>
      <c r="I115" s="231">
        <v>1005.8</v>
      </c>
      <c r="J115" s="228">
        <v>987.9</v>
      </c>
      <c r="K115" s="228">
        <v>17.899999999999999</v>
      </c>
      <c r="L115" s="229">
        <v>1.8100000000000002E-2</v>
      </c>
      <c r="M115" s="231">
        <v>1009.8</v>
      </c>
      <c r="N115" s="228">
        <v>990.4</v>
      </c>
      <c r="O115" s="228">
        <v>19.399999999999999</v>
      </c>
      <c r="P115" s="229">
        <v>1.9599999999999999E-2</v>
      </c>
      <c r="Q115" s="231">
        <v>1014.5</v>
      </c>
      <c r="R115" s="228">
        <v>995.5</v>
      </c>
      <c r="S115" s="228">
        <v>19</v>
      </c>
      <c r="T115" s="229">
        <v>1.9099999999999999E-2</v>
      </c>
      <c r="U115" s="231">
        <v>1022.9</v>
      </c>
      <c r="V115" s="231">
        <v>1002.5</v>
      </c>
      <c r="W115" s="228">
        <v>20.399999999999999</v>
      </c>
      <c r="X115" s="229">
        <v>2.0299999999999999E-2</v>
      </c>
      <c r="Y115" s="228">
        <v>4</v>
      </c>
      <c r="Z115" s="228">
        <v>2.5</v>
      </c>
      <c r="AA115" s="228">
        <v>1.5</v>
      </c>
      <c r="AB115" s="229">
        <v>4.0000000000000001E-3</v>
      </c>
      <c r="AC115" s="228">
        <v>4</v>
      </c>
      <c r="AD115" s="228">
        <v>2.5</v>
      </c>
      <c r="AE115" s="228">
        <v>1.5</v>
      </c>
      <c r="AF115" s="229">
        <v>4.0000000000000001E-3</v>
      </c>
      <c r="AG115" s="228">
        <v>8.6999999999999993</v>
      </c>
      <c r="AH115" s="228">
        <v>7.6</v>
      </c>
      <c r="AI115" s="228">
        <v>1.1000000000000001</v>
      </c>
      <c r="AJ115" s="229">
        <v>8.6E-3</v>
      </c>
      <c r="AK115" s="228">
        <v>17.100000000000001</v>
      </c>
      <c r="AL115" s="228">
        <v>14.6</v>
      </c>
      <c r="AM115" s="228">
        <v>2.5</v>
      </c>
      <c r="AN115" s="229">
        <v>1.7000000000000001E-2</v>
      </c>
      <c r="AO115" s="231">
        <v>1002.95</v>
      </c>
      <c r="AP115" s="231">
        <v>1007.04</v>
      </c>
      <c r="AQ115" s="228">
        <v>0</v>
      </c>
      <c r="AR115" s="230">
        <v>12940400</v>
      </c>
      <c r="AS115" s="230">
        <v>12313100</v>
      </c>
      <c r="AT115" s="230">
        <v>627300</v>
      </c>
      <c r="AU115" s="229">
        <v>5.0900000000000001E-2</v>
      </c>
      <c r="AV115" s="230">
        <v>6080050</v>
      </c>
      <c r="AW115" s="230">
        <v>7143400</v>
      </c>
      <c r="AX115" s="230">
        <v>-1063350</v>
      </c>
      <c r="AY115" s="229">
        <v>-0.1489</v>
      </c>
      <c r="AZ115" s="230">
        <v>6774500</v>
      </c>
      <c r="BA115" s="230">
        <v>5062600</v>
      </c>
      <c r="BB115" s="230">
        <v>1711900</v>
      </c>
      <c r="BC115" s="229">
        <v>0.33810000000000001</v>
      </c>
      <c r="BD115" s="230">
        <v>85850</v>
      </c>
      <c r="BE115" s="230">
        <v>107100</v>
      </c>
      <c r="BF115" s="230">
        <v>-21250</v>
      </c>
      <c r="BG115" s="229">
        <v>-0.19839999999999999</v>
      </c>
      <c r="BH115" s="230">
        <v>20378750</v>
      </c>
      <c r="BI115" s="230">
        <v>25820450</v>
      </c>
      <c r="BJ115" s="230">
        <v>-5441700</v>
      </c>
      <c r="BK115" s="229">
        <v>-0.21079999999999999</v>
      </c>
      <c r="BL115" s="230">
        <v>8693800</v>
      </c>
      <c r="BM115" s="230">
        <v>17014450</v>
      </c>
      <c r="BN115" s="230">
        <v>-8320650</v>
      </c>
      <c r="BO115" s="229">
        <v>-0.48899999999999999</v>
      </c>
      <c r="BP115" s="230">
        <v>42012950</v>
      </c>
      <c r="BQ115" s="230">
        <v>55148000</v>
      </c>
      <c r="BR115" s="230">
        <v>-13135050</v>
      </c>
      <c r="BS115" s="229">
        <v>-0.2382</v>
      </c>
      <c r="BT115" s="230">
        <v>4341710</v>
      </c>
      <c r="BU115" s="230">
        <v>2630030</v>
      </c>
      <c r="BV115" s="230">
        <v>1711680</v>
      </c>
      <c r="BW115" s="229">
        <v>0.65080000000000005</v>
      </c>
      <c r="BX115" s="230">
        <v>19228700</v>
      </c>
      <c r="BY115" s="230">
        <v>18270750</v>
      </c>
      <c r="BZ115" s="230">
        <v>957950</v>
      </c>
      <c r="CA115" s="229">
        <v>5.2400000000000002E-2</v>
      </c>
      <c r="CB115" s="230">
        <v>8278150</v>
      </c>
      <c r="CC115" s="230">
        <v>10798400</v>
      </c>
      <c r="CD115" s="230">
        <v>-2520250</v>
      </c>
      <c r="CE115" s="229">
        <v>-0.2334</v>
      </c>
      <c r="CF115" s="230">
        <v>10761000</v>
      </c>
      <c r="CG115" s="230">
        <v>7307450</v>
      </c>
      <c r="CH115" s="230">
        <v>3453550</v>
      </c>
      <c r="CI115" s="229">
        <v>0.47260000000000002</v>
      </c>
      <c r="CJ115" s="230">
        <v>189550</v>
      </c>
      <c r="CK115" s="230">
        <v>164900</v>
      </c>
      <c r="CL115" s="230">
        <v>24650</v>
      </c>
      <c r="CM115" s="229">
        <v>0.14949999999999999</v>
      </c>
      <c r="CN115" s="230">
        <v>15251550</v>
      </c>
      <c r="CO115" s="230">
        <v>14870750</v>
      </c>
      <c r="CP115" s="230">
        <v>380800</v>
      </c>
      <c r="CQ115" s="229">
        <v>2.5600000000000001E-2</v>
      </c>
      <c r="CR115" s="230">
        <v>8001050</v>
      </c>
      <c r="CS115" s="230">
        <v>8032500</v>
      </c>
      <c r="CT115" s="230">
        <v>-31450</v>
      </c>
      <c r="CU115" s="229">
        <v>-3.8999999999999998E-3</v>
      </c>
      <c r="CV115" s="230">
        <v>42481300</v>
      </c>
      <c r="CW115" s="230">
        <v>41174000</v>
      </c>
      <c r="CX115" s="230">
        <v>1307300</v>
      </c>
      <c r="CY115" s="229">
        <v>3.1800000000000002E-2</v>
      </c>
      <c r="CZ115" s="228">
        <v>37.25</v>
      </c>
      <c r="DA115" s="228">
        <v>46.11</v>
      </c>
      <c r="DB115" s="228">
        <v>-8.86</v>
      </c>
      <c r="DC115" s="228">
        <v>-8.86</v>
      </c>
      <c r="DD115" s="228">
        <v>38.22</v>
      </c>
      <c r="DE115" s="228">
        <v>38.24</v>
      </c>
      <c r="DF115" s="228">
        <v>-0.97</v>
      </c>
      <c r="DG115" s="228">
        <v>-0.02</v>
      </c>
      <c r="DH115" s="228">
        <v>37.57</v>
      </c>
      <c r="DI115" s="228">
        <v>49.19</v>
      </c>
      <c r="DJ115" s="228">
        <v>-11.62</v>
      </c>
      <c r="DK115" s="228">
        <v>-11.62</v>
      </c>
      <c r="DL115" s="228">
        <v>36.6</v>
      </c>
      <c r="DM115" s="228">
        <v>41.44</v>
      </c>
      <c r="DN115" s="228">
        <v>-4.84</v>
      </c>
      <c r="DO115" s="228">
        <v>-4.84</v>
      </c>
      <c r="DP115" s="228">
        <v>0.52</v>
      </c>
      <c r="DQ115" s="228">
        <v>0.54</v>
      </c>
      <c r="DR115" s="228">
        <v>-0.02</v>
      </c>
      <c r="DS115" s="229">
        <v>-3.6999999999999998E-2</v>
      </c>
      <c r="DT115" s="231">
        <v>1100</v>
      </c>
      <c r="DU115" s="231">
        <v>1050</v>
      </c>
      <c r="DV115" s="228">
        <v>0.43</v>
      </c>
      <c r="DW115" s="228">
        <v>0.66</v>
      </c>
      <c r="DX115" s="228">
        <v>-0.23</v>
      </c>
      <c r="DY115" s="229">
        <v>-0.34849999999999998</v>
      </c>
      <c r="DZ115" s="229">
        <v>0.56950000000000001</v>
      </c>
      <c r="EA115" s="230">
        <v>7472350</v>
      </c>
      <c r="EB115" s="229">
        <v>4.7000000000000002E-3</v>
      </c>
      <c r="EC115" s="229">
        <v>0.56950000000000001</v>
      </c>
      <c r="ED115" s="228">
        <v>4.09</v>
      </c>
      <c r="EE115" s="229">
        <v>4.1000000000000003E-3</v>
      </c>
      <c r="EF115" s="230">
        <v>2883610</v>
      </c>
      <c r="EG115" s="230">
        <v>1162199</v>
      </c>
      <c r="EH115" s="229">
        <v>1.4812000000000001</v>
      </c>
      <c r="EI115" s="229">
        <v>0.66420000000000001</v>
      </c>
      <c r="EJ115" s="231">
        <v>218969.14</v>
      </c>
      <c r="EK115" s="231">
        <v>86502.35</v>
      </c>
      <c r="EL115" s="231">
        <v>130075.49</v>
      </c>
      <c r="EM115" s="231">
        <v>9549</v>
      </c>
      <c r="EN115" s="231">
        <v>435546.98</v>
      </c>
      <c r="EO115" s="231">
        <v>573633.1</v>
      </c>
      <c r="EP115" s="231">
        <v>-138086.12</v>
      </c>
      <c r="EQ115" s="229">
        <v>-0.2407</v>
      </c>
      <c r="ER115" s="231">
        <v>166725</v>
      </c>
      <c r="ES115" s="231">
        <v>81514</v>
      </c>
      <c r="ET115" s="231">
        <v>194702</v>
      </c>
      <c r="EU115" s="231">
        <v>58629477</v>
      </c>
      <c r="EV115" s="231">
        <v>442941</v>
      </c>
      <c r="EW115" s="231">
        <v>426126</v>
      </c>
      <c r="EX115" s="231">
        <v>16815</v>
      </c>
      <c r="EY115" s="229">
        <v>3.95E-2</v>
      </c>
      <c r="EZ115" s="229">
        <v>0.72460000000000002</v>
      </c>
      <c r="FA115" s="227" t="s">
        <v>555</v>
      </c>
      <c r="FB115" s="161">
        <f t="shared" si="1"/>
        <v>10950550</v>
      </c>
    </row>
    <row r="116" spans="1:158" ht="17.25" hidden="1" thickBot="1" x14ac:dyDescent="0.3">
      <c r="A116" s="226">
        <v>46044</v>
      </c>
      <c r="B116" s="227" t="s">
        <v>175</v>
      </c>
      <c r="C116" s="227" t="s">
        <v>248</v>
      </c>
      <c r="D116" s="228">
        <v>1000</v>
      </c>
      <c r="E116" s="228">
        <v>517.54999999999995</v>
      </c>
      <c r="F116" s="228">
        <v>507.3</v>
      </c>
      <c r="G116" s="228">
        <v>10.25</v>
      </c>
      <c r="H116" s="229">
        <v>2.0199999999999999E-2</v>
      </c>
      <c r="I116" s="228">
        <v>517.1</v>
      </c>
      <c r="J116" s="228">
        <v>506.85</v>
      </c>
      <c r="K116" s="228">
        <v>10.25</v>
      </c>
      <c r="L116" s="229">
        <v>2.0199999999999999E-2</v>
      </c>
      <c r="M116" s="228">
        <v>517.54999999999995</v>
      </c>
      <c r="N116" s="228">
        <v>507.3</v>
      </c>
      <c r="O116" s="228">
        <v>10.25</v>
      </c>
      <c r="P116" s="229">
        <v>2.0199999999999999E-2</v>
      </c>
      <c r="Q116" s="228">
        <v>519.45000000000005</v>
      </c>
      <c r="R116" s="228">
        <v>510.2</v>
      </c>
      <c r="S116" s="228">
        <v>9.25</v>
      </c>
      <c r="T116" s="229">
        <v>1.8100000000000002E-2</v>
      </c>
      <c r="U116" s="228">
        <v>522.9</v>
      </c>
      <c r="V116" s="228">
        <v>513.45000000000005</v>
      </c>
      <c r="W116" s="228">
        <v>9.4499999999999993</v>
      </c>
      <c r="X116" s="229">
        <v>1.84E-2</v>
      </c>
      <c r="Y116" s="228">
        <v>0.45</v>
      </c>
      <c r="Z116" s="228">
        <v>0.45</v>
      </c>
      <c r="AA116" s="228">
        <v>0</v>
      </c>
      <c r="AB116" s="229">
        <v>8.9999999999999998E-4</v>
      </c>
      <c r="AC116" s="228">
        <v>0.45</v>
      </c>
      <c r="AD116" s="228">
        <v>0.45</v>
      </c>
      <c r="AE116" s="228">
        <v>0</v>
      </c>
      <c r="AF116" s="229">
        <v>8.9999999999999998E-4</v>
      </c>
      <c r="AG116" s="228">
        <v>2.35</v>
      </c>
      <c r="AH116" s="228">
        <v>3.35</v>
      </c>
      <c r="AI116" s="228">
        <v>-1</v>
      </c>
      <c r="AJ116" s="229">
        <v>4.4999999999999997E-3</v>
      </c>
      <c r="AK116" s="228">
        <v>5.8</v>
      </c>
      <c r="AL116" s="228">
        <v>6.6</v>
      </c>
      <c r="AM116" s="228">
        <v>-0.8</v>
      </c>
      <c r="AN116" s="229">
        <v>1.12E-2</v>
      </c>
      <c r="AO116" s="228">
        <v>516.36</v>
      </c>
      <c r="AP116" s="228">
        <v>518.86</v>
      </c>
      <c r="AQ116" s="228">
        <v>0</v>
      </c>
      <c r="AR116" s="230">
        <v>15959000</v>
      </c>
      <c r="AS116" s="230">
        <v>19250000</v>
      </c>
      <c r="AT116" s="230">
        <v>-3291000</v>
      </c>
      <c r="AU116" s="229">
        <v>-0.17100000000000001</v>
      </c>
      <c r="AV116" s="230">
        <v>8014000</v>
      </c>
      <c r="AW116" s="230">
        <v>10995000</v>
      </c>
      <c r="AX116" s="230">
        <v>-2981000</v>
      </c>
      <c r="AY116" s="229">
        <v>-0.27110000000000001</v>
      </c>
      <c r="AZ116" s="230">
        <v>7870000</v>
      </c>
      <c r="BA116" s="230">
        <v>8187000</v>
      </c>
      <c r="BB116" s="230">
        <v>-317000</v>
      </c>
      <c r="BC116" s="229">
        <v>-3.8699999999999998E-2</v>
      </c>
      <c r="BD116" s="230">
        <v>75000</v>
      </c>
      <c r="BE116" s="230">
        <v>68000</v>
      </c>
      <c r="BF116" s="230">
        <v>7000</v>
      </c>
      <c r="BG116" s="229">
        <v>0.10290000000000001</v>
      </c>
      <c r="BH116" s="230">
        <v>10207000</v>
      </c>
      <c r="BI116" s="230">
        <v>12090000</v>
      </c>
      <c r="BJ116" s="230">
        <v>-1883000</v>
      </c>
      <c r="BK116" s="229">
        <v>-0.15570000000000001</v>
      </c>
      <c r="BL116" s="230">
        <v>8846000</v>
      </c>
      <c r="BM116" s="230">
        <v>8600000</v>
      </c>
      <c r="BN116" s="230">
        <v>246000</v>
      </c>
      <c r="BO116" s="229">
        <v>2.86E-2</v>
      </c>
      <c r="BP116" s="230">
        <v>35012000</v>
      </c>
      <c r="BQ116" s="230">
        <v>39940000</v>
      </c>
      <c r="BR116" s="230">
        <v>-4928000</v>
      </c>
      <c r="BS116" s="229">
        <v>-0.1234</v>
      </c>
      <c r="BT116" s="230">
        <v>2491675</v>
      </c>
      <c r="BU116" s="230">
        <v>3767488</v>
      </c>
      <c r="BV116" s="230">
        <v>-1275813</v>
      </c>
      <c r="BW116" s="229">
        <v>-0.33860000000000001</v>
      </c>
      <c r="BX116" s="230">
        <v>31761000</v>
      </c>
      <c r="BY116" s="230">
        <v>32241000</v>
      </c>
      <c r="BZ116" s="230">
        <v>-480000</v>
      </c>
      <c r="CA116" s="229">
        <v>-1.49E-2</v>
      </c>
      <c r="CB116" s="230">
        <v>15283000</v>
      </c>
      <c r="CC116" s="230">
        <v>20187000</v>
      </c>
      <c r="CD116" s="230">
        <v>-4904000</v>
      </c>
      <c r="CE116" s="229">
        <v>-0.2429</v>
      </c>
      <c r="CF116" s="230">
        <v>16253000</v>
      </c>
      <c r="CG116" s="230">
        <v>11835000</v>
      </c>
      <c r="CH116" s="230">
        <v>4418000</v>
      </c>
      <c r="CI116" s="229">
        <v>0.37330000000000002</v>
      </c>
      <c r="CJ116" s="230">
        <v>225000</v>
      </c>
      <c r="CK116" s="230">
        <v>219000</v>
      </c>
      <c r="CL116" s="230">
        <v>6000</v>
      </c>
      <c r="CM116" s="229">
        <v>2.7400000000000001E-2</v>
      </c>
      <c r="CN116" s="230">
        <v>8295000</v>
      </c>
      <c r="CO116" s="230">
        <v>9329000</v>
      </c>
      <c r="CP116" s="230">
        <v>-1034000</v>
      </c>
      <c r="CQ116" s="229">
        <v>-0.1108</v>
      </c>
      <c r="CR116" s="230">
        <v>9079000</v>
      </c>
      <c r="CS116" s="230">
        <v>9004000</v>
      </c>
      <c r="CT116" s="230">
        <v>75000</v>
      </c>
      <c r="CU116" s="229">
        <v>8.3000000000000001E-3</v>
      </c>
      <c r="CV116" s="230">
        <v>49135000</v>
      </c>
      <c r="CW116" s="230">
        <v>50574000</v>
      </c>
      <c r="CX116" s="230">
        <v>-1439000</v>
      </c>
      <c r="CY116" s="229">
        <v>-2.8500000000000001E-2</v>
      </c>
      <c r="CZ116" s="228">
        <v>27.61</v>
      </c>
      <c r="DA116" s="228">
        <v>28.66</v>
      </c>
      <c r="DB116" s="228">
        <v>-1.05</v>
      </c>
      <c r="DC116" s="228">
        <v>-1.05</v>
      </c>
      <c r="DD116" s="228">
        <v>31.98</v>
      </c>
      <c r="DE116" s="228">
        <v>31.95</v>
      </c>
      <c r="DF116" s="228">
        <v>-4.37</v>
      </c>
      <c r="DG116" s="228">
        <v>0.03</v>
      </c>
      <c r="DH116" s="228">
        <v>27.82</v>
      </c>
      <c r="DI116" s="228">
        <v>29.71</v>
      </c>
      <c r="DJ116" s="228">
        <v>-1.89</v>
      </c>
      <c r="DK116" s="228">
        <v>-1.89</v>
      </c>
      <c r="DL116" s="228">
        <v>27.37</v>
      </c>
      <c r="DM116" s="228">
        <v>27.19</v>
      </c>
      <c r="DN116" s="228">
        <v>0.18</v>
      </c>
      <c r="DO116" s="228">
        <v>0.18</v>
      </c>
      <c r="DP116" s="228">
        <v>1.0900000000000001</v>
      </c>
      <c r="DQ116" s="228">
        <v>0.97</v>
      </c>
      <c r="DR116" s="228">
        <v>0.12</v>
      </c>
      <c r="DS116" s="229">
        <v>0.1237</v>
      </c>
      <c r="DT116" s="228">
        <v>540</v>
      </c>
      <c r="DU116" s="228">
        <v>530</v>
      </c>
      <c r="DV116" s="228">
        <v>0.87</v>
      </c>
      <c r="DW116" s="228">
        <v>0.71</v>
      </c>
      <c r="DX116" s="228">
        <v>0.16</v>
      </c>
      <c r="DY116" s="229">
        <v>0.22539999999999999</v>
      </c>
      <c r="DZ116" s="229">
        <v>0.51880000000000004</v>
      </c>
      <c r="EA116" s="230">
        <v>12054000</v>
      </c>
      <c r="EB116" s="229">
        <v>3.7000000000000002E-3</v>
      </c>
      <c r="EC116" s="229">
        <v>0.51880000000000004</v>
      </c>
      <c r="ED116" s="228">
        <v>2.5</v>
      </c>
      <c r="EE116" s="229">
        <v>4.7999999999999996E-3</v>
      </c>
      <c r="EF116" s="230">
        <v>1293939</v>
      </c>
      <c r="EG116" s="230">
        <v>2607678</v>
      </c>
      <c r="EH116" s="229">
        <v>-0.50380000000000003</v>
      </c>
      <c r="EI116" s="229">
        <v>0.51929999999999998</v>
      </c>
      <c r="EJ116" s="231">
        <v>54999.29</v>
      </c>
      <c r="EK116" s="231">
        <v>46547.59</v>
      </c>
      <c r="EL116" s="231">
        <v>82607.44</v>
      </c>
      <c r="EM116" s="231">
        <v>9132</v>
      </c>
      <c r="EN116" s="231">
        <v>184154.32</v>
      </c>
      <c r="EO116" s="231">
        <v>209164.53</v>
      </c>
      <c r="EP116" s="231">
        <v>-25010.21</v>
      </c>
      <c r="EQ116" s="229">
        <v>-0.1196</v>
      </c>
      <c r="ER116" s="231">
        <v>45473</v>
      </c>
      <c r="ES116" s="231">
        <v>48366</v>
      </c>
      <c r="ET116" s="231">
        <v>164700</v>
      </c>
      <c r="EU116" s="231">
        <v>45183075</v>
      </c>
      <c r="EV116" s="231">
        <v>258539</v>
      </c>
      <c r="EW116" s="231">
        <v>263079</v>
      </c>
      <c r="EX116" s="231">
        <v>-4540</v>
      </c>
      <c r="EY116" s="229">
        <v>-1.7299999999999999E-2</v>
      </c>
      <c r="EZ116" s="229">
        <v>1.0874999999999999</v>
      </c>
      <c r="FA116" s="227" t="s">
        <v>556</v>
      </c>
      <c r="FB116" s="161">
        <f t="shared" si="1"/>
        <v>16478000</v>
      </c>
    </row>
    <row r="117" spans="1:158" ht="17.25" hidden="1" thickBot="1" x14ac:dyDescent="0.3">
      <c r="A117" s="226">
        <v>46044</v>
      </c>
      <c r="B117" s="227" t="s">
        <v>175</v>
      </c>
      <c r="C117" s="227" t="s">
        <v>607</v>
      </c>
      <c r="D117" s="228">
        <v>700</v>
      </c>
      <c r="E117" s="228">
        <v>821.15</v>
      </c>
      <c r="F117" s="228">
        <v>809.5</v>
      </c>
      <c r="G117" s="228">
        <v>11.65</v>
      </c>
      <c r="H117" s="229">
        <v>1.44E-2</v>
      </c>
      <c r="I117" s="228">
        <v>819.3</v>
      </c>
      <c r="J117" s="228">
        <v>809.55</v>
      </c>
      <c r="K117" s="228">
        <v>9.75</v>
      </c>
      <c r="L117" s="229">
        <v>1.2E-2</v>
      </c>
      <c r="M117" s="228">
        <v>821.15</v>
      </c>
      <c r="N117" s="228">
        <v>809.5</v>
      </c>
      <c r="O117" s="228">
        <v>11.65</v>
      </c>
      <c r="P117" s="229">
        <v>1.44E-2</v>
      </c>
      <c r="Q117" s="228">
        <v>824.2</v>
      </c>
      <c r="R117" s="228">
        <v>811.95</v>
      </c>
      <c r="S117" s="228">
        <v>12.25</v>
      </c>
      <c r="T117" s="229">
        <v>1.5100000000000001E-2</v>
      </c>
      <c r="U117" s="228">
        <v>828.9</v>
      </c>
      <c r="V117" s="228">
        <v>817.2</v>
      </c>
      <c r="W117" s="228">
        <v>11.7</v>
      </c>
      <c r="X117" s="229">
        <v>1.43E-2</v>
      </c>
      <c r="Y117" s="228">
        <v>1.85</v>
      </c>
      <c r="Z117" s="228">
        <v>-0.05</v>
      </c>
      <c r="AA117" s="228">
        <v>1.9</v>
      </c>
      <c r="AB117" s="229">
        <v>2.3E-3</v>
      </c>
      <c r="AC117" s="228">
        <v>1.85</v>
      </c>
      <c r="AD117" s="228">
        <v>-0.05</v>
      </c>
      <c r="AE117" s="228">
        <v>1.9</v>
      </c>
      <c r="AF117" s="229">
        <v>2.3E-3</v>
      </c>
      <c r="AG117" s="228">
        <v>4.9000000000000004</v>
      </c>
      <c r="AH117" s="228">
        <v>2.4</v>
      </c>
      <c r="AI117" s="228">
        <v>2.5</v>
      </c>
      <c r="AJ117" s="229">
        <v>6.0000000000000001E-3</v>
      </c>
      <c r="AK117" s="228">
        <v>9.6</v>
      </c>
      <c r="AL117" s="228">
        <v>7.65</v>
      </c>
      <c r="AM117" s="228">
        <v>1.95</v>
      </c>
      <c r="AN117" s="229">
        <v>1.17E-2</v>
      </c>
      <c r="AO117" s="228">
        <v>816.67</v>
      </c>
      <c r="AP117" s="228">
        <v>820.37</v>
      </c>
      <c r="AQ117" s="228">
        <v>0</v>
      </c>
      <c r="AR117" s="230">
        <v>16590000</v>
      </c>
      <c r="AS117" s="230">
        <v>6458200</v>
      </c>
      <c r="AT117" s="230">
        <v>10131800</v>
      </c>
      <c r="AU117" s="229">
        <v>1.5688</v>
      </c>
      <c r="AV117" s="230">
        <v>10602200</v>
      </c>
      <c r="AW117" s="230">
        <v>3508400</v>
      </c>
      <c r="AX117" s="230">
        <v>7093800</v>
      </c>
      <c r="AY117" s="229">
        <v>2.0219</v>
      </c>
      <c r="AZ117" s="230">
        <v>5933200</v>
      </c>
      <c r="BA117" s="230">
        <v>2893100</v>
      </c>
      <c r="BB117" s="230">
        <v>3040100</v>
      </c>
      <c r="BC117" s="229">
        <v>1.0508</v>
      </c>
      <c r="BD117" s="230">
        <v>54600</v>
      </c>
      <c r="BE117" s="230">
        <v>56700</v>
      </c>
      <c r="BF117" s="230">
        <v>-2100</v>
      </c>
      <c r="BG117" s="229">
        <v>-3.6999999999999998E-2</v>
      </c>
      <c r="BH117" s="230">
        <v>21392000</v>
      </c>
      <c r="BI117" s="230">
        <v>6179600</v>
      </c>
      <c r="BJ117" s="230">
        <v>15212400</v>
      </c>
      <c r="BK117" s="229">
        <v>2.4617</v>
      </c>
      <c r="BL117" s="230">
        <v>14368200</v>
      </c>
      <c r="BM117" s="230">
        <v>4228700</v>
      </c>
      <c r="BN117" s="230">
        <v>10139500</v>
      </c>
      <c r="BO117" s="229">
        <v>2.3978000000000002</v>
      </c>
      <c r="BP117" s="230">
        <v>52350200</v>
      </c>
      <c r="BQ117" s="230">
        <v>16866500</v>
      </c>
      <c r="BR117" s="230">
        <v>35483700</v>
      </c>
      <c r="BS117" s="229">
        <v>2.1038000000000001</v>
      </c>
      <c r="BT117" s="230">
        <v>2129623</v>
      </c>
      <c r="BU117" s="230">
        <v>1220476</v>
      </c>
      <c r="BV117" s="230">
        <v>909147</v>
      </c>
      <c r="BW117" s="229">
        <v>0.74490000000000001</v>
      </c>
      <c r="BX117" s="230">
        <v>12013400</v>
      </c>
      <c r="BY117" s="230">
        <v>12264700</v>
      </c>
      <c r="BZ117" s="230">
        <v>-251300</v>
      </c>
      <c r="CA117" s="229">
        <v>-2.0500000000000001E-2</v>
      </c>
      <c r="CB117" s="230">
        <v>6118000</v>
      </c>
      <c r="CC117" s="230">
        <v>8704500</v>
      </c>
      <c r="CD117" s="230">
        <v>-2586500</v>
      </c>
      <c r="CE117" s="229">
        <v>-0.29709999999999998</v>
      </c>
      <c r="CF117" s="230">
        <v>5758900</v>
      </c>
      <c r="CG117" s="230">
        <v>3440500</v>
      </c>
      <c r="CH117" s="230">
        <v>2318400</v>
      </c>
      <c r="CI117" s="229">
        <v>0.67390000000000005</v>
      </c>
      <c r="CJ117" s="230">
        <v>136500</v>
      </c>
      <c r="CK117" s="230">
        <v>119700</v>
      </c>
      <c r="CL117" s="230">
        <v>16800</v>
      </c>
      <c r="CM117" s="229">
        <v>0.1404</v>
      </c>
      <c r="CN117" s="230">
        <v>6934200</v>
      </c>
      <c r="CO117" s="230">
        <v>7107800</v>
      </c>
      <c r="CP117" s="230">
        <v>-173600</v>
      </c>
      <c r="CQ117" s="229">
        <v>-2.4400000000000002E-2</v>
      </c>
      <c r="CR117" s="230">
        <v>4021500</v>
      </c>
      <c r="CS117" s="230">
        <v>4281200</v>
      </c>
      <c r="CT117" s="230">
        <v>-259700</v>
      </c>
      <c r="CU117" s="229">
        <v>-6.0699999999999997E-2</v>
      </c>
      <c r="CV117" s="230">
        <v>22969100</v>
      </c>
      <c r="CW117" s="230">
        <v>23653700</v>
      </c>
      <c r="CX117" s="230">
        <v>-684600</v>
      </c>
      <c r="CY117" s="229">
        <v>-2.8899999999999999E-2</v>
      </c>
      <c r="CZ117" s="228">
        <v>25.4</v>
      </c>
      <c r="DA117" s="228">
        <v>20.73</v>
      </c>
      <c r="DB117" s="228">
        <v>4.67</v>
      </c>
      <c r="DC117" s="228">
        <v>4.67</v>
      </c>
      <c r="DD117" s="228">
        <v>29.24</v>
      </c>
      <c r="DE117" s="228">
        <v>29.25</v>
      </c>
      <c r="DF117" s="228">
        <v>-3.84</v>
      </c>
      <c r="DG117" s="228">
        <v>-0.01</v>
      </c>
      <c r="DH117" s="228">
        <v>25.74</v>
      </c>
      <c r="DI117" s="228">
        <v>21.37</v>
      </c>
      <c r="DJ117" s="228">
        <v>4.37</v>
      </c>
      <c r="DK117" s="228">
        <v>4.37</v>
      </c>
      <c r="DL117" s="228">
        <v>24.88</v>
      </c>
      <c r="DM117" s="228">
        <v>19.8</v>
      </c>
      <c r="DN117" s="228">
        <v>5.08</v>
      </c>
      <c r="DO117" s="228">
        <v>5.08</v>
      </c>
      <c r="DP117" s="228">
        <v>0.57999999999999996</v>
      </c>
      <c r="DQ117" s="228">
        <v>0.6</v>
      </c>
      <c r="DR117" s="228">
        <v>-0.02</v>
      </c>
      <c r="DS117" s="229">
        <v>-3.3300000000000003E-2</v>
      </c>
      <c r="DT117" s="228">
        <v>900</v>
      </c>
      <c r="DU117" s="228">
        <v>850</v>
      </c>
      <c r="DV117" s="228">
        <v>0.67</v>
      </c>
      <c r="DW117" s="228">
        <v>0.68</v>
      </c>
      <c r="DX117" s="228">
        <v>-0.01</v>
      </c>
      <c r="DY117" s="229">
        <v>-1.47E-2</v>
      </c>
      <c r="DZ117" s="229">
        <v>0.49070000000000003</v>
      </c>
      <c r="EA117" s="230">
        <v>3560200</v>
      </c>
      <c r="EB117" s="229">
        <v>3.7000000000000002E-3</v>
      </c>
      <c r="EC117" s="229">
        <v>0.49070000000000003</v>
      </c>
      <c r="ED117" s="228">
        <v>3.7</v>
      </c>
      <c r="EE117" s="229">
        <v>4.4999999999999997E-3</v>
      </c>
      <c r="EF117" s="230">
        <v>338687</v>
      </c>
      <c r="EG117" s="230">
        <v>569429</v>
      </c>
      <c r="EH117" s="229">
        <v>-0.4052</v>
      </c>
      <c r="EI117" s="229">
        <v>0.159</v>
      </c>
      <c r="EJ117" s="231">
        <v>177852.56</v>
      </c>
      <c r="EK117" s="231">
        <v>119017.74</v>
      </c>
      <c r="EL117" s="231">
        <v>135708.82</v>
      </c>
      <c r="EM117" s="231">
        <v>4924</v>
      </c>
      <c r="EN117" s="231">
        <v>432579.12</v>
      </c>
      <c r="EO117" s="231">
        <v>138458.64000000001</v>
      </c>
      <c r="EP117" s="231">
        <v>294120.48</v>
      </c>
      <c r="EQ117" s="229">
        <v>2.1242000000000001</v>
      </c>
      <c r="ER117" s="231">
        <v>60319</v>
      </c>
      <c r="ES117" s="231">
        <v>33102</v>
      </c>
      <c r="ET117" s="231">
        <v>98834</v>
      </c>
      <c r="EU117" s="231">
        <v>33206238</v>
      </c>
      <c r="EV117" s="231">
        <v>192255</v>
      </c>
      <c r="EW117" s="231">
        <v>196418</v>
      </c>
      <c r="EX117" s="231">
        <v>-4163</v>
      </c>
      <c r="EY117" s="229">
        <v>-2.12E-2</v>
      </c>
      <c r="EZ117" s="229">
        <v>0.69169999999999998</v>
      </c>
      <c r="FA117" s="227" t="s">
        <v>556</v>
      </c>
      <c r="FB117" s="161">
        <f t="shared" si="1"/>
        <v>5895400</v>
      </c>
    </row>
    <row r="118" spans="1:158" ht="17.25" hidden="1" thickBot="1" x14ac:dyDescent="0.3">
      <c r="A118" s="226">
        <v>46044</v>
      </c>
      <c r="B118" s="227" t="s">
        <v>206</v>
      </c>
      <c r="C118" s="227" t="s">
        <v>588</v>
      </c>
      <c r="D118" s="228">
        <v>450</v>
      </c>
      <c r="E118" s="228">
        <v>950</v>
      </c>
      <c r="F118" s="228">
        <v>980.6</v>
      </c>
      <c r="G118" s="228">
        <v>-30.6</v>
      </c>
      <c r="H118" s="229">
        <v>-3.1199999999999999E-2</v>
      </c>
      <c r="I118" s="228">
        <v>945.5</v>
      </c>
      <c r="J118" s="228">
        <v>980.2</v>
      </c>
      <c r="K118" s="228">
        <v>-34.700000000000003</v>
      </c>
      <c r="L118" s="229">
        <v>-3.5400000000000001E-2</v>
      </c>
      <c r="M118" s="228">
        <v>950</v>
      </c>
      <c r="N118" s="228">
        <v>980.6</v>
      </c>
      <c r="O118" s="228">
        <v>-30.6</v>
      </c>
      <c r="P118" s="229">
        <v>-3.1199999999999999E-2</v>
      </c>
      <c r="Q118" s="228">
        <v>954.2</v>
      </c>
      <c r="R118" s="228">
        <v>986</v>
      </c>
      <c r="S118" s="228">
        <v>-31.8</v>
      </c>
      <c r="T118" s="229">
        <v>-3.2300000000000002E-2</v>
      </c>
      <c r="U118" s="228">
        <v>959.7</v>
      </c>
      <c r="V118" s="228">
        <v>992.9</v>
      </c>
      <c r="W118" s="228">
        <v>-33.200000000000003</v>
      </c>
      <c r="X118" s="229">
        <v>-3.3399999999999999E-2</v>
      </c>
      <c r="Y118" s="228">
        <v>4.5</v>
      </c>
      <c r="Z118" s="228">
        <v>0.4</v>
      </c>
      <c r="AA118" s="228">
        <v>4.0999999999999996</v>
      </c>
      <c r="AB118" s="229">
        <v>4.7999999999999996E-3</v>
      </c>
      <c r="AC118" s="228">
        <v>4.5</v>
      </c>
      <c r="AD118" s="228">
        <v>0.4</v>
      </c>
      <c r="AE118" s="228">
        <v>4.0999999999999996</v>
      </c>
      <c r="AF118" s="229">
        <v>4.7999999999999996E-3</v>
      </c>
      <c r="AG118" s="228">
        <v>8.6999999999999993</v>
      </c>
      <c r="AH118" s="228">
        <v>5.8</v>
      </c>
      <c r="AI118" s="228">
        <v>2.9</v>
      </c>
      <c r="AJ118" s="229">
        <v>9.1999999999999998E-3</v>
      </c>
      <c r="AK118" s="228">
        <v>14.2</v>
      </c>
      <c r="AL118" s="228">
        <v>12.7</v>
      </c>
      <c r="AM118" s="228">
        <v>1.5</v>
      </c>
      <c r="AN118" s="229">
        <v>1.4999999999999999E-2</v>
      </c>
      <c r="AO118" s="228">
        <v>961.69</v>
      </c>
      <c r="AP118" s="228">
        <v>965.22</v>
      </c>
      <c r="AQ118" s="228">
        <v>0</v>
      </c>
      <c r="AR118" s="230">
        <v>7061850</v>
      </c>
      <c r="AS118" s="230">
        <v>8151750</v>
      </c>
      <c r="AT118" s="230">
        <v>-1089900</v>
      </c>
      <c r="AU118" s="229">
        <v>-0.13370000000000001</v>
      </c>
      <c r="AV118" s="230">
        <v>3067200</v>
      </c>
      <c r="AW118" s="230">
        <v>4070250</v>
      </c>
      <c r="AX118" s="230">
        <v>-1003050</v>
      </c>
      <c r="AY118" s="229">
        <v>-0.24640000000000001</v>
      </c>
      <c r="AZ118" s="230">
        <v>3956400</v>
      </c>
      <c r="BA118" s="230">
        <v>4048650</v>
      </c>
      <c r="BB118" s="230">
        <v>-92250</v>
      </c>
      <c r="BC118" s="229">
        <v>-2.2800000000000001E-2</v>
      </c>
      <c r="BD118" s="230">
        <v>38250</v>
      </c>
      <c r="BE118" s="230">
        <v>32850</v>
      </c>
      <c r="BF118" s="230">
        <v>5400</v>
      </c>
      <c r="BG118" s="229">
        <v>0.16439999999999999</v>
      </c>
      <c r="BH118" s="230">
        <v>7454700</v>
      </c>
      <c r="BI118" s="230">
        <v>5969700</v>
      </c>
      <c r="BJ118" s="230">
        <v>1485000</v>
      </c>
      <c r="BK118" s="229">
        <v>0.24879999999999999</v>
      </c>
      <c r="BL118" s="230">
        <v>6349500</v>
      </c>
      <c r="BM118" s="230">
        <v>3720600</v>
      </c>
      <c r="BN118" s="230">
        <v>2628900</v>
      </c>
      <c r="BO118" s="229">
        <v>0.70660000000000001</v>
      </c>
      <c r="BP118" s="230">
        <v>20866050</v>
      </c>
      <c r="BQ118" s="230">
        <v>17842050</v>
      </c>
      <c r="BR118" s="230">
        <v>3024000</v>
      </c>
      <c r="BS118" s="229">
        <v>0.16950000000000001</v>
      </c>
      <c r="BT118" s="230">
        <v>2943845</v>
      </c>
      <c r="BU118" s="230">
        <v>1236320</v>
      </c>
      <c r="BV118" s="230">
        <v>1707525</v>
      </c>
      <c r="BW118" s="229">
        <v>1.3811</v>
      </c>
      <c r="BX118" s="230">
        <v>11537550</v>
      </c>
      <c r="BY118" s="230">
        <v>10710000</v>
      </c>
      <c r="BZ118" s="230">
        <v>827550</v>
      </c>
      <c r="CA118" s="229">
        <v>7.7299999999999994E-2</v>
      </c>
      <c r="CB118" s="230">
        <v>4881600</v>
      </c>
      <c r="CC118" s="230">
        <v>6825600</v>
      </c>
      <c r="CD118" s="230">
        <v>-1944000</v>
      </c>
      <c r="CE118" s="229">
        <v>-0.2848</v>
      </c>
      <c r="CF118" s="230">
        <v>6581250</v>
      </c>
      <c r="CG118" s="230">
        <v>3825000</v>
      </c>
      <c r="CH118" s="230">
        <v>2756250</v>
      </c>
      <c r="CI118" s="229">
        <v>0.72060000000000002</v>
      </c>
      <c r="CJ118" s="230">
        <v>74700</v>
      </c>
      <c r="CK118" s="230">
        <v>59400</v>
      </c>
      <c r="CL118" s="230">
        <v>15300</v>
      </c>
      <c r="CM118" s="229">
        <v>0.2576</v>
      </c>
      <c r="CN118" s="230">
        <v>4887000</v>
      </c>
      <c r="CO118" s="230">
        <v>4930650</v>
      </c>
      <c r="CP118" s="230">
        <v>-43650</v>
      </c>
      <c r="CQ118" s="229">
        <v>-8.8999999999999999E-3</v>
      </c>
      <c r="CR118" s="230">
        <v>2541600</v>
      </c>
      <c r="CS118" s="230">
        <v>2506500</v>
      </c>
      <c r="CT118" s="230">
        <v>35100</v>
      </c>
      <c r="CU118" s="229">
        <v>1.4E-2</v>
      </c>
      <c r="CV118" s="230">
        <v>18966150</v>
      </c>
      <c r="CW118" s="230">
        <v>18147150</v>
      </c>
      <c r="CX118" s="230">
        <v>819000</v>
      </c>
      <c r="CY118" s="229">
        <v>4.5100000000000001E-2</v>
      </c>
      <c r="CZ118" s="228">
        <v>39.83</v>
      </c>
      <c r="DA118" s="228">
        <v>40.630000000000003</v>
      </c>
      <c r="DB118" s="228">
        <v>-0.8</v>
      </c>
      <c r="DC118" s="228">
        <v>-0.8</v>
      </c>
      <c r="DD118" s="228">
        <v>43.47</v>
      </c>
      <c r="DE118" s="228">
        <v>43.31</v>
      </c>
      <c r="DF118" s="228">
        <v>-3.64</v>
      </c>
      <c r="DG118" s="228">
        <v>0.16</v>
      </c>
      <c r="DH118" s="228">
        <v>39.840000000000003</v>
      </c>
      <c r="DI118" s="228">
        <v>41.98</v>
      </c>
      <c r="DJ118" s="228">
        <v>-2.14</v>
      </c>
      <c r="DK118" s="228">
        <v>-2.14</v>
      </c>
      <c r="DL118" s="228">
        <v>39.83</v>
      </c>
      <c r="DM118" s="228">
        <v>38.47</v>
      </c>
      <c r="DN118" s="228">
        <v>1.36</v>
      </c>
      <c r="DO118" s="228">
        <v>1.36</v>
      </c>
      <c r="DP118" s="228">
        <v>0.52</v>
      </c>
      <c r="DQ118" s="228">
        <v>0.51</v>
      </c>
      <c r="DR118" s="228">
        <v>0.01</v>
      </c>
      <c r="DS118" s="229">
        <v>1.9599999999999999E-2</v>
      </c>
      <c r="DT118" s="231">
        <v>1100</v>
      </c>
      <c r="DU118" s="228">
        <v>900</v>
      </c>
      <c r="DV118" s="228">
        <v>0.85</v>
      </c>
      <c r="DW118" s="228">
        <v>0.62</v>
      </c>
      <c r="DX118" s="228">
        <v>0.23</v>
      </c>
      <c r="DY118" s="229">
        <v>0.371</v>
      </c>
      <c r="DZ118" s="229">
        <v>0.57689999999999997</v>
      </c>
      <c r="EA118" s="230">
        <v>3884400</v>
      </c>
      <c r="EB118" s="229">
        <v>4.4000000000000003E-3</v>
      </c>
      <c r="EC118" s="229">
        <v>0.57689999999999997</v>
      </c>
      <c r="ED118" s="228">
        <v>3.53</v>
      </c>
      <c r="EE118" s="229">
        <v>3.7000000000000002E-3</v>
      </c>
      <c r="EF118" s="230">
        <v>1712736</v>
      </c>
      <c r="EG118" s="230">
        <v>293358</v>
      </c>
      <c r="EH118" s="229">
        <v>4.8384</v>
      </c>
      <c r="EI118" s="229">
        <v>0.58179999999999998</v>
      </c>
      <c r="EJ118" s="231">
        <v>76987.490000000005</v>
      </c>
      <c r="EK118" s="231">
        <v>61735.63</v>
      </c>
      <c r="EL118" s="231">
        <v>68056.38</v>
      </c>
      <c r="EM118" s="231">
        <v>9182</v>
      </c>
      <c r="EN118" s="231">
        <v>206779.5</v>
      </c>
      <c r="EO118" s="231">
        <v>178828.75</v>
      </c>
      <c r="EP118" s="231">
        <v>27950.75</v>
      </c>
      <c r="EQ118" s="229">
        <v>0.15629999999999999</v>
      </c>
      <c r="ER118" s="231">
        <v>52709</v>
      </c>
      <c r="ES118" s="231">
        <v>25587</v>
      </c>
      <c r="ET118" s="231">
        <v>109890</v>
      </c>
      <c r="EU118" s="231">
        <v>42126960</v>
      </c>
      <c r="EV118" s="231">
        <v>188186</v>
      </c>
      <c r="EW118" s="231">
        <v>184854</v>
      </c>
      <c r="EX118" s="231">
        <v>3332</v>
      </c>
      <c r="EY118" s="229">
        <v>1.7999999999999999E-2</v>
      </c>
      <c r="EZ118" s="229">
        <v>0.45019999999999999</v>
      </c>
      <c r="FA118" s="227" t="s">
        <v>567</v>
      </c>
      <c r="FB118" s="161">
        <f t="shared" si="1"/>
        <v>6655950</v>
      </c>
    </row>
    <row r="119" spans="1:158" ht="17.25" hidden="1" thickBot="1" x14ac:dyDescent="0.3">
      <c r="A119" s="226">
        <v>46044</v>
      </c>
      <c r="B119" s="227" t="s">
        <v>184</v>
      </c>
      <c r="C119" s="227" t="s">
        <v>249</v>
      </c>
      <c r="D119" s="228">
        <v>175</v>
      </c>
      <c r="E119" s="231">
        <v>3800.6</v>
      </c>
      <c r="F119" s="231">
        <v>3765.6</v>
      </c>
      <c r="G119" s="228">
        <v>35</v>
      </c>
      <c r="H119" s="229">
        <v>9.2999999999999992E-3</v>
      </c>
      <c r="I119" s="231">
        <v>3793.8</v>
      </c>
      <c r="J119" s="231">
        <v>3766.5</v>
      </c>
      <c r="K119" s="228">
        <v>27.3</v>
      </c>
      <c r="L119" s="229">
        <v>7.1999999999999998E-3</v>
      </c>
      <c r="M119" s="231">
        <v>3800.6</v>
      </c>
      <c r="N119" s="231">
        <v>3765.6</v>
      </c>
      <c r="O119" s="228">
        <v>35</v>
      </c>
      <c r="P119" s="229">
        <v>9.2999999999999992E-3</v>
      </c>
      <c r="Q119" s="231">
        <v>3820.7</v>
      </c>
      <c r="R119" s="231">
        <v>3786.2</v>
      </c>
      <c r="S119" s="228">
        <v>34.5</v>
      </c>
      <c r="T119" s="229">
        <v>9.1000000000000004E-3</v>
      </c>
      <c r="U119" s="231">
        <v>3847.4</v>
      </c>
      <c r="V119" s="231">
        <v>3812.6</v>
      </c>
      <c r="W119" s="228">
        <v>34.799999999999997</v>
      </c>
      <c r="X119" s="229">
        <v>9.1000000000000004E-3</v>
      </c>
      <c r="Y119" s="228">
        <v>6.8</v>
      </c>
      <c r="Z119" s="228">
        <v>-0.9</v>
      </c>
      <c r="AA119" s="228">
        <v>7.7</v>
      </c>
      <c r="AB119" s="229">
        <v>1.8E-3</v>
      </c>
      <c r="AC119" s="228">
        <v>6.8</v>
      </c>
      <c r="AD119" s="228">
        <v>-0.9</v>
      </c>
      <c r="AE119" s="228">
        <v>7.7</v>
      </c>
      <c r="AF119" s="229">
        <v>1.8E-3</v>
      </c>
      <c r="AG119" s="228">
        <v>26.9</v>
      </c>
      <c r="AH119" s="228">
        <v>19.7</v>
      </c>
      <c r="AI119" s="228">
        <v>7.2</v>
      </c>
      <c r="AJ119" s="229">
        <v>7.1000000000000004E-3</v>
      </c>
      <c r="AK119" s="228">
        <v>53.6</v>
      </c>
      <c r="AL119" s="228">
        <v>46.1</v>
      </c>
      <c r="AM119" s="228">
        <v>7.5</v>
      </c>
      <c r="AN119" s="229">
        <v>1.41E-2</v>
      </c>
      <c r="AO119" s="231">
        <v>3782.42</v>
      </c>
      <c r="AP119" s="231">
        <v>3802.77</v>
      </c>
      <c r="AQ119" s="228">
        <v>0</v>
      </c>
      <c r="AR119" s="230">
        <v>9380175</v>
      </c>
      <c r="AS119" s="230">
        <v>6715100</v>
      </c>
      <c r="AT119" s="230">
        <v>2665075</v>
      </c>
      <c r="AU119" s="229">
        <v>0.39689999999999998</v>
      </c>
      <c r="AV119" s="230">
        <v>4777675</v>
      </c>
      <c r="AW119" s="230">
        <v>3638250</v>
      </c>
      <c r="AX119" s="230">
        <v>1139425</v>
      </c>
      <c r="AY119" s="229">
        <v>0.31319999999999998</v>
      </c>
      <c r="AZ119" s="230">
        <v>4536000</v>
      </c>
      <c r="BA119" s="230">
        <v>3046575</v>
      </c>
      <c r="BB119" s="230">
        <v>1489425</v>
      </c>
      <c r="BC119" s="229">
        <v>0.4889</v>
      </c>
      <c r="BD119" s="230">
        <v>66500</v>
      </c>
      <c r="BE119" s="230">
        <v>30275</v>
      </c>
      <c r="BF119" s="230">
        <v>36225</v>
      </c>
      <c r="BG119" s="229">
        <v>1.1964999999999999</v>
      </c>
      <c r="BH119" s="230">
        <v>9926700</v>
      </c>
      <c r="BI119" s="230">
        <v>11704000</v>
      </c>
      <c r="BJ119" s="230">
        <v>-1777300</v>
      </c>
      <c r="BK119" s="229">
        <v>-0.15190000000000001</v>
      </c>
      <c r="BL119" s="230">
        <v>3619700</v>
      </c>
      <c r="BM119" s="230">
        <v>5789700</v>
      </c>
      <c r="BN119" s="230">
        <v>-2170000</v>
      </c>
      <c r="BO119" s="229">
        <v>-0.37480000000000002</v>
      </c>
      <c r="BP119" s="230">
        <v>22926575</v>
      </c>
      <c r="BQ119" s="230">
        <v>24208800</v>
      </c>
      <c r="BR119" s="230">
        <v>-1282225</v>
      </c>
      <c r="BS119" s="229">
        <v>-5.2999999999999999E-2</v>
      </c>
      <c r="BT119" s="230">
        <v>2016568</v>
      </c>
      <c r="BU119" s="230">
        <v>2643451</v>
      </c>
      <c r="BV119" s="230">
        <v>-626883</v>
      </c>
      <c r="BW119" s="229">
        <v>-0.23710000000000001</v>
      </c>
      <c r="BX119" s="230">
        <v>15075025</v>
      </c>
      <c r="BY119" s="230">
        <v>14913850</v>
      </c>
      <c r="BZ119" s="230">
        <v>161175</v>
      </c>
      <c r="CA119" s="229">
        <v>1.0800000000000001E-2</v>
      </c>
      <c r="CB119" s="230">
        <v>6747125</v>
      </c>
      <c r="CC119" s="230">
        <v>10473400</v>
      </c>
      <c r="CD119" s="230">
        <v>-3726275</v>
      </c>
      <c r="CE119" s="229">
        <v>-0.35580000000000001</v>
      </c>
      <c r="CF119" s="230">
        <v>7458150</v>
      </c>
      <c r="CG119" s="230">
        <v>3604650</v>
      </c>
      <c r="CH119" s="230">
        <v>3853500</v>
      </c>
      <c r="CI119" s="229">
        <v>1.069</v>
      </c>
      <c r="CJ119" s="230">
        <v>869750</v>
      </c>
      <c r="CK119" s="230">
        <v>835800</v>
      </c>
      <c r="CL119" s="230">
        <v>33950</v>
      </c>
      <c r="CM119" s="229">
        <v>4.0599999999999997E-2</v>
      </c>
      <c r="CN119" s="230">
        <v>7199325</v>
      </c>
      <c r="CO119" s="230">
        <v>7398650</v>
      </c>
      <c r="CP119" s="230">
        <v>-199325</v>
      </c>
      <c r="CQ119" s="229">
        <v>-2.69E-2</v>
      </c>
      <c r="CR119" s="230">
        <v>3485125</v>
      </c>
      <c r="CS119" s="230">
        <v>3384150</v>
      </c>
      <c r="CT119" s="230">
        <v>100975</v>
      </c>
      <c r="CU119" s="229">
        <v>2.98E-2</v>
      </c>
      <c r="CV119" s="230">
        <v>25759475</v>
      </c>
      <c r="CW119" s="230">
        <v>25696650</v>
      </c>
      <c r="CX119" s="230">
        <v>62825</v>
      </c>
      <c r="CY119" s="229">
        <v>2.3999999999999998E-3</v>
      </c>
      <c r="CZ119" s="228">
        <v>24.77</v>
      </c>
      <c r="DA119" s="228">
        <v>21.13</v>
      </c>
      <c r="DB119" s="228">
        <v>3.64</v>
      </c>
      <c r="DC119" s="228">
        <v>3.64</v>
      </c>
      <c r="DD119" s="228">
        <v>25.64</v>
      </c>
      <c r="DE119" s="228">
        <v>25.69</v>
      </c>
      <c r="DF119" s="228">
        <v>-0.87</v>
      </c>
      <c r="DG119" s="228">
        <v>-0.05</v>
      </c>
      <c r="DH119" s="228">
        <v>24.41</v>
      </c>
      <c r="DI119" s="228">
        <v>21.95</v>
      </c>
      <c r="DJ119" s="228">
        <v>2.46</v>
      </c>
      <c r="DK119" s="228">
        <v>2.46</v>
      </c>
      <c r="DL119" s="228">
        <v>25.49</v>
      </c>
      <c r="DM119" s="228">
        <v>19.47</v>
      </c>
      <c r="DN119" s="228">
        <v>6.02</v>
      </c>
      <c r="DO119" s="228">
        <v>6.02</v>
      </c>
      <c r="DP119" s="228">
        <v>0.48</v>
      </c>
      <c r="DQ119" s="228">
        <v>0.46</v>
      </c>
      <c r="DR119" s="228">
        <v>0.02</v>
      </c>
      <c r="DS119" s="229">
        <v>4.3499999999999997E-2</v>
      </c>
      <c r="DT119" s="231">
        <v>4000</v>
      </c>
      <c r="DU119" s="231">
        <v>4000</v>
      </c>
      <c r="DV119" s="228">
        <v>0.36</v>
      </c>
      <c r="DW119" s="228">
        <v>0.49</v>
      </c>
      <c r="DX119" s="228">
        <v>-0.13</v>
      </c>
      <c r="DY119" s="229">
        <v>-0.26529999999999998</v>
      </c>
      <c r="DZ119" s="229">
        <v>0.5524</v>
      </c>
      <c r="EA119" s="230">
        <v>4440450</v>
      </c>
      <c r="EB119" s="229">
        <v>5.3E-3</v>
      </c>
      <c r="EC119" s="229">
        <v>0.5524</v>
      </c>
      <c r="ED119" s="228">
        <v>20.350000000000001</v>
      </c>
      <c r="EE119" s="229">
        <v>5.4000000000000003E-3</v>
      </c>
      <c r="EF119" s="230">
        <v>943911</v>
      </c>
      <c r="EG119" s="230">
        <v>1539856</v>
      </c>
      <c r="EH119" s="229">
        <v>-0.38700000000000001</v>
      </c>
      <c r="EI119" s="229">
        <v>0.46810000000000002</v>
      </c>
      <c r="EJ119" s="231">
        <v>389072.16</v>
      </c>
      <c r="EK119" s="231">
        <v>138461.63</v>
      </c>
      <c r="EL119" s="231">
        <v>355751.72</v>
      </c>
      <c r="EM119" s="231">
        <v>19431</v>
      </c>
      <c r="EN119" s="231">
        <v>883285.51</v>
      </c>
      <c r="EO119" s="231">
        <v>931900.06</v>
      </c>
      <c r="EP119" s="231">
        <v>-48614.55</v>
      </c>
      <c r="EQ119" s="229">
        <v>-5.2200000000000003E-2</v>
      </c>
      <c r="ER119" s="231">
        <v>290400</v>
      </c>
      <c r="ES119" s="231">
        <v>135838</v>
      </c>
      <c r="ET119" s="231">
        <v>574848</v>
      </c>
      <c r="EU119" s="231">
        <v>136109374</v>
      </c>
      <c r="EV119" s="231">
        <v>1001086</v>
      </c>
      <c r="EW119" s="231">
        <v>994161</v>
      </c>
      <c r="EX119" s="231">
        <v>6925</v>
      </c>
      <c r="EY119" s="229">
        <v>7.0000000000000001E-3</v>
      </c>
      <c r="EZ119" s="229">
        <v>0.1893</v>
      </c>
      <c r="FA119" s="227" t="s">
        <v>555</v>
      </c>
      <c r="FB119" s="161">
        <f t="shared" si="1"/>
        <v>8327900</v>
      </c>
    </row>
    <row r="120" spans="1:158" ht="17.25" hidden="1" thickBot="1" x14ac:dyDescent="0.3">
      <c r="A120" s="226">
        <v>46044</v>
      </c>
      <c r="B120" s="227" t="s">
        <v>175</v>
      </c>
      <c r="C120" s="227" t="s">
        <v>565</v>
      </c>
      <c r="D120" s="228">
        <v>2250</v>
      </c>
      <c r="E120" s="228">
        <v>287.35000000000002</v>
      </c>
      <c r="F120" s="228">
        <v>282.55</v>
      </c>
      <c r="G120" s="228">
        <v>4.8</v>
      </c>
      <c r="H120" s="229">
        <v>1.7000000000000001E-2</v>
      </c>
      <c r="I120" s="228">
        <v>287.3</v>
      </c>
      <c r="J120" s="228">
        <v>281.35000000000002</v>
      </c>
      <c r="K120" s="228">
        <v>5.95</v>
      </c>
      <c r="L120" s="229">
        <v>2.1100000000000001E-2</v>
      </c>
      <c r="M120" s="228">
        <v>287.35000000000002</v>
      </c>
      <c r="N120" s="228">
        <v>282.55</v>
      </c>
      <c r="O120" s="228">
        <v>4.8</v>
      </c>
      <c r="P120" s="229">
        <v>1.7000000000000001E-2</v>
      </c>
      <c r="Q120" s="228">
        <v>286.7</v>
      </c>
      <c r="R120" s="228">
        <v>282.89999999999998</v>
      </c>
      <c r="S120" s="228">
        <v>3.8</v>
      </c>
      <c r="T120" s="229">
        <v>1.34E-2</v>
      </c>
      <c r="U120" s="228">
        <v>286.10000000000002</v>
      </c>
      <c r="V120" s="228">
        <v>283.95</v>
      </c>
      <c r="W120" s="228">
        <v>2.15</v>
      </c>
      <c r="X120" s="229">
        <v>7.6E-3</v>
      </c>
      <c r="Y120" s="228">
        <v>0.05</v>
      </c>
      <c r="Z120" s="228">
        <v>1.2</v>
      </c>
      <c r="AA120" s="228">
        <v>-1.1499999999999999</v>
      </c>
      <c r="AB120" s="229">
        <v>2.0000000000000001E-4</v>
      </c>
      <c r="AC120" s="228">
        <v>0.05</v>
      </c>
      <c r="AD120" s="228">
        <v>1.2</v>
      </c>
      <c r="AE120" s="228">
        <v>-1.1499999999999999</v>
      </c>
      <c r="AF120" s="229">
        <v>2.0000000000000001E-4</v>
      </c>
      <c r="AG120" s="228">
        <v>-0.6</v>
      </c>
      <c r="AH120" s="228">
        <v>1.55</v>
      </c>
      <c r="AI120" s="228">
        <v>-2.15</v>
      </c>
      <c r="AJ120" s="229">
        <v>-2.0999999999999999E-3</v>
      </c>
      <c r="AK120" s="228">
        <v>-1.2</v>
      </c>
      <c r="AL120" s="228">
        <v>2.6</v>
      </c>
      <c r="AM120" s="228">
        <v>-3.8</v>
      </c>
      <c r="AN120" s="229">
        <v>-4.1999999999999997E-3</v>
      </c>
      <c r="AO120" s="228">
        <v>286.3</v>
      </c>
      <c r="AP120" s="228">
        <v>285.82</v>
      </c>
      <c r="AQ120" s="228">
        <v>0</v>
      </c>
      <c r="AR120" s="230">
        <v>53741250</v>
      </c>
      <c r="AS120" s="230">
        <v>63204750</v>
      </c>
      <c r="AT120" s="230">
        <v>-9463500</v>
      </c>
      <c r="AU120" s="229">
        <v>-0.1497</v>
      </c>
      <c r="AV120" s="230">
        <v>25166250</v>
      </c>
      <c r="AW120" s="230">
        <v>36663750</v>
      </c>
      <c r="AX120" s="230">
        <v>-11497500</v>
      </c>
      <c r="AY120" s="229">
        <v>-0.31359999999999999</v>
      </c>
      <c r="AZ120" s="230">
        <v>27987750</v>
      </c>
      <c r="BA120" s="230">
        <v>25913250</v>
      </c>
      <c r="BB120" s="230">
        <v>2074500</v>
      </c>
      <c r="BC120" s="229">
        <v>8.0100000000000005E-2</v>
      </c>
      <c r="BD120" s="230">
        <v>587250</v>
      </c>
      <c r="BE120" s="230">
        <v>627750</v>
      </c>
      <c r="BF120" s="230">
        <v>-40500</v>
      </c>
      <c r="BG120" s="229">
        <v>-6.4500000000000002E-2</v>
      </c>
      <c r="BH120" s="230">
        <v>65079000</v>
      </c>
      <c r="BI120" s="230">
        <v>204941250</v>
      </c>
      <c r="BJ120" s="230">
        <v>-139862250</v>
      </c>
      <c r="BK120" s="229">
        <v>-0.6825</v>
      </c>
      <c r="BL120" s="230">
        <v>22461750</v>
      </c>
      <c r="BM120" s="230">
        <v>105493500</v>
      </c>
      <c r="BN120" s="230">
        <v>-83031750</v>
      </c>
      <c r="BO120" s="229">
        <v>-0.78710000000000002</v>
      </c>
      <c r="BP120" s="230">
        <v>141282000</v>
      </c>
      <c r="BQ120" s="230">
        <v>373639500</v>
      </c>
      <c r="BR120" s="230">
        <v>-232357500</v>
      </c>
      <c r="BS120" s="229">
        <v>-0.62190000000000001</v>
      </c>
      <c r="BT120" s="230">
        <v>8448954</v>
      </c>
      <c r="BU120" s="230">
        <v>14317272</v>
      </c>
      <c r="BV120" s="230">
        <v>-5868318</v>
      </c>
      <c r="BW120" s="229">
        <v>-0.40989999999999999</v>
      </c>
      <c r="BX120" s="230">
        <v>51509250</v>
      </c>
      <c r="BY120" s="230">
        <v>50726250</v>
      </c>
      <c r="BZ120" s="230">
        <v>783000</v>
      </c>
      <c r="CA120" s="229">
        <v>1.54E-2</v>
      </c>
      <c r="CB120" s="230">
        <v>19647000</v>
      </c>
      <c r="CC120" s="230">
        <v>32487750</v>
      </c>
      <c r="CD120" s="230">
        <v>-12840750</v>
      </c>
      <c r="CE120" s="229">
        <v>-0.3952</v>
      </c>
      <c r="CF120" s="230">
        <v>30982500</v>
      </c>
      <c r="CG120" s="230">
        <v>17597250</v>
      </c>
      <c r="CH120" s="230">
        <v>13385250</v>
      </c>
      <c r="CI120" s="229">
        <v>0.76060000000000005</v>
      </c>
      <c r="CJ120" s="230">
        <v>879750</v>
      </c>
      <c r="CK120" s="230">
        <v>641250</v>
      </c>
      <c r="CL120" s="230">
        <v>238500</v>
      </c>
      <c r="CM120" s="229">
        <v>0.37190000000000001</v>
      </c>
      <c r="CN120" s="230">
        <v>53124750</v>
      </c>
      <c r="CO120" s="230">
        <v>58385250</v>
      </c>
      <c r="CP120" s="230">
        <v>-5260500</v>
      </c>
      <c r="CQ120" s="229">
        <v>-9.01E-2</v>
      </c>
      <c r="CR120" s="230">
        <v>24498000</v>
      </c>
      <c r="CS120" s="230">
        <v>25535250</v>
      </c>
      <c r="CT120" s="230">
        <v>-1037250</v>
      </c>
      <c r="CU120" s="229">
        <v>-4.0599999999999997E-2</v>
      </c>
      <c r="CV120" s="230">
        <v>129132000</v>
      </c>
      <c r="CW120" s="230">
        <v>134646750</v>
      </c>
      <c r="CX120" s="230">
        <v>-5514750</v>
      </c>
      <c r="CY120" s="229">
        <v>-4.1000000000000002E-2</v>
      </c>
      <c r="CZ120" s="228">
        <v>33.96</v>
      </c>
      <c r="DA120" s="228">
        <v>37.43</v>
      </c>
      <c r="DB120" s="228">
        <v>-3.47</v>
      </c>
      <c r="DC120" s="228">
        <v>-3.47</v>
      </c>
      <c r="DD120" s="228">
        <v>38.47</v>
      </c>
      <c r="DE120" s="228">
        <v>38.5</v>
      </c>
      <c r="DF120" s="228">
        <v>-4.51</v>
      </c>
      <c r="DG120" s="228">
        <v>-0.03</v>
      </c>
      <c r="DH120" s="228">
        <v>34.020000000000003</v>
      </c>
      <c r="DI120" s="228">
        <v>38.590000000000003</v>
      </c>
      <c r="DJ120" s="228">
        <v>-4.57</v>
      </c>
      <c r="DK120" s="228">
        <v>-4.57</v>
      </c>
      <c r="DL120" s="228">
        <v>33.82</v>
      </c>
      <c r="DM120" s="228">
        <v>35.200000000000003</v>
      </c>
      <c r="DN120" s="228">
        <v>-1.38</v>
      </c>
      <c r="DO120" s="228">
        <v>-1.38</v>
      </c>
      <c r="DP120" s="228">
        <v>0.46</v>
      </c>
      <c r="DQ120" s="228">
        <v>0.44</v>
      </c>
      <c r="DR120" s="228">
        <v>0.02</v>
      </c>
      <c r="DS120" s="229">
        <v>4.5499999999999999E-2</v>
      </c>
      <c r="DT120" s="228">
        <v>300</v>
      </c>
      <c r="DU120" s="228">
        <v>275</v>
      </c>
      <c r="DV120" s="228">
        <v>0.35</v>
      </c>
      <c r="DW120" s="228">
        <v>0.51</v>
      </c>
      <c r="DX120" s="228">
        <v>-0.16</v>
      </c>
      <c r="DY120" s="229">
        <v>-0.31369999999999998</v>
      </c>
      <c r="DZ120" s="229">
        <v>0.61860000000000004</v>
      </c>
      <c r="EA120" s="230">
        <v>18238500</v>
      </c>
      <c r="EB120" s="229">
        <v>-2.3E-3</v>
      </c>
      <c r="EC120" s="229">
        <v>0.61860000000000004</v>
      </c>
      <c r="ED120" s="228">
        <v>-0.48</v>
      </c>
      <c r="EE120" s="229">
        <v>-1.6999999999999999E-3</v>
      </c>
      <c r="EF120" s="230">
        <v>3829077</v>
      </c>
      <c r="EG120" s="230">
        <v>3415437</v>
      </c>
      <c r="EH120" s="229">
        <v>0.1211</v>
      </c>
      <c r="EI120" s="229">
        <v>0.45319999999999999</v>
      </c>
      <c r="EJ120" s="231">
        <v>197592.78</v>
      </c>
      <c r="EK120" s="231">
        <v>64554.12</v>
      </c>
      <c r="EL120" s="231">
        <v>153722.43</v>
      </c>
      <c r="EM120" s="231">
        <v>20354</v>
      </c>
      <c r="EN120" s="231">
        <v>415869.33</v>
      </c>
      <c r="EO120" s="231">
        <v>1099161.58</v>
      </c>
      <c r="EP120" s="231">
        <v>-683292.25</v>
      </c>
      <c r="EQ120" s="229">
        <v>-0.62160000000000004</v>
      </c>
      <c r="ER120" s="231">
        <v>165838</v>
      </c>
      <c r="ES120" s="231">
        <v>70999</v>
      </c>
      <c r="ET120" s="231">
        <v>147799</v>
      </c>
      <c r="EU120" s="231">
        <v>127100972</v>
      </c>
      <c r="EV120" s="231">
        <v>384637</v>
      </c>
      <c r="EW120" s="231">
        <v>399208</v>
      </c>
      <c r="EX120" s="231">
        <v>-14571</v>
      </c>
      <c r="EY120" s="229">
        <v>-3.6499999999999998E-2</v>
      </c>
      <c r="EZ120" s="229">
        <v>1.016</v>
      </c>
      <c r="FA120" s="227" t="s">
        <v>555</v>
      </c>
      <c r="FB120" s="161">
        <f t="shared" si="1"/>
        <v>31862250</v>
      </c>
    </row>
    <row r="121" spans="1:158" ht="17.25" hidden="1" thickBot="1" x14ac:dyDescent="0.3">
      <c r="A121" s="226">
        <v>46044</v>
      </c>
      <c r="B121" s="227" t="s">
        <v>221</v>
      </c>
      <c r="C121" s="227" t="s">
        <v>561</v>
      </c>
      <c r="D121" s="228">
        <v>150</v>
      </c>
      <c r="E121" s="231">
        <v>5949</v>
      </c>
      <c r="F121" s="231">
        <v>5860</v>
      </c>
      <c r="G121" s="228">
        <v>89</v>
      </c>
      <c r="H121" s="229">
        <v>1.52E-2</v>
      </c>
      <c r="I121" s="231">
        <v>5947</v>
      </c>
      <c r="J121" s="231">
        <v>5844</v>
      </c>
      <c r="K121" s="228">
        <v>103</v>
      </c>
      <c r="L121" s="229">
        <v>1.7600000000000001E-2</v>
      </c>
      <c r="M121" s="231">
        <v>5949</v>
      </c>
      <c r="N121" s="231">
        <v>5860</v>
      </c>
      <c r="O121" s="228">
        <v>89</v>
      </c>
      <c r="P121" s="229">
        <v>1.52E-2</v>
      </c>
      <c r="Q121" s="231">
        <v>5974.5</v>
      </c>
      <c r="R121" s="231">
        <v>5878</v>
      </c>
      <c r="S121" s="228">
        <v>96.5</v>
      </c>
      <c r="T121" s="229">
        <v>1.6400000000000001E-2</v>
      </c>
      <c r="U121" s="231">
        <v>5999.5</v>
      </c>
      <c r="V121" s="231">
        <v>5908</v>
      </c>
      <c r="W121" s="228">
        <v>91.5</v>
      </c>
      <c r="X121" s="229">
        <v>1.55E-2</v>
      </c>
      <c r="Y121" s="228">
        <v>2</v>
      </c>
      <c r="Z121" s="228">
        <v>16</v>
      </c>
      <c r="AA121" s="228">
        <v>-14</v>
      </c>
      <c r="AB121" s="229">
        <v>2.9999999999999997E-4</v>
      </c>
      <c r="AC121" s="228">
        <v>2</v>
      </c>
      <c r="AD121" s="228">
        <v>16</v>
      </c>
      <c r="AE121" s="228">
        <v>-14</v>
      </c>
      <c r="AF121" s="229">
        <v>2.9999999999999997E-4</v>
      </c>
      <c r="AG121" s="228">
        <v>27.5</v>
      </c>
      <c r="AH121" s="228">
        <v>34</v>
      </c>
      <c r="AI121" s="228">
        <v>-6.5</v>
      </c>
      <c r="AJ121" s="229">
        <v>4.5999999999999999E-3</v>
      </c>
      <c r="AK121" s="228">
        <v>52.5</v>
      </c>
      <c r="AL121" s="228">
        <v>64</v>
      </c>
      <c r="AM121" s="228">
        <v>-11.5</v>
      </c>
      <c r="AN121" s="229">
        <v>8.8000000000000005E-3</v>
      </c>
      <c r="AO121" s="231">
        <v>5956.66</v>
      </c>
      <c r="AP121" s="231">
        <v>5974.02</v>
      </c>
      <c r="AQ121" s="228">
        <v>0</v>
      </c>
      <c r="AR121" s="230">
        <v>2423550</v>
      </c>
      <c r="AS121" s="230">
        <v>2445000</v>
      </c>
      <c r="AT121" s="230">
        <v>-21450</v>
      </c>
      <c r="AU121" s="229">
        <v>-8.8000000000000005E-3</v>
      </c>
      <c r="AV121" s="230">
        <v>1335300</v>
      </c>
      <c r="AW121" s="230">
        <v>1488300</v>
      </c>
      <c r="AX121" s="230">
        <v>-153000</v>
      </c>
      <c r="AY121" s="229">
        <v>-0.1028</v>
      </c>
      <c r="AZ121" s="230">
        <v>1082700</v>
      </c>
      <c r="BA121" s="230">
        <v>952350</v>
      </c>
      <c r="BB121" s="230">
        <v>130350</v>
      </c>
      <c r="BC121" s="229">
        <v>0.13689999999999999</v>
      </c>
      <c r="BD121" s="230">
        <v>5550</v>
      </c>
      <c r="BE121" s="230">
        <v>4350</v>
      </c>
      <c r="BF121" s="230">
        <v>1200</v>
      </c>
      <c r="BG121" s="229">
        <v>0.27589999999999998</v>
      </c>
      <c r="BH121" s="230">
        <v>7221600</v>
      </c>
      <c r="BI121" s="230">
        <v>9966600</v>
      </c>
      <c r="BJ121" s="230">
        <v>-2745000</v>
      </c>
      <c r="BK121" s="229">
        <v>-0.27539999999999998</v>
      </c>
      <c r="BL121" s="230">
        <v>3300300</v>
      </c>
      <c r="BM121" s="230">
        <v>8015400</v>
      </c>
      <c r="BN121" s="230">
        <v>-4715100</v>
      </c>
      <c r="BO121" s="229">
        <v>-0.58830000000000005</v>
      </c>
      <c r="BP121" s="230">
        <v>12945450</v>
      </c>
      <c r="BQ121" s="230">
        <v>20427000</v>
      </c>
      <c r="BR121" s="230">
        <v>-7481550</v>
      </c>
      <c r="BS121" s="229">
        <v>-0.36630000000000001</v>
      </c>
      <c r="BT121" s="230">
        <v>386887</v>
      </c>
      <c r="BU121" s="230">
        <v>751038</v>
      </c>
      <c r="BV121" s="230">
        <v>-364151</v>
      </c>
      <c r="BW121" s="229">
        <v>-0.4849</v>
      </c>
      <c r="BX121" s="230">
        <v>2841450</v>
      </c>
      <c r="BY121" s="230">
        <v>2894700</v>
      </c>
      <c r="BZ121" s="230">
        <v>-53250</v>
      </c>
      <c r="CA121" s="229">
        <v>-1.84E-2</v>
      </c>
      <c r="CB121" s="230">
        <v>1327200</v>
      </c>
      <c r="CC121" s="230">
        <v>2061750</v>
      </c>
      <c r="CD121" s="230">
        <v>-734550</v>
      </c>
      <c r="CE121" s="229">
        <v>-0.35630000000000001</v>
      </c>
      <c r="CF121" s="230">
        <v>1505250</v>
      </c>
      <c r="CG121" s="230">
        <v>824250</v>
      </c>
      <c r="CH121" s="230">
        <v>681000</v>
      </c>
      <c r="CI121" s="229">
        <v>0.82620000000000005</v>
      </c>
      <c r="CJ121" s="230">
        <v>9000</v>
      </c>
      <c r="CK121" s="230">
        <v>8700</v>
      </c>
      <c r="CL121" s="228">
        <v>300</v>
      </c>
      <c r="CM121" s="229">
        <v>3.4500000000000003E-2</v>
      </c>
      <c r="CN121" s="230">
        <v>1814400</v>
      </c>
      <c r="CO121" s="230">
        <v>2229450</v>
      </c>
      <c r="CP121" s="230">
        <v>-415050</v>
      </c>
      <c r="CQ121" s="229">
        <v>-0.1862</v>
      </c>
      <c r="CR121" s="230">
        <v>1065150</v>
      </c>
      <c r="CS121" s="230">
        <v>1124400</v>
      </c>
      <c r="CT121" s="230">
        <v>-59250</v>
      </c>
      <c r="CU121" s="229">
        <v>-5.2699999999999997E-2</v>
      </c>
      <c r="CV121" s="230">
        <v>5721000</v>
      </c>
      <c r="CW121" s="230">
        <v>6248550</v>
      </c>
      <c r="CX121" s="230">
        <v>-527550</v>
      </c>
      <c r="CY121" s="229">
        <v>-8.4400000000000003E-2</v>
      </c>
      <c r="CZ121" s="228">
        <v>25.51</v>
      </c>
      <c r="DA121" s="228">
        <v>27.28</v>
      </c>
      <c r="DB121" s="228">
        <v>-1.77</v>
      </c>
      <c r="DC121" s="228">
        <v>-1.77</v>
      </c>
      <c r="DD121" s="228">
        <v>33.130000000000003</v>
      </c>
      <c r="DE121" s="228">
        <v>33.15</v>
      </c>
      <c r="DF121" s="228">
        <v>-7.62</v>
      </c>
      <c r="DG121" s="228">
        <v>-0.02</v>
      </c>
      <c r="DH121" s="228">
        <v>24.83</v>
      </c>
      <c r="DI121" s="228">
        <v>27.99</v>
      </c>
      <c r="DJ121" s="228">
        <v>-3.16</v>
      </c>
      <c r="DK121" s="228">
        <v>-3.16</v>
      </c>
      <c r="DL121" s="228">
        <v>26.59</v>
      </c>
      <c r="DM121" s="228">
        <v>26.39</v>
      </c>
      <c r="DN121" s="228">
        <v>0.2</v>
      </c>
      <c r="DO121" s="228">
        <v>0.2</v>
      </c>
      <c r="DP121" s="228">
        <v>0.59</v>
      </c>
      <c r="DQ121" s="228">
        <v>0.5</v>
      </c>
      <c r="DR121" s="228">
        <v>0.09</v>
      </c>
      <c r="DS121" s="229">
        <v>0.18</v>
      </c>
      <c r="DT121" s="231">
        <v>6200</v>
      </c>
      <c r="DU121" s="231">
        <v>5700</v>
      </c>
      <c r="DV121" s="228">
        <v>0.46</v>
      </c>
      <c r="DW121" s="228">
        <v>0.8</v>
      </c>
      <c r="DX121" s="228">
        <v>-0.34</v>
      </c>
      <c r="DY121" s="229">
        <v>-0.42499999999999999</v>
      </c>
      <c r="DZ121" s="229">
        <v>0.53290000000000004</v>
      </c>
      <c r="EA121" s="230">
        <v>832950</v>
      </c>
      <c r="EB121" s="229">
        <v>4.3E-3</v>
      </c>
      <c r="EC121" s="229">
        <v>0.53290000000000004</v>
      </c>
      <c r="ED121" s="228">
        <v>17.36</v>
      </c>
      <c r="EE121" s="229">
        <v>2.8999999999999998E-3</v>
      </c>
      <c r="EF121" s="230">
        <v>144008</v>
      </c>
      <c r="EG121" s="230">
        <v>247257</v>
      </c>
      <c r="EH121" s="229">
        <v>-0.41760000000000003</v>
      </c>
      <c r="EI121" s="229">
        <v>0.37219999999999998</v>
      </c>
      <c r="EJ121" s="231">
        <v>444996.83</v>
      </c>
      <c r="EK121" s="231">
        <v>193884.61</v>
      </c>
      <c r="EL121" s="231">
        <v>144553.46</v>
      </c>
      <c r="EM121" s="231">
        <v>12507</v>
      </c>
      <c r="EN121" s="231">
        <v>783434.9</v>
      </c>
      <c r="EO121" s="231">
        <v>1218812.73</v>
      </c>
      <c r="EP121" s="231">
        <v>-435377.83</v>
      </c>
      <c r="EQ121" s="229">
        <v>-0.35720000000000002</v>
      </c>
      <c r="ER121" s="231">
        <v>114360</v>
      </c>
      <c r="ES121" s="231">
        <v>61825</v>
      </c>
      <c r="ET121" s="231">
        <v>169426</v>
      </c>
      <c r="EU121" s="231">
        <v>9672091</v>
      </c>
      <c r="EV121" s="231">
        <v>345611</v>
      </c>
      <c r="EW121" s="231">
        <v>374920</v>
      </c>
      <c r="EX121" s="231">
        <v>-29309</v>
      </c>
      <c r="EY121" s="229">
        <v>-7.8200000000000006E-2</v>
      </c>
      <c r="EZ121" s="229">
        <v>0.59150000000000003</v>
      </c>
      <c r="FA121" s="227" t="s">
        <v>556</v>
      </c>
      <c r="FB121" s="161">
        <f t="shared" si="1"/>
        <v>1514250</v>
      </c>
    </row>
    <row r="122" spans="1:158" ht="17.25" hidden="1" thickBot="1" x14ac:dyDescent="0.3">
      <c r="A122" s="226">
        <v>46044</v>
      </c>
      <c r="B122" s="227" t="s">
        <v>170</v>
      </c>
      <c r="C122" s="227" t="s">
        <v>250</v>
      </c>
      <c r="D122" s="228">
        <v>425</v>
      </c>
      <c r="E122" s="231">
        <v>2161.6</v>
      </c>
      <c r="F122" s="231">
        <v>2145.5</v>
      </c>
      <c r="G122" s="228">
        <v>16.100000000000001</v>
      </c>
      <c r="H122" s="229">
        <v>7.4999999999999997E-3</v>
      </c>
      <c r="I122" s="231">
        <v>2163.1999999999998</v>
      </c>
      <c r="J122" s="231">
        <v>2140.6999999999998</v>
      </c>
      <c r="K122" s="228">
        <v>22.5</v>
      </c>
      <c r="L122" s="229">
        <v>1.0500000000000001E-2</v>
      </c>
      <c r="M122" s="231">
        <v>2161.6</v>
      </c>
      <c r="N122" s="231">
        <v>2145.5</v>
      </c>
      <c r="O122" s="228">
        <v>16.100000000000001</v>
      </c>
      <c r="P122" s="229">
        <v>7.4999999999999997E-3</v>
      </c>
      <c r="Q122" s="231">
        <v>2172.1999999999998</v>
      </c>
      <c r="R122" s="231">
        <v>2155.9</v>
      </c>
      <c r="S122" s="228">
        <v>16.3</v>
      </c>
      <c r="T122" s="229">
        <v>7.6E-3</v>
      </c>
      <c r="U122" s="231">
        <v>2185.6999999999998</v>
      </c>
      <c r="V122" s="231">
        <v>2168.1999999999998</v>
      </c>
      <c r="W122" s="228">
        <v>17.5</v>
      </c>
      <c r="X122" s="229">
        <v>8.0999999999999996E-3</v>
      </c>
      <c r="Y122" s="228">
        <v>-1.6</v>
      </c>
      <c r="Z122" s="228">
        <v>4.8</v>
      </c>
      <c r="AA122" s="228">
        <v>-6.4</v>
      </c>
      <c r="AB122" s="229">
        <v>-6.9999999999999999E-4</v>
      </c>
      <c r="AC122" s="228">
        <v>-1.6</v>
      </c>
      <c r="AD122" s="228">
        <v>4.8</v>
      </c>
      <c r="AE122" s="228">
        <v>-6.4</v>
      </c>
      <c r="AF122" s="229">
        <v>-6.9999999999999999E-4</v>
      </c>
      <c r="AG122" s="228">
        <v>9</v>
      </c>
      <c r="AH122" s="228">
        <v>15.2</v>
      </c>
      <c r="AI122" s="228">
        <v>-6.2</v>
      </c>
      <c r="AJ122" s="229">
        <v>4.1999999999999997E-3</v>
      </c>
      <c r="AK122" s="228">
        <v>22.5</v>
      </c>
      <c r="AL122" s="228">
        <v>27.5</v>
      </c>
      <c r="AM122" s="228">
        <v>-5</v>
      </c>
      <c r="AN122" s="229">
        <v>1.04E-2</v>
      </c>
      <c r="AO122" s="231">
        <v>2171.41</v>
      </c>
      <c r="AP122" s="231">
        <v>2182.52</v>
      </c>
      <c r="AQ122" s="228">
        <v>0</v>
      </c>
      <c r="AR122" s="230">
        <v>5006500</v>
      </c>
      <c r="AS122" s="230">
        <v>4035375</v>
      </c>
      <c r="AT122" s="230">
        <v>971125</v>
      </c>
      <c r="AU122" s="229">
        <v>0.2407</v>
      </c>
      <c r="AV122" s="230">
        <v>2535125</v>
      </c>
      <c r="AW122" s="230">
        <v>2308600</v>
      </c>
      <c r="AX122" s="230">
        <v>226525</v>
      </c>
      <c r="AY122" s="229">
        <v>9.8100000000000007E-2</v>
      </c>
      <c r="AZ122" s="230">
        <v>2455225</v>
      </c>
      <c r="BA122" s="230">
        <v>1712750</v>
      </c>
      <c r="BB122" s="230">
        <v>742475</v>
      </c>
      <c r="BC122" s="229">
        <v>0.4335</v>
      </c>
      <c r="BD122" s="230">
        <v>16150</v>
      </c>
      <c r="BE122" s="230">
        <v>14025</v>
      </c>
      <c r="BF122" s="230">
        <v>2125</v>
      </c>
      <c r="BG122" s="229">
        <v>0.1515</v>
      </c>
      <c r="BH122" s="230">
        <v>3451850</v>
      </c>
      <c r="BI122" s="230">
        <v>6695450</v>
      </c>
      <c r="BJ122" s="230">
        <v>-3243600</v>
      </c>
      <c r="BK122" s="229">
        <v>-0.4844</v>
      </c>
      <c r="BL122" s="230">
        <v>1882325</v>
      </c>
      <c r="BM122" s="230">
        <v>2683875</v>
      </c>
      <c r="BN122" s="230">
        <v>-801550</v>
      </c>
      <c r="BO122" s="229">
        <v>-0.29870000000000002</v>
      </c>
      <c r="BP122" s="230">
        <v>10340675</v>
      </c>
      <c r="BQ122" s="230">
        <v>13414700</v>
      </c>
      <c r="BR122" s="230">
        <v>-3074025</v>
      </c>
      <c r="BS122" s="229">
        <v>-0.22919999999999999</v>
      </c>
      <c r="BT122" s="230">
        <v>640930</v>
      </c>
      <c r="BU122" s="230">
        <v>1020389</v>
      </c>
      <c r="BV122" s="230">
        <v>-379459</v>
      </c>
      <c r="BW122" s="229">
        <v>-0.37190000000000001</v>
      </c>
      <c r="BX122" s="230">
        <v>7400100</v>
      </c>
      <c r="BY122" s="230">
        <v>7102175</v>
      </c>
      <c r="BZ122" s="230">
        <v>297925</v>
      </c>
      <c r="CA122" s="229">
        <v>4.19E-2</v>
      </c>
      <c r="CB122" s="230">
        <v>3738300</v>
      </c>
      <c r="CC122" s="230">
        <v>5480800</v>
      </c>
      <c r="CD122" s="230">
        <v>-1742500</v>
      </c>
      <c r="CE122" s="229">
        <v>-0.31790000000000002</v>
      </c>
      <c r="CF122" s="230">
        <v>3618875</v>
      </c>
      <c r="CG122" s="230">
        <v>1583125</v>
      </c>
      <c r="CH122" s="230">
        <v>2035750</v>
      </c>
      <c r="CI122" s="229">
        <v>1.2859</v>
      </c>
      <c r="CJ122" s="230">
        <v>42925</v>
      </c>
      <c r="CK122" s="230">
        <v>38250</v>
      </c>
      <c r="CL122" s="230">
        <v>4675</v>
      </c>
      <c r="CM122" s="229">
        <v>0.1222</v>
      </c>
      <c r="CN122" s="230">
        <v>2349400</v>
      </c>
      <c r="CO122" s="230">
        <v>2686000</v>
      </c>
      <c r="CP122" s="230">
        <v>-336600</v>
      </c>
      <c r="CQ122" s="229">
        <v>-0.12529999999999999</v>
      </c>
      <c r="CR122" s="230">
        <v>1392300</v>
      </c>
      <c r="CS122" s="230">
        <v>1600975</v>
      </c>
      <c r="CT122" s="230">
        <v>-208675</v>
      </c>
      <c r="CU122" s="229">
        <v>-0.1303</v>
      </c>
      <c r="CV122" s="230">
        <v>11141800</v>
      </c>
      <c r="CW122" s="230">
        <v>11389150</v>
      </c>
      <c r="CX122" s="230">
        <v>-247350</v>
      </c>
      <c r="CY122" s="229">
        <v>-2.1700000000000001E-2</v>
      </c>
      <c r="CZ122" s="228">
        <v>28.16</v>
      </c>
      <c r="DA122" s="228">
        <v>23.31</v>
      </c>
      <c r="DB122" s="228">
        <v>4.8499999999999996</v>
      </c>
      <c r="DC122" s="228">
        <v>4.8499999999999996</v>
      </c>
      <c r="DD122" s="228">
        <v>29.48</v>
      </c>
      <c r="DE122" s="228">
        <v>29.52</v>
      </c>
      <c r="DF122" s="228">
        <v>-1.32</v>
      </c>
      <c r="DG122" s="228">
        <v>-0.04</v>
      </c>
      <c r="DH122" s="228">
        <v>28.42</v>
      </c>
      <c r="DI122" s="228">
        <v>24.11</v>
      </c>
      <c r="DJ122" s="228">
        <v>4.3099999999999996</v>
      </c>
      <c r="DK122" s="228">
        <v>4.3099999999999996</v>
      </c>
      <c r="DL122" s="228">
        <v>27.7</v>
      </c>
      <c r="DM122" s="228">
        <v>21.32</v>
      </c>
      <c r="DN122" s="228">
        <v>6.38</v>
      </c>
      <c r="DO122" s="228">
        <v>6.38</v>
      </c>
      <c r="DP122" s="228">
        <v>0.59</v>
      </c>
      <c r="DQ122" s="228">
        <v>0.6</v>
      </c>
      <c r="DR122" s="228">
        <v>-0.01</v>
      </c>
      <c r="DS122" s="229">
        <v>-1.67E-2</v>
      </c>
      <c r="DT122" s="231">
        <v>2200</v>
      </c>
      <c r="DU122" s="231">
        <v>2100</v>
      </c>
      <c r="DV122" s="228">
        <v>0.55000000000000004</v>
      </c>
      <c r="DW122" s="228">
        <v>0.4</v>
      </c>
      <c r="DX122" s="228">
        <v>0.15</v>
      </c>
      <c r="DY122" s="229">
        <v>0.375</v>
      </c>
      <c r="DZ122" s="229">
        <v>0.49480000000000002</v>
      </c>
      <c r="EA122" s="230">
        <v>1621375</v>
      </c>
      <c r="EB122" s="229">
        <v>4.8999999999999998E-3</v>
      </c>
      <c r="EC122" s="229">
        <v>0.49480000000000002</v>
      </c>
      <c r="ED122" s="228">
        <v>11.11</v>
      </c>
      <c r="EE122" s="229">
        <v>5.1000000000000004E-3</v>
      </c>
      <c r="EF122" s="230">
        <v>394750</v>
      </c>
      <c r="EG122" s="230">
        <v>524801</v>
      </c>
      <c r="EH122" s="229">
        <v>-0.24779999999999999</v>
      </c>
      <c r="EI122" s="229">
        <v>0.6159</v>
      </c>
      <c r="EJ122" s="231">
        <v>76897.3</v>
      </c>
      <c r="EK122" s="231">
        <v>40365.74</v>
      </c>
      <c r="EL122" s="231">
        <v>108988.19</v>
      </c>
      <c r="EM122" s="231">
        <v>4288</v>
      </c>
      <c r="EN122" s="231">
        <v>226251.23</v>
      </c>
      <c r="EO122" s="231">
        <v>295693.89</v>
      </c>
      <c r="EP122" s="231">
        <v>-69442.66</v>
      </c>
      <c r="EQ122" s="229">
        <v>-0.23480000000000001</v>
      </c>
      <c r="ER122" s="231">
        <v>53088</v>
      </c>
      <c r="ES122" s="231">
        <v>29185</v>
      </c>
      <c r="ET122" s="231">
        <v>160355</v>
      </c>
      <c r="EU122" s="231">
        <v>36381777</v>
      </c>
      <c r="EV122" s="231">
        <v>242627</v>
      </c>
      <c r="EW122" s="231">
        <v>246653</v>
      </c>
      <c r="EX122" s="231">
        <v>-4026</v>
      </c>
      <c r="EY122" s="229">
        <v>-1.6299999999999999E-2</v>
      </c>
      <c r="EZ122" s="229">
        <v>0.30620000000000003</v>
      </c>
      <c r="FA122" s="227" t="s">
        <v>555</v>
      </c>
      <c r="FB122" s="161">
        <f t="shared" si="1"/>
        <v>3661800</v>
      </c>
    </row>
    <row r="123" spans="1:158" ht="17.25" hidden="1" thickBot="1" x14ac:dyDescent="0.3">
      <c r="A123" s="226">
        <v>46044</v>
      </c>
      <c r="B123" s="227" t="s">
        <v>162</v>
      </c>
      <c r="C123" s="227" t="s">
        <v>251</v>
      </c>
      <c r="D123" s="228">
        <v>200</v>
      </c>
      <c r="E123" s="231">
        <v>3579.7</v>
      </c>
      <c r="F123" s="231">
        <v>3551.7</v>
      </c>
      <c r="G123" s="228">
        <v>28</v>
      </c>
      <c r="H123" s="229">
        <v>7.9000000000000008E-3</v>
      </c>
      <c r="I123" s="231">
        <v>3573.7</v>
      </c>
      <c r="J123" s="231">
        <v>3553.3</v>
      </c>
      <c r="K123" s="228">
        <v>20.399999999999999</v>
      </c>
      <c r="L123" s="229">
        <v>5.7000000000000002E-3</v>
      </c>
      <c r="M123" s="231">
        <v>3579.7</v>
      </c>
      <c r="N123" s="231">
        <v>3551.7</v>
      </c>
      <c r="O123" s="228">
        <v>28</v>
      </c>
      <c r="P123" s="229">
        <v>7.9000000000000008E-3</v>
      </c>
      <c r="Q123" s="231">
        <v>3598.9</v>
      </c>
      <c r="R123" s="231">
        <v>3571</v>
      </c>
      <c r="S123" s="228">
        <v>27.9</v>
      </c>
      <c r="T123" s="229">
        <v>7.7999999999999996E-3</v>
      </c>
      <c r="U123" s="231">
        <v>3624.6</v>
      </c>
      <c r="V123" s="231">
        <v>3601.9</v>
      </c>
      <c r="W123" s="228">
        <v>22.7</v>
      </c>
      <c r="X123" s="229">
        <v>6.3E-3</v>
      </c>
      <c r="Y123" s="228">
        <v>6</v>
      </c>
      <c r="Z123" s="228">
        <v>-1.6</v>
      </c>
      <c r="AA123" s="228">
        <v>7.6</v>
      </c>
      <c r="AB123" s="229">
        <v>1.6999999999999999E-3</v>
      </c>
      <c r="AC123" s="228">
        <v>6</v>
      </c>
      <c r="AD123" s="228">
        <v>-1.6</v>
      </c>
      <c r="AE123" s="228">
        <v>7.6</v>
      </c>
      <c r="AF123" s="229">
        <v>1.6999999999999999E-3</v>
      </c>
      <c r="AG123" s="228">
        <v>25.2</v>
      </c>
      <c r="AH123" s="228">
        <v>17.7</v>
      </c>
      <c r="AI123" s="228">
        <v>7.5</v>
      </c>
      <c r="AJ123" s="229">
        <v>7.1000000000000004E-3</v>
      </c>
      <c r="AK123" s="228">
        <v>50.9</v>
      </c>
      <c r="AL123" s="228">
        <v>48.6</v>
      </c>
      <c r="AM123" s="228">
        <v>2.2999999999999998</v>
      </c>
      <c r="AN123" s="229">
        <v>1.4200000000000001E-2</v>
      </c>
      <c r="AO123" s="231">
        <v>3568.34</v>
      </c>
      <c r="AP123" s="231">
        <v>3588.18</v>
      </c>
      <c r="AQ123" s="228">
        <v>0</v>
      </c>
      <c r="AR123" s="230">
        <v>16463200</v>
      </c>
      <c r="AS123" s="230">
        <v>8230400</v>
      </c>
      <c r="AT123" s="230">
        <v>8232800</v>
      </c>
      <c r="AU123" s="229">
        <v>1.0003</v>
      </c>
      <c r="AV123" s="230">
        <v>8176200</v>
      </c>
      <c r="AW123" s="230">
        <v>4341600</v>
      </c>
      <c r="AX123" s="230">
        <v>3834600</v>
      </c>
      <c r="AY123" s="229">
        <v>0.88319999999999999</v>
      </c>
      <c r="AZ123" s="230">
        <v>7633200</v>
      </c>
      <c r="BA123" s="230">
        <v>3854400</v>
      </c>
      <c r="BB123" s="230">
        <v>3778800</v>
      </c>
      <c r="BC123" s="229">
        <v>0.98040000000000005</v>
      </c>
      <c r="BD123" s="230">
        <v>653800</v>
      </c>
      <c r="BE123" s="230">
        <v>34400</v>
      </c>
      <c r="BF123" s="230">
        <v>619400</v>
      </c>
      <c r="BG123" s="229">
        <v>18.005800000000001</v>
      </c>
      <c r="BH123" s="230">
        <v>8591400</v>
      </c>
      <c r="BI123" s="230">
        <v>8064600</v>
      </c>
      <c r="BJ123" s="230">
        <v>526800</v>
      </c>
      <c r="BK123" s="229">
        <v>6.5299999999999997E-2</v>
      </c>
      <c r="BL123" s="230">
        <v>4209200</v>
      </c>
      <c r="BM123" s="230">
        <v>5588400</v>
      </c>
      <c r="BN123" s="230">
        <v>-1379200</v>
      </c>
      <c r="BO123" s="229">
        <v>-0.24679999999999999</v>
      </c>
      <c r="BP123" s="230">
        <v>29263800</v>
      </c>
      <c r="BQ123" s="230">
        <v>21883400</v>
      </c>
      <c r="BR123" s="230">
        <v>7380400</v>
      </c>
      <c r="BS123" s="229">
        <v>0.33729999999999999</v>
      </c>
      <c r="BT123" s="230">
        <v>2209391</v>
      </c>
      <c r="BU123" s="230">
        <v>1641658</v>
      </c>
      <c r="BV123" s="230">
        <v>567733</v>
      </c>
      <c r="BW123" s="229">
        <v>0.3458</v>
      </c>
      <c r="BX123" s="230">
        <v>18254000</v>
      </c>
      <c r="BY123" s="230">
        <v>17856200</v>
      </c>
      <c r="BZ123" s="230">
        <v>397800</v>
      </c>
      <c r="CA123" s="229">
        <v>2.23E-2</v>
      </c>
      <c r="CB123" s="230">
        <v>5898200</v>
      </c>
      <c r="CC123" s="230">
        <v>12872800</v>
      </c>
      <c r="CD123" s="230">
        <v>-6974600</v>
      </c>
      <c r="CE123" s="229">
        <v>-0.54179999999999995</v>
      </c>
      <c r="CF123" s="230">
        <v>10823200</v>
      </c>
      <c r="CG123" s="230">
        <v>4082200</v>
      </c>
      <c r="CH123" s="230">
        <v>6741000</v>
      </c>
      <c r="CI123" s="229">
        <v>1.6513</v>
      </c>
      <c r="CJ123" s="230">
        <v>1532600</v>
      </c>
      <c r="CK123" s="230">
        <v>901200</v>
      </c>
      <c r="CL123" s="230">
        <v>631400</v>
      </c>
      <c r="CM123" s="229">
        <v>0.7006</v>
      </c>
      <c r="CN123" s="230">
        <v>3853000</v>
      </c>
      <c r="CO123" s="230">
        <v>4400800</v>
      </c>
      <c r="CP123" s="230">
        <v>-547800</v>
      </c>
      <c r="CQ123" s="229">
        <v>-0.1245</v>
      </c>
      <c r="CR123" s="230">
        <v>2309000</v>
      </c>
      <c r="CS123" s="230">
        <v>2368800</v>
      </c>
      <c r="CT123" s="230">
        <v>-59800</v>
      </c>
      <c r="CU123" s="229">
        <v>-2.52E-2</v>
      </c>
      <c r="CV123" s="230">
        <v>24416000</v>
      </c>
      <c r="CW123" s="230">
        <v>24625800</v>
      </c>
      <c r="CX123" s="230">
        <v>-209800</v>
      </c>
      <c r="CY123" s="229">
        <v>-8.5000000000000006E-3</v>
      </c>
      <c r="CZ123" s="228">
        <v>26.68</v>
      </c>
      <c r="DA123" s="228">
        <v>24.63</v>
      </c>
      <c r="DB123" s="228">
        <v>2.0499999999999998</v>
      </c>
      <c r="DC123" s="228">
        <v>2.0499999999999998</v>
      </c>
      <c r="DD123" s="228">
        <v>30.92</v>
      </c>
      <c r="DE123" s="228">
        <v>30.99</v>
      </c>
      <c r="DF123" s="228">
        <v>-4.24</v>
      </c>
      <c r="DG123" s="228">
        <v>-7.0000000000000007E-2</v>
      </c>
      <c r="DH123" s="228">
        <v>26.55</v>
      </c>
      <c r="DI123" s="228">
        <v>25.81</v>
      </c>
      <c r="DJ123" s="228">
        <v>0.74</v>
      </c>
      <c r="DK123" s="228">
        <v>0.74</v>
      </c>
      <c r="DL123" s="228">
        <v>26.91</v>
      </c>
      <c r="DM123" s="228">
        <v>22.93</v>
      </c>
      <c r="DN123" s="228">
        <v>3.98</v>
      </c>
      <c r="DO123" s="228">
        <v>3.98</v>
      </c>
      <c r="DP123" s="228">
        <v>0.6</v>
      </c>
      <c r="DQ123" s="228">
        <v>0.54</v>
      </c>
      <c r="DR123" s="228">
        <v>0.06</v>
      </c>
      <c r="DS123" s="229">
        <v>0.1111</v>
      </c>
      <c r="DT123" s="231">
        <v>3800</v>
      </c>
      <c r="DU123" s="231">
        <v>3700</v>
      </c>
      <c r="DV123" s="228">
        <v>0.49</v>
      </c>
      <c r="DW123" s="228">
        <v>0.69</v>
      </c>
      <c r="DX123" s="228">
        <v>-0.2</v>
      </c>
      <c r="DY123" s="229">
        <v>-0.28989999999999999</v>
      </c>
      <c r="DZ123" s="229">
        <v>0.67689999999999995</v>
      </c>
      <c r="EA123" s="230">
        <v>4983400</v>
      </c>
      <c r="EB123" s="229">
        <v>5.4000000000000003E-3</v>
      </c>
      <c r="EC123" s="229">
        <v>0.67689999999999995</v>
      </c>
      <c r="ED123" s="228">
        <v>19.84</v>
      </c>
      <c r="EE123" s="229">
        <v>5.5999999999999999E-3</v>
      </c>
      <c r="EF123" s="230">
        <v>1268316</v>
      </c>
      <c r="EG123" s="230">
        <v>995827</v>
      </c>
      <c r="EH123" s="229">
        <v>0.27360000000000001</v>
      </c>
      <c r="EI123" s="229">
        <v>0.57410000000000005</v>
      </c>
      <c r="EJ123" s="231">
        <v>319054.84999999998</v>
      </c>
      <c r="EK123" s="231">
        <v>149482.56</v>
      </c>
      <c r="EL123" s="231">
        <v>589175.25</v>
      </c>
      <c r="EM123" s="231">
        <v>19672</v>
      </c>
      <c r="EN123" s="231">
        <v>1057712.6599999999</v>
      </c>
      <c r="EO123" s="231">
        <v>792068.8</v>
      </c>
      <c r="EP123" s="231">
        <v>265643.86</v>
      </c>
      <c r="EQ123" s="229">
        <v>0.33539999999999998</v>
      </c>
      <c r="ER123" s="231">
        <v>146240</v>
      </c>
      <c r="ES123" s="231">
        <v>82310</v>
      </c>
      <c r="ET123" s="231">
        <v>656205</v>
      </c>
      <c r="EU123" s="231">
        <v>95452027</v>
      </c>
      <c r="EV123" s="231">
        <v>884755</v>
      </c>
      <c r="EW123" s="231">
        <v>886813</v>
      </c>
      <c r="EX123" s="231">
        <v>-2058</v>
      </c>
      <c r="EY123" s="229">
        <v>-2.3E-3</v>
      </c>
      <c r="EZ123" s="229">
        <v>0.25580000000000003</v>
      </c>
      <c r="FA123" s="227" t="s">
        <v>555</v>
      </c>
      <c r="FB123" s="161">
        <f t="shared" si="1"/>
        <v>12355800</v>
      </c>
    </row>
    <row r="124" spans="1:158" ht="17.25" hidden="1" thickBot="1" x14ac:dyDescent="0.3">
      <c r="A124" s="226">
        <v>46044</v>
      </c>
      <c r="B124" s="227" t="s">
        <v>175</v>
      </c>
      <c r="C124" s="227" t="s">
        <v>253</v>
      </c>
      <c r="D124" s="228">
        <v>3000</v>
      </c>
      <c r="E124" s="228">
        <v>300.75</v>
      </c>
      <c r="F124" s="228">
        <v>298.5</v>
      </c>
      <c r="G124" s="228">
        <v>2.25</v>
      </c>
      <c r="H124" s="229">
        <v>7.4999999999999997E-3</v>
      </c>
      <c r="I124" s="228">
        <v>300.2</v>
      </c>
      <c r="J124" s="228">
        <v>298.55</v>
      </c>
      <c r="K124" s="228">
        <v>1.65</v>
      </c>
      <c r="L124" s="229">
        <v>5.4999999999999997E-3</v>
      </c>
      <c r="M124" s="228">
        <v>300.75</v>
      </c>
      <c r="N124" s="228">
        <v>298.5</v>
      </c>
      <c r="O124" s="228">
        <v>2.25</v>
      </c>
      <c r="P124" s="229">
        <v>7.4999999999999997E-3</v>
      </c>
      <c r="Q124" s="228">
        <v>301.60000000000002</v>
      </c>
      <c r="R124" s="228">
        <v>298.64999999999998</v>
      </c>
      <c r="S124" s="228">
        <v>2.95</v>
      </c>
      <c r="T124" s="229">
        <v>9.9000000000000008E-3</v>
      </c>
      <c r="U124" s="228">
        <v>303.3</v>
      </c>
      <c r="V124" s="228">
        <v>299.85000000000002</v>
      </c>
      <c r="W124" s="228">
        <v>3.45</v>
      </c>
      <c r="X124" s="229">
        <v>1.15E-2</v>
      </c>
      <c r="Y124" s="228">
        <v>0.55000000000000004</v>
      </c>
      <c r="Z124" s="228">
        <v>-0.05</v>
      </c>
      <c r="AA124" s="228">
        <v>0.6</v>
      </c>
      <c r="AB124" s="229">
        <v>1.8E-3</v>
      </c>
      <c r="AC124" s="228">
        <v>0.55000000000000004</v>
      </c>
      <c r="AD124" s="228">
        <v>-0.05</v>
      </c>
      <c r="AE124" s="228">
        <v>0.6</v>
      </c>
      <c r="AF124" s="229">
        <v>1.8E-3</v>
      </c>
      <c r="AG124" s="228">
        <v>1.4</v>
      </c>
      <c r="AH124" s="228">
        <v>0.1</v>
      </c>
      <c r="AI124" s="228">
        <v>1.3</v>
      </c>
      <c r="AJ124" s="229">
        <v>4.7000000000000002E-3</v>
      </c>
      <c r="AK124" s="228">
        <v>3.1</v>
      </c>
      <c r="AL124" s="228">
        <v>1.3</v>
      </c>
      <c r="AM124" s="228">
        <v>1.8</v>
      </c>
      <c r="AN124" s="229">
        <v>1.03E-2</v>
      </c>
      <c r="AO124" s="228">
        <v>298.33999999999997</v>
      </c>
      <c r="AP124" s="228">
        <v>299.16000000000003</v>
      </c>
      <c r="AQ124" s="228">
        <v>0</v>
      </c>
      <c r="AR124" s="230">
        <v>33129000</v>
      </c>
      <c r="AS124" s="230">
        <v>36672000</v>
      </c>
      <c r="AT124" s="230">
        <v>-3543000</v>
      </c>
      <c r="AU124" s="229">
        <v>-9.6600000000000005E-2</v>
      </c>
      <c r="AV124" s="230">
        <v>17859000</v>
      </c>
      <c r="AW124" s="230">
        <v>21312000</v>
      </c>
      <c r="AX124" s="230">
        <v>-3453000</v>
      </c>
      <c r="AY124" s="229">
        <v>-0.16200000000000001</v>
      </c>
      <c r="AZ124" s="230">
        <v>15219000</v>
      </c>
      <c r="BA124" s="230">
        <v>15258000</v>
      </c>
      <c r="BB124" s="230">
        <v>-39000</v>
      </c>
      <c r="BC124" s="229">
        <v>-2.5999999999999999E-3</v>
      </c>
      <c r="BD124" s="230">
        <v>51000</v>
      </c>
      <c r="BE124" s="230">
        <v>102000</v>
      </c>
      <c r="BF124" s="230">
        <v>-51000</v>
      </c>
      <c r="BG124" s="229">
        <v>-0.5</v>
      </c>
      <c r="BH124" s="230">
        <v>49272000</v>
      </c>
      <c r="BI124" s="230">
        <v>64281000</v>
      </c>
      <c r="BJ124" s="230">
        <v>-15009000</v>
      </c>
      <c r="BK124" s="229">
        <v>-0.23350000000000001</v>
      </c>
      <c r="BL124" s="230">
        <v>20451000</v>
      </c>
      <c r="BM124" s="230">
        <v>27822000</v>
      </c>
      <c r="BN124" s="230">
        <v>-7371000</v>
      </c>
      <c r="BO124" s="229">
        <v>-0.26490000000000002</v>
      </c>
      <c r="BP124" s="230">
        <v>102852000</v>
      </c>
      <c r="BQ124" s="230">
        <v>128775000</v>
      </c>
      <c r="BR124" s="230">
        <v>-25923000</v>
      </c>
      <c r="BS124" s="229">
        <v>-0.20130000000000001</v>
      </c>
      <c r="BT124" s="230">
        <v>3528937</v>
      </c>
      <c r="BU124" s="230">
        <v>6581734</v>
      </c>
      <c r="BV124" s="230">
        <v>-3052797</v>
      </c>
      <c r="BW124" s="229">
        <v>-0.46379999999999999</v>
      </c>
      <c r="BX124" s="230">
        <v>43419000</v>
      </c>
      <c r="BY124" s="230">
        <v>45363000</v>
      </c>
      <c r="BZ124" s="230">
        <v>-1944000</v>
      </c>
      <c r="CA124" s="229">
        <v>-4.2900000000000001E-2</v>
      </c>
      <c r="CB124" s="230">
        <v>24666000</v>
      </c>
      <c r="CC124" s="230">
        <v>33207000</v>
      </c>
      <c r="CD124" s="230">
        <v>-8541000</v>
      </c>
      <c r="CE124" s="229">
        <v>-0.25719999999999998</v>
      </c>
      <c r="CF124" s="230">
        <v>18543000</v>
      </c>
      <c r="CG124" s="230">
        <v>11955000</v>
      </c>
      <c r="CH124" s="230">
        <v>6588000</v>
      </c>
      <c r="CI124" s="229">
        <v>0.55110000000000003</v>
      </c>
      <c r="CJ124" s="230">
        <v>210000</v>
      </c>
      <c r="CK124" s="230">
        <v>201000</v>
      </c>
      <c r="CL124" s="230">
        <v>9000</v>
      </c>
      <c r="CM124" s="229">
        <v>4.48E-2</v>
      </c>
      <c r="CN124" s="230">
        <v>29541000</v>
      </c>
      <c r="CO124" s="230">
        <v>35778000</v>
      </c>
      <c r="CP124" s="230">
        <v>-6237000</v>
      </c>
      <c r="CQ124" s="229">
        <v>-0.17430000000000001</v>
      </c>
      <c r="CR124" s="230">
        <v>22023000</v>
      </c>
      <c r="CS124" s="230">
        <v>22029000</v>
      </c>
      <c r="CT124" s="230">
        <v>-6000</v>
      </c>
      <c r="CU124" s="229">
        <v>-2.9999999999999997E-4</v>
      </c>
      <c r="CV124" s="230">
        <v>94983000</v>
      </c>
      <c r="CW124" s="230">
        <v>103170000</v>
      </c>
      <c r="CX124" s="230">
        <v>-8187000</v>
      </c>
      <c r="CY124" s="229">
        <v>-7.9399999999999998E-2</v>
      </c>
      <c r="CZ124" s="228">
        <v>37.17</v>
      </c>
      <c r="DA124" s="228">
        <v>40.86</v>
      </c>
      <c r="DB124" s="228">
        <v>-3.69</v>
      </c>
      <c r="DC124" s="228">
        <v>-3.69</v>
      </c>
      <c r="DD124" s="228">
        <v>42.38</v>
      </c>
      <c r="DE124" s="228">
        <v>42.48</v>
      </c>
      <c r="DF124" s="228">
        <v>-5.21</v>
      </c>
      <c r="DG124" s="228">
        <v>-0.1</v>
      </c>
      <c r="DH124" s="228">
        <v>36.590000000000003</v>
      </c>
      <c r="DI124" s="228">
        <v>41.02</v>
      </c>
      <c r="DJ124" s="228">
        <v>-4.43</v>
      </c>
      <c r="DK124" s="228">
        <v>-4.43</v>
      </c>
      <c r="DL124" s="228">
        <v>38.159999999999997</v>
      </c>
      <c r="DM124" s="228">
        <v>40.5</v>
      </c>
      <c r="DN124" s="228">
        <v>-2.34</v>
      </c>
      <c r="DO124" s="228">
        <v>-2.34</v>
      </c>
      <c r="DP124" s="228">
        <v>0.75</v>
      </c>
      <c r="DQ124" s="228">
        <v>0.62</v>
      </c>
      <c r="DR124" s="228">
        <v>0.13</v>
      </c>
      <c r="DS124" s="229">
        <v>0.2097</v>
      </c>
      <c r="DT124" s="228">
        <v>325</v>
      </c>
      <c r="DU124" s="228">
        <v>280</v>
      </c>
      <c r="DV124" s="228">
        <v>0.42</v>
      </c>
      <c r="DW124" s="228">
        <v>0.43</v>
      </c>
      <c r="DX124" s="228">
        <v>-0.01</v>
      </c>
      <c r="DY124" s="229">
        <v>-2.3300000000000001E-2</v>
      </c>
      <c r="DZ124" s="229">
        <v>0.43190000000000001</v>
      </c>
      <c r="EA124" s="230">
        <v>12156000</v>
      </c>
      <c r="EB124" s="229">
        <v>2.8E-3</v>
      </c>
      <c r="EC124" s="229">
        <v>0.43190000000000001</v>
      </c>
      <c r="ED124" s="228">
        <v>0.82</v>
      </c>
      <c r="EE124" s="229">
        <v>2.7000000000000001E-3</v>
      </c>
      <c r="EF124" s="230">
        <v>1087478</v>
      </c>
      <c r="EG124" s="230">
        <v>2333452</v>
      </c>
      <c r="EH124" s="229">
        <v>-0.53400000000000003</v>
      </c>
      <c r="EI124" s="229">
        <v>0.30819999999999997</v>
      </c>
      <c r="EJ124" s="231">
        <v>154271.87</v>
      </c>
      <c r="EK124" s="231">
        <v>60985.14</v>
      </c>
      <c r="EL124" s="231">
        <v>98963</v>
      </c>
      <c r="EM124" s="231">
        <v>6393</v>
      </c>
      <c r="EN124" s="231">
        <v>314220.01</v>
      </c>
      <c r="EO124" s="231">
        <v>395729.43</v>
      </c>
      <c r="EP124" s="231">
        <v>-81509.42</v>
      </c>
      <c r="EQ124" s="229">
        <v>-0.20599999999999999</v>
      </c>
      <c r="ER124" s="231">
        <v>94214</v>
      </c>
      <c r="ES124" s="231">
        <v>63383</v>
      </c>
      <c r="ET124" s="231">
        <v>130746</v>
      </c>
      <c r="EU124" s="231">
        <v>82205057</v>
      </c>
      <c r="EV124" s="231">
        <v>288342</v>
      </c>
      <c r="EW124" s="231">
        <v>312917</v>
      </c>
      <c r="EX124" s="231">
        <v>-24575</v>
      </c>
      <c r="EY124" s="229">
        <v>-7.85E-2</v>
      </c>
      <c r="EZ124" s="229">
        <v>1.1554</v>
      </c>
      <c r="FA124" s="227" t="s">
        <v>556</v>
      </c>
      <c r="FB124" s="161">
        <f t="shared" si="1"/>
        <v>18753000</v>
      </c>
    </row>
    <row r="125" spans="1:158" ht="17.25" hidden="1" thickBot="1" x14ac:dyDescent="0.3">
      <c r="A125" s="226">
        <v>46044</v>
      </c>
      <c r="B125" s="227" t="s">
        <v>170</v>
      </c>
      <c r="C125" s="227" t="s">
        <v>672</v>
      </c>
      <c r="D125" s="228">
        <v>225</v>
      </c>
      <c r="E125" s="231">
        <v>2152.1999999999998</v>
      </c>
      <c r="F125" s="231">
        <v>2099.9</v>
      </c>
      <c r="G125" s="228">
        <v>52.3</v>
      </c>
      <c r="H125" s="229">
        <v>2.4899999999999999E-2</v>
      </c>
      <c r="I125" s="231">
        <v>2147</v>
      </c>
      <c r="J125" s="231">
        <v>2099.1</v>
      </c>
      <c r="K125" s="228">
        <v>47.9</v>
      </c>
      <c r="L125" s="229">
        <v>2.2800000000000001E-2</v>
      </c>
      <c r="M125" s="231">
        <v>2152.1999999999998</v>
      </c>
      <c r="N125" s="231">
        <v>2099.9</v>
      </c>
      <c r="O125" s="228">
        <v>52.3</v>
      </c>
      <c r="P125" s="229">
        <v>2.4899999999999999E-2</v>
      </c>
      <c r="Q125" s="231">
        <v>2158.1</v>
      </c>
      <c r="R125" s="231">
        <v>2105.5</v>
      </c>
      <c r="S125" s="228">
        <v>52.6</v>
      </c>
      <c r="T125" s="229">
        <v>2.5000000000000001E-2</v>
      </c>
      <c r="U125" s="231">
        <v>2171.8000000000002</v>
      </c>
      <c r="V125" s="231">
        <v>2116.6</v>
      </c>
      <c r="W125" s="228">
        <v>55.2</v>
      </c>
      <c r="X125" s="229">
        <v>2.6100000000000002E-2</v>
      </c>
      <c r="Y125" s="228">
        <v>5.2</v>
      </c>
      <c r="Z125" s="228">
        <v>0.8</v>
      </c>
      <c r="AA125" s="228">
        <v>4.4000000000000004</v>
      </c>
      <c r="AB125" s="229">
        <v>2.3999999999999998E-3</v>
      </c>
      <c r="AC125" s="228">
        <v>5.2</v>
      </c>
      <c r="AD125" s="228">
        <v>0.8</v>
      </c>
      <c r="AE125" s="228">
        <v>4.4000000000000004</v>
      </c>
      <c r="AF125" s="229">
        <v>2.3999999999999998E-3</v>
      </c>
      <c r="AG125" s="228">
        <v>11.1</v>
      </c>
      <c r="AH125" s="228">
        <v>6.4</v>
      </c>
      <c r="AI125" s="228">
        <v>4.7</v>
      </c>
      <c r="AJ125" s="229">
        <v>5.1999999999999998E-3</v>
      </c>
      <c r="AK125" s="228">
        <v>24.8</v>
      </c>
      <c r="AL125" s="228">
        <v>17.5</v>
      </c>
      <c r="AM125" s="228">
        <v>7.3</v>
      </c>
      <c r="AN125" s="229">
        <v>1.1599999999999999E-2</v>
      </c>
      <c r="AO125" s="231">
        <v>2135.4899999999998</v>
      </c>
      <c r="AP125" s="231">
        <v>2141.39</v>
      </c>
      <c r="AQ125" s="228">
        <v>0</v>
      </c>
      <c r="AR125" s="230">
        <v>2268900</v>
      </c>
      <c r="AS125" s="230">
        <v>1703700</v>
      </c>
      <c r="AT125" s="230">
        <v>565200</v>
      </c>
      <c r="AU125" s="229">
        <v>0.33169999999999999</v>
      </c>
      <c r="AV125" s="230">
        <v>1156725</v>
      </c>
      <c r="AW125" s="230">
        <v>990450</v>
      </c>
      <c r="AX125" s="230">
        <v>166275</v>
      </c>
      <c r="AY125" s="229">
        <v>0.16789999999999999</v>
      </c>
      <c r="AZ125" s="230">
        <v>1109475</v>
      </c>
      <c r="BA125" s="230">
        <v>708075</v>
      </c>
      <c r="BB125" s="230">
        <v>401400</v>
      </c>
      <c r="BC125" s="229">
        <v>0.56689999999999996</v>
      </c>
      <c r="BD125" s="230">
        <v>2700</v>
      </c>
      <c r="BE125" s="230">
        <v>5175</v>
      </c>
      <c r="BF125" s="230">
        <v>-2475</v>
      </c>
      <c r="BG125" s="229">
        <v>-0.4783</v>
      </c>
      <c r="BH125" s="230">
        <v>992475</v>
      </c>
      <c r="BI125" s="230">
        <v>949275</v>
      </c>
      <c r="BJ125" s="230">
        <v>43200</v>
      </c>
      <c r="BK125" s="229">
        <v>4.5499999999999999E-2</v>
      </c>
      <c r="BL125" s="230">
        <v>369900</v>
      </c>
      <c r="BM125" s="230">
        <v>721350</v>
      </c>
      <c r="BN125" s="230">
        <v>-351450</v>
      </c>
      <c r="BO125" s="229">
        <v>-0.48720000000000002</v>
      </c>
      <c r="BP125" s="230">
        <v>3631275</v>
      </c>
      <c r="BQ125" s="230">
        <v>3374325</v>
      </c>
      <c r="BR125" s="230">
        <v>256950</v>
      </c>
      <c r="BS125" s="229">
        <v>7.6100000000000001E-2</v>
      </c>
      <c r="BT125" s="230">
        <v>437896</v>
      </c>
      <c r="BU125" s="230">
        <v>528493</v>
      </c>
      <c r="BV125" s="230">
        <v>-90597</v>
      </c>
      <c r="BW125" s="229">
        <v>-0.1714</v>
      </c>
      <c r="BX125" s="230">
        <v>2144025</v>
      </c>
      <c r="BY125" s="230">
        <v>2171025</v>
      </c>
      <c r="BZ125" s="230">
        <v>-27000</v>
      </c>
      <c r="CA125" s="229">
        <v>-1.24E-2</v>
      </c>
      <c r="CB125" s="230">
        <v>787500</v>
      </c>
      <c r="CC125" s="230">
        <v>1579050</v>
      </c>
      <c r="CD125" s="230">
        <v>-791550</v>
      </c>
      <c r="CE125" s="229">
        <v>-0.50129999999999997</v>
      </c>
      <c r="CF125" s="230">
        <v>1337175</v>
      </c>
      <c r="CG125" s="230">
        <v>572850</v>
      </c>
      <c r="CH125" s="230">
        <v>764325</v>
      </c>
      <c r="CI125" s="229">
        <v>1.3342000000000001</v>
      </c>
      <c r="CJ125" s="230">
        <v>19350</v>
      </c>
      <c r="CK125" s="230">
        <v>19125</v>
      </c>
      <c r="CL125" s="228">
        <v>225</v>
      </c>
      <c r="CM125" s="229">
        <v>1.18E-2</v>
      </c>
      <c r="CN125" s="230">
        <v>1066050</v>
      </c>
      <c r="CO125" s="230">
        <v>1171125</v>
      </c>
      <c r="CP125" s="230">
        <v>-105075</v>
      </c>
      <c r="CQ125" s="229">
        <v>-8.9700000000000002E-2</v>
      </c>
      <c r="CR125" s="230">
        <v>614250</v>
      </c>
      <c r="CS125" s="230">
        <v>702900</v>
      </c>
      <c r="CT125" s="230">
        <v>-88650</v>
      </c>
      <c r="CU125" s="229">
        <v>-0.12609999999999999</v>
      </c>
      <c r="CV125" s="230">
        <v>3824325</v>
      </c>
      <c r="CW125" s="230">
        <v>4045050</v>
      </c>
      <c r="CX125" s="230">
        <v>-220725</v>
      </c>
      <c r="CY125" s="229">
        <v>-5.4600000000000003E-2</v>
      </c>
      <c r="CZ125" s="228">
        <v>30.21</v>
      </c>
      <c r="DA125" s="228">
        <v>31.89</v>
      </c>
      <c r="DB125" s="228">
        <v>-1.68</v>
      </c>
      <c r="DC125" s="228">
        <v>-1.68</v>
      </c>
      <c r="DD125" s="228">
        <v>32.479999999999997</v>
      </c>
      <c r="DE125" s="228">
        <v>32.39</v>
      </c>
      <c r="DF125" s="228">
        <v>-2.27</v>
      </c>
      <c r="DG125" s="228">
        <v>0.09</v>
      </c>
      <c r="DH125" s="228">
        <v>29.24</v>
      </c>
      <c r="DI125" s="228">
        <v>33.07</v>
      </c>
      <c r="DJ125" s="228">
        <v>-3.83</v>
      </c>
      <c r="DK125" s="228">
        <v>-3.83</v>
      </c>
      <c r="DL125" s="228">
        <v>31.88</v>
      </c>
      <c r="DM125" s="228">
        <v>30.35</v>
      </c>
      <c r="DN125" s="228">
        <v>1.53</v>
      </c>
      <c r="DO125" s="228">
        <v>1.53</v>
      </c>
      <c r="DP125" s="228">
        <v>0.57999999999999996</v>
      </c>
      <c r="DQ125" s="228">
        <v>0.6</v>
      </c>
      <c r="DR125" s="228">
        <v>-0.02</v>
      </c>
      <c r="DS125" s="229">
        <v>-3.3300000000000003E-2</v>
      </c>
      <c r="DT125" s="231">
        <v>2300</v>
      </c>
      <c r="DU125" s="231">
        <v>2200</v>
      </c>
      <c r="DV125" s="228">
        <v>0.37</v>
      </c>
      <c r="DW125" s="228">
        <v>0.76</v>
      </c>
      <c r="DX125" s="228">
        <v>-0.39</v>
      </c>
      <c r="DY125" s="229">
        <v>-0.51319999999999999</v>
      </c>
      <c r="DZ125" s="229">
        <v>0.63270000000000004</v>
      </c>
      <c r="EA125" s="230">
        <v>591975</v>
      </c>
      <c r="EB125" s="229">
        <v>2.7000000000000001E-3</v>
      </c>
      <c r="EC125" s="229">
        <v>0.63270000000000004</v>
      </c>
      <c r="ED125" s="228">
        <v>5.9</v>
      </c>
      <c r="EE125" s="229">
        <v>2.8E-3</v>
      </c>
      <c r="EF125" s="230">
        <v>254042</v>
      </c>
      <c r="EG125" s="230">
        <v>321733</v>
      </c>
      <c r="EH125" s="229">
        <v>-0.2104</v>
      </c>
      <c r="EI125" s="229">
        <v>0.58009999999999995</v>
      </c>
      <c r="EJ125" s="231">
        <v>22322.560000000001</v>
      </c>
      <c r="EK125" s="231">
        <v>7595.06</v>
      </c>
      <c r="EL125" s="231">
        <v>48518.09</v>
      </c>
      <c r="EM125" s="231">
        <v>4018</v>
      </c>
      <c r="EN125" s="231">
        <v>78435.710000000006</v>
      </c>
      <c r="EO125" s="231">
        <v>72326.63</v>
      </c>
      <c r="EP125" s="231">
        <v>6109.08</v>
      </c>
      <c r="EQ125" s="229">
        <v>8.4500000000000006E-2</v>
      </c>
      <c r="ER125" s="231">
        <v>24489</v>
      </c>
      <c r="ES125" s="231">
        <v>13135</v>
      </c>
      <c r="ET125" s="231">
        <v>46226</v>
      </c>
      <c r="EU125" s="231">
        <v>16919681</v>
      </c>
      <c r="EV125" s="231">
        <v>83850</v>
      </c>
      <c r="EW125" s="231">
        <v>87318</v>
      </c>
      <c r="EX125" s="231">
        <v>-3468</v>
      </c>
      <c r="EY125" s="229">
        <v>-3.9699999999999999E-2</v>
      </c>
      <c r="EZ125" s="229">
        <v>0.22600000000000001</v>
      </c>
      <c r="FA125" s="227" t="s">
        <v>556</v>
      </c>
      <c r="FB125" s="161">
        <f t="shared" si="1"/>
        <v>1356525</v>
      </c>
    </row>
    <row r="126" spans="1:158" ht="17.25" hidden="1" thickBot="1" x14ac:dyDescent="0.3">
      <c r="A126" s="226">
        <v>46044</v>
      </c>
      <c r="B126" s="227" t="s">
        <v>168</v>
      </c>
      <c r="C126" s="227" t="s">
        <v>254</v>
      </c>
      <c r="D126" s="228">
        <v>1200</v>
      </c>
      <c r="E126" s="228">
        <v>752.25</v>
      </c>
      <c r="F126" s="228">
        <v>747.95</v>
      </c>
      <c r="G126" s="228">
        <v>4.3</v>
      </c>
      <c r="H126" s="229">
        <v>5.7000000000000002E-3</v>
      </c>
      <c r="I126" s="228">
        <v>751.75</v>
      </c>
      <c r="J126" s="228">
        <v>747.95</v>
      </c>
      <c r="K126" s="228">
        <v>3.8</v>
      </c>
      <c r="L126" s="229">
        <v>5.1000000000000004E-3</v>
      </c>
      <c r="M126" s="228">
        <v>752.25</v>
      </c>
      <c r="N126" s="228">
        <v>747.95</v>
      </c>
      <c r="O126" s="228">
        <v>4.3</v>
      </c>
      <c r="P126" s="229">
        <v>5.7000000000000002E-3</v>
      </c>
      <c r="Q126" s="228">
        <v>756.2</v>
      </c>
      <c r="R126" s="228">
        <v>751.85</v>
      </c>
      <c r="S126" s="228">
        <v>4.3499999999999996</v>
      </c>
      <c r="T126" s="229">
        <v>5.7999999999999996E-3</v>
      </c>
      <c r="U126" s="228">
        <v>757.6</v>
      </c>
      <c r="V126" s="228">
        <v>753.2</v>
      </c>
      <c r="W126" s="228">
        <v>4.4000000000000004</v>
      </c>
      <c r="X126" s="229">
        <v>5.7999999999999996E-3</v>
      </c>
      <c r="Y126" s="228">
        <v>0.5</v>
      </c>
      <c r="Z126" s="228">
        <v>0</v>
      </c>
      <c r="AA126" s="228">
        <v>0.5</v>
      </c>
      <c r="AB126" s="229">
        <v>6.9999999999999999E-4</v>
      </c>
      <c r="AC126" s="228">
        <v>0.5</v>
      </c>
      <c r="AD126" s="228">
        <v>0</v>
      </c>
      <c r="AE126" s="228">
        <v>0.5</v>
      </c>
      <c r="AF126" s="229">
        <v>6.9999999999999999E-4</v>
      </c>
      <c r="AG126" s="228">
        <v>4.45</v>
      </c>
      <c r="AH126" s="228">
        <v>3.9</v>
      </c>
      <c r="AI126" s="228">
        <v>0.55000000000000004</v>
      </c>
      <c r="AJ126" s="229">
        <v>5.8999999999999999E-3</v>
      </c>
      <c r="AK126" s="228">
        <v>5.85</v>
      </c>
      <c r="AL126" s="228">
        <v>5.25</v>
      </c>
      <c r="AM126" s="228">
        <v>0.6</v>
      </c>
      <c r="AN126" s="229">
        <v>7.7999999999999996E-3</v>
      </c>
      <c r="AO126" s="228">
        <v>752.71</v>
      </c>
      <c r="AP126" s="228">
        <v>756.67</v>
      </c>
      <c r="AQ126" s="228">
        <v>0</v>
      </c>
      <c r="AR126" s="230">
        <v>26473200</v>
      </c>
      <c r="AS126" s="230">
        <v>17766000</v>
      </c>
      <c r="AT126" s="230">
        <v>8707200</v>
      </c>
      <c r="AU126" s="229">
        <v>0.49009999999999998</v>
      </c>
      <c r="AV126" s="230">
        <v>13470000</v>
      </c>
      <c r="AW126" s="230">
        <v>9242400</v>
      </c>
      <c r="AX126" s="230">
        <v>4227600</v>
      </c>
      <c r="AY126" s="229">
        <v>0.45739999999999997</v>
      </c>
      <c r="AZ126" s="230">
        <v>13000800</v>
      </c>
      <c r="BA126" s="230">
        <v>8509200</v>
      </c>
      <c r="BB126" s="230">
        <v>4491600</v>
      </c>
      <c r="BC126" s="229">
        <v>0.52790000000000004</v>
      </c>
      <c r="BD126" s="230">
        <v>2400</v>
      </c>
      <c r="BE126" s="230">
        <v>14400</v>
      </c>
      <c r="BF126" s="230">
        <v>-12000</v>
      </c>
      <c r="BG126" s="229">
        <v>-0.83330000000000004</v>
      </c>
      <c r="BH126" s="230">
        <v>6823200</v>
      </c>
      <c r="BI126" s="230">
        <v>5971200</v>
      </c>
      <c r="BJ126" s="230">
        <v>852000</v>
      </c>
      <c r="BK126" s="229">
        <v>0.14269999999999999</v>
      </c>
      <c r="BL126" s="230">
        <v>2137200</v>
      </c>
      <c r="BM126" s="230">
        <v>2374800</v>
      </c>
      <c r="BN126" s="230">
        <v>-237600</v>
      </c>
      <c r="BO126" s="229">
        <v>-0.10009999999999999</v>
      </c>
      <c r="BP126" s="230">
        <v>35433600</v>
      </c>
      <c r="BQ126" s="230">
        <v>26112000</v>
      </c>
      <c r="BR126" s="230">
        <v>9321600</v>
      </c>
      <c r="BS126" s="229">
        <v>0.35699999999999998</v>
      </c>
      <c r="BT126" s="230">
        <v>2539717</v>
      </c>
      <c r="BU126" s="230">
        <v>1391156</v>
      </c>
      <c r="BV126" s="230">
        <v>1148561</v>
      </c>
      <c r="BW126" s="229">
        <v>0.8256</v>
      </c>
      <c r="BX126" s="230">
        <v>32968800</v>
      </c>
      <c r="BY126" s="230">
        <v>32367600</v>
      </c>
      <c r="BZ126" s="230">
        <v>601200</v>
      </c>
      <c r="CA126" s="229">
        <v>1.8599999999999998E-2</v>
      </c>
      <c r="CB126" s="230">
        <v>12616800</v>
      </c>
      <c r="CC126" s="230">
        <v>24236400</v>
      </c>
      <c r="CD126" s="230">
        <v>-11619600</v>
      </c>
      <c r="CE126" s="229">
        <v>-0.47939999999999999</v>
      </c>
      <c r="CF126" s="230">
        <v>20317200</v>
      </c>
      <c r="CG126" s="230">
        <v>8097600</v>
      </c>
      <c r="CH126" s="230">
        <v>12219600</v>
      </c>
      <c r="CI126" s="229">
        <v>1.5089999999999999</v>
      </c>
      <c r="CJ126" s="230">
        <v>34800</v>
      </c>
      <c r="CK126" s="230">
        <v>33600</v>
      </c>
      <c r="CL126" s="230">
        <v>1200</v>
      </c>
      <c r="CM126" s="229">
        <v>3.5700000000000003E-2</v>
      </c>
      <c r="CN126" s="230">
        <v>7255200</v>
      </c>
      <c r="CO126" s="230">
        <v>7516800</v>
      </c>
      <c r="CP126" s="230">
        <v>-261600</v>
      </c>
      <c r="CQ126" s="229">
        <v>-3.4799999999999998E-2</v>
      </c>
      <c r="CR126" s="230">
        <v>3750000</v>
      </c>
      <c r="CS126" s="230">
        <v>4106400</v>
      </c>
      <c r="CT126" s="230">
        <v>-356400</v>
      </c>
      <c r="CU126" s="229">
        <v>-8.6800000000000002E-2</v>
      </c>
      <c r="CV126" s="230">
        <v>43974000</v>
      </c>
      <c r="CW126" s="230">
        <v>43990800</v>
      </c>
      <c r="CX126" s="230">
        <v>-16800</v>
      </c>
      <c r="CY126" s="229">
        <v>-4.0000000000000002E-4</v>
      </c>
      <c r="CZ126" s="228">
        <v>25.11</v>
      </c>
      <c r="DA126" s="228">
        <v>21.96</v>
      </c>
      <c r="DB126" s="228">
        <v>3.15</v>
      </c>
      <c r="DC126" s="228">
        <v>3.15</v>
      </c>
      <c r="DD126" s="228">
        <v>24.28</v>
      </c>
      <c r="DE126" s="228">
        <v>24.34</v>
      </c>
      <c r="DF126" s="228">
        <v>0.83</v>
      </c>
      <c r="DG126" s="228">
        <v>-0.06</v>
      </c>
      <c r="DH126" s="228">
        <v>25.1</v>
      </c>
      <c r="DI126" s="228">
        <v>22.2</v>
      </c>
      <c r="DJ126" s="228">
        <v>2.9</v>
      </c>
      <c r="DK126" s="228">
        <v>2.9</v>
      </c>
      <c r="DL126" s="228">
        <v>25.13</v>
      </c>
      <c r="DM126" s="228">
        <v>21.36</v>
      </c>
      <c r="DN126" s="228">
        <v>3.77</v>
      </c>
      <c r="DO126" s="228">
        <v>3.77</v>
      </c>
      <c r="DP126" s="228">
        <v>0.52</v>
      </c>
      <c r="DQ126" s="228">
        <v>0.55000000000000004</v>
      </c>
      <c r="DR126" s="228">
        <v>-0.03</v>
      </c>
      <c r="DS126" s="229">
        <v>-5.45E-2</v>
      </c>
      <c r="DT126" s="228">
        <v>785</v>
      </c>
      <c r="DU126" s="228">
        <v>730</v>
      </c>
      <c r="DV126" s="228">
        <v>0.31</v>
      </c>
      <c r="DW126" s="228">
        <v>0.4</v>
      </c>
      <c r="DX126" s="228">
        <v>-0.09</v>
      </c>
      <c r="DY126" s="229">
        <v>-0.22500000000000001</v>
      </c>
      <c r="DZ126" s="229">
        <v>0.61729999999999996</v>
      </c>
      <c r="EA126" s="230">
        <v>8131200</v>
      </c>
      <c r="EB126" s="229">
        <v>5.3E-3</v>
      </c>
      <c r="EC126" s="229">
        <v>0.61729999999999996</v>
      </c>
      <c r="ED126" s="228">
        <v>3.96</v>
      </c>
      <c r="EE126" s="229">
        <v>5.3E-3</v>
      </c>
      <c r="EF126" s="230">
        <v>1712602</v>
      </c>
      <c r="EG126" s="230">
        <v>753340</v>
      </c>
      <c r="EH126" s="229">
        <v>1.2733000000000001</v>
      </c>
      <c r="EI126" s="229">
        <v>0.67430000000000001</v>
      </c>
      <c r="EJ126" s="231">
        <v>52466.79</v>
      </c>
      <c r="EK126" s="231">
        <v>15878.8</v>
      </c>
      <c r="EL126" s="231">
        <v>199781.5</v>
      </c>
      <c r="EM126" s="231">
        <v>5187</v>
      </c>
      <c r="EN126" s="231">
        <v>268127.09000000003</v>
      </c>
      <c r="EO126" s="231">
        <v>196997.59</v>
      </c>
      <c r="EP126" s="231">
        <v>71129.5</v>
      </c>
      <c r="EQ126" s="229">
        <v>0.36109999999999998</v>
      </c>
      <c r="ER126" s="231">
        <v>57568</v>
      </c>
      <c r="ES126" s="231">
        <v>27372</v>
      </c>
      <c r="ET126" s="231">
        <v>248812</v>
      </c>
      <c r="EU126" s="231">
        <v>79442217</v>
      </c>
      <c r="EV126" s="231">
        <v>333752</v>
      </c>
      <c r="EW126" s="231">
        <v>332050</v>
      </c>
      <c r="EX126" s="231">
        <v>1702</v>
      </c>
      <c r="EY126" s="229">
        <v>5.1000000000000004E-3</v>
      </c>
      <c r="EZ126" s="229">
        <v>0.55349999999999999</v>
      </c>
      <c r="FA126" s="227" t="s">
        <v>555</v>
      </c>
      <c r="FB126" s="161">
        <f t="shared" si="1"/>
        <v>20352000</v>
      </c>
    </row>
    <row r="127" spans="1:158" ht="17.25" hidden="1" thickBot="1" x14ac:dyDescent="0.3">
      <c r="A127" s="226">
        <v>46044</v>
      </c>
      <c r="B127" s="227" t="s">
        <v>162</v>
      </c>
      <c r="C127" s="227" t="s">
        <v>255</v>
      </c>
      <c r="D127" s="228">
        <v>50</v>
      </c>
      <c r="E127" s="231">
        <v>15752</v>
      </c>
      <c r="F127" s="231">
        <v>15793</v>
      </c>
      <c r="G127" s="228">
        <v>-41</v>
      </c>
      <c r="H127" s="229">
        <v>-2.5999999999999999E-3</v>
      </c>
      <c r="I127" s="231">
        <v>15765</v>
      </c>
      <c r="J127" s="231">
        <v>15770</v>
      </c>
      <c r="K127" s="228">
        <v>-5</v>
      </c>
      <c r="L127" s="229">
        <v>-2.9999999999999997E-4</v>
      </c>
      <c r="M127" s="231">
        <v>15752</v>
      </c>
      <c r="N127" s="231">
        <v>15793</v>
      </c>
      <c r="O127" s="228">
        <v>-41</v>
      </c>
      <c r="P127" s="229">
        <v>-2.5999999999999999E-3</v>
      </c>
      <c r="Q127" s="231">
        <v>15837</v>
      </c>
      <c r="R127" s="231">
        <v>15880</v>
      </c>
      <c r="S127" s="228">
        <v>-43</v>
      </c>
      <c r="T127" s="229">
        <v>-2.7000000000000001E-3</v>
      </c>
      <c r="U127" s="231">
        <v>15951</v>
      </c>
      <c r="V127" s="231">
        <v>16001</v>
      </c>
      <c r="W127" s="228">
        <v>-50</v>
      </c>
      <c r="X127" s="229">
        <v>-3.0999999999999999E-3</v>
      </c>
      <c r="Y127" s="228">
        <v>-13</v>
      </c>
      <c r="Z127" s="228">
        <v>23</v>
      </c>
      <c r="AA127" s="228">
        <v>-36</v>
      </c>
      <c r="AB127" s="229">
        <v>-8.0000000000000004E-4</v>
      </c>
      <c r="AC127" s="228">
        <v>-13</v>
      </c>
      <c r="AD127" s="228">
        <v>23</v>
      </c>
      <c r="AE127" s="228">
        <v>-36</v>
      </c>
      <c r="AF127" s="229">
        <v>-8.0000000000000004E-4</v>
      </c>
      <c r="AG127" s="228">
        <v>72</v>
      </c>
      <c r="AH127" s="228">
        <v>110</v>
      </c>
      <c r="AI127" s="228">
        <v>-38</v>
      </c>
      <c r="AJ127" s="229">
        <v>4.5999999999999999E-3</v>
      </c>
      <c r="AK127" s="228">
        <v>186</v>
      </c>
      <c r="AL127" s="228">
        <v>231</v>
      </c>
      <c r="AM127" s="228">
        <v>-45</v>
      </c>
      <c r="AN127" s="229">
        <v>1.18E-2</v>
      </c>
      <c r="AO127" s="231">
        <v>15787.58</v>
      </c>
      <c r="AP127" s="231">
        <v>15871.08</v>
      </c>
      <c r="AQ127" s="228">
        <v>0</v>
      </c>
      <c r="AR127" s="230">
        <v>2423550</v>
      </c>
      <c r="AS127" s="230">
        <v>1827850</v>
      </c>
      <c r="AT127" s="230">
        <v>595700</v>
      </c>
      <c r="AU127" s="229">
        <v>0.32590000000000002</v>
      </c>
      <c r="AV127" s="230">
        <v>1285300</v>
      </c>
      <c r="AW127" s="230">
        <v>997750</v>
      </c>
      <c r="AX127" s="230">
        <v>287550</v>
      </c>
      <c r="AY127" s="229">
        <v>0.28820000000000001</v>
      </c>
      <c r="AZ127" s="230">
        <v>1132000</v>
      </c>
      <c r="BA127" s="230">
        <v>826150</v>
      </c>
      <c r="BB127" s="230">
        <v>305850</v>
      </c>
      <c r="BC127" s="229">
        <v>0.37019999999999997</v>
      </c>
      <c r="BD127" s="230">
        <v>6250</v>
      </c>
      <c r="BE127" s="230">
        <v>3950</v>
      </c>
      <c r="BF127" s="230">
        <v>2300</v>
      </c>
      <c r="BG127" s="229">
        <v>0.58230000000000004</v>
      </c>
      <c r="BH127" s="230">
        <v>6013700</v>
      </c>
      <c r="BI127" s="230">
        <v>5681250</v>
      </c>
      <c r="BJ127" s="230">
        <v>332450</v>
      </c>
      <c r="BK127" s="229">
        <v>5.8500000000000003E-2</v>
      </c>
      <c r="BL127" s="230">
        <v>2573800</v>
      </c>
      <c r="BM127" s="230">
        <v>3141300</v>
      </c>
      <c r="BN127" s="230">
        <v>-567500</v>
      </c>
      <c r="BO127" s="229">
        <v>-0.1807</v>
      </c>
      <c r="BP127" s="230">
        <v>11011050</v>
      </c>
      <c r="BQ127" s="230">
        <v>10650400</v>
      </c>
      <c r="BR127" s="230">
        <v>360650</v>
      </c>
      <c r="BS127" s="229">
        <v>3.39E-2</v>
      </c>
      <c r="BT127" s="230">
        <v>359288</v>
      </c>
      <c r="BU127" s="230">
        <v>364909</v>
      </c>
      <c r="BV127" s="230">
        <v>-5621</v>
      </c>
      <c r="BW127" s="229">
        <v>-1.54E-2</v>
      </c>
      <c r="BX127" s="230">
        <v>3063100</v>
      </c>
      <c r="BY127" s="230">
        <v>3087550</v>
      </c>
      <c r="BZ127" s="230">
        <v>-24450</v>
      </c>
      <c r="CA127" s="229">
        <v>-7.9000000000000008E-3</v>
      </c>
      <c r="CB127" s="230">
        <v>1003500</v>
      </c>
      <c r="CC127" s="230">
        <v>1913500</v>
      </c>
      <c r="CD127" s="230">
        <v>-910000</v>
      </c>
      <c r="CE127" s="229">
        <v>-0.47560000000000002</v>
      </c>
      <c r="CF127" s="230">
        <v>1953700</v>
      </c>
      <c r="CG127" s="230">
        <v>1071450</v>
      </c>
      <c r="CH127" s="230">
        <v>882250</v>
      </c>
      <c r="CI127" s="229">
        <v>0.82340000000000002</v>
      </c>
      <c r="CJ127" s="230">
        <v>105900</v>
      </c>
      <c r="CK127" s="230">
        <v>102600</v>
      </c>
      <c r="CL127" s="230">
        <v>3300</v>
      </c>
      <c r="CM127" s="229">
        <v>3.2199999999999999E-2</v>
      </c>
      <c r="CN127" s="230">
        <v>2725000</v>
      </c>
      <c r="CO127" s="230">
        <v>2902850</v>
      </c>
      <c r="CP127" s="230">
        <v>-177850</v>
      </c>
      <c r="CQ127" s="229">
        <v>-6.13E-2</v>
      </c>
      <c r="CR127" s="230">
        <v>989900</v>
      </c>
      <c r="CS127" s="230">
        <v>1056150</v>
      </c>
      <c r="CT127" s="230">
        <v>-66250</v>
      </c>
      <c r="CU127" s="229">
        <v>-6.2700000000000006E-2</v>
      </c>
      <c r="CV127" s="230">
        <v>6778000</v>
      </c>
      <c r="CW127" s="230">
        <v>7046550</v>
      </c>
      <c r="CX127" s="230">
        <v>-268550</v>
      </c>
      <c r="CY127" s="229">
        <v>-3.8100000000000002E-2</v>
      </c>
      <c r="CZ127" s="228">
        <v>24.53</v>
      </c>
      <c r="DA127" s="228">
        <v>21.46</v>
      </c>
      <c r="DB127" s="228">
        <v>3.07</v>
      </c>
      <c r="DC127" s="228">
        <v>3.07</v>
      </c>
      <c r="DD127" s="228">
        <v>24.39</v>
      </c>
      <c r="DE127" s="228">
        <v>24.45</v>
      </c>
      <c r="DF127" s="228">
        <v>0.14000000000000001</v>
      </c>
      <c r="DG127" s="228">
        <v>-0.06</v>
      </c>
      <c r="DH127" s="228">
        <v>24.53</v>
      </c>
      <c r="DI127" s="228">
        <v>22.78</v>
      </c>
      <c r="DJ127" s="228">
        <v>1.75</v>
      </c>
      <c r="DK127" s="228">
        <v>1.75</v>
      </c>
      <c r="DL127" s="228">
        <v>24.53</v>
      </c>
      <c r="DM127" s="228">
        <v>19.059999999999999</v>
      </c>
      <c r="DN127" s="228">
        <v>5.47</v>
      </c>
      <c r="DO127" s="228">
        <v>5.47</v>
      </c>
      <c r="DP127" s="228">
        <v>0.36</v>
      </c>
      <c r="DQ127" s="228">
        <v>0.36</v>
      </c>
      <c r="DR127" s="228">
        <v>0</v>
      </c>
      <c r="DS127" s="229">
        <v>0</v>
      </c>
      <c r="DT127" s="231">
        <v>17000</v>
      </c>
      <c r="DU127" s="231">
        <v>16000</v>
      </c>
      <c r="DV127" s="228">
        <v>0.43</v>
      </c>
      <c r="DW127" s="228">
        <v>0.55000000000000004</v>
      </c>
      <c r="DX127" s="228">
        <v>-0.12</v>
      </c>
      <c r="DY127" s="229">
        <v>-0.21820000000000001</v>
      </c>
      <c r="DZ127" s="229">
        <v>0.6724</v>
      </c>
      <c r="EA127" s="230">
        <v>1174050</v>
      </c>
      <c r="EB127" s="229">
        <v>5.4000000000000003E-3</v>
      </c>
      <c r="EC127" s="229">
        <v>0.6724</v>
      </c>
      <c r="ED127" s="228">
        <v>83.5</v>
      </c>
      <c r="EE127" s="229">
        <v>5.3E-3</v>
      </c>
      <c r="EF127" s="230">
        <v>204779</v>
      </c>
      <c r="EG127" s="230">
        <v>200605</v>
      </c>
      <c r="EH127" s="229">
        <v>2.0799999999999999E-2</v>
      </c>
      <c r="EI127" s="229">
        <v>0.56999999999999995</v>
      </c>
      <c r="EJ127" s="231">
        <v>984685.96</v>
      </c>
      <c r="EK127" s="231">
        <v>404836.99</v>
      </c>
      <c r="EL127" s="231">
        <v>383578.45</v>
      </c>
      <c r="EM127" s="231">
        <v>19668</v>
      </c>
      <c r="EN127" s="231">
        <v>1773101.4</v>
      </c>
      <c r="EO127" s="231">
        <v>1721791.19</v>
      </c>
      <c r="EP127" s="231">
        <v>51310.21</v>
      </c>
      <c r="EQ127" s="229">
        <v>2.98E-2</v>
      </c>
      <c r="ER127" s="231">
        <v>457931</v>
      </c>
      <c r="ES127" s="231">
        <v>157240</v>
      </c>
      <c r="ET127" s="231">
        <v>484371</v>
      </c>
      <c r="EU127" s="231">
        <v>17687048</v>
      </c>
      <c r="EV127" s="231">
        <v>1099542</v>
      </c>
      <c r="EW127" s="231">
        <v>1146035</v>
      </c>
      <c r="EX127" s="231">
        <v>-46493</v>
      </c>
      <c r="EY127" s="229">
        <v>-4.0599999999999997E-2</v>
      </c>
      <c r="EZ127" s="229">
        <v>0.38319999999999999</v>
      </c>
      <c r="FA127" s="227" t="s">
        <v>568</v>
      </c>
      <c r="FB127" s="161">
        <f t="shared" si="1"/>
        <v>2059600</v>
      </c>
    </row>
    <row r="128" spans="1:158" ht="17.25" hidden="1" thickBot="1" x14ac:dyDescent="0.3">
      <c r="A128" s="226">
        <v>46044</v>
      </c>
      <c r="B128" s="227" t="s">
        <v>170</v>
      </c>
      <c r="C128" s="227" t="s">
        <v>603</v>
      </c>
      <c r="D128" s="228">
        <v>525</v>
      </c>
      <c r="E128" s="228">
        <v>998.4</v>
      </c>
      <c r="F128" s="231">
        <v>1003.5</v>
      </c>
      <c r="G128" s="228">
        <v>-5.0999999999999996</v>
      </c>
      <c r="H128" s="229">
        <v>-5.1000000000000004E-3</v>
      </c>
      <c r="I128" s="228">
        <v>998.8</v>
      </c>
      <c r="J128" s="231">
        <v>1004.2</v>
      </c>
      <c r="K128" s="228">
        <v>-5.4</v>
      </c>
      <c r="L128" s="229">
        <v>-5.4000000000000003E-3</v>
      </c>
      <c r="M128" s="228">
        <v>998.4</v>
      </c>
      <c r="N128" s="231">
        <v>1003.5</v>
      </c>
      <c r="O128" s="228">
        <v>-5.0999999999999996</v>
      </c>
      <c r="P128" s="229">
        <v>-5.1000000000000004E-3</v>
      </c>
      <c r="Q128" s="231">
        <v>1003.6</v>
      </c>
      <c r="R128" s="231">
        <v>1008.9</v>
      </c>
      <c r="S128" s="228">
        <v>-5.3</v>
      </c>
      <c r="T128" s="229">
        <v>-5.3E-3</v>
      </c>
      <c r="U128" s="231">
        <v>1011</v>
      </c>
      <c r="V128" s="231">
        <v>1015.8</v>
      </c>
      <c r="W128" s="228">
        <v>-4.8</v>
      </c>
      <c r="X128" s="229">
        <v>-4.7000000000000002E-3</v>
      </c>
      <c r="Y128" s="228">
        <v>-0.4</v>
      </c>
      <c r="Z128" s="228">
        <v>-0.7</v>
      </c>
      <c r="AA128" s="228">
        <v>0.3</v>
      </c>
      <c r="AB128" s="229">
        <v>-4.0000000000000002E-4</v>
      </c>
      <c r="AC128" s="228">
        <v>-0.4</v>
      </c>
      <c r="AD128" s="228">
        <v>-0.7</v>
      </c>
      <c r="AE128" s="228">
        <v>0.3</v>
      </c>
      <c r="AF128" s="229">
        <v>-4.0000000000000002E-4</v>
      </c>
      <c r="AG128" s="228">
        <v>4.8</v>
      </c>
      <c r="AH128" s="228">
        <v>4.7</v>
      </c>
      <c r="AI128" s="228">
        <v>0.1</v>
      </c>
      <c r="AJ128" s="229">
        <v>4.7999999999999996E-3</v>
      </c>
      <c r="AK128" s="228">
        <v>12.2</v>
      </c>
      <c r="AL128" s="228">
        <v>11.6</v>
      </c>
      <c r="AM128" s="228">
        <v>0.6</v>
      </c>
      <c r="AN128" s="229">
        <v>1.2200000000000001E-2</v>
      </c>
      <c r="AO128" s="228">
        <v>997.43</v>
      </c>
      <c r="AP128" s="231">
        <v>1002.57</v>
      </c>
      <c r="AQ128" s="228">
        <v>0</v>
      </c>
      <c r="AR128" s="230">
        <v>15465975</v>
      </c>
      <c r="AS128" s="230">
        <v>12738075</v>
      </c>
      <c r="AT128" s="230">
        <v>2727900</v>
      </c>
      <c r="AU128" s="229">
        <v>0.2142</v>
      </c>
      <c r="AV128" s="230">
        <v>7779975</v>
      </c>
      <c r="AW128" s="230">
        <v>6920550</v>
      </c>
      <c r="AX128" s="230">
        <v>859425</v>
      </c>
      <c r="AY128" s="229">
        <v>0.1242</v>
      </c>
      <c r="AZ128" s="230">
        <v>7666050</v>
      </c>
      <c r="BA128" s="230">
        <v>5796525</v>
      </c>
      <c r="BB128" s="230">
        <v>1869525</v>
      </c>
      <c r="BC128" s="229">
        <v>0.32250000000000001</v>
      </c>
      <c r="BD128" s="230">
        <v>19950</v>
      </c>
      <c r="BE128" s="230">
        <v>21000</v>
      </c>
      <c r="BF128" s="230">
        <v>-1050</v>
      </c>
      <c r="BG128" s="229">
        <v>-0.05</v>
      </c>
      <c r="BH128" s="230">
        <v>4729725</v>
      </c>
      <c r="BI128" s="230">
        <v>5779725</v>
      </c>
      <c r="BJ128" s="230">
        <v>-1050000</v>
      </c>
      <c r="BK128" s="229">
        <v>-0.1817</v>
      </c>
      <c r="BL128" s="230">
        <v>1977675</v>
      </c>
      <c r="BM128" s="230">
        <v>3266025</v>
      </c>
      <c r="BN128" s="230">
        <v>-1288350</v>
      </c>
      <c r="BO128" s="229">
        <v>-0.39450000000000002</v>
      </c>
      <c r="BP128" s="230">
        <v>22173375</v>
      </c>
      <c r="BQ128" s="230">
        <v>21783825</v>
      </c>
      <c r="BR128" s="230">
        <v>389550</v>
      </c>
      <c r="BS128" s="229">
        <v>1.7899999999999999E-2</v>
      </c>
      <c r="BT128" s="230">
        <v>2648043</v>
      </c>
      <c r="BU128" s="230">
        <v>3123048</v>
      </c>
      <c r="BV128" s="230">
        <v>-475005</v>
      </c>
      <c r="BW128" s="229">
        <v>-0.15210000000000001</v>
      </c>
      <c r="BX128" s="230">
        <v>19513200</v>
      </c>
      <c r="BY128" s="230">
        <v>19578300</v>
      </c>
      <c r="BZ128" s="230">
        <v>-65100</v>
      </c>
      <c r="CA128" s="229">
        <v>-3.3E-3</v>
      </c>
      <c r="CB128" s="230">
        <v>7676025</v>
      </c>
      <c r="CC128" s="230">
        <v>14322525</v>
      </c>
      <c r="CD128" s="230">
        <v>-6646500</v>
      </c>
      <c r="CE128" s="229">
        <v>-0.46410000000000001</v>
      </c>
      <c r="CF128" s="230">
        <v>11312175</v>
      </c>
      <c r="CG128" s="230">
        <v>4736025</v>
      </c>
      <c r="CH128" s="230">
        <v>6576150</v>
      </c>
      <c r="CI128" s="229">
        <v>1.3885000000000001</v>
      </c>
      <c r="CJ128" s="230">
        <v>525000</v>
      </c>
      <c r="CK128" s="230">
        <v>519750</v>
      </c>
      <c r="CL128" s="230">
        <v>5250</v>
      </c>
      <c r="CM128" s="229">
        <v>1.01E-2</v>
      </c>
      <c r="CN128" s="230">
        <v>3608325</v>
      </c>
      <c r="CO128" s="230">
        <v>3463950</v>
      </c>
      <c r="CP128" s="230">
        <v>144375</v>
      </c>
      <c r="CQ128" s="229">
        <v>4.1700000000000001E-2</v>
      </c>
      <c r="CR128" s="230">
        <v>2316825</v>
      </c>
      <c r="CS128" s="230">
        <v>2466975</v>
      </c>
      <c r="CT128" s="230">
        <v>-150150</v>
      </c>
      <c r="CU128" s="229">
        <v>-6.0900000000000003E-2</v>
      </c>
      <c r="CV128" s="230">
        <v>25438350</v>
      </c>
      <c r="CW128" s="230">
        <v>25509225</v>
      </c>
      <c r="CX128" s="230">
        <v>-70875</v>
      </c>
      <c r="CY128" s="229">
        <v>-2.8E-3</v>
      </c>
      <c r="CZ128" s="228">
        <v>30.45</v>
      </c>
      <c r="DA128" s="228">
        <v>27.52</v>
      </c>
      <c r="DB128" s="228">
        <v>2.93</v>
      </c>
      <c r="DC128" s="228">
        <v>2.93</v>
      </c>
      <c r="DD128" s="228">
        <v>37.880000000000003</v>
      </c>
      <c r="DE128" s="228">
        <v>37.97</v>
      </c>
      <c r="DF128" s="228">
        <v>-7.43</v>
      </c>
      <c r="DG128" s="228">
        <v>-0.09</v>
      </c>
      <c r="DH128" s="228">
        <v>30.48</v>
      </c>
      <c r="DI128" s="228">
        <v>26.7</v>
      </c>
      <c r="DJ128" s="228">
        <v>3.78</v>
      </c>
      <c r="DK128" s="228">
        <v>3.78</v>
      </c>
      <c r="DL128" s="228">
        <v>30.38</v>
      </c>
      <c r="DM128" s="228">
        <v>28.99</v>
      </c>
      <c r="DN128" s="228">
        <v>1.39</v>
      </c>
      <c r="DO128" s="228">
        <v>1.39</v>
      </c>
      <c r="DP128" s="228">
        <v>0.64</v>
      </c>
      <c r="DQ128" s="228">
        <v>0.71</v>
      </c>
      <c r="DR128" s="228">
        <v>-7.0000000000000007E-2</v>
      </c>
      <c r="DS128" s="229">
        <v>-9.8599999999999993E-2</v>
      </c>
      <c r="DT128" s="231">
        <v>1100</v>
      </c>
      <c r="DU128" s="231">
        <v>1060</v>
      </c>
      <c r="DV128" s="228">
        <v>0.42</v>
      </c>
      <c r="DW128" s="228">
        <v>0.56999999999999995</v>
      </c>
      <c r="DX128" s="228">
        <v>-0.15</v>
      </c>
      <c r="DY128" s="229">
        <v>-0.26319999999999999</v>
      </c>
      <c r="DZ128" s="229">
        <v>0.60660000000000003</v>
      </c>
      <c r="EA128" s="230">
        <v>5255775</v>
      </c>
      <c r="EB128" s="229">
        <v>5.1999999999999998E-3</v>
      </c>
      <c r="EC128" s="229">
        <v>0.60660000000000003</v>
      </c>
      <c r="ED128" s="228">
        <v>5.14</v>
      </c>
      <c r="EE128" s="229">
        <v>5.1999999999999998E-3</v>
      </c>
      <c r="EF128" s="230">
        <v>1577518</v>
      </c>
      <c r="EG128" s="230">
        <v>1800922</v>
      </c>
      <c r="EH128" s="229">
        <v>-0.124</v>
      </c>
      <c r="EI128" s="229">
        <v>0.59570000000000001</v>
      </c>
      <c r="EJ128" s="231">
        <v>49012.53</v>
      </c>
      <c r="EK128" s="231">
        <v>19852.39</v>
      </c>
      <c r="EL128" s="231">
        <v>154659.56</v>
      </c>
      <c r="EM128" s="231">
        <v>9912</v>
      </c>
      <c r="EN128" s="231">
        <v>223524.48000000001</v>
      </c>
      <c r="EO128" s="231">
        <v>220962.1</v>
      </c>
      <c r="EP128" s="231">
        <v>2562.38</v>
      </c>
      <c r="EQ128" s="229">
        <v>1.1599999999999999E-2</v>
      </c>
      <c r="ER128" s="231">
        <v>38743</v>
      </c>
      <c r="ES128" s="231">
        <v>23923</v>
      </c>
      <c r="ET128" s="231">
        <v>195474</v>
      </c>
      <c r="EU128" s="231">
        <v>111218809</v>
      </c>
      <c r="EV128" s="231">
        <v>258141</v>
      </c>
      <c r="EW128" s="231">
        <v>259543</v>
      </c>
      <c r="EX128" s="231">
        <v>-1402</v>
      </c>
      <c r="EY128" s="229">
        <v>-5.4000000000000003E-3</v>
      </c>
      <c r="EZ128" s="229">
        <v>0.22869999999999999</v>
      </c>
      <c r="FA128" s="227" t="s">
        <v>568</v>
      </c>
      <c r="FB128" s="161">
        <f t="shared" si="1"/>
        <v>11837175</v>
      </c>
    </row>
    <row r="129" spans="1:158" ht="17.25" hidden="1" thickBot="1" x14ac:dyDescent="0.3">
      <c r="A129" s="226">
        <v>46044</v>
      </c>
      <c r="B129" s="227" t="s">
        <v>215</v>
      </c>
      <c r="C129" s="227" t="s">
        <v>673</v>
      </c>
      <c r="D129" s="228">
        <v>200</v>
      </c>
      <c r="E129" s="231">
        <v>2366.6999999999998</v>
      </c>
      <c r="F129" s="231">
        <v>2329.5</v>
      </c>
      <c r="G129" s="228">
        <v>37.200000000000003</v>
      </c>
      <c r="H129" s="229">
        <v>1.6E-2</v>
      </c>
      <c r="I129" s="231">
        <v>2369</v>
      </c>
      <c r="J129" s="231">
        <v>2331.4</v>
      </c>
      <c r="K129" s="228">
        <v>37.6</v>
      </c>
      <c r="L129" s="229">
        <v>1.61E-2</v>
      </c>
      <c r="M129" s="231">
        <v>2366.6999999999998</v>
      </c>
      <c r="N129" s="231">
        <v>2329.5</v>
      </c>
      <c r="O129" s="228">
        <v>37.200000000000003</v>
      </c>
      <c r="P129" s="229">
        <v>1.6E-2</v>
      </c>
      <c r="Q129" s="231">
        <v>2377.6</v>
      </c>
      <c r="R129" s="231">
        <v>2341.1</v>
      </c>
      <c r="S129" s="228">
        <v>36.5</v>
      </c>
      <c r="T129" s="229">
        <v>1.5599999999999999E-2</v>
      </c>
      <c r="U129" s="231">
        <v>2395.1999999999998</v>
      </c>
      <c r="V129" s="231">
        <v>2357.1999999999998</v>
      </c>
      <c r="W129" s="228">
        <v>38</v>
      </c>
      <c r="X129" s="229">
        <v>1.61E-2</v>
      </c>
      <c r="Y129" s="228">
        <v>-2.2999999999999998</v>
      </c>
      <c r="Z129" s="228">
        <v>-1.9</v>
      </c>
      <c r="AA129" s="228">
        <v>-0.4</v>
      </c>
      <c r="AB129" s="229">
        <v>-1E-3</v>
      </c>
      <c r="AC129" s="228">
        <v>-2.2999999999999998</v>
      </c>
      <c r="AD129" s="228">
        <v>-1.9</v>
      </c>
      <c r="AE129" s="228">
        <v>-0.4</v>
      </c>
      <c r="AF129" s="229">
        <v>-1E-3</v>
      </c>
      <c r="AG129" s="228">
        <v>8.6</v>
      </c>
      <c r="AH129" s="228">
        <v>9.6999999999999993</v>
      </c>
      <c r="AI129" s="228">
        <v>-1.1000000000000001</v>
      </c>
      <c r="AJ129" s="229">
        <v>3.5999999999999999E-3</v>
      </c>
      <c r="AK129" s="228">
        <v>26.2</v>
      </c>
      <c r="AL129" s="228">
        <v>25.8</v>
      </c>
      <c r="AM129" s="228">
        <v>0.4</v>
      </c>
      <c r="AN129" s="229">
        <v>1.11E-2</v>
      </c>
      <c r="AO129" s="231">
        <v>2354.9699999999998</v>
      </c>
      <c r="AP129" s="231">
        <v>2365.46</v>
      </c>
      <c r="AQ129" s="228">
        <v>0</v>
      </c>
      <c r="AR129" s="230">
        <v>3911200</v>
      </c>
      <c r="AS129" s="230">
        <v>2274400</v>
      </c>
      <c r="AT129" s="230">
        <v>1636800</v>
      </c>
      <c r="AU129" s="229">
        <v>0.71970000000000001</v>
      </c>
      <c r="AV129" s="230">
        <v>2018200</v>
      </c>
      <c r="AW129" s="230">
        <v>1247200</v>
      </c>
      <c r="AX129" s="230">
        <v>771000</v>
      </c>
      <c r="AY129" s="229">
        <v>0.61819999999999997</v>
      </c>
      <c r="AZ129" s="230">
        <v>1874800</v>
      </c>
      <c r="BA129" s="230">
        <v>1011000</v>
      </c>
      <c r="BB129" s="230">
        <v>863800</v>
      </c>
      <c r="BC129" s="229">
        <v>0.85440000000000005</v>
      </c>
      <c r="BD129" s="230">
        <v>18200</v>
      </c>
      <c r="BE129" s="230">
        <v>16200</v>
      </c>
      <c r="BF129" s="230">
        <v>2000</v>
      </c>
      <c r="BG129" s="229">
        <v>0.1235</v>
      </c>
      <c r="BH129" s="230">
        <v>5260600</v>
      </c>
      <c r="BI129" s="230">
        <v>5480000</v>
      </c>
      <c r="BJ129" s="230">
        <v>-219400</v>
      </c>
      <c r="BK129" s="229">
        <v>-0.04</v>
      </c>
      <c r="BL129" s="230">
        <v>1430800</v>
      </c>
      <c r="BM129" s="230">
        <v>1982400</v>
      </c>
      <c r="BN129" s="230">
        <v>-551600</v>
      </c>
      <c r="BO129" s="229">
        <v>-0.2782</v>
      </c>
      <c r="BP129" s="230">
        <v>10602600</v>
      </c>
      <c r="BQ129" s="230">
        <v>9736800</v>
      </c>
      <c r="BR129" s="230">
        <v>865800</v>
      </c>
      <c r="BS129" s="229">
        <v>8.8900000000000007E-2</v>
      </c>
      <c r="BT129" s="230">
        <v>796029</v>
      </c>
      <c r="BU129" s="230">
        <v>1466610</v>
      </c>
      <c r="BV129" s="230">
        <v>-670581</v>
      </c>
      <c r="BW129" s="229">
        <v>-0.4572</v>
      </c>
      <c r="BX129" s="230">
        <v>5237200</v>
      </c>
      <c r="BY129" s="230">
        <v>5639600</v>
      </c>
      <c r="BZ129" s="230">
        <v>-402400</v>
      </c>
      <c r="CA129" s="229">
        <v>-7.1400000000000005E-2</v>
      </c>
      <c r="CB129" s="230">
        <v>2989400</v>
      </c>
      <c r="CC129" s="230">
        <v>4382000</v>
      </c>
      <c r="CD129" s="230">
        <v>-1392600</v>
      </c>
      <c r="CE129" s="229">
        <v>-0.31780000000000003</v>
      </c>
      <c r="CF129" s="230">
        <v>2159600</v>
      </c>
      <c r="CG129" s="230">
        <v>1176200</v>
      </c>
      <c r="CH129" s="230">
        <v>983400</v>
      </c>
      <c r="CI129" s="229">
        <v>0.83609999999999995</v>
      </c>
      <c r="CJ129" s="230">
        <v>88200</v>
      </c>
      <c r="CK129" s="230">
        <v>81400</v>
      </c>
      <c r="CL129" s="230">
        <v>6800</v>
      </c>
      <c r="CM129" s="229">
        <v>8.3500000000000005E-2</v>
      </c>
      <c r="CN129" s="230">
        <v>4542600</v>
      </c>
      <c r="CO129" s="230">
        <v>5066200</v>
      </c>
      <c r="CP129" s="230">
        <v>-523600</v>
      </c>
      <c r="CQ129" s="229">
        <v>-0.10340000000000001</v>
      </c>
      <c r="CR129" s="230">
        <v>2116600</v>
      </c>
      <c r="CS129" s="230">
        <v>2174200</v>
      </c>
      <c r="CT129" s="230">
        <v>-57600</v>
      </c>
      <c r="CU129" s="229">
        <v>-2.6499999999999999E-2</v>
      </c>
      <c r="CV129" s="230">
        <v>11896400</v>
      </c>
      <c r="CW129" s="230">
        <v>12880000</v>
      </c>
      <c r="CX129" s="230">
        <v>-983600</v>
      </c>
      <c r="CY129" s="229">
        <v>-7.6399999999999996E-2</v>
      </c>
      <c r="CZ129" s="228">
        <v>41.87</v>
      </c>
      <c r="DA129" s="228">
        <v>38.06</v>
      </c>
      <c r="DB129" s="228">
        <v>3.81</v>
      </c>
      <c r="DC129" s="228">
        <v>3.81</v>
      </c>
      <c r="DD129" s="228">
        <v>53.41</v>
      </c>
      <c r="DE129" s="228">
        <v>53.5</v>
      </c>
      <c r="DF129" s="228">
        <v>-11.54</v>
      </c>
      <c r="DG129" s="228">
        <v>-0.09</v>
      </c>
      <c r="DH129" s="228">
        <v>42.39</v>
      </c>
      <c r="DI129" s="228">
        <v>39.78</v>
      </c>
      <c r="DJ129" s="228">
        <v>2.61</v>
      </c>
      <c r="DK129" s="228">
        <v>2.61</v>
      </c>
      <c r="DL129" s="228">
        <v>40.58</v>
      </c>
      <c r="DM129" s="228">
        <v>33.299999999999997</v>
      </c>
      <c r="DN129" s="228">
        <v>7.28</v>
      </c>
      <c r="DO129" s="228">
        <v>7.28</v>
      </c>
      <c r="DP129" s="228">
        <v>0.47</v>
      </c>
      <c r="DQ129" s="228">
        <v>0.43</v>
      </c>
      <c r="DR129" s="228">
        <v>0.04</v>
      </c>
      <c r="DS129" s="229">
        <v>9.2999999999999999E-2</v>
      </c>
      <c r="DT129" s="231">
        <v>2600</v>
      </c>
      <c r="DU129" s="231">
        <v>2500</v>
      </c>
      <c r="DV129" s="228">
        <v>0.27</v>
      </c>
      <c r="DW129" s="228">
        <v>0.36</v>
      </c>
      <c r="DX129" s="228">
        <v>-0.09</v>
      </c>
      <c r="DY129" s="229">
        <v>-0.25</v>
      </c>
      <c r="DZ129" s="229">
        <v>0.42920000000000003</v>
      </c>
      <c r="EA129" s="230">
        <v>1257600</v>
      </c>
      <c r="EB129" s="229">
        <v>4.5999999999999999E-3</v>
      </c>
      <c r="EC129" s="229">
        <v>0.42920000000000003</v>
      </c>
      <c r="ED129" s="228">
        <v>10.49</v>
      </c>
      <c r="EE129" s="229">
        <v>4.4999999999999997E-3</v>
      </c>
      <c r="EF129" s="230">
        <v>215503</v>
      </c>
      <c r="EG129" s="230">
        <v>335744</v>
      </c>
      <c r="EH129" s="229">
        <v>-0.35809999999999997</v>
      </c>
      <c r="EI129" s="229">
        <v>0.2707</v>
      </c>
      <c r="EJ129" s="231">
        <v>133251.42000000001</v>
      </c>
      <c r="EK129" s="231">
        <v>34229.919999999998</v>
      </c>
      <c r="EL129" s="231">
        <v>92308.19</v>
      </c>
      <c r="EM129" s="231">
        <v>7590</v>
      </c>
      <c r="EN129" s="231">
        <v>259789.53</v>
      </c>
      <c r="EO129" s="231">
        <v>236548.36</v>
      </c>
      <c r="EP129" s="231">
        <v>23241.17</v>
      </c>
      <c r="EQ129" s="229">
        <v>9.8299999999999998E-2</v>
      </c>
      <c r="ER129" s="231">
        <v>119548</v>
      </c>
      <c r="ES129" s="231">
        <v>52280</v>
      </c>
      <c r="ET129" s="231">
        <v>124209</v>
      </c>
      <c r="EU129" s="231">
        <v>11364224</v>
      </c>
      <c r="EV129" s="231">
        <v>296037</v>
      </c>
      <c r="EW129" s="231">
        <v>319874</v>
      </c>
      <c r="EX129" s="231">
        <v>-23837</v>
      </c>
      <c r="EY129" s="229">
        <v>-7.4499999999999997E-2</v>
      </c>
      <c r="EZ129" s="229">
        <v>1.0468</v>
      </c>
      <c r="FA129" s="227" t="s">
        <v>556</v>
      </c>
      <c r="FB129" s="161">
        <f t="shared" si="1"/>
        <v>2247800</v>
      </c>
    </row>
    <row r="130" spans="1:158" ht="17.25" hidden="1" thickBot="1" x14ac:dyDescent="0.3">
      <c r="A130" s="226">
        <v>46044</v>
      </c>
      <c r="B130" s="227" t="s">
        <v>175</v>
      </c>
      <c r="C130" s="227" t="s">
        <v>517</v>
      </c>
      <c r="D130" s="228">
        <v>625</v>
      </c>
      <c r="E130" s="231">
        <v>2319</v>
      </c>
      <c r="F130" s="231">
        <v>2329</v>
      </c>
      <c r="G130" s="228">
        <v>-10</v>
      </c>
      <c r="H130" s="229">
        <v>-4.3E-3</v>
      </c>
      <c r="I130" s="231">
        <v>2314</v>
      </c>
      <c r="J130" s="231">
        <v>2320</v>
      </c>
      <c r="K130" s="228">
        <v>-6</v>
      </c>
      <c r="L130" s="229">
        <v>-2.5999999999999999E-3</v>
      </c>
      <c r="M130" s="231">
        <v>2319</v>
      </c>
      <c r="N130" s="231">
        <v>2329</v>
      </c>
      <c r="O130" s="228">
        <v>-10</v>
      </c>
      <c r="P130" s="229">
        <v>-4.3E-3</v>
      </c>
      <c r="Q130" s="231">
        <v>2331</v>
      </c>
      <c r="R130" s="231">
        <v>2339</v>
      </c>
      <c r="S130" s="228">
        <v>-8</v>
      </c>
      <c r="T130" s="229">
        <v>-3.3999999999999998E-3</v>
      </c>
      <c r="U130" s="231">
        <v>2348</v>
      </c>
      <c r="V130" s="231">
        <v>2357</v>
      </c>
      <c r="W130" s="228">
        <v>-9</v>
      </c>
      <c r="X130" s="229">
        <v>-3.8E-3</v>
      </c>
      <c r="Y130" s="228">
        <v>5</v>
      </c>
      <c r="Z130" s="228">
        <v>9</v>
      </c>
      <c r="AA130" s="228">
        <v>-4</v>
      </c>
      <c r="AB130" s="229">
        <v>2.2000000000000001E-3</v>
      </c>
      <c r="AC130" s="228">
        <v>5</v>
      </c>
      <c r="AD130" s="228">
        <v>9</v>
      </c>
      <c r="AE130" s="228">
        <v>-4</v>
      </c>
      <c r="AF130" s="229">
        <v>2.2000000000000001E-3</v>
      </c>
      <c r="AG130" s="228">
        <v>17</v>
      </c>
      <c r="AH130" s="228">
        <v>19</v>
      </c>
      <c r="AI130" s="228">
        <v>-2</v>
      </c>
      <c r="AJ130" s="229">
        <v>7.3000000000000001E-3</v>
      </c>
      <c r="AK130" s="228">
        <v>34</v>
      </c>
      <c r="AL130" s="228">
        <v>37</v>
      </c>
      <c r="AM130" s="228">
        <v>-3</v>
      </c>
      <c r="AN130" s="229">
        <v>1.47E-2</v>
      </c>
      <c r="AO130" s="231">
        <v>2312.2199999999998</v>
      </c>
      <c r="AP130" s="231">
        <v>2321.02</v>
      </c>
      <c r="AQ130" s="228">
        <v>0</v>
      </c>
      <c r="AR130" s="230">
        <v>21370000</v>
      </c>
      <c r="AS130" s="230">
        <v>10950625</v>
      </c>
      <c r="AT130" s="230">
        <v>10419375</v>
      </c>
      <c r="AU130" s="229">
        <v>0.95150000000000001</v>
      </c>
      <c r="AV130" s="230">
        <v>11288125</v>
      </c>
      <c r="AW130" s="230">
        <v>6373125</v>
      </c>
      <c r="AX130" s="230">
        <v>4915000</v>
      </c>
      <c r="AY130" s="229">
        <v>0.7712</v>
      </c>
      <c r="AZ130" s="230">
        <v>9890625</v>
      </c>
      <c r="BA130" s="230">
        <v>4443750</v>
      </c>
      <c r="BB130" s="230">
        <v>5446875</v>
      </c>
      <c r="BC130" s="229">
        <v>1.2257</v>
      </c>
      <c r="BD130" s="230">
        <v>191250</v>
      </c>
      <c r="BE130" s="230">
        <v>133750</v>
      </c>
      <c r="BF130" s="230">
        <v>57500</v>
      </c>
      <c r="BG130" s="229">
        <v>0.4299</v>
      </c>
      <c r="BH130" s="230">
        <v>50468750</v>
      </c>
      <c r="BI130" s="230">
        <v>33714375</v>
      </c>
      <c r="BJ130" s="230">
        <v>16754375</v>
      </c>
      <c r="BK130" s="229">
        <v>0.497</v>
      </c>
      <c r="BL130" s="230">
        <v>22292500</v>
      </c>
      <c r="BM130" s="230">
        <v>15832500</v>
      </c>
      <c r="BN130" s="230">
        <v>6460000</v>
      </c>
      <c r="BO130" s="229">
        <v>0.40799999999999997</v>
      </c>
      <c r="BP130" s="230">
        <v>94131250</v>
      </c>
      <c r="BQ130" s="230">
        <v>60497500</v>
      </c>
      <c r="BR130" s="230">
        <v>33633750</v>
      </c>
      <c r="BS130" s="229">
        <v>0.55600000000000005</v>
      </c>
      <c r="BT130" s="230">
        <v>4745452</v>
      </c>
      <c r="BU130" s="230">
        <v>4023150</v>
      </c>
      <c r="BV130" s="230">
        <v>722302</v>
      </c>
      <c r="BW130" s="229">
        <v>0.17949999999999999</v>
      </c>
      <c r="BX130" s="230">
        <v>16064375</v>
      </c>
      <c r="BY130" s="230">
        <v>15654375</v>
      </c>
      <c r="BZ130" s="230">
        <v>410000</v>
      </c>
      <c r="CA130" s="229">
        <v>2.6200000000000001E-2</v>
      </c>
      <c r="CB130" s="230">
        <v>5469375</v>
      </c>
      <c r="CC130" s="230">
        <v>10902500</v>
      </c>
      <c r="CD130" s="230">
        <v>-5433125</v>
      </c>
      <c r="CE130" s="229">
        <v>-0.49830000000000002</v>
      </c>
      <c r="CF130" s="230">
        <v>10301875</v>
      </c>
      <c r="CG130" s="230">
        <v>4493125</v>
      </c>
      <c r="CH130" s="230">
        <v>5808750</v>
      </c>
      <c r="CI130" s="229">
        <v>1.2927999999999999</v>
      </c>
      <c r="CJ130" s="230">
        <v>293125</v>
      </c>
      <c r="CK130" s="230">
        <v>258750</v>
      </c>
      <c r="CL130" s="230">
        <v>34375</v>
      </c>
      <c r="CM130" s="229">
        <v>0.13289999999999999</v>
      </c>
      <c r="CN130" s="230">
        <v>19133750</v>
      </c>
      <c r="CO130" s="230">
        <v>17305625</v>
      </c>
      <c r="CP130" s="230">
        <v>1828125</v>
      </c>
      <c r="CQ130" s="229">
        <v>0.1056</v>
      </c>
      <c r="CR130" s="230">
        <v>8617500</v>
      </c>
      <c r="CS130" s="230">
        <v>8407500</v>
      </c>
      <c r="CT130" s="230">
        <v>210000</v>
      </c>
      <c r="CU130" s="229">
        <v>2.5000000000000001E-2</v>
      </c>
      <c r="CV130" s="230">
        <v>43815625</v>
      </c>
      <c r="CW130" s="230">
        <v>41367500</v>
      </c>
      <c r="CX130" s="230">
        <v>2448125</v>
      </c>
      <c r="CY130" s="229">
        <v>5.9200000000000003E-2</v>
      </c>
      <c r="CZ130" s="228">
        <v>46.41</v>
      </c>
      <c r="DA130" s="228">
        <v>53.3</v>
      </c>
      <c r="DB130" s="228">
        <v>-6.89</v>
      </c>
      <c r="DC130" s="228">
        <v>-6.89</v>
      </c>
      <c r="DD130" s="228">
        <v>44.9</v>
      </c>
      <c r="DE130" s="228">
        <v>45.01</v>
      </c>
      <c r="DF130" s="228">
        <v>1.51</v>
      </c>
      <c r="DG130" s="228">
        <v>-0.11</v>
      </c>
      <c r="DH130" s="228">
        <v>46.47</v>
      </c>
      <c r="DI130" s="228">
        <v>55.03</v>
      </c>
      <c r="DJ130" s="228">
        <v>-8.56</v>
      </c>
      <c r="DK130" s="228">
        <v>-8.56</v>
      </c>
      <c r="DL130" s="228">
        <v>46.29</v>
      </c>
      <c r="DM130" s="228">
        <v>49.6</v>
      </c>
      <c r="DN130" s="228">
        <v>-3.31</v>
      </c>
      <c r="DO130" s="228">
        <v>-3.31</v>
      </c>
      <c r="DP130" s="228">
        <v>0.45</v>
      </c>
      <c r="DQ130" s="228">
        <v>0.49</v>
      </c>
      <c r="DR130" s="228">
        <v>-0.04</v>
      </c>
      <c r="DS130" s="229">
        <v>-8.1600000000000006E-2</v>
      </c>
      <c r="DT130" s="231">
        <v>2500</v>
      </c>
      <c r="DU130" s="231">
        <v>2400</v>
      </c>
      <c r="DV130" s="228">
        <v>0.44</v>
      </c>
      <c r="DW130" s="228">
        <v>0.47</v>
      </c>
      <c r="DX130" s="228">
        <v>-0.03</v>
      </c>
      <c r="DY130" s="229">
        <v>-6.3799999999999996E-2</v>
      </c>
      <c r="DZ130" s="229">
        <v>0.65949999999999998</v>
      </c>
      <c r="EA130" s="230">
        <v>4751875</v>
      </c>
      <c r="EB130" s="229">
        <v>5.1999999999999998E-3</v>
      </c>
      <c r="EC130" s="229">
        <v>0.65949999999999998</v>
      </c>
      <c r="ED130" s="228">
        <v>8.8000000000000007</v>
      </c>
      <c r="EE130" s="229">
        <v>3.8E-3</v>
      </c>
      <c r="EF130" s="230">
        <v>1826863</v>
      </c>
      <c r="EG130" s="230">
        <v>1483840</v>
      </c>
      <c r="EH130" s="229">
        <v>0.23119999999999999</v>
      </c>
      <c r="EI130" s="229">
        <v>0.38500000000000001</v>
      </c>
      <c r="EJ130" s="231">
        <v>1250769.32</v>
      </c>
      <c r="EK130" s="231">
        <v>509078.75</v>
      </c>
      <c r="EL130" s="231">
        <v>495033.27</v>
      </c>
      <c r="EM130" s="231">
        <v>11183</v>
      </c>
      <c r="EN130" s="231">
        <v>2254881.34</v>
      </c>
      <c r="EO130" s="231">
        <v>1471427.49</v>
      </c>
      <c r="EP130" s="231">
        <v>783453.85</v>
      </c>
      <c r="EQ130" s="229">
        <v>0.53239999999999998</v>
      </c>
      <c r="ER130" s="231">
        <v>472315</v>
      </c>
      <c r="ES130" s="231">
        <v>192553</v>
      </c>
      <c r="ET130" s="231">
        <v>373854</v>
      </c>
      <c r="EU130" s="231">
        <v>38177110</v>
      </c>
      <c r="EV130" s="231">
        <v>1038722</v>
      </c>
      <c r="EW130" s="231">
        <v>980730</v>
      </c>
      <c r="EX130" s="231">
        <v>57992</v>
      </c>
      <c r="EY130" s="229">
        <v>5.91E-2</v>
      </c>
      <c r="EZ130" s="229">
        <v>1.1476999999999999</v>
      </c>
      <c r="FA130" s="227" t="s">
        <v>567</v>
      </c>
      <c r="FB130" s="161">
        <f t="shared" si="1"/>
        <v>10595000</v>
      </c>
    </row>
    <row r="131" spans="1:158" ht="17.25" hidden="1" thickBot="1" x14ac:dyDescent="0.3">
      <c r="A131" s="226">
        <v>46044</v>
      </c>
      <c r="B131" s="227" t="s">
        <v>175</v>
      </c>
      <c r="C131" s="227" t="s">
        <v>257</v>
      </c>
      <c r="D131" s="228">
        <v>400</v>
      </c>
      <c r="E131" s="231">
        <v>1626.7</v>
      </c>
      <c r="F131" s="231">
        <v>1618.4</v>
      </c>
      <c r="G131" s="228">
        <v>8.3000000000000007</v>
      </c>
      <c r="H131" s="229">
        <v>5.1000000000000004E-3</v>
      </c>
      <c r="I131" s="231">
        <v>1627.7</v>
      </c>
      <c r="J131" s="231">
        <v>1619.8</v>
      </c>
      <c r="K131" s="228">
        <v>7.9</v>
      </c>
      <c r="L131" s="229">
        <v>4.8999999999999998E-3</v>
      </c>
      <c r="M131" s="231">
        <v>1626.7</v>
      </c>
      <c r="N131" s="231">
        <v>1618.4</v>
      </c>
      <c r="O131" s="228">
        <v>8.3000000000000007</v>
      </c>
      <c r="P131" s="229">
        <v>5.1000000000000004E-3</v>
      </c>
      <c r="Q131" s="231">
        <v>1635.7</v>
      </c>
      <c r="R131" s="231">
        <v>1626.6</v>
      </c>
      <c r="S131" s="228">
        <v>9.1</v>
      </c>
      <c r="T131" s="229">
        <v>5.5999999999999999E-3</v>
      </c>
      <c r="U131" s="231">
        <v>1640.7</v>
      </c>
      <c r="V131" s="231">
        <v>1621</v>
      </c>
      <c r="W131" s="228">
        <v>19.7</v>
      </c>
      <c r="X131" s="229">
        <v>1.2200000000000001E-2</v>
      </c>
      <c r="Y131" s="228">
        <v>-1</v>
      </c>
      <c r="Z131" s="228">
        <v>-1.4</v>
      </c>
      <c r="AA131" s="228">
        <v>0.4</v>
      </c>
      <c r="AB131" s="229">
        <v>-5.9999999999999995E-4</v>
      </c>
      <c r="AC131" s="228">
        <v>-1</v>
      </c>
      <c r="AD131" s="228">
        <v>-1.4</v>
      </c>
      <c r="AE131" s="228">
        <v>0.4</v>
      </c>
      <c r="AF131" s="229">
        <v>-5.9999999999999995E-4</v>
      </c>
      <c r="AG131" s="228">
        <v>8</v>
      </c>
      <c r="AH131" s="228">
        <v>6.8</v>
      </c>
      <c r="AI131" s="228">
        <v>1.2</v>
      </c>
      <c r="AJ131" s="229">
        <v>4.8999999999999998E-3</v>
      </c>
      <c r="AK131" s="228">
        <v>13</v>
      </c>
      <c r="AL131" s="228">
        <v>1.2</v>
      </c>
      <c r="AM131" s="228">
        <v>11.8</v>
      </c>
      <c r="AN131" s="229">
        <v>8.0000000000000002E-3</v>
      </c>
      <c r="AO131" s="231">
        <v>1624.59</v>
      </c>
      <c r="AP131" s="231">
        <v>1633.5</v>
      </c>
      <c r="AQ131" s="228">
        <v>0</v>
      </c>
      <c r="AR131" s="230">
        <v>7790400</v>
      </c>
      <c r="AS131" s="230">
        <v>6811200</v>
      </c>
      <c r="AT131" s="230">
        <v>979200</v>
      </c>
      <c r="AU131" s="229">
        <v>0.14380000000000001</v>
      </c>
      <c r="AV131" s="230">
        <v>3846400</v>
      </c>
      <c r="AW131" s="230">
        <v>3548800</v>
      </c>
      <c r="AX131" s="230">
        <v>297600</v>
      </c>
      <c r="AY131" s="229">
        <v>8.3900000000000002E-2</v>
      </c>
      <c r="AZ131" s="230">
        <v>3942800</v>
      </c>
      <c r="BA131" s="230">
        <v>3260800</v>
      </c>
      <c r="BB131" s="230">
        <v>682000</v>
      </c>
      <c r="BC131" s="229">
        <v>0.2092</v>
      </c>
      <c r="BD131" s="230">
        <v>1200</v>
      </c>
      <c r="BE131" s="230">
        <v>1600</v>
      </c>
      <c r="BF131" s="228">
        <v>-400</v>
      </c>
      <c r="BG131" s="229">
        <v>-0.25</v>
      </c>
      <c r="BH131" s="230">
        <v>1601200</v>
      </c>
      <c r="BI131" s="230">
        <v>1574400</v>
      </c>
      <c r="BJ131" s="230">
        <v>26800</v>
      </c>
      <c r="BK131" s="229">
        <v>1.7000000000000001E-2</v>
      </c>
      <c r="BL131" s="230">
        <v>899600</v>
      </c>
      <c r="BM131" s="230">
        <v>1595200</v>
      </c>
      <c r="BN131" s="230">
        <v>-695600</v>
      </c>
      <c r="BO131" s="229">
        <v>-0.43609999999999999</v>
      </c>
      <c r="BP131" s="230">
        <v>10291200</v>
      </c>
      <c r="BQ131" s="230">
        <v>9980800</v>
      </c>
      <c r="BR131" s="230">
        <v>310400</v>
      </c>
      <c r="BS131" s="229">
        <v>3.1099999999999999E-2</v>
      </c>
      <c r="BT131" s="230">
        <v>405650</v>
      </c>
      <c r="BU131" s="230">
        <v>771711</v>
      </c>
      <c r="BV131" s="230">
        <v>-366061</v>
      </c>
      <c r="BW131" s="229">
        <v>-0.4743</v>
      </c>
      <c r="BX131" s="230">
        <v>9093600</v>
      </c>
      <c r="BY131" s="230">
        <v>9212800</v>
      </c>
      <c r="BZ131" s="230">
        <v>-119200</v>
      </c>
      <c r="CA131" s="229">
        <v>-1.29E-2</v>
      </c>
      <c r="CB131" s="230">
        <v>3003200</v>
      </c>
      <c r="CC131" s="230">
        <v>6437200</v>
      </c>
      <c r="CD131" s="230">
        <v>-3434000</v>
      </c>
      <c r="CE131" s="229">
        <v>-0.53349999999999997</v>
      </c>
      <c r="CF131" s="230">
        <v>6086000</v>
      </c>
      <c r="CG131" s="230">
        <v>2771600</v>
      </c>
      <c r="CH131" s="230">
        <v>3314400</v>
      </c>
      <c r="CI131" s="229">
        <v>1.1958</v>
      </c>
      <c r="CJ131" s="230">
        <v>4400</v>
      </c>
      <c r="CK131" s="230">
        <v>4000</v>
      </c>
      <c r="CL131" s="228">
        <v>400</v>
      </c>
      <c r="CM131" s="229">
        <v>0.1</v>
      </c>
      <c r="CN131" s="230">
        <v>1435600</v>
      </c>
      <c r="CO131" s="230">
        <v>1602000</v>
      </c>
      <c r="CP131" s="230">
        <v>-166400</v>
      </c>
      <c r="CQ131" s="229">
        <v>-0.10390000000000001</v>
      </c>
      <c r="CR131" s="230">
        <v>985200</v>
      </c>
      <c r="CS131" s="230">
        <v>1094400</v>
      </c>
      <c r="CT131" s="230">
        <v>-109200</v>
      </c>
      <c r="CU131" s="229">
        <v>-9.98E-2</v>
      </c>
      <c r="CV131" s="230">
        <v>11514400</v>
      </c>
      <c r="CW131" s="230">
        <v>11909200</v>
      </c>
      <c r="CX131" s="230">
        <v>-394800</v>
      </c>
      <c r="CY131" s="229">
        <v>-3.32E-2</v>
      </c>
      <c r="CZ131" s="228">
        <v>27.5</v>
      </c>
      <c r="DA131" s="228">
        <v>24.69</v>
      </c>
      <c r="DB131" s="228">
        <v>2.81</v>
      </c>
      <c r="DC131" s="228">
        <v>2.81</v>
      </c>
      <c r="DD131" s="228">
        <v>29</v>
      </c>
      <c r="DE131" s="228">
        <v>29.07</v>
      </c>
      <c r="DF131" s="228">
        <v>-1.5</v>
      </c>
      <c r="DG131" s="228">
        <v>-7.0000000000000007E-2</v>
      </c>
      <c r="DH131" s="228">
        <v>26.9</v>
      </c>
      <c r="DI131" s="228">
        <v>25.04</v>
      </c>
      <c r="DJ131" s="228">
        <v>1.86</v>
      </c>
      <c r="DK131" s="228">
        <v>1.86</v>
      </c>
      <c r="DL131" s="228">
        <v>28.25</v>
      </c>
      <c r="DM131" s="228">
        <v>24.35</v>
      </c>
      <c r="DN131" s="228">
        <v>3.9</v>
      </c>
      <c r="DO131" s="228">
        <v>3.9</v>
      </c>
      <c r="DP131" s="228">
        <v>0.69</v>
      </c>
      <c r="DQ131" s="228">
        <v>0.68</v>
      </c>
      <c r="DR131" s="228">
        <v>0.01</v>
      </c>
      <c r="DS131" s="229">
        <v>1.47E-2</v>
      </c>
      <c r="DT131" s="231">
        <v>1700</v>
      </c>
      <c r="DU131" s="231">
        <v>1560</v>
      </c>
      <c r="DV131" s="228">
        <v>0.56000000000000005</v>
      </c>
      <c r="DW131" s="228">
        <v>1.01</v>
      </c>
      <c r="DX131" s="228">
        <v>-0.45</v>
      </c>
      <c r="DY131" s="229">
        <v>-0.44550000000000001</v>
      </c>
      <c r="DZ131" s="229">
        <v>0.66969999999999996</v>
      </c>
      <c r="EA131" s="230">
        <v>2775600</v>
      </c>
      <c r="EB131" s="229">
        <v>5.4999999999999997E-3</v>
      </c>
      <c r="EC131" s="229">
        <v>0.66969999999999996</v>
      </c>
      <c r="ED131" s="228">
        <v>8.91</v>
      </c>
      <c r="EE131" s="229">
        <v>5.4999999999999997E-3</v>
      </c>
      <c r="EF131" s="230">
        <v>260904</v>
      </c>
      <c r="EG131" s="230">
        <v>515175</v>
      </c>
      <c r="EH131" s="229">
        <v>-0.49359999999999998</v>
      </c>
      <c r="EI131" s="229">
        <v>0.64319999999999999</v>
      </c>
      <c r="EJ131" s="231">
        <v>27307.33</v>
      </c>
      <c r="EK131" s="231">
        <v>14328.43</v>
      </c>
      <c r="EL131" s="231">
        <v>126913.89</v>
      </c>
      <c r="EM131" s="231">
        <v>5386</v>
      </c>
      <c r="EN131" s="231">
        <v>168549.65</v>
      </c>
      <c r="EO131" s="231">
        <v>162013.76999999999</v>
      </c>
      <c r="EP131" s="231">
        <v>6535.88</v>
      </c>
      <c r="EQ131" s="229">
        <v>4.0300000000000002E-2</v>
      </c>
      <c r="ER131" s="231">
        <v>25191</v>
      </c>
      <c r="ES131" s="231">
        <v>15844</v>
      </c>
      <c r="ET131" s="231">
        <v>148474</v>
      </c>
      <c r="EU131" s="231">
        <v>33919851</v>
      </c>
      <c r="EV131" s="231">
        <v>189509</v>
      </c>
      <c r="EW131" s="231">
        <v>195130</v>
      </c>
      <c r="EX131" s="231">
        <v>-5621</v>
      </c>
      <c r="EY131" s="229">
        <v>-2.8799999999999999E-2</v>
      </c>
      <c r="EZ131" s="229">
        <v>0.33950000000000002</v>
      </c>
      <c r="FA131" s="227" t="s">
        <v>556</v>
      </c>
      <c r="FB131" s="161">
        <f t="shared" ref="FB131:FB138" si="2">BX131-CB131</f>
        <v>6090400</v>
      </c>
    </row>
    <row r="132" spans="1:158" ht="17.25" hidden="1" thickBot="1" x14ac:dyDescent="0.3">
      <c r="A132" s="226">
        <v>46044</v>
      </c>
      <c r="B132" s="227" t="s">
        <v>181</v>
      </c>
      <c r="C132" s="227" t="s">
        <v>563</v>
      </c>
      <c r="D132" s="228">
        <v>120</v>
      </c>
      <c r="E132" s="231">
        <v>13337.15</v>
      </c>
      <c r="F132" s="231">
        <v>13141.2</v>
      </c>
      <c r="G132" s="228">
        <v>195.95</v>
      </c>
      <c r="H132" s="229">
        <v>1.49E-2</v>
      </c>
      <c r="I132" s="231">
        <v>13325.45</v>
      </c>
      <c r="J132" s="231">
        <v>13155.05</v>
      </c>
      <c r="K132" s="228">
        <v>170.4</v>
      </c>
      <c r="L132" s="229">
        <v>1.2999999999999999E-2</v>
      </c>
      <c r="M132" s="231">
        <v>13337.15</v>
      </c>
      <c r="N132" s="231">
        <v>13141.2</v>
      </c>
      <c r="O132" s="228">
        <v>195.95</v>
      </c>
      <c r="P132" s="229">
        <v>1.49E-2</v>
      </c>
      <c r="Q132" s="231">
        <v>13357.9</v>
      </c>
      <c r="R132" s="231">
        <v>13182.05</v>
      </c>
      <c r="S132" s="228">
        <v>175.85</v>
      </c>
      <c r="T132" s="229">
        <v>1.3299999999999999E-2</v>
      </c>
      <c r="U132" s="231">
        <v>13422.6</v>
      </c>
      <c r="V132" s="231">
        <v>13248.8</v>
      </c>
      <c r="W132" s="228">
        <v>173.8</v>
      </c>
      <c r="X132" s="229">
        <v>1.3100000000000001E-2</v>
      </c>
      <c r="Y132" s="228">
        <v>11.7</v>
      </c>
      <c r="Z132" s="228">
        <v>-13.85</v>
      </c>
      <c r="AA132" s="228">
        <v>25.55</v>
      </c>
      <c r="AB132" s="229">
        <v>8.9999999999999998E-4</v>
      </c>
      <c r="AC132" s="228">
        <v>11.7</v>
      </c>
      <c r="AD132" s="228">
        <v>-13.85</v>
      </c>
      <c r="AE132" s="228">
        <v>25.55</v>
      </c>
      <c r="AF132" s="229">
        <v>8.9999999999999998E-4</v>
      </c>
      <c r="AG132" s="228">
        <v>32.450000000000003</v>
      </c>
      <c r="AH132" s="228">
        <v>27</v>
      </c>
      <c r="AI132" s="228">
        <v>5.45</v>
      </c>
      <c r="AJ132" s="229">
        <v>2.3999999999999998E-3</v>
      </c>
      <c r="AK132" s="228">
        <v>97.15</v>
      </c>
      <c r="AL132" s="228">
        <v>93.75</v>
      </c>
      <c r="AM132" s="228">
        <v>3.4</v>
      </c>
      <c r="AN132" s="229">
        <v>7.3000000000000001E-3</v>
      </c>
      <c r="AO132" s="231">
        <v>13297.17</v>
      </c>
      <c r="AP132" s="231">
        <v>13321.76</v>
      </c>
      <c r="AQ132" s="228">
        <v>0</v>
      </c>
      <c r="AR132" s="230">
        <v>3153000</v>
      </c>
      <c r="AS132" s="230">
        <v>1734360</v>
      </c>
      <c r="AT132" s="230">
        <v>1418640</v>
      </c>
      <c r="AU132" s="229">
        <v>0.81799999999999995</v>
      </c>
      <c r="AV132" s="230">
        <v>1814040</v>
      </c>
      <c r="AW132" s="230">
        <v>1260480</v>
      </c>
      <c r="AX132" s="230">
        <v>553560</v>
      </c>
      <c r="AY132" s="229">
        <v>0.43919999999999998</v>
      </c>
      <c r="AZ132" s="230">
        <v>1327080</v>
      </c>
      <c r="BA132" s="230">
        <v>456120</v>
      </c>
      <c r="BB132" s="230">
        <v>870960</v>
      </c>
      <c r="BC132" s="229">
        <v>1.9095</v>
      </c>
      <c r="BD132" s="230">
        <v>11880</v>
      </c>
      <c r="BE132" s="230">
        <v>17760</v>
      </c>
      <c r="BF132" s="230">
        <v>-5880</v>
      </c>
      <c r="BG132" s="229">
        <v>-0.33110000000000001</v>
      </c>
      <c r="BH132" s="230">
        <v>86248800</v>
      </c>
      <c r="BI132" s="230">
        <v>121157880</v>
      </c>
      <c r="BJ132" s="230">
        <v>-34909080</v>
      </c>
      <c r="BK132" s="229">
        <v>-0.28810000000000002</v>
      </c>
      <c r="BL132" s="230">
        <v>71658000</v>
      </c>
      <c r="BM132" s="230">
        <v>107366040</v>
      </c>
      <c r="BN132" s="230">
        <v>-35708040</v>
      </c>
      <c r="BO132" s="229">
        <v>-0.33260000000000001</v>
      </c>
      <c r="BP132" s="230">
        <v>161059800</v>
      </c>
      <c r="BQ132" s="230">
        <v>230258280</v>
      </c>
      <c r="BR132" s="230">
        <v>-69198480</v>
      </c>
      <c r="BS132" s="229">
        <v>-0.30049999999999999</v>
      </c>
      <c r="BT132" s="228">
        <v>0</v>
      </c>
      <c r="BU132" s="228">
        <v>0</v>
      </c>
      <c r="BV132" s="228">
        <v>0</v>
      </c>
      <c r="BW132" s="229">
        <v>0</v>
      </c>
      <c r="BX132" s="230">
        <v>2627040</v>
      </c>
      <c r="BY132" s="230">
        <v>2670240</v>
      </c>
      <c r="BZ132" s="230">
        <v>-43200</v>
      </c>
      <c r="CA132" s="229">
        <v>-1.6199999999999999E-2</v>
      </c>
      <c r="CB132" s="230">
        <v>1272600</v>
      </c>
      <c r="CC132" s="230">
        <v>2294280</v>
      </c>
      <c r="CD132" s="230">
        <v>-1021680</v>
      </c>
      <c r="CE132" s="229">
        <v>-0.44529999999999997</v>
      </c>
      <c r="CF132" s="230">
        <v>1321440</v>
      </c>
      <c r="CG132" s="230">
        <v>344760</v>
      </c>
      <c r="CH132" s="230">
        <v>976680</v>
      </c>
      <c r="CI132" s="229">
        <v>2.8329</v>
      </c>
      <c r="CJ132" s="230">
        <v>33000</v>
      </c>
      <c r="CK132" s="230">
        <v>31200</v>
      </c>
      <c r="CL132" s="230">
        <v>1800</v>
      </c>
      <c r="CM132" s="229">
        <v>5.7700000000000001E-2</v>
      </c>
      <c r="CN132" s="230">
        <v>15685560</v>
      </c>
      <c r="CO132" s="230">
        <v>15699120</v>
      </c>
      <c r="CP132" s="230">
        <v>-13560</v>
      </c>
      <c r="CQ132" s="229">
        <v>-8.9999999999999998E-4</v>
      </c>
      <c r="CR132" s="230">
        <v>11595000</v>
      </c>
      <c r="CS132" s="230">
        <v>10592160</v>
      </c>
      <c r="CT132" s="230">
        <v>1002840</v>
      </c>
      <c r="CU132" s="229">
        <v>9.4700000000000006E-2</v>
      </c>
      <c r="CV132" s="230">
        <v>29907600</v>
      </c>
      <c r="CW132" s="230">
        <v>28961520</v>
      </c>
      <c r="CX132" s="230">
        <v>946080</v>
      </c>
      <c r="CY132" s="229">
        <v>3.27E-2</v>
      </c>
      <c r="CZ132" s="228">
        <v>20.54</v>
      </c>
      <c r="DA132" s="228">
        <v>19.25</v>
      </c>
      <c r="DB132" s="228">
        <v>1.29</v>
      </c>
      <c r="DC132" s="228">
        <v>1.29</v>
      </c>
      <c r="DD132" s="228">
        <v>21.56</v>
      </c>
      <c r="DE132" s="228">
        <v>21.53</v>
      </c>
      <c r="DF132" s="228">
        <v>-1.02</v>
      </c>
      <c r="DG132" s="228">
        <v>0.03</v>
      </c>
      <c r="DH132" s="228">
        <v>19.64</v>
      </c>
      <c r="DI132" s="228">
        <v>19.72</v>
      </c>
      <c r="DJ132" s="228">
        <v>-0.08</v>
      </c>
      <c r="DK132" s="228">
        <v>-0.08</v>
      </c>
      <c r="DL132" s="228">
        <v>21.58</v>
      </c>
      <c r="DM132" s="228">
        <v>18.71</v>
      </c>
      <c r="DN132" s="228">
        <v>2.87</v>
      </c>
      <c r="DO132" s="228">
        <v>2.87</v>
      </c>
      <c r="DP132" s="228">
        <v>0.74</v>
      </c>
      <c r="DQ132" s="228">
        <v>0.67</v>
      </c>
      <c r="DR132" s="228">
        <v>7.0000000000000007E-2</v>
      </c>
      <c r="DS132" s="229">
        <v>0.1045</v>
      </c>
      <c r="DT132" s="231">
        <v>14000</v>
      </c>
      <c r="DU132" s="231">
        <v>13000</v>
      </c>
      <c r="DV132" s="228">
        <v>0.83</v>
      </c>
      <c r="DW132" s="228">
        <v>0.89</v>
      </c>
      <c r="DX132" s="228">
        <v>-0.06</v>
      </c>
      <c r="DY132" s="229">
        <v>-6.7400000000000002E-2</v>
      </c>
      <c r="DZ132" s="229">
        <v>0.51559999999999995</v>
      </c>
      <c r="EA132" s="230">
        <v>375960</v>
      </c>
      <c r="EB132" s="229">
        <v>1.6000000000000001E-3</v>
      </c>
      <c r="EC132" s="229">
        <v>0.51559999999999995</v>
      </c>
      <c r="ED132" s="228">
        <v>24.59</v>
      </c>
      <c r="EE132" s="229">
        <v>1.8E-3</v>
      </c>
      <c r="EF132" s="228">
        <v>0</v>
      </c>
      <c r="EG132" s="228">
        <v>0</v>
      </c>
      <c r="EH132" s="229">
        <v>0</v>
      </c>
      <c r="EI132" s="229">
        <v>0</v>
      </c>
      <c r="EJ132" s="231">
        <v>11753137.85</v>
      </c>
      <c r="EK132" s="231">
        <v>9409064.6099999994</v>
      </c>
      <c r="EL132" s="231">
        <v>419598.77</v>
      </c>
      <c r="EM132" s="228">
        <v>0</v>
      </c>
      <c r="EN132" s="231">
        <v>21581801.23</v>
      </c>
      <c r="EO132" s="231">
        <v>30709618.329999998</v>
      </c>
      <c r="EP132" s="231">
        <v>-9127817.0999999996</v>
      </c>
      <c r="EQ132" s="229">
        <v>-0.29720000000000002</v>
      </c>
      <c r="ER132" s="231">
        <v>2171868</v>
      </c>
      <c r="ES132" s="231">
        <v>1522337</v>
      </c>
      <c r="ET132" s="231">
        <v>350675</v>
      </c>
      <c r="EU132" s="228">
        <v>0</v>
      </c>
      <c r="EV132" s="231">
        <v>4044879</v>
      </c>
      <c r="EW132" s="231">
        <v>3915788</v>
      </c>
      <c r="EX132" s="231">
        <v>129091</v>
      </c>
      <c r="EY132" s="229">
        <v>3.3000000000000002E-2</v>
      </c>
      <c r="EZ132" s="229">
        <v>0</v>
      </c>
      <c r="FA132" s="227" t="s">
        <v>556</v>
      </c>
      <c r="FB132" s="161">
        <f t="shared" si="2"/>
        <v>1354440</v>
      </c>
    </row>
    <row r="133" spans="1:158" ht="17.25" hidden="1" thickBot="1" x14ac:dyDescent="0.3">
      <c r="A133" s="226">
        <v>46044</v>
      </c>
      <c r="B133" s="227" t="s">
        <v>162</v>
      </c>
      <c r="C133" s="227" t="s">
        <v>559</v>
      </c>
      <c r="D133" s="228">
        <v>6150</v>
      </c>
      <c r="E133" s="228">
        <v>111.52</v>
      </c>
      <c r="F133" s="228">
        <v>109.66</v>
      </c>
      <c r="G133" s="228">
        <v>1.86</v>
      </c>
      <c r="H133" s="229">
        <v>1.7000000000000001E-2</v>
      </c>
      <c r="I133" s="228">
        <v>111.33</v>
      </c>
      <c r="J133" s="228">
        <v>109.67</v>
      </c>
      <c r="K133" s="228">
        <v>1.66</v>
      </c>
      <c r="L133" s="229">
        <v>1.5100000000000001E-2</v>
      </c>
      <c r="M133" s="228">
        <v>111.52</v>
      </c>
      <c r="N133" s="228">
        <v>109.66</v>
      </c>
      <c r="O133" s="228">
        <v>1.86</v>
      </c>
      <c r="P133" s="229">
        <v>1.7000000000000001E-2</v>
      </c>
      <c r="Q133" s="228">
        <v>112.1</v>
      </c>
      <c r="R133" s="228">
        <v>110.24</v>
      </c>
      <c r="S133" s="228">
        <v>1.86</v>
      </c>
      <c r="T133" s="229">
        <v>1.6899999999999998E-2</v>
      </c>
      <c r="U133" s="228">
        <v>112.91</v>
      </c>
      <c r="V133" s="228">
        <v>111.16</v>
      </c>
      <c r="W133" s="228">
        <v>1.75</v>
      </c>
      <c r="X133" s="229">
        <v>1.5699999999999999E-2</v>
      </c>
      <c r="Y133" s="228">
        <v>0.19</v>
      </c>
      <c r="Z133" s="228">
        <v>-0.01</v>
      </c>
      <c r="AA133" s="228">
        <v>0.2</v>
      </c>
      <c r="AB133" s="229">
        <v>1.6999999999999999E-3</v>
      </c>
      <c r="AC133" s="228">
        <v>0.19</v>
      </c>
      <c r="AD133" s="228">
        <v>-0.01</v>
      </c>
      <c r="AE133" s="228">
        <v>0.2</v>
      </c>
      <c r="AF133" s="229">
        <v>1.6999999999999999E-3</v>
      </c>
      <c r="AG133" s="228">
        <v>0.77</v>
      </c>
      <c r="AH133" s="228">
        <v>0.56999999999999995</v>
      </c>
      <c r="AI133" s="228">
        <v>0.2</v>
      </c>
      <c r="AJ133" s="229">
        <v>6.8999999999999999E-3</v>
      </c>
      <c r="AK133" s="228">
        <v>1.58</v>
      </c>
      <c r="AL133" s="228">
        <v>1.49</v>
      </c>
      <c r="AM133" s="228">
        <v>0.09</v>
      </c>
      <c r="AN133" s="229">
        <v>1.4200000000000001E-2</v>
      </c>
      <c r="AO133" s="228">
        <v>112.03</v>
      </c>
      <c r="AP133" s="228">
        <v>112.57</v>
      </c>
      <c r="AQ133" s="228">
        <v>0</v>
      </c>
      <c r="AR133" s="230">
        <v>132840000</v>
      </c>
      <c r="AS133" s="230">
        <v>115921350</v>
      </c>
      <c r="AT133" s="230">
        <v>16918650</v>
      </c>
      <c r="AU133" s="229">
        <v>0.1459</v>
      </c>
      <c r="AV133" s="230">
        <v>66266250</v>
      </c>
      <c r="AW133" s="230">
        <v>59482800</v>
      </c>
      <c r="AX133" s="230">
        <v>6783450</v>
      </c>
      <c r="AY133" s="229">
        <v>0.114</v>
      </c>
      <c r="AZ133" s="230">
        <v>66032550</v>
      </c>
      <c r="BA133" s="230">
        <v>55805100</v>
      </c>
      <c r="BB133" s="230">
        <v>10227450</v>
      </c>
      <c r="BC133" s="229">
        <v>0.18329999999999999</v>
      </c>
      <c r="BD133" s="230">
        <v>541200</v>
      </c>
      <c r="BE133" s="230">
        <v>633450</v>
      </c>
      <c r="BF133" s="230">
        <v>-92250</v>
      </c>
      <c r="BG133" s="229">
        <v>-0.14560000000000001</v>
      </c>
      <c r="BH133" s="230">
        <v>97379100</v>
      </c>
      <c r="BI133" s="230">
        <v>136892850</v>
      </c>
      <c r="BJ133" s="230">
        <v>-39513750</v>
      </c>
      <c r="BK133" s="229">
        <v>-0.28860000000000002</v>
      </c>
      <c r="BL133" s="230">
        <v>34950450</v>
      </c>
      <c r="BM133" s="230">
        <v>55743600</v>
      </c>
      <c r="BN133" s="230">
        <v>-20793150</v>
      </c>
      <c r="BO133" s="229">
        <v>-0.373</v>
      </c>
      <c r="BP133" s="230">
        <v>265169550</v>
      </c>
      <c r="BQ133" s="230">
        <v>308557800</v>
      </c>
      <c r="BR133" s="230">
        <v>-43388250</v>
      </c>
      <c r="BS133" s="229">
        <v>-0.1406</v>
      </c>
      <c r="BT133" s="230">
        <v>10508624</v>
      </c>
      <c r="BU133" s="230">
        <v>17879852</v>
      </c>
      <c r="BV133" s="230">
        <v>-7371228</v>
      </c>
      <c r="BW133" s="229">
        <v>-0.4123</v>
      </c>
      <c r="BX133" s="230">
        <v>177728850</v>
      </c>
      <c r="BY133" s="230">
        <v>175613250</v>
      </c>
      <c r="BZ133" s="230">
        <v>2115600</v>
      </c>
      <c r="CA133" s="229">
        <v>1.2E-2</v>
      </c>
      <c r="CB133" s="230">
        <v>74913150</v>
      </c>
      <c r="CC133" s="230">
        <v>122969250</v>
      </c>
      <c r="CD133" s="230">
        <v>-48056100</v>
      </c>
      <c r="CE133" s="229">
        <v>-0.39079999999999998</v>
      </c>
      <c r="CF133" s="230">
        <v>100884600</v>
      </c>
      <c r="CG133" s="230">
        <v>50768250</v>
      </c>
      <c r="CH133" s="230">
        <v>50116350</v>
      </c>
      <c r="CI133" s="229">
        <v>0.98719999999999997</v>
      </c>
      <c r="CJ133" s="230">
        <v>1931100</v>
      </c>
      <c r="CK133" s="230">
        <v>1875750</v>
      </c>
      <c r="CL133" s="230">
        <v>55350</v>
      </c>
      <c r="CM133" s="229">
        <v>2.9499999999999998E-2</v>
      </c>
      <c r="CN133" s="230">
        <v>69962400</v>
      </c>
      <c r="CO133" s="230">
        <v>76444500</v>
      </c>
      <c r="CP133" s="230">
        <v>-6482100</v>
      </c>
      <c r="CQ133" s="229">
        <v>-8.48E-2</v>
      </c>
      <c r="CR133" s="230">
        <v>37638000</v>
      </c>
      <c r="CS133" s="230">
        <v>37225950</v>
      </c>
      <c r="CT133" s="230">
        <v>412050</v>
      </c>
      <c r="CU133" s="229">
        <v>1.11E-2</v>
      </c>
      <c r="CV133" s="230">
        <v>285329250</v>
      </c>
      <c r="CW133" s="230">
        <v>289283700</v>
      </c>
      <c r="CX133" s="230">
        <v>-3954450</v>
      </c>
      <c r="CY133" s="229">
        <v>-1.37E-2</v>
      </c>
      <c r="CZ133" s="228">
        <v>37.26</v>
      </c>
      <c r="DA133" s="228">
        <v>35.65</v>
      </c>
      <c r="DB133" s="228">
        <v>1.61</v>
      </c>
      <c r="DC133" s="228">
        <v>1.61</v>
      </c>
      <c r="DD133" s="228">
        <v>38.1</v>
      </c>
      <c r="DE133" s="228">
        <v>38.130000000000003</v>
      </c>
      <c r="DF133" s="228">
        <v>-0.84</v>
      </c>
      <c r="DG133" s="228">
        <v>-0.03</v>
      </c>
      <c r="DH133" s="228">
        <v>37.67</v>
      </c>
      <c r="DI133" s="228">
        <v>36.46</v>
      </c>
      <c r="DJ133" s="228">
        <v>1.21</v>
      </c>
      <c r="DK133" s="228">
        <v>1.21</v>
      </c>
      <c r="DL133" s="228">
        <v>36.53</v>
      </c>
      <c r="DM133" s="228">
        <v>33.67</v>
      </c>
      <c r="DN133" s="228">
        <v>2.86</v>
      </c>
      <c r="DO133" s="228">
        <v>2.86</v>
      </c>
      <c r="DP133" s="228">
        <v>0.54</v>
      </c>
      <c r="DQ133" s="228">
        <v>0.49</v>
      </c>
      <c r="DR133" s="228">
        <v>0.05</v>
      </c>
      <c r="DS133" s="229">
        <v>0.10199999999999999</v>
      </c>
      <c r="DT133" s="228">
        <v>130</v>
      </c>
      <c r="DU133" s="228">
        <v>112</v>
      </c>
      <c r="DV133" s="228">
        <v>0.36</v>
      </c>
      <c r="DW133" s="228">
        <v>0.41</v>
      </c>
      <c r="DX133" s="228">
        <v>-0.05</v>
      </c>
      <c r="DY133" s="229">
        <v>-0.122</v>
      </c>
      <c r="DZ133" s="229">
        <v>0.57850000000000001</v>
      </c>
      <c r="EA133" s="230">
        <v>52644000</v>
      </c>
      <c r="EB133" s="229">
        <v>5.1999999999999998E-3</v>
      </c>
      <c r="EC133" s="229">
        <v>0.57850000000000001</v>
      </c>
      <c r="ED133" s="228">
        <v>0.54</v>
      </c>
      <c r="EE133" s="229">
        <v>4.7999999999999996E-3</v>
      </c>
      <c r="EF133" s="230">
        <v>3391280</v>
      </c>
      <c r="EG133" s="230">
        <v>6079717</v>
      </c>
      <c r="EH133" s="229">
        <v>-0.44219999999999998</v>
      </c>
      <c r="EI133" s="229">
        <v>0.32269999999999999</v>
      </c>
      <c r="EJ133" s="231">
        <v>115221.78</v>
      </c>
      <c r="EK133" s="231">
        <v>38802.33</v>
      </c>
      <c r="EL133" s="231">
        <v>149179.46</v>
      </c>
      <c r="EM133" s="231">
        <v>9065</v>
      </c>
      <c r="EN133" s="231">
        <v>303203.57</v>
      </c>
      <c r="EO133" s="231">
        <v>346189.77</v>
      </c>
      <c r="EP133" s="231">
        <v>-42986.2</v>
      </c>
      <c r="EQ133" s="229">
        <v>-0.1242</v>
      </c>
      <c r="ER133" s="231">
        <v>85099</v>
      </c>
      <c r="ES133" s="231">
        <v>42483</v>
      </c>
      <c r="ET133" s="231">
        <v>198815</v>
      </c>
      <c r="EU133" s="231">
        <v>606151620</v>
      </c>
      <c r="EV133" s="231">
        <v>326397</v>
      </c>
      <c r="EW133" s="231">
        <v>327684</v>
      </c>
      <c r="EX133" s="231">
        <v>-1287</v>
      </c>
      <c r="EY133" s="229">
        <v>-3.8999999999999998E-3</v>
      </c>
      <c r="EZ133" s="229">
        <v>0.47070000000000001</v>
      </c>
      <c r="FA133" s="227" t="s">
        <v>555</v>
      </c>
      <c r="FB133" s="161">
        <f t="shared" si="2"/>
        <v>102815700</v>
      </c>
    </row>
    <row r="134" spans="1:158" ht="17.25" hidden="1" thickBot="1" x14ac:dyDescent="0.3">
      <c r="A134" s="226">
        <v>46044</v>
      </c>
      <c r="B134" s="227" t="s">
        <v>221</v>
      </c>
      <c r="C134" s="227" t="s">
        <v>487</v>
      </c>
      <c r="D134" s="228">
        <v>275</v>
      </c>
      <c r="E134" s="231">
        <v>2808.2</v>
      </c>
      <c r="F134" s="231">
        <v>2792.6</v>
      </c>
      <c r="G134" s="228">
        <v>15.6</v>
      </c>
      <c r="H134" s="229">
        <v>5.5999999999999999E-3</v>
      </c>
      <c r="I134" s="231">
        <v>2810.1</v>
      </c>
      <c r="J134" s="231">
        <v>2798.9</v>
      </c>
      <c r="K134" s="228">
        <v>11.2</v>
      </c>
      <c r="L134" s="229">
        <v>4.0000000000000001E-3</v>
      </c>
      <c r="M134" s="231">
        <v>2808.2</v>
      </c>
      <c r="N134" s="231">
        <v>2792.6</v>
      </c>
      <c r="O134" s="228">
        <v>15.6</v>
      </c>
      <c r="P134" s="229">
        <v>5.5999999999999999E-3</v>
      </c>
      <c r="Q134" s="231">
        <v>2824.4</v>
      </c>
      <c r="R134" s="231">
        <v>2808.6</v>
      </c>
      <c r="S134" s="228">
        <v>15.8</v>
      </c>
      <c r="T134" s="229">
        <v>5.5999999999999999E-3</v>
      </c>
      <c r="U134" s="231">
        <v>2844.5</v>
      </c>
      <c r="V134" s="231">
        <v>2806.8</v>
      </c>
      <c r="W134" s="228">
        <v>37.700000000000003</v>
      </c>
      <c r="X134" s="229">
        <v>1.34E-2</v>
      </c>
      <c r="Y134" s="228">
        <v>-1.9</v>
      </c>
      <c r="Z134" s="228">
        <v>-6.3</v>
      </c>
      <c r="AA134" s="228">
        <v>4.4000000000000004</v>
      </c>
      <c r="AB134" s="229">
        <v>-6.9999999999999999E-4</v>
      </c>
      <c r="AC134" s="228">
        <v>-1.9</v>
      </c>
      <c r="AD134" s="228">
        <v>-6.3</v>
      </c>
      <c r="AE134" s="228">
        <v>4.4000000000000004</v>
      </c>
      <c r="AF134" s="229">
        <v>-6.9999999999999999E-4</v>
      </c>
      <c r="AG134" s="228">
        <v>14.3</v>
      </c>
      <c r="AH134" s="228">
        <v>9.6999999999999993</v>
      </c>
      <c r="AI134" s="228">
        <v>4.5999999999999996</v>
      </c>
      <c r="AJ134" s="229">
        <v>5.1000000000000004E-3</v>
      </c>
      <c r="AK134" s="228">
        <v>34.4</v>
      </c>
      <c r="AL134" s="228">
        <v>7.9</v>
      </c>
      <c r="AM134" s="228">
        <v>26.5</v>
      </c>
      <c r="AN134" s="229">
        <v>1.2200000000000001E-2</v>
      </c>
      <c r="AO134" s="231">
        <v>2836.48</v>
      </c>
      <c r="AP134" s="231">
        <v>2852.35</v>
      </c>
      <c r="AQ134" s="228">
        <v>0</v>
      </c>
      <c r="AR134" s="230">
        <v>5028925</v>
      </c>
      <c r="AS134" s="230">
        <v>6003800</v>
      </c>
      <c r="AT134" s="230">
        <v>-974875</v>
      </c>
      <c r="AU134" s="229">
        <v>-0.16239999999999999</v>
      </c>
      <c r="AV134" s="230">
        <v>2682900</v>
      </c>
      <c r="AW134" s="230">
        <v>3514225</v>
      </c>
      <c r="AX134" s="230">
        <v>-831325</v>
      </c>
      <c r="AY134" s="229">
        <v>-0.2366</v>
      </c>
      <c r="AZ134" s="230">
        <v>2342725</v>
      </c>
      <c r="BA134" s="230">
        <v>2484350</v>
      </c>
      <c r="BB134" s="230">
        <v>-141625</v>
      </c>
      <c r="BC134" s="229">
        <v>-5.7000000000000002E-2</v>
      </c>
      <c r="BD134" s="230">
        <v>3300</v>
      </c>
      <c r="BE134" s="230">
        <v>5225</v>
      </c>
      <c r="BF134" s="230">
        <v>-1925</v>
      </c>
      <c r="BG134" s="229">
        <v>-0.36840000000000001</v>
      </c>
      <c r="BH134" s="230">
        <v>3278550</v>
      </c>
      <c r="BI134" s="230">
        <v>1967625</v>
      </c>
      <c r="BJ134" s="230">
        <v>1310925</v>
      </c>
      <c r="BK134" s="229">
        <v>0.66620000000000001</v>
      </c>
      <c r="BL134" s="230">
        <v>2476100</v>
      </c>
      <c r="BM134" s="230">
        <v>3096775</v>
      </c>
      <c r="BN134" s="230">
        <v>-620675</v>
      </c>
      <c r="BO134" s="229">
        <v>-0.20039999999999999</v>
      </c>
      <c r="BP134" s="230">
        <v>10783575</v>
      </c>
      <c r="BQ134" s="230">
        <v>11068200</v>
      </c>
      <c r="BR134" s="230">
        <v>-284625</v>
      </c>
      <c r="BS134" s="229">
        <v>-2.5700000000000001E-2</v>
      </c>
      <c r="BT134" s="230">
        <v>346951</v>
      </c>
      <c r="BU134" s="230">
        <v>1468950</v>
      </c>
      <c r="BV134" s="230">
        <v>-1121999</v>
      </c>
      <c r="BW134" s="229">
        <v>-0.76380000000000003</v>
      </c>
      <c r="BX134" s="230">
        <v>4787475</v>
      </c>
      <c r="BY134" s="230">
        <v>4818000</v>
      </c>
      <c r="BZ134" s="230">
        <v>-30525</v>
      </c>
      <c r="CA134" s="229">
        <v>-6.3E-3</v>
      </c>
      <c r="CB134" s="230">
        <v>1694000</v>
      </c>
      <c r="CC134" s="230">
        <v>3191650</v>
      </c>
      <c r="CD134" s="230">
        <v>-1497650</v>
      </c>
      <c r="CE134" s="229">
        <v>-0.46920000000000001</v>
      </c>
      <c r="CF134" s="230">
        <v>3081375</v>
      </c>
      <c r="CG134" s="230">
        <v>1615625</v>
      </c>
      <c r="CH134" s="230">
        <v>1465750</v>
      </c>
      <c r="CI134" s="229">
        <v>0.90720000000000001</v>
      </c>
      <c r="CJ134" s="230">
        <v>12100</v>
      </c>
      <c r="CK134" s="230">
        <v>10725</v>
      </c>
      <c r="CL134" s="230">
        <v>1375</v>
      </c>
      <c r="CM134" s="229">
        <v>0.12820000000000001</v>
      </c>
      <c r="CN134" s="230">
        <v>1294150</v>
      </c>
      <c r="CO134" s="230">
        <v>1162700</v>
      </c>
      <c r="CP134" s="230">
        <v>131450</v>
      </c>
      <c r="CQ134" s="229">
        <v>0.11310000000000001</v>
      </c>
      <c r="CR134" s="230">
        <v>965800</v>
      </c>
      <c r="CS134" s="230">
        <v>938575</v>
      </c>
      <c r="CT134" s="230">
        <v>27225</v>
      </c>
      <c r="CU134" s="229">
        <v>2.9000000000000001E-2</v>
      </c>
      <c r="CV134" s="230">
        <v>7047425</v>
      </c>
      <c r="CW134" s="230">
        <v>6919275</v>
      </c>
      <c r="CX134" s="230">
        <v>128150</v>
      </c>
      <c r="CY134" s="229">
        <v>1.8499999999999999E-2</v>
      </c>
      <c r="CZ134" s="228">
        <v>35.04</v>
      </c>
      <c r="DA134" s="228">
        <v>44.88</v>
      </c>
      <c r="DB134" s="228">
        <v>-9.84</v>
      </c>
      <c r="DC134" s="228">
        <v>-9.84</v>
      </c>
      <c r="DD134" s="228">
        <v>35.21</v>
      </c>
      <c r="DE134" s="228">
        <v>35.29</v>
      </c>
      <c r="DF134" s="228">
        <v>-0.17</v>
      </c>
      <c r="DG134" s="228">
        <v>-0.08</v>
      </c>
      <c r="DH134" s="228">
        <v>35.19</v>
      </c>
      <c r="DI134" s="228">
        <v>45.08</v>
      </c>
      <c r="DJ134" s="228">
        <v>-9.89</v>
      </c>
      <c r="DK134" s="228">
        <v>-9.89</v>
      </c>
      <c r="DL134" s="228">
        <v>34.869999999999997</v>
      </c>
      <c r="DM134" s="228">
        <v>44.76</v>
      </c>
      <c r="DN134" s="228">
        <v>-9.89</v>
      </c>
      <c r="DO134" s="228">
        <v>-9.89</v>
      </c>
      <c r="DP134" s="228">
        <v>0.75</v>
      </c>
      <c r="DQ134" s="228">
        <v>0.81</v>
      </c>
      <c r="DR134" s="228">
        <v>-0.06</v>
      </c>
      <c r="DS134" s="229">
        <v>-7.4099999999999999E-2</v>
      </c>
      <c r="DT134" s="231">
        <v>3000</v>
      </c>
      <c r="DU134" s="231">
        <v>2700</v>
      </c>
      <c r="DV134" s="228">
        <v>0.76</v>
      </c>
      <c r="DW134" s="228">
        <v>1.57</v>
      </c>
      <c r="DX134" s="228">
        <v>-0.81</v>
      </c>
      <c r="DY134" s="229">
        <v>-0.51590000000000003</v>
      </c>
      <c r="DZ134" s="229">
        <v>0.6462</v>
      </c>
      <c r="EA134" s="230">
        <v>1626350</v>
      </c>
      <c r="EB134" s="229">
        <v>5.7999999999999996E-3</v>
      </c>
      <c r="EC134" s="229">
        <v>0.6462</v>
      </c>
      <c r="ED134" s="228">
        <v>15.87</v>
      </c>
      <c r="EE134" s="229">
        <v>5.5999999999999999E-3</v>
      </c>
      <c r="EF134" s="230">
        <v>151539</v>
      </c>
      <c r="EG134" s="230">
        <v>904606</v>
      </c>
      <c r="EH134" s="229">
        <v>-0.83250000000000002</v>
      </c>
      <c r="EI134" s="229">
        <v>0.43680000000000002</v>
      </c>
      <c r="EJ134" s="231">
        <v>97986.47</v>
      </c>
      <c r="EK134" s="231">
        <v>68381.84</v>
      </c>
      <c r="EL134" s="231">
        <v>143017.31</v>
      </c>
      <c r="EM134" s="231">
        <v>8653</v>
      </c>
      <c r="EN134" s="231">
        <v>309385.62</v>
      </c>
      <c r="EO134" s="231">
        <v>309637.8</v>
      </c>
      <c r="EP134" s="228">
        <v>-252.18</v>
      </c>
      <c r="EQ134" s="229">
        <v>-8.0000000000000004E-4</v>
      </c>
      <c r="ER134" s="231">
        <v>38586</v>
      </c>
      <c r="ES134" s="231">
        <v>26154</v>
      </c>
      <c r="ET134" s="231">
        <v>134945</v>
      </c>
      <c r="EU134" s="231">
        <v>17093933</v>
      </c>
      <c r="EV134" s="231">
        <v>199685</v>
      </c>
      <c r="EW134" s="231">
        <v>194910</v>
      </c>
      <c r="EX134" s="231">
        <v>4775</v>
      </c>
      <c r="EY134" s="229">
        <v>2.4500000000000001E-2</v>
      </c>
      <c r="EZ134" s="229">
        <v>0.4123</v>
      </c>
      <c r="FA134" s="227" t="s">
        <v>556</v>
      </c>
      <c r="FB134" s="161">
        <f t="shared" si="2"/>
        <v>3093475</v>
      </c>
    </row>
    <row r="135" spans="1:158" ht="17.25" hidden="1" thickBot="1" x14ac:dyDescent="0.3">
      <c r="A135" s="226">
        <v>46044</v>
      </c>
      <c r="B135" s="227" t="s">
        <v>175</v>
      </c>
      <c r="C135" s="227" t="s">
        <v>262</v>
      </c>
      <c r="D135" s="228">
        <v>275</v>
      </c>
      <c r="E135" s="231">
        <v>3865.6</v>
      </c>
      <c r="F135" s="231">
        <v>3918.8</v>
      </c>
      <c r="G135" s="228">
        <v>-53.2</v>
      </c>
      <c r="H135" s="229">
        <v>-1.3599999999999999E-2</v>
      </c>
      <c r="I135" s="231">
        <v>3861.9</v>
      </c>
      <c r="J135" s="231">
        <v>3906.6</v>
      </c>
      <c r="K135" s="228">
        <v>-44.7</v>
      </c>
      <c r="L135" s="229">
        <v>-1.14E-2</v>
      </c>
      <c r="M135" s="231">
        <v>3865.6</v>
      </c>
      <c r="N135" s="231">
        <v>3918.8</v>
      </c>
      <c r="O135" s="228">
        <v>-53.2</v>
      </c>
      <c r="P135" s="229">
        <v>-1.3599999999999999E-2</v>
      </c>
      <c r="Q135" s="231">
        <v>3888.5</v>
      </c>
      <c r="R135" s="231">
        <v>3934.9</v>
      </c>
      <c r="S135" s="228">
        <v>-46.4</v>
      </c>
      <c r="T135" s="229">
        <v>-1.18E-2</v>
      </c>
      <c r="U135" s="231">
        <v>3904.5</v>
      </c>
      <c r="V135" s="231">
        <v>3952</v>
      </c>
      <c r="W135" s="228">
        <v>-47.5</v>
      </c>
      <c r="X135" s="229">
        <v>-1.2E-2</v>
      </c>
      <c r="Y135" s="228">
        <v>3.7</v>
      </c>
      <c r="Z135" s="228">
        <v>12.2</v>
      </c>
      <c r="AA135" s="228">
        <v>-8.5</v>
      </c>
      <c r="AB135" s="229">
        <v>1E-3</v>
      </c>
      <c r="AC135" s="228">
        <v>3.7</v>
      </c>
      <c r="AD135" s="228">
        <v>12.2</v>
      </c>
      <c r="AE135" s="228">
        <v>-8.5</v>
      </c>
      <c r="AF135" s="229">
        <v>1E-3</v>
      </c>
      <c r="AG135" s="228">
        <v>26.6</v>
      </c>
      <c r="AH135" s="228">
        <v>28.3</v>
      </c>
      <c r="AI135" s="228">
        <v>-1.7</v>
      </c>
      <c r="AJ135" s="229">
        <v>6.8999999999999999E-3</v>
      </c>
      <c r="AK135" s="228">
        <v>42.6</v>
      </c>
      <c r="AL135" s="228">
        <v>45.4</v>
      </c>
      <c r="AM135" s="228">
        <v>-2.8</v>
      </c>
      <c r="AN135" s="229">
        <v>1.0999999999999999E-2</v>
      </c>
      <c r="AO135" s="231">
        <v>3851.48</v>
      </c>
      <c r="AP135" s="231">
        <v>3868.49</v>
      </c>
      <c r="AQ135" s="228">
        <v>0</v>
      </c>
      <c r="AR135" s="230">
        <v>5486525</v>
      </c>
      <c r="AS135" s="230">
        <v>4150025</v>
      </c>
      <c r="AT135" s="230">
        <v>1336500</v>
      </c>
      <c r="AU135" s="229">
        <v>0.32200000000000001</v>
      </c>
      <c r="AV135" s="230">
        <v>2816825</v>
      </c>
      <c r="AW135" s="230">
        <v>2346850</v>
      </c>
      <c r="AX135" s="230">
        <v>469975</v>
      </c>
      <c r="AY135" s="229">
        <v>0.20030000000000001</v>
      </c>
      <c r="AZ135" s="230">
        <v>2641375</v>
      </c>
      <c r="BA135" s="230">
        <v>1766325</v>
      </c>
      <c r="BB135" s="230">
        <v>875050</v>
      </c>
      <c r="BC135" s="229">
        <v>0.49540000000000001</v>
      </c>
      <c r="BD135" s="230">
        <v>28325</v>
      </c>
      <c r="BE135" s="230">
        <v>36850</v>
      </c>
      <c r="BF135" s="230">
        <v>-8525</v>
      </c>
      <c r="BG135" s="229">
        <v>-0.23130000000000001</v>
      </c>
      <c r="BH135" s="230">
        <v>8289600</v>
      </c>
      <c r="BI135" s="230">
        <v>13174700</v>
      </c>
      <c r="BJ135" s="230">
        <v>-4885100</v>
      </c>
      <c r="BK135" s="229">
        <v>-0.37080000000000002</v>
      </c>
      <c r="BL135" s="230">
        <v>8424075</v>
      </c>
      <c r="BM135" s="230">
        <v>5429875</v>
      </c>
      <c r="BN135" s="230">
        <v>2994200</v>
      </c>
      <c r="BO135" s="229">
        <v>0.5514</v>
      </c>
      <c r="BP135" s="230">
        <v>22200200</v>
      </c>
      <c r="BQ135" s="230">
        <v>22754600</v>
      </c>
      <c r="BR135" s="230">
        <v>-554400</v>
      </c>
      <c r="BS135" s="229">
        <v>-2.4400000000000002E-2</v>
      </c>
      <c r="BT135" s="230">
        <v>761013</v>
      </c>
      <c r="BU135" s="230">
        <v>1161284</v>
      </c>
      <c r="BV135" s="230">
        <v>-400271</v>
      </c>
      <c r="BW135" s="229">
        <v>-0.34470000000000001</v>
      </c>
      <c r="BX135" s="230">
        <v>4139300</v>
      </c>
      <c r="BY135" s="230">
        <v>4083200</v>
      </c>
      <c r="BZ135" s="230">
        <v>56100</v>
      </c>
      <c r="CA135" s="229">
        <v>1.37E-2</v>
      </c>
      <c r="CB135" s="230">
        <v>1357125</v>
      </c>
      <c r="CC135" s="230">
        <v>2851750</v>
      </c>
      <c r="CD135" s="230">
        <v>-1494625</v>
      </c>
      <c r="CE135" s="229">
        <v>-0.52410000000000001</v>
      </c>
      <c r="CF135" s="230">
        <v>2748900</v>
      </c>
      <c r="CG135" s="230">
        <v>1202575</v>
      </c>
      <c r="CH135" s="230">
        <v>1546325</v>
      </c>
      <c r="CI135" s="229">
        <v>1.2858000000000001</v>
      </c>
      <c r="CJ135" s="230">
        <v>33275</v>
      </c>
      <c r="CK135" s="230">
        <v>28875</v>
      </c>
      <c r="CL135" s="230">
        <v>4400</v>
      </c>
      <c r="CM135" s="229">
        <v>0.15240000000000001</v>
      </c>
      <c r="CN135" s="230">
        <v>2382875</v>
      </c>
      <c r="CO135" s="230">
        <v>2372700</v>
      </c>
      <c r="CP135" s="230">
        <v>10175</v>
      </c>
      <c r="CQ135" s="229">
        <v>4.3E-3</v>
      </c>
      <c r="CR135" s="230">
        <v>1523225</v>
      </c>
      <c r="CS135" s="230">
        <v>1423675</v>
      </c>
      <c r="CT135" s="230">
        <v>99550</v>
      </c>
      <c r="CU135" s="229">
        <v>6.9900000000000004E-2</v>
      </c>
      <c r="CV135" s="230">
        <v>8045400</v>
      </c>
      <c r="CW135" s="230">
        <v>7879575</v>
      </c>
      <c r="CX135" s="230">
        <v>165825</v>
      </c>
      <c r="CY135" s="229">
        <v>2.1000000000000001E-2</v>
      </c>
      <c r="CZ135" s="228">
        <v>36.14</v>
      </c>
      <c r="DA135" s="228">
        <v>31.28</v>
      </c>
      <c r="DB135" s="228">
        <v>4.8600000000000003</v>
      </c>
      <c r="DC135" s="228">
        <v>4.8600000000000003</v>
      </c>
      <c r="DD135" s="228">
        <v>34.979999999999997</v>
      </c>
      <c r="DE135" s="228">
        <v>35.020000000000003</v>
      </c>
      <c r="DF135" s="228">
        <v>1.1599999999999999</v>
      </c>
      <c r="DG135" s="228">
        <v>-0.04</v>
      </c>
      <c r="DH135" s="228">
        <v>35.200000000000003</v>
      </c>
      <c r="DI135" s="228">
        <v>31.16</v>
      </c>
      <c r="DJ135" s="228">
        <v>4.04</v>
      </c>
      <c r="DK135" s="228">
        <v>4.04</v>
      </c>
      <c r="DL135" s="228">
        <v>37.19</v>
      </c>
      <c r="DM135" s="228">
        <v>31.57</v>
      </c>
      <c r="DN135" s="228">
        <v>5.62</v>
      </c>
      <c r="DO135" s="228">
        <v>5.62</v>
      </c>
      <c r="DP135" s="228">
        <v>0.64</v>
      </c>
      <c r="DQ135" s="228">
        <v>0.6</v>
      </c>
      <c r="DR135" s="228">
        <v>0.04</v>
      </c>
      <c r="DS135" s="229">
        <v>6.6699999999999995E-2</v>
      </c>
      <c r="DT135" s="231">
        <v>4000</v>
      </c>
      <c r="DU135" s="231">
        <v>3800</v>
      </c>
      <c r="DV135" s="228">
        <v>1.02</v>
      </c>
      <c r="DW135" s="228">
        <v>0.41</v>
      </c>
      <c r="DX135" s="228">
        <v>0.61</v>
      </c>
      <c r="DY135" s="229">
        <v>1.4878</v>
      </c>
      <c r="DZ135" s="229">
        <v>0.67210000000000003</v>
      </c>
      <c r="EA135" s="230">
        <v>1231450</v>
      </c>
      <c r="EB135" s="229">
        <v>5.8999999999999999E-3</v>
      </c>
      <c r="EC135" s="229">
        <v>0.67210000000000003</v>
      </c>
      <c r="ED135" s="228">
        <v>17.010000000000002</v>
      </c>
      <c r="EE135" s="229">
        <v>4.4000000000000003E-3</v>
      </c>
      <c r="EF135" s="230">
        <v>307055</v>
      </c>
      <c r="EG135" s="230">
        <v>504279</v>
      </c>
      <c r="EH135" s="229">
        <v>-0.3911</v>
      </c>
      <c r="EI135" s="229">
        <v>0.40350000000000003</v>
      </c>
      <c r="EJ135" s="231">
        <v>333521.98</v>
      </c>
      <c r="EK135" s="231">
        <v>319254.06</v>
      </c>
      <c r="EL135" s="231">
        <v>211773.67</v>
      </c>
      <c r="EM135" s="231">
        <v>5886</v>
      </c>
      <c r="EN135" s="231">
        <v>864549.71</v>
      </c>
      <c r="EO135" s="231">
        <v>915130.36</v>
      </c>
      <c r="EP135" s="231">
        <v>-50580.65</v>
      </c>
      <c r="EQ135" s="229">
        <v>-5.5300000000000002E-2</v>
      </c>
      <c r="ER135" s="231">
        <v>95421</v>
      </c>
      <c r="ES135" s="231">
        <v>56743</v>
      </c>
      <c r="ET135" s="231">
        <v>160651</v>
      </c>
      <c r="EU135" s="231">
        <v>14790848</v>
      </c>
      <c r="EV135" s="231">
        <v>312815</v>
      </c>
      <c r="EW135" s="231">
        <v>309306</v>
      </c>
      <c r="EX135" s="231">
        <v>3509</v>
      </c>
      <c r="EY135" s="229">
        <v>1.1299999999999999E-2</v>
      </c>
      <c r="EZ135" s="229">
        <v>0.54390000000000005</v>
      </c>
      <c r="FA135" s="227" t="s">
        <v>567</v>
      </c>
      <c r="FB135" s="161">
        <f t="shared" si="2"/>
        <v>2782175</v>
      </c>
    </row>
    <row r="136" spans="1:158" ht="17.25" hidden="1" thickBot="1" x14ac:dyDescent="0.3">
      <c r="A136" s="226">
        <v>46044</v>
      </c>
      <c r="B136" s="227" t="s">
        <v>227</v>
      </c>
      <c r="C136" s="227" t="s">
        <v>263</v>
      </c>
      <c r="D136" s="228">
        <v>3750</v>
      </c>
      <c r="E136" s="228">
        <v>364.2</v>
      </c>
      <c r="F136" s="228">
        <v>361.75</v>
      </c>
      <c r="G136" s="228">
        <v>2.4500000000000002</v>
      </c>
      <c r="H136" s="229">
        <v>6.7999999999999996E-3</v>
      </c>
      <c r="I136" s="228">
        <v>364.6</v>
      </c>
      <c r="J136" s="228">
        <v>361.5</v>
      </c>
      <c r="K136" s="228">
        <v>3.1</v>
      </c>
      <c r="L136" s="229">
        <v>8.6E-3</v>
      </c>
      <c r="M136" s="228">
        <v>364.2</v>
      </c>
      <c r="N136" s="228">
        <v>361.75</v>
      </c>
      <c r="O136" s="228">
        <v>2.4500000000000002</v>
      </c>
      <c r="P136" s="229">
        <v>6.7999999999999996E-3</v>
      </c>
      <c r="Q136" s="228">
        <v>363.55</v>
      </c>
      <c r="R136" s="228">
        <v>360.45</v>
      </c>
      <c r="S136" s="228">
        <v>3.1</v>
      </c>
      <c r="T136" s="229">
        <v>8.6E-3</v>
      </c>
      <c r="U136" s="228">
        <v>364.3</v>
      </c>
      <c r="V136" s="228">
        <v>360.8</v>
      </c>
      <c r="W136" s="228">
        <v>3.5</v>
      </c>
      <c r="X136" s="229">
        <v>9.7000000000000003E-3</v>
      </c>
      <c r="Y136" s="228">
        <v>-0.4</v>
      </c>
      <c r="Z136" s="228">
        <v>0.25</v>
      </c>
      <c r="AA136" s="228">
        <v>-0.65</v>
      </c>
      <c r="AB136" s="229">
        <v>-1.1000000000000001E-3</v>
      </c>
      <c r="AC136" s="228">
        <v>-0.4</v>
      </c>
      <c r="AD136" s="228">
        <v>0.25</v>
      </c>
      <c r="AE136" s="228">
        <v>-0.65</v>
      </c>
      <c r="AF136" s="229">
        <v>-1.1000000000000001E-3</v>
      </c>
      <c r="AG136" s="228">
        <v>-1.05</v>
      </c>
      <c r="AH136" s="228">
        <v>-1.05</v>
      </c>
      <c r="AI136" s="228">
        <v>0</v>
      </c>
      <c r="AJ136" s="229">
        <v>-2.8999999999999998E-3</v>
      </c>
      <c r="AK136" s="228">
        <v>-0.3</v>
      </c>
      <c r="AL136" s="228">
        <v>-0.7</v>
      </c>
      <c r="AM136" s="228">
        <v>0.4</v>
      </c>
      <c r="AN136" s="229">
        <v>-8.0000000000000004E-4</v>
      </c>
      <c r="AO136" s="228">
        <v>363.1</v>
      </c>
      <c r="AP136" s="228">
        <v>362.07</v>
      </c>
      <c r="AQ136" s="228">
        <v>0</v>
      </c>
      <c r="AR136" s="230">
        <v>59385000</v>
      </c>
      <c r="AS136" s="230">
        <v>38400000</v>
      </c>
      <c r="AT136" s="230">
        <v>20985000</v>
      </c>
      <c r="AU136" s="229">
        <v>0.54649999999999999</v>
      </c>
      <c r="AV136" s="230">
        <v>31443750</v>
      </c>
      <c r="AW136" s="230">
        <v>23932500</v>
      </c>
      <c r="AX136" s="230">
        <v>7511250</v>
      </c>
      <c r="AY136" s="229">
        <v>0.31390000000000001</v>
      </c>
      <c r="AZ136" s="230">
        <v>27472500</v>
      </c>
      <c r="BA136" s="230">
        <v>14107500</v>
      </c>
      <c r="BB136" s="230">
        <v>13365000</v>
      </c>
      <c r="BC136" s="229">
        <v>0.94740000000000002</v>
      </c>
      <c r="BD136" s="230">
        <v>468750</v>
      </c>
      <c r="BE136" s="230">
        <v>360000</v>
      </c>
      <c r="BF136" s="230">
        <v>108750</v>
      </c>
      <c r="BG136" s="229">
        <v>0.30209999999999998</v>
      </c>
      <c r="BH136" s="230">
        <v>67837500</v>
      </c>
      <c r="BI136" s="230">
        <v>125741250</v>
      </c>
      <c r="BJ136" s="230">
        <v>-57903750</v>
      </c>
      <c r="BK136" s="229">
        <v>-0.46050000000000002</v>
      </c>
      <c r="BL136" s="230">
        <v>46001250</v>
      </c>
      <c r="BM136" s="230">
        <v>64758750</v>
      </c>
      <c r="BN136" s="230">
        <v>-18757500</v>
      </c>
      <c r="BO136" s="229">
        <v>-0.28970000000000001</v>
      </c>
      <c r="BP136" s="230">
        <v>173223750</v>
      </c>
      <c r="BQ136" s="230">
        <v>228900000</v>
      </c>
      <c r="BR136" s="230">
        <v>-55676250</v>
      </c>
      <c r="BS136" s="229">
        <v>-0.2432</v>
      </c>
      <c r="BT136" s="230">
        <v>13830090</v>
      </c>
      <c r="BU136" s="230">
        <v>12768641</v>
      </c>
      <c r="BV136" s="230">
        <v>1061449</v>
      </c>
      <c r="BW136" s="229">
        <v>8.3099999999999993E-2</v>
      </c>
      <c r="BX136" s="230">
        <v>54585000</v>
      </c>
      <c r="BY136" s="230">
        <v>53508750</v>
      </c>
      <c r="BZ136" s="230">
        <v>1076250</v>
      </c>
      <c r="CA136" s="229">
        <v>2.01E-2</v>
      </c>
      <c r="CB136" s="230">
        <v>21513750</v>
      </c>
      <c r="CC136" s="230">
        <v>36202500</v>
      </c>
      <c r="CD136" s="230">
        <v>-14688750</v>
      </c>
      <c r="CE136" s="229">
        <v>-0.40570000000000001</v>
      </c>
      <c r="CF136" s="230">
        <v>32358750</v>
      </c>
      <c r="CG136" s="230">
        <v>16608750</v>
      </c>
      <c r="CH136" s="230">
        <v>15750000</v>
      </c>
      <c r="CI136" s="229">
        <v>0.94830000000000003</v>
      </c>
      <c r="CJ136" s="230">
        <v>712500</v>
      </c>
      <c r="CK136" s="230">
        <v>697500</v>
      </c>
      <c r="CL136" s="230">
        <v>15000</v>
      </c>
      <c r="CM136" s="229">
        <v>2.1499999999999998E-2</v>
      </c>
      <c r="CN136" s="230">
        <v>46046250</v>
      </c>
      <c r="CO136" s="230">
        <v>49293750</v>
      </c>
      <c r="CP136" s="230">
        <v>-3247500</v>
      </c>
      <c r="CQ136" s="229">
        <v>-6.59E-2</v>
      </c>
      <c r="CR136" s="230">
        <v>38486250</v>
      </c>
      <c r="CS136" s="230">
        <v>38816250</v>
      </c>
      <c r="CT136" s="230">
        <v>-330000</v>
      </c>
      <c r="CU136" s="229">
        <v>-8.5000000000000006E-3</v>
      </c>
      <c r="CV136" s="230">
        <v>139117500</v>
      </c>
      <c r="CW136" s="230">
        <v>141618750</v>
      </c>
      <c r="CX136" s="230">
        <v>-2501250</v>
      </c>
      <c r="CY136" s="229">
        <v>-1.77E-2</v>
      </c>
      <c r="CZ136" s="228">
        <v>38.74</v>
      </c>
      <c r="DA136" s="228">
        <v>35.29</v>
      </c>
      <c r="DB136" s="228">
        <v>3.45</v>
      </c>
      <c r="DC136" s="228">
        <v>3.45</v>
      </c>
      <c r="DD136" s="228">
        <v>47.47</v>
      </c>
      <c r="DE136" s="228">
        <v>47.57</v>
      </c>
      <c r="DF136" s="228">
        <v>-8.73</v>
      </c>
      <c r="DG136" s="228">
        <v>-0.1</v>
      </c>
      <c r="DH136" s="228">
        <v>38.369999999999997</v>
      </c>
      <c r="DI136" s="228">
        <v>34.1</v>
      </c>
      <c r="DJ136" s="228">
        <v>4.2699999999999996</v>
      </c>
      <c r="DK136" s="228">
        <v>4.2699999999999996</v>
      </c>
      <c r="DL136" s="228">
        <v>39.26</v>
      </c>
      <c r="DM136" s="228">
        <v>37.6</v>
      </c>
      <c r="DN136" s="228">
        <v>1.66</v>
      </c>
      <c r="DO136" s="228">
        <v>1.66</v>
      </c>
      <c r="DP136" s="228">
        <v>0.84</v>
      </c>
      <c r="DQ136" s="228">
        <v>0.79</v>
      </c>
      <c r="DR136" s="228">
        <v>0.05</v>
      </c>
      <c r="DS136" s="229">
        <v>6.3299999999999995E-2</v>
      </c>
      <c r="DT136" s="228">
        <v>370</v>
      </c>
      <c r="DU136" s="228">
        <v>350</v>
      </c>
      <c r="DV136" s="228">
        <v>0.68</v>
      </c>
      <c r="DW136" s="228">
        <v>0.52</v>
      </c>
      <c r="DX136" s="228">
        <v>0.16</v>
      </c>
      <c r="DY136" s="229">
        <v>0.30769999999999997</v>
      </c>
      <c r="DZ136" s="229">
        <v>0.60589999999999999</v>
      </c>
      <c r="EA136" s="230">
        <v>17306250</v>
      </c>
      <c r="EB136" s="229">
        <v>-1.8E-3</v>
      </c>
      <c r="EC136" s="229">
        <v>0.60589999999999999</v>
      </c>
      <c r="ED136" s="228">
        <v>-1.03</v>
      </c>
      <c r="EE136" s="229">
        <v>-2.8E-3</v>
      </c>
      <c r="EF136" s="230">
        <v>6062162</v>
      </c>
      <c r="EG136" s="230">
        <v>3822203</v>
      </c>
      <c r="EH136" s="229">
        <v>0.58599999999999997</v>
      </c>
      <c r="EI136" s="229">
        <v>0.43830000000000002</v>
      </c>
      <c r="EJ136" s="231">
        <v>255430.66</v>
      </c>
      <c r="EK136" s="231">
        <v>162928.69</v>
      </c>
      <c r="EL136" s="231">
        <v>215340.61</v>
      </c>
      <c r="EM136" s="231">
        <v>7796</v>
      </c>
      <c r="EN136" s="231">
        <v>633699.96</v>
      </c>
      <c r="EO136" s="231">
        <v>835495.19</v>
      </c>
      <c r="EP136" s="231">
        <v>-201795.23</v>
      </c>
      <c r="EQ136" s="229">
        <v>-0.24149999999999999</v>
      </c>
      <c r="ER136" s="231">
        <v>166155</v>
      </c>
      <c r="ES136" s="231">
        <v>126834</v>
      </c>
      <c r="ET136" s="231">
        <v>198589</v>
      </c>
      <c r="EU136" s="231">
        <v>134225816</v>
      </c>
      <c r="EV136" s="231">
        <v>491578</v>
      </c>
      <c r="EW136" s="231">
        <v>498784</v>
      </c>
      <c r="EX136" s="231">
        <v>-7206</v>
      </c>
      <c r="EY136" s="229">
        <v>-1.44E-2</v>
      </c>
      <c r="EZ136" s="229">
        <v>1.0364</v>
      </c>
      <c r="FA136" s="227" t="s">
        <v>555</v>
      </c>
      <c r="FB136" s="161">
        <f t="shared" si="2"/>
        <v>33071250</v>
      </c>
    </row>
    <row r="137" spans="1:158" ht="17.25" hidden="1" thickBot="1" x14ac:dyDescent="0.3">
      <c r="A137" s="226">
        <v>46044</v>
      </c>
      <c r="B137" s="227" t="s">
        <v>615</v>
      </c>
      <c r="C137" s="227" t="s">
        <v>264</v>
      </c>
      <c r="D137" s="228">
        <v>375</v>
      </c>
      <c r="E137" s="231">
        <v>1317.2</v>
      </c>
      <c r="F137" s="231">
        <v>1337.7</v>
      </c>
      <c r="G137" s="228">
        <v>-20.5</v>
      </c>
      <c r="H137" s="229">
        <v>-1.5299999999999999E-2</v>
      </c>
      <c r="I137" s="231">
        <v>1319.5</v>
      </c>
      <c r="J137" s="231">
        <v>1332.9</v>
      </c>
      <c r="K137" s="228">
        <v>-13.4</v>
      </c>
      <c r="L137" s="229">
        <v>-1.01E-2</v>
      </c>
      <c r="M137" s="231">
        <v>1317.2</v>
      </c>
      <c r="N137" s="231">
        <v>1337.7</v>
      </c>
      <c r="O137" s="228">
        <v>-20.5</v>
      </c>
      <c r="P137" s="229">
        <v>-1.5299999999999999E-2</v>
      </c>
      <c r="Q137" s="231">
        <v>1318.1</v>
      </c>
      <c r="R137" s="231">
        <v>1331.3</v>
      </c>
      <c r="S137" s="228">
        <v>-13.2</v>
      </c>
      <c r="T137" s="229">
        <v>-9.9000000000000008E-3</v>
      </c>
      <c r="U137" s="231">
        <v>1324</v>
      </c>
      <c r="V137" s="231">
        <v>1335</v>
      </c>
      <c r="W137" s="228">
        <v>-11</v>
      </c>
      <c r="X137" s="229">
        <v>-8.2000000000000007E-3</v>
      </c>
      <c r="Y137" s="228">
        <v>-2.2999999999999998</v>
      </c>
      <c r="Z137" s="228">
        <v>4.8</v>
      </c>
      <c r="AA137" s="228">
        <v>-7.1</v>
      </c>
      <c r="AB137" s="229">
        <v>-1.6999999999999999E-3</v>
      </c>
      <c r="AC137" s="228">
        <v>-2.2999999999999998</v>
      </c>
      <c r="AD137" s="228">
        <v>4.8</v>
      </c>
      <c r="AE137" s="228">
        <v>-7.1</v>
      </c>
      <c r="AF137" s="229">
        <v>-1.6999999999999999E-3</v>
      </c>
      <c r="AG137" s="228">
        <v>-1.4</v>
      </c>
      <c r="AH137" s="228">
        <v>-1.6</v>
      </c>
      <c r="AI137" s="228">
        <v>0.2</v>
      </c>
      <c r="AJ137" s="229">
        <v>-1.1000000000000001E-3</v>
      </c>
      <c r="AK137" s="228">
        <v>4.5</v>
      </c>
      <c r="AL137" s="228">
        <v>2.1</v>
      </c>
      <c r="AM137" s="228">
        <v>2.4</v>
      </c>
      <c r="AN137" s="229">
        <v>3.3999999999999998E-3</v>
      </c>
      <c r="AO137" s="231">
        <v>1325.88</v>
      </c>
      <c r="AP137" s="231">
        <v>1321.54</v>
      </c>
      <c r="AQ137" s="228">
        <v>0</v>
      </c>
      <c r="AR137" s="230">
        <v>9044625</v>
      </c>
      <c r="AS137" s="230">
        <v>10617375</v>
      </c>
      <c r="AT137" s="230">
        <v>-1572750</v>
      </c>
      <c r="AU137" s="229">
        <v>-0.14810000000000001</v>
      </c>
      <c r="AV137" s="230">
        <v>4668000</v>
      </c>
      <c r="AW137" s="230">
        <v>5812500</v>
      </c>
      <c r="AX137" s="230">
        <v>-1144500</v>
      </c>
      <c r="AY137" s="229">
        <v>-0.19689999999999999</v>
      </c>
      <c r="AZ137" s="230">
        <v>4363500</v>
      </c>
      <c r="BA137" s="230">
        <v>4783500</v>
      </c>
      <c r="BB137" s="230">
        <v>-420000</v>
      </c>
      <c r="BC137" s="229">
        <v>-8.7800000000000003E-2</v>
      </c>
      <c r="BD137" s="230">
        <v>13125</v>
      </c>
      <c r="BE137" s="230">
        <v>21375</v>
      </c>
      <c r="BF137" s="230">
        <v>-8250</v>
      </c>
      <c r="BG137" s="229">
        <v>-0.38600000000000001</v>
      </c>
      <c r="BH137" s="230">
        <v>6081375</v>
      </c>
      <c r="BI137" s="230">
        <v>8836500</v>
      </c>
      <c r="BJ137" s="230">
        <v>-2755125</v>
      </c>
      <c r="BK137" s="229">
        <v>-0.31180000000000002</v>
      </c>
      <c r="BL137" s="230">
        <v>4514250</v>
      </c>
      <c r="BM137" s="230">
        <v>5806875</v>
      </c>
      <c r="BN137" s="230">
        <v>-1292625</v>
      </c>
      <c r="BO137" s="229">
        <v>-0.22259999999999999</v>
      </c>
      <c r="BP137" s="230">
        <v>19640250</v>
      </c>
      <c r="BQ137" s="230">
        <v>25260750</v>
      </c>
      <c r="BR137" s="230">
        <v>-5620500</v>
      </c>
      <c r="BS137" s="229">
        <v>-0.2225</v>
      </c>
      <c r="BT137" s="230">
        <v>1347763</v>
      </c>
      <c r="BU137" s="230">
        <v>2049759</v>
      </c>
      <c r="BV137" s="230">
        <v>-701996</v>
      </c>
      <c r="BW137" s="229">
        <v>-0.34250000000000003</v>
      </c>
      <c r="BX137" s="230">
        <v>8360625</v>
      </c>
      <c r="BY137" s="230">
        <v>8688000</v>
      </c>
      <c r="BZ137" s="230">
        <v>-327375</v>
      </c>
      <c r="CA137" s="229">
        <v>-3.7699999999999997E-2</v>
      </c>
      <c r="CB137" s="230">
        <v>2210250</v>
      </c>
      <c r="CC137" s="230">
        <v>4916625</v>
      </c>
      <c r="CD137" s="230">
        <v>-2706375</v>
      </c>
      <c r="CE137" s="229">
        <v>-0.55049999999999999</v>
      </c>
      <c r="CF137" s="230">
        <v>6116250</v>
      </c>
      <c r="CG137" s="230">
        <v>3739875</v>
      </c>
      <c r="CH137" s="230">
        <v>2376375</v>
      </c>
      <c r="CI137" s="229">
        <v>0.63539999999999996</v>
      </c>
      <c r="CJ137" s="230">
        <v>34125</v>
      </c>
      <c r="CK137" s="230">
        <v>31500</v>
      </c>
      <c r="CL137" s="230">
        <v>2625</v>
      </c>
      <c r="CM137" s="229">
        <v>8.3299999999999999E-2</v>
      </c>
      <c r="CN137" s="230">
        <v>3106500</v>
      </c>
      <c r="CO137" s="230">
        <v>3287250</v>
      </c>
      <c r="CP137" s="230">
        <v>-180750</v>
      </c>
      <c r="CQ137" s="229">
        <v>-5.5E-2</v>
      </c>
      <c r="CR137" s="230">
        <v>1787625</v>
      </c>
      <c r="CS137" s="230">
        <v>1905750</v>
      </c>
      <c r="CT137" s="230">
        <v>-118125</v>
      </c>
      <c r="CU137" s="229">
        <v>-6.2E-2</v>
      </c>
      <c r="CV137" s="230">
        <v>13254750</v>
      </c>
      <c r="CW137" s="230">
        <v>13881000</v>
      </c>
      <c r="CX137" s="230">
        <v>-626250</v>
      </c>
      <c r="CY137" s="229">
        <v>-4.5100000000000001E-2</v>
      </c>
      <c r="CZ137" s="228">
        <v>34.15</v>
      </c>
      <c r="DA137" s="228">
        <v>32.229999999999997</v>
      </c>
      <c r="DB137" s="228">
        <v>1.92</v>
      </c>
      <c r="DC137" s="228">
        <v>1.92</v>
      </c>
      <c r="DD137" s="228">
        <v>35.270000000000003</v>
      </c>
      <c r="DE137" s="228">
        <v>35.340000000000003</v>
      </c>
      <c r="DF137" s="228">
        <v>-1.1200000000000001</v>
      </c>
      <c r="DG137" s="228">
        <v>-7.0000000000000007E-2</v>
      </c>
      <c r="DH137" s="228">
        <v>34.68</v>
      </c>
      <c r="DI137" s="228">
        <v>30.9</v>
      </c>
      <c r="DJ137" s="228">
        <v>3.78</v>
      </c>
      <c r="DK137" s="228">
        <v>3.78</v>
      </c>
      <c r="DL137" s="228">
        <v>33.22</v>
      </c>
      <c r="DM137" s="228">
        <v>34.25</v>
      </c>
      <c r="DN137" s="228">
        <v>-1.03</v>
      </c>
      <c r="DO137" s="228">
        <v>-1.03</v>
      </c>
      <c r="DP137" s="228">
        <v>0.57999999999999996</v>
      </c>
      <c r="DQ137" s="228">
        <v>0.57999999999999996</v>
      </c>
      <c r="DR137" s="228">
        <v>0</v>
      </c>
      <c r="DS137" s="229">
        <v>0</v>
      </c>
      <c r="DT137" s="231">
        <v>1400</v>
      </c>
      <c r="DU137" s="231">
        <v>1260</v>
      </c>
      <c r="DV137" s="228">
        <v>0.74</v>
      </c>
      <c r="DW137" s="228">
        <v>0.66</v>
      </c>
      <c r="DX137" s="228">
        <v>0.08</v>
      </c>
      <c r="DY137" s="229">
        <v>0.1212</v>
      </c>
      <c r="DZ137" s="229">
        <v>0.73560000000000003</v>
      </c>
      <c r="EA137" s="230">
        <v>3771375</v>
      </c>
      <c r="EB137" s="229">
        <v>6.9999999999999999E-4</v>
      </c>
      <c r="EC137" s="229">
        <v>0.73560000000000003</v>
      </c>
      <c r="ED137" s="228">
        <v>-4.34</v>
      </c>
      <c r="EE137" s="229">
        <v>-3.3E-3</v>
      </c>
      <c r="EF137" s="230">
        <v>624979</v>
      </c>
      <c r="EG137" s="230">
        <v>1087433</v>
      </c>
      <c r="EH137" s="229">
        <v>-0.42530000000000001</v>
      </c>
      <c r="EI137" s="229">
        <v>0.4637</v>
      </c>
      <c r="EJ137" s="231">
        <v>84816.77</v>
      </c>
      <c r="EK137" s="231">
        <v>59638.25</v>
      </c>
      <c r="EL137" s="231">
        <v>119730.85</v>
      </c>
      <c r="EM137" s="231">
        <v>9517</v>
      </c>
      <c r="EN137" s="231">
        <v>264185.87</v>
      </c>
      <c r="EO137" s="231">
        <v>336087.94</v>
      </c>
      <c r="EP137" s="231">
        <v>-71902.070000000007</v>
      </c>
      <c r="EQ137" s="229">
        <v>-0.21390000000000001</v>
      </c>
      <c r="ER137" s="231">
        <v>44146</v>
      </c>
      <c r="ES137" s="231">
        <v>23040</v>
      </c>
      <c r="ET137" s="231">
        <v>110184</v>
      </c>
      <c r="EU137" s="231">
        <v>45110207</v>
      </c>
      <c r="EV137" s="231">
        <v>177369</v>
      </c>
      <c r="EW137" s="231">
        <v>187131</v>
      </c>
      <c r="EX137" s="231">
        <v>-9762</v>
      </c>
      <c r="EY137" s="229">
        <v>-5.2200000000000003E-2</v>
      </c>
      <c r="EZ137" s="229">
        <v>0.29380000000000001</v>
      </c>
      <c r="FA137" s="227" t="s">
        <v>568</v>
      </c>
      <c r="FB137" s="161">
        <f t="shared" si="2"/>
        <v>6150375</v>
      </c>
    </row>
    <row r="138" spans="1:158" ht="17.25" hidden="1" thickBot="1" x14ac:dyDescent="0.3">
      <c r="A138" s="226">
        <v>46044</v>
      </c>
      <c r="B138" s="227" t="s">
        <v>206</v>
      </c>
      <c r="C138" s="227" t="s">
        <v>550</v>
      </c>
      <c r="D138" s="228">
        <v>6500</v>
      </c>
      <c r="E138" s="228">
        <v>98.76</v>
      </c>
      <c r="F138" s="228">
        <v>96.61</v>
      </c>
      <c r="G138" s="228">
        <v>2.15</v>
      </c>
      <c r="H138" s="229">
        <v>2.23E-2</v>
      </c>
      <c r="I138" s="228">
        <v>98.68</v>
      </c>
      <c r="J138" s="228">
        <v>96.69</v>
      </c>
      <c r="K138" s="228">
        <v>1.99</v>
      </c>
      <c r="L138" s="229">
        <v>2.06E-2</v>
      </c>
      <c r="M138" s="228">
        <v>98.76</v>
      </c>
      <c r="N138" s="228">
        <v>96.61</v>
      </c>
      <c r="O138" s="228">
        <v>2.15</v>
      </c>
      <c r="P138" s="229">
        <v>2.23E-2</v>
      </c>
      <c r="Q138" s="228">
        <v>98.76</v>
      </c>
      <c r="R138" s="228">
        <v>96.51</v>
      </c>
      <c r="S138" s="228">
        <v>2.25</v>
      </c>
      <c r="T138" s="229">
        <v>2.3300000000000001E-2</v>
      </c>
      <c r="U138" s="228">
        <v>99.49</v>
      </c>
      <c r="V138" s="228">
        <v>97.09</v>
      </c>
      <c r="W138" s="228">
        <v>2.4</v>
      </c>
      <c r="X138" s="229">
        <v>2.47E-2</v>
      </c>
      <c r="Y138" s="228">
        <v>0.08</v>
      </c>
      <c r="Z138" s="228">
        <v>-0.08</v>
      </c>
      <c r="AA138" s="228">
        <v>0.16</v>
      </c>
      <c r="AB138" s="229">
        <v>8.0000000000000004E-4</v>
      </c>
      <c r="AC138" s="228">
        <v>0.08</v>
      </c>
      <c r="AD138" s="228">
        <v>-0.08</v>
      </c>
      <c r="AE138" s="228">
        <v>0.16</v>
      </c>
      <c r="AF138" s="229">
        <v>8.0000000000000004E-4</v>
      </c>
      <c r="AG138" s="228">
        <v>0.08</v>
      </c>
      <c r="AH138" s="228">
        <v>-0.18</v>
      </c>
      <c r="AI138" s="228">
        <v>0.26</v>
      </c>
      <c r="AJ138" s="229">
        <v>8.0000000000000004E-4</v>
      </c>
      <c r="AK138" s="228">
        <v>0.81</v>
      </c>
      <c r="AL138" s="228">
        <v>0.4</v>
      </c>
      <c r="AM138" s="228">
        <v>0.41</v>
      </c>
      <c r="AN138" s="229">
        <v>8.2000000000000007E-3</v>
      </c>
      <c r="AO138" s="228">
        <v>98.55</v>
      </c>
      <c r="AP138" s="228">
        <v>98.43</v>
      </c>
      <c r="AQ138" s="228">
        <v>0</v>
      </c>
      <c r="AR138" s="230">
        <v>51629500</v>
      </c>
      <c r="AS138" s="230">
        <v>50349000</v>
      </c>
      <c r="AT138" s="230">
        <v>1280500</v>
      </c>
      <c r="AU138" s="229">
        <v>2.5399999999999999E-2</v>
      </c>
      <c r="AV138" s="230">
        <v>25441000</v>
      </c>
      <c r="AW138" s="230">
        <v>26903500</v>
      </c>
      <c r="AX138" s="230">
        <v>-1462500</v>
      </c>
      <c r="AY138" s="229">
        <v>-5.4399999999999997E-2</v>
      </c>
      <c r="AZ138" s="230">
        <v>25655500</v>
      </c>
      <c r="BA138" s="230">
        <v>22197500</v>
      </c>
      <c r="BB138" s="230">
        <v>3458000</v>
      </c>
      <c r="BC138" s="229">
        <v>0.15579999999999999</v>
      </c>
      <c r="BD138" s="230">
        <v>533000</v>
      </c>
      <c r="BE138" s="230">
        <v>1248000</v>
      </c>
      <c r="BF138" s="230">
        <v>-715000</v>
      </c>
      <c r="BG138" s="229">
        <v>-0.57289999999999996</v>
      </c>
      <c r="BH138" s="230">
        <v>59787000</v>
      </c>
      <c r="BI138" s="230">
        <v>71396000</v>
      </c>
      <c r="BJ138" s="230">
        <v>-11609000</v>
      </c>
      <c r="BK138" s="229">
        <v>-0.16259999999999999</v>
      </c>
      <c r="BL138" s="230">
        <v>18518500</v>
      </c>
      <c r="BM138" s="230">
        <v>28593500</v>
      </c>
      <c r="BN138" s="230">
        <v>-10075000</v>
      </c>
      <c r="BO138" s="229">
        <v>-0.35239999999999999</v>
      </c>
      <c r="BP138" s="230">
        <v>129935000</v>
      </c>
      <c r="BQ138" s="230">
        <v>150338500</v>
      </c>
      <c r="BR138" s="230">
        <v>-20403500</v>
      </c>
      <c r="BS138" s="229">
        <v>-0.13569999999999999</v>
      </c>
      <c r="BT138" s="230">
        <v>12529237</v>
      </c>
      <c r="BU138" s="230">
        <v>18992674</v>
      </c>
      <c r="BV138" s="230">
        <v>-6463437</v>
      </c>
      <c r="BW138" s="229">
        <v>-0.34029999999999999</v>
      </c>
      <c r="BX138" s="230">
        <v>93268500</v>
      </c>
      <c r="BY138" s="230">
        <v>90896000</v>
      </c>
      <c r="BZ138" s="230">
        <v>2372500</v>
      </c>
      <c r="CA138" s="229">
        <v>2.6100000000000002E-2</v>
      </c>
      <c r="CB138" s="230">
        <v>55932500</v>
      </c>
      <c r="CC138" s="230">
        <v>66248000</v>
      </c>
      <c r="CD138" s="230">
        <v>-10315500</v>
      </c>
      <c r="CE138" s="229">
        <v>-0.15570000000000001</v>
      </c>
      <c r="CF138" s="230">
        <v>35158500</v>
      </c>
      <c r="CG138" s="230">
        <v>22626500</v>
      </c>
      <c r="CH138" s="230">
        <v>12532000</v>
      </c>
      <c r="CI138" s="229">
        <v>0.55389999999999995</v>
      </c>
      <c r="CJ138" s="230">
        <v>2177500</v>
      </c>
      <c r="CK138" s="230">
        <v>2021500</v>
      </c>
      <c r="CL138" s="230">
        <v>156000</v>
      </c>
      <c r="CM138" s="229">
        <v>7.7200000000000005E-2</v>
      </c>
      <c r="CN138" s="230">
        <v>77954500</v>
      </c>
      <c r="CO138" s="230">
        <v>82680000</v>
      </c>
      <c r="CP138" s="230">
        <v>-4725500</v>
      </c>
      <c r="CQ138" s="229">
        <v>-5.7200000000000001E-2</v>
      </c>
      <c r="CR138" s="230">
        <v>30790500</v>
      </c>
      <c r="CS138" s="230">
        <v>31830500</v>
      </c>
      <c r="CT138" s="230">
        <v>-1040000</v>
      </c>
      <c r="CU138" s="229">
        <v>-3.27E-2</v>
      </c>
      <c r="CV138" s="230">
        <v>202013500</v>
      </c>
      <c r="CW138" s="230">
        <v>205406500</v>
      </c>
      <c r="CX138" s="230">
        <v>-3393000</v>
      </c>
      <c r="CY138" s="229">
        <v>-1.6500000000000001E-2</v>
      </c>
      <c r="CZ138" s="228">
        <v>44.03</v>
      </c>
      <c r="DA138" s="228">
        <v>44.04</v>
      </c>
      <c r="DB138" s="228">
        <v>-0.01</v>
      </c>
      <c r="DC138" s="228">
        <v>-0.01</v>
      </c>
      <c r="DD138" s="228">
        <v>50.37</v>
      </c>
      <c r="DE138" s="228">
        <v>50.4</v>
      </c>
      <c r="DF138" s="228">
        <v>-6.34</v>
      </c>
      <c r="DG138" s="228">
        <v>-0.03</v>
      </c>
      <c r="DH138" s="228">
        <v>44.21</v>
      </c>
      <c r="DI138" s="228">
        <v>46.33</v>
      </c>
      <c r="DJ138" s="228">
        <v>-2.12</v>
      </c>
      <c r="DK138" s="228">
        <v>-2.12</v>
      </c>
      <c r="DL138" s="228">
        <v>43.68</v>
      </c>
      <c r="DM138" s="228">
        <v>38.33</v>
      </c>
      <c r="DN138" s="228">
        <v>5.35</v>
      </c>
      <c r="DO138" s="228">
        <v>5.35</v>
      </c>
      <c r="DP138" s="228">
        <v>0.39</v>
      </c>
      <c r="DQ138" s="228">
        <v>0.38</v>
      </c>
      <c r="DR138" s="228">
        <v>0.01</v>
      </c>
      <c r="DS138" s="229">
        <v>2.63E-2</v>
      </c>
      <c r="DT138" s="228">
        <v>120</v>
      </c>
      <c r="DU138" s="228">
        <v>120</v>
      </c>
      <c r="DV138" s="228">
        <v>0.31</v>
      </c>
      <c r="DW138" s="228">
        <v>0.4</v>
      </c>
      <c r="DX138" s="228">
        <v>-0.09</v>
      </c>
      <c r="DY138" s="229">
        <v>-0.22500000000000001</v>
      </c>
      <c r="DZ138" s="229">
        <v>0.40029999999999999</v>
      </c>
      <c r="EA138" s="230">
        <v>24648000</v>
      </c>
      <c r="EB138" s="229">
        <v>0</v>
      </c>
      <c r="EC138" s="229">
        <v>0.40029999999999999</v>
      </c>
      <c r="ED138" s="228">
        <v>-0.12</v>
      </c>
      <c r="EE138" s="229">
        <v>-1.1999999999999999E-3</v>
      </c>
      <c r="EF138" s="230">
        <v>3937477</v>
      </c>
      <c r="EG138" s="230">
        <v>5562676</v>
      </c>
      <c r="EH138" s="229">
        <v>-0.29220000000000002</v>
      </c>
      <c r="EI138" s="229">
        <v>0.31430000000000002</v>
      </c>
      <c r="EJ138" s="231">
        <v>64668.7</v>
      </c>
      <c r="EK138" s="231">
        <v>19012.11</v>
      </c>
      <c r="EL138" s="231">
        <v>50855.89</v>
      </c>
      <c r="EM138" s="231">
        <v>4455</v>
      </c>
      <c r="EN138" s="231">
        <v>134536.70000000001</v>
      </c>
      <c r="EO138" s="231">
        <v>154485.99</v>
      </c>
      <c r="EP138" s="231">
        <v>-19949.29</v>
      </c>
      <c r="EQ138" s="229">
        <v>-0.12909999999999999</v>
      </c>
      <c r="ER138" s="231">
        <v>91428</v>
      </c>
      <c r="ES138" s="231">
        <v>33440</v>
      </c>
      <c r="ET138" s="231">
        <v>92128</v>
      </c>
      <c r="EU138" s="231">
        <v>154894704</v>
      </c>
      <c r="EV138" s="231">
        <v>216995</v>
      </c>
      <c r="EW138" s="231">
        <v>219691</v>
      </c>
      <c r="EX138" s="231">
        <v>-2696</v>
      </c>
      <c r="EY138" s="229">
        <v>-1.23E-2</v>
      </c>
      <c r="EZ138" s="229">
        <v>1.3042</v>
      </c>
      <c r="FA138" s="227" t="s">
        <v>555</v>
      </c>
      <c r="FB138" s="161">
        <f t="shared" si="2"/>
        <v>37336000</v>
      </c>
    </row>
    <row r="139" spans="1:158" ht="17.25" hidden="1" thickBot="1" x14ac:dyDescent="0.3">
      <c r="A139" s="226">
        <v>46044</v>
      </c>
      <c r="B139" s="227" t="s">
        <v>168</v>
      </c>
      <c r="C139" s="227" t="s">
        <v>265</v>
      </c>
      <c r="D139" s="228">
        <v>500</v>
      </c>
      <c r="E139" s="231">
        <v>1306.5</v>
      </c>
      <c r="F139" s="231">
        <v>1283.5999999999999</v>
      </c>
      <c r="G139" s="228">
        <v>22.9</v>
      </c>
      <c r="H139" s="229">
        <v>1.78E-2</v>
      </c>
      <c r="I139" s="231">
        <v>1306</v>
      </c>
      <c r="J139" s="231">
        <v>1283.2</v>
      </c>
      <c r="K139" s="228">
        <v>22.8</v>
      </c>
      <c r="L139" s="229">
        <v>1.78E-2</v>
      </c>
      <c r="M139" s="231">
        <v>1306.5</v>
      </c>
      <c r="N139" s="231">
        <v>1283.5999999999999</v>
      </c>
      <c r="O139" s="228">
        <v>22.9</v>
      </c>
      <c r="P139" s="229">
        <v>1.78E-2</v>
      </c>
      <c r="Q139" s="231">
        <v>1306.4000000000001</v>
      </c>
      <c r="R139" s="231">
        <v>1283.5</v>
      </c>
      <c r="S139" s="228">
        <v>22.9</v>
      </c>
      <c r="T139" s="229">
        <v>1.78E-2</v>
      </c>
      <c r="U139" s="231">
        <v>1315.3</v>
      </c>
      <c r="V139" s="231">
        <v>1289</v>
      </c>
      <c r="W139" s="228">
        <v>26.3</v>
      </c>
      <c r="X139" s="229">
        <v>2.0400000000000001E-2</v>
      </c>
      <c r="Y139" s="228">
        <v>0.5</v>
      </c>
      <c r="Z139" s="228">
        <v>0.4</v>
      </c>
      <c r="AA139" s="228">
        <v>0.1</v>
      </c>
      <c r="AB139" s="229">
        <v>4.0000000000000002E-4</v>
      </c>
      <c r="AC139" s="228">
        <v>0.5</v>
      </c>
      <c r="AD139" s="228">
        <v>0.4</v>
      </c>
      <c r="AE139" s="228">
        <v>0.1</v>
      </c>
      <c r="AF139" s="229">
        <v>4.0000000000000002E-4</v>
      </c>
      <c r="AG139" s="228">
        <v>0.4</v>
      </c>
      <c r="AH139" s="228">
        <v>0.3</v>
      </c>
      <c r="AI139" s="228">
        <v>0.1</v>
      </c>
      <c r="AJ139" s="229">
        <v>2.9999999999999997E-4</v>
      </c>
      <c r="AK139" s="228">
        <v>9.3000000000000007</v>
      </c>
      <c r="AL139" s="228">
        <v>5.8</v>
      </c>
      <c r="AM139" s="228">
        <v>3.5</v>
      </c>
      <c r="AN139" s="229">
        <v>7.1000000000000004E-3</v>
      </c>
      <c r="AO139" s="231">
        <v>1296.58</v>
      </c>
      <c r="AP139" s="231">
        <v>1296.92</v>
      </c>
      <c r="AQ139" s="228">
        <v>0</v>
      </c>
      <c r="AR139" s="230">
        <v>12886500</v>
      </c>
      <c r="AS139" s="230">
        <v>10985500</v>
      </c>
      <c r="AT139" s="230">
        <v>1901000</v>
      </c>
      <c r="AU139" s="229">
        <v>0.17299999999999999</v>
      </c>
      <c r="AV139" s="230">
        <v>6642000</v>
      </c>
      <c r="AW139" s="230">
        <v>6082500</v>
      </c>
      <c r="AX139" s="230">
        <v>559500</v>
      </c>
      <c r="AY139" s="229">
        <v>9.1999999999999998E-2</v>
      </c>
      <c r="AZ139" s="230">
        <v>6224000</v>
      </c>
      <c r="BA139" s="230">
        <v>4884500</v>
      </c>
      <c r="BB139" s="230">
        <v>1339500</v>
      </c>
      <c r="BC139" s="229">
        <v>0.2742</v>
      </c>
      <c r="BD139" s="230">
        <v>20500</v>
      </c>
      <c r="BE139" s="230">
        <v>18500</v>
      </c>
      <c r="BF139" s="230">
        <v>2000</v>
      </c>
      <c r="BG139" s="229">
        <v>0.1081</v>
      </c>
      <c r="BH139" s="230">
        <v>4813000</v>
      </c>
      <c r="BI139" s="230">
        <v>4464000</v>
      </c>
      <c r="BJ139" s="230">
        <v>349000</v>
      </c>
      <c r="BK139" s="229">
        <v>7.8200000000000006E-2</v>
      </c>
      <c r="BL139" s="230">
        <v>2759000</v>
      </c>
      <c r="BM139" s="230">
        <v>2713500</v>
      </c>
      <c r="BN139" s="230">
        <v>45500</v>
      </c>
      <c r="BO139" s="229">
        <v>1.6799999999999999E-2</v>
      </c>
      <c r="BP139" s="230">
        <v>20458500</v>
      </c>
      <c r="BQ139" s="230">
        <v>18163000</v>
      </c>
      <c r="BR139" s="230">
        <v>2295500</v>
      </c>
      <c r="BS139" s="229">
        <v>0.12640000000000001</v>
      </c>
      <c r="BT139" s="230">
        <v>1018580</v>
      </c>
      <c r="BU139" s="230">
        <v>1076844</v>
      </c>
      <c r="BV139" s="230">
        <v>-58264</v>
      </c>
      <c r="BW139" s="229">
        <v>-5.4100000000000002E-2</v>
      </c>
      <c r="BX139" s="230">
        <v>17482000</v>
      </c>
      <c r="BY139" s="230">
        <v>17575500</v>
      </c>
      <c r="BZ139" s="230">
        <v>-93500</v>
      </c>
      <c r="CA139" s="229">
        <v>-5.3E-3</v>
      </c>
      <c r="CB139" s="230">
        <v>7118500</v>
      </c>
      <c r="CC139" s="230">
        <v>12477500</v>
      </c>
      <c r="CD139" s="230">
        <v>-5359000</v>
      </c>
      <c r="CE139" s="229">
        <v>-0.42949999999999999</v>
      </c>
      <c r="CF139" s="230">
        <v>10153000</v>
      </c>
      <c r="CG139" s="230">
        <v>4889500</v>
      </c>
      <c r="CH139" s="230">
        <v>5263500</v>
      </c>
      <c r="CI139" s="229">
        <v>1.0765</v>
      </c>
      <c r="CJ139" s="230">
        <v>210500</v>
      </c>
      <c r="CK139" s="230">
        <v>208500</v>
      </c>
      <c r="CL139" s="230">
        <v>2000</v>
      </c>
      <c r="CM139" s="229">
        <v>9.5999999999999992E-3</v>
      </c>
      <c r="CN139" s="230">
        <v>3418000</v>
      </c>
      <c r="CO139" s="230">
        <v>3880000</v>
      </c>
      <c r="CP139" s="230">
        <v>-462000</v>
      </c>
      <c r="CQ139" s="229">
        <v>-0.1191</v>
      </c>
      <c r="CR139" s="230">
        <v>1897000</v>
      </c>
      <c r="CS139" s="230">
        <v>1878500</v>
      </c>
      <c r="CT139" s="230">
        <v>18500</v>
      </c>
      <c r="CU139" s="229">
        <v>9.7999999999999997E-3</v>
      </c>
      <c r="CV139" s="230">
        <v>22797000</v>
      </c>
      <c r="CW139" s="230">
        <v>23334000</v>
      </c>
      <c r="CX139" s="230">
        <v>-537000</v>
      </c>
      <c r="CY139" s="229">
        <v>-2.3E-2</v>
      </c>
      <c r="CZ139" s="228">
        <v>23.76</v>
      </c>
      <c r="DA139" s="228">
        <v>19.899999999999999</v>
      </c>
      <c r="DB139" s="228">
        <v>3.86</v>
      </c>
      <c r="DC139" s="228">
        <v>3.86</v>
      </c>
      <c r="DD139" s="228">
        <v>22.57</v>
      </c>
      <c r="DE139" s="228">
        <v>22.5</v>
      </c>
      <c r="DF139" s="228">
        <v>1.19</v>
      </c>
      <c r="DG139" s="228">
        <v>7.0000000000000007E-2</v>
      </c>
      <c r="DH139" s="228">
        <v>23.64</v>
      </c>
      <c r="DI139" s="228">
        <v>20.65</v>
      </c>
      <c r="DJ139" s="228">
        <v>2.99</v>
      </c>
      <c r="DK139" s="228">
        <v>2.99</v>
      </c>
      <c r="DL139" s="228">
        <v>23.99</v>
      </c>
      <c r="DM139" s="228">
        <v>18.66</v>
      </c>
      <c r="DN139" s="228">
        <v>5.33</v>
      </c>
      <c r="DO139" s="228">
        <v>5.33</v>
      </c>
      <c r="DP139" s="228">
        <v>0.56000000000000005</v>
      </c>
      <c r="DQ139" s="228">
        <v>0.48</v>
      </c>
      <c r="DR139" s="228">
        <v>0.08</v>
      </c>
      <c r="DS139" s="229">
        <v>0.16669999999999999</v>
      </c>
      <c r="DT139" s="231">
        <v>1340</v>
      </c>
      <c r="DU139" s="231">
        <v>1300</v>
      </c>
      <c r="DV139" s="228">
        <v>0.56999999999999995</v>
      </c>
      <c r="DW139" s="228">
        <v>0.61</v>
      </c>
      <c r="DX139" s="228">
        <v>-0.04</v>
      </c>
      <c r="DY139" s="229">
        <v>-6.5600000000000006E-2</v>
      </c>
      <c r="DZ139" s="229">
        <v>0.59279999999999999</v>
      </c>
      <c r="EA139" s="230">
        <v>5098000</v>
      </c>
      <c r="EB139" s="229">
        <v>-1E-4</v>
      </c>
      <c r="EC139" s="229">
        <v>0.59279999999999999</v>
      </c>
      <c r="ED139" s="228">
        <v>0.34</v>
      </c>
      <c r="EE139" s="229">
        <v>2.9999999999999997E-4</v>
      </c>
      <c r="EF139" s="230">
        <v>476196</v>
      </c>
      <c r="EG139" s="230">
        <v>518693</v>
      </c>
      <c r="EH139" s="229">
        <v>-8.1900000000000001E-2</v>
      </c>
      <c r="EI139" s="229">
        <v>0.46750000000000003</v>
      </c>
      <c r="EJ139" s="231">
        <v>63821.8</v>
      </c>
      <c r="EK139" s="231">
        <v>35354.76</v>
      </c>
      <c r="EL139" s="231">
        <v>167106.32999999999</v>
      </c>
      <c r="EM139" s="231">
        <v>8634</v>
      </c>
      <c r="EN139" s="231">
        <v>266282.89</v>
      </c>
      <c r="EO139" s="231">
        <v>235797.17</v>
      </c>
      <c r="EP139" s="231">
        <v>30485.72</v>
      </c>
      <c r="EQ139" s="229">
        <v>0.1293</v>
      </c>
      <c r="ER139" s="231">
        <v>45950</v>
      </c>
      <c r="ES139" s="231">
        <v>24001</v>
      </c>
      <c r="ET139" s="231">
        <v>228411</v>
      </c>
      <c r="EU139" s="231">
        <v>71801274</v>
      </c>
      <c r="EV139" s="231">
        <v>298362</v>
      </c>
      <c r="EW139" s="231">
        <v>301349</v>
      </c>
      <c r="EX139" s="231">
        <v>-2987</v>
      </c>
      <c r="EY139" s="229">
        <v>-9.9000000000000008E-3</v>
      </c>
      <c r="EZ139" s="229">
        <v>0.3175</v>
      </c>
      <c r="FA139" s="227" t="s">
        <v>556</v>
      </c>
      <c r="FB139" s="161">
        <f>BX139-CB139</f>
        <v>10363500</v>
      </c>
    </row>
    <row r="140" spans="1:158" ht="17.25" hidden="1" thickBot="1" x14ac:dyDescent="0.3">
      <c r="A140" s="226">
        <v>46044</v>
      </c>
      <c r="B140" s="227" t="s">
        <v>161</v>
      </c>
      <c r="C140" s="227" t="s">
        <v>585</v>
      </c>
      <c r="D140" s="228">
        <v>6400</v>
      </c>
      <c r="E140" s="228">
        <v>77.709999999999994</v>
      </c>
      <c r="F140" s="228">
        <v>76.33</v>
      </c>
      <c r="G140" s="228">
        <v>1.38</v>
      </c>
      <c r="H140" s="229">
        <v>1.8100000000000002E-2</v>
      </c>
      <c r="I140" s="228">
        <v>77.45</v>
      </c>
      <c r="J140" s="228">
        <v>76.12</v>
      </c>
      <c r="K140" s="228">
        <v>1.33</v>
      </c>
      <c r="L140" s="229">
        <v>1.7500000000000002E-2</v>
      </c>
      <c r="M140" s="228">
        <v>77.709999999999994</v>
      </c>
      <c r="N140" s="228">
        <v>76.33</v>
      </c>
      <c r="O140" s="228">
        <v>1.38</v>
      </c>
      <c r="P140" s="229">
        <v>1.8100000000000002E-2</v>
      </c>
      <c r="Q140" s="228">
        <v>76.78</v>
      </c>
      <c r="R140" s="228">
        <v>75.34</v>
      </c>
      <c r="S140" s="228">
        <v>1.44</v>
      </c>
      <c r="T140" s="229">
        <v>1.9099999999999999E-2</v>
      </c>
      <c r="U140" s="228">
        <v>77.3</v>
      </c>
      <c r="V140" s="228">
        <v>75.989999999999995</v>
      </c>
      <c r="W140" s="228">
        <v>1.31</v>
      </c>
      <c r="X140" s="229">
        <v>1.72E-2</v>
      </c>
      <c r="Y140" s="228">
        <v>0.26</v>
      </c>
      <c r="Z140" s="228">
        <v>0.21</v>
      </c>
      <c r="AA140" s="228">
        <v>0.05</v>
      </c>
      <c r="AB140" s="229">
        <v>3.3999999999999998E-3</v>
      </c>
      <c r="AC140" s="228">
        <v>0.26</v>
      </c>
      <c r="AD140" s="228">
        <v>0.21</v>
      </c>
      <c r="AE140" s="228">
        <v>0.05</v>
      </c>
      <c r="AF140" s="229">
        <v>3.3999999999999998E-3</v>
      </c>
      <c r="AG140" s="228">
        <v>-0.67</v>
      </c>
      <c r="AH140" s="228">
        <v>-0.78</v>
      </c>
      <c r="AI140" s="228">
        <v>0.11</v>
      </c>
      <c r="AJ140" s="229">
        <v>-8.6999999999999994E-3</v>
      </c>
      <c r="AK140" s="228">
        <v>-0.15</v>
      </c>
      <c r="AL140" s="228">
        <v>-0.13</v>
      </c>
      <c r="AM140" s="228">
        <v>-0.02</v>
      </c>
      <c r="AN140" s="229">
        <v>-1.9E-3</v>
      </c>
      <c r="AO140" s="228">
        <v>77.430000000000007</v>
      </c>
      <c r="AP140" s="228">
        <v>76.569999999999993</v>
      </c>
      <c r="AQ140" s="228">
        <v>0</v>
      </c>
      <c r="AR140" s="230">
        <v>61644800</v>
      </c>
      <c r="AS140" s="230">
        <v>57036800</v>
      </c>
      <c r="AT140" s="230">
        <v>4608000</v>
      </c>
      <c r="AU140" s="229">
        <v>8.0799999999999997E-2</v>
      </c>
      <c r="AV140" s="230">
        <v>33356800</v>
      </c>
      <c r="AW140" s="230">
        <v>31244800</v>
      </c>
      <c r="AX140" s="230">
        <v>2112000</v>
      </c>
      <c r="AY140" s="229">
        <v>6.7599999999999993E-2</v>
      </c>
      <c r="AZ140" s="230">
        <v>28153600</v>
      </c>
      <c r="BA140" s="230">
        <v>25632000</v>
      </c>
      <c r="BB140" s="230">
        <v>2521600</v>
      </c>
      <c r="BC140" s="229">
        <v>9.8400000000000001E-2</v>
      </c>
      <c r="BD140" s="230">
        <v>134400</v>
      </c>
      <c r="BE140" s="230">
        <v>160000</v>
      </c>
      <c r="BF140" s="230">
        <v>-25600</v>
      </c>
      <c r="BG140" s="229">
        <v>-0.16</v>
      </c>
      <c r="BH140" s="230">
        <v>36396800</v>
      </c>
      <c r="BI140" s="230">
        <v>63820800</v>
      </c>
      <c r="BJ140" s="230">
        <v>-27424000</v>
      </c>
      <c r="BK140" s="229">
        <v>-0.42970000000000003</v>
      </c>
      <c r="BL140" s="230">
        <v>14758400</v>
      </c>
      <c r="BM140" s="230">
        <v>41472000</v>
      </c>
      <c r="BN140" s="230">
        <v>-26713600</v>
      </c>
      <c r="BO140" s="229">
        <v>-0.64410000000000001</v>
      </c>
      <c r="BP140" s="230">
        <v>112800000</v>
      </c>
      <c r="BQ140" s="230">
        <v>162329600</v>
      </c>
      <c r="BR140" s="230">
        <v>-49529600</v>
      </c>
      <c r="BS140" s="229">
        <v>-0.30509999999999998</v>
      </c>
      <c r="BT140" s="230">
        <v>10805959</v>
      </c>
      <c r="BU140" s="230">
        <v>18422000</v>
      </c>
      <c r="BV140" s="230">
        <v>-7616041</v>
      </c>
      <c r="BW140" s="229">
        <v>-0.41339999999999999</v>
      </c>
      <c r="BX140" s="230">
        <v>75372800</v>
      </c>
      <c r="BY140" s="230">
        <v>79084800</v>
      </c>
      <c r="BZ140" s="230">
        <v>-3712000</v>
      </c>
      <c r="CA140" s="229">
        <v>-4.6899999999999997E-2</v>
      </c>
      <c r="CB140" s="230">
        <v>33248000</v>
      </c>
      <c r="CC140" s="230">
        <v>53548800</v>
      </c>
      <c r="CD140" s="230">
        <v>-20300800</v>
      </c>
      <c r="CE140" s="229">
        <v>-0.37909999999999999</v>
      </c>
      <c r="CF140" s="230">
        <v>41523200</v>
      </c>
      <c r="CG140" s="230">
        <v>24960000</v>
      </c>
      <c r="CH140" s="230">
        <v>16563200</v>
      </c>
      <c r="CI140" s="229">
        <v>0.66359999999999997</v>
      </c>
      <c r="CJ140" s="230">
        <v>601600</v>
      </c>
      <c r="CK140" s="230">
        <v>576000</v>
      </c>
      <c r="CL140" s="230">
        <v>25600</v>
      </c>
      <c r="CM140" s="229">
        <v>4.4400000000000002E-2</v>
      </c>
      <c r="CN140" s="230">
        <v>44268800</v>
      </c>
      <c r="CO140" s="230">
        <v>48876800</v>
      </c>
      <c r="CP140" s="230">
        <v>-4608000</v>
      </c>
      <c r="CQ140" s="229">
        <v>-9.4299999999999995E-2</v>
      </c>
      <c r="CR140" s="230">
        <v>22451200</v>
      </c>
      <c r="CS140" s="230">
        <v>23059200</v>
      </c>
      <c r="CT140" s="230">
        <v>-608000</v>
      </c>
      <c r="CU140" s="229">
        <v>-2.64E-2</v>
      </c>
      <c r="CV140" s="230">
        <v>142092800</v>
      </c>
      <c r="CW140" s="230">
        <v>151020800</v>
      </c>
      <c r="CX140" s="230">
        <v>-8928000</v>
      </c>
      <c r="CY140" s="229">
        <v>-5.91E-2</v>
      </c>
      <c r="CZ140" s="228">
        <v>32.33</v>
      </c>
      <c r="DA140" s="228">
        <v>28.94</v>
      </c>
      <c r="DB140" s="228">
        <v>3.39</v>
      </c>
      <c r="DC140" s="228">
        <v>3.39</v>
      </c>
      <c r="DD140" s="228">
        <v>36.06</v>
      </c>
      <c r="DE140" s="228">
        <v>36.07</v>
      </c>
      <c r="DF140" s="228">
        <v>-3.73</v>
      </c>
      <c r="DG140" s="228">
        <v>-0.01</v>
      </c>
      <c r="DH140" s="228">
        <v>33.130000000000003</v>
      </c>
      <c r="DI140" s="228">
        <v>30.25</v>
      </c>
      <c r="DJ140" s="228">
        <v>2.88</v>
      </c>
      <c r="DK140" s="228">
        <v>2.88</v>
      </c>
      <c r="DL140" s="228">
        <v>31.11</v>
      </c>
      <c r="DM140" s="228">
        <v>26.92</v>
      </c>
      <c r="DN140" s="228">
        <v>4.1900000000000004</v>
      </c>
      <c r="DO140" s="228">
        <v>4.1900000000000004</v>
      </c>
      <c r="DP140" s="228">
        <v>0.51</v>
      </c>
      <c r="DQ140" s="228">
        <v>0.47</v>
      </c>
      <c r="DR140" s="228">
        <v>0.04</v>
      </c>
      <c r="DS140" s="229">
        <v>8.5099999999999995E-2</v>
      </c>
      <c r="DT140" s="228">
        <v>85</v>
      </c>
      <c r="DU140" s="228">
        <v>74</v>
      </c>
      <c r="DV140" s="228">
        <v>0.41</v>
      </c>
      <c r="DW140" s="228">
        <v>0.65</v>
      </c>
      <c r="DX140" s="228">
        <v>-0.24</v>
      </c>
      <c r="DY140" s="229">
        <v>-0.36919999999999997</v>
      </c>
      <c r="DZ140" s="229">
        <v>0.55889999999999995</v>
      </c>
      <c r="EA140" s="230">
        <v>25536000</v>
      </c>
      <c r="EB140" s="229">
        <v>-1.2E-2</v>
      </c>
      <c r="EC140" s="229">
        <v>0.55889999999999995</v>
      </c>
      <c r="ED140" s="228">
        <v>-0.86</v>
      </c>
      <c r="EE140" s="229">
        <v>-1.11E-2</v>
      </c>
      <c r="EF140" s="230">
        <v>5032363</v>
      </c>
      <c r="EG140" s="230">
        <v>7017761</v>
      </c>
      <c r="EH140" s="229">
        <v>-0.28289999999999998</v>
      </c>
      <c r="EI140" s="229">
        <v>0.4657</v>
      </c>
      <c r="EJ140" s="231">
        <v>29516.52</v>
      </c>
      <c r="EK140" s="231">
        <v>11580.16</v>
      </c>
      <c r="EL140" s="231">
        <v>47488.84</v>
      </c>
      <c r="EM140" s="231">
        <v>4570</v>
      </c>
      <c r="EN140" s="231">
        <v>88585.52</v>
      </c>
      <c r="EO140" s="231">
        <v>126978.04</v>
      </c>
      <c r="EP140" s="231">
        <v>-38392.519999999997</v>
      </c>
      <c r="EQ140" s="229">
        <v>-0.3024</v>
      </c>
      <c r="ER140" s="231">
        <v>37509</v>
      </c>
      <c r="ES140" s="231">
        <v>17399</v>
      </c>
      <c r="ET140" s="231">
        <v>58184</v>
      </c>
      <c r="EU140" s="231">
        <v>491233252</v>
      </c>
      <c r="EV140" s="231">
        <v>113091</v>
      </c>
      <c r="EW140" s="231">
        <v>119317</v>
      </c>
      <c r="EX140" s="231">
        <v>-6226</v>
      </c>
      <c r="EY140" s="229">
        <v>-5.2200000000000003E-2</v>
      </c>
      <c r="EZ140" s="229">
        <v>0.2893</v>
      </c>
      <c r="FA140" s="227" t="s">
        <v>556</v>
      </c>
      <c r="FB140" s="161">
        <f>BX140-CB140</f>
        <v>42124800</v>
      </c>
    </row>
    <row r="141" spans="1:158" ht="17.25" hidden="1" thickBot="1" x14ac:dyDescent="0.3">
      <c r="A141" s="226">
        <v>46044</v>
      </c>
      <c r="B141" s="227" t="s">
        <v>181</v>
      </c>
      <c r="C141" s="227" t="s">
        <v>266</v>
      </c>
      <c r="D141" s="228">
        <v>65</v>
      </c>
      <c r="E141" s="231">
        <v>25349.8</v>
      </c>
      <c r="F141" s="231">
        <v>25178.2</v>
      </c>
      <c r="G141" s="228">
        <v>171.6</v>
      </c>
      <c r="H141" s="229">
        <v>6.7999999999999996E-3</v>
      </c>
      <c r="I141" s="231">
        <v>25289.9</v>
      </c>
      <c r="J141" s="231">
        <v>25157.5</v>
      </c>
      <c r="K141" s="228">
        <v>132.4</v>
      </c>
      <c r="L141" s="229">
        <v>5.3E-3</v>
      </c>
      <c r="M141" s="231">
        <v>25349.8</v>
      </c>
      <c r="N141" s="231">
        <v>25178.2</v>
      </c>
      <c r="O141" s="228">
        <v>171.6</v>
      </c>
      <c r="P141" s="229">
        <v>6.7999999999999996E-3</v>
      </c>
      <c r="Q141" s="231">
        <v>25464.7</v>
      </c>
      <c r="R141" s="231">
        <v>25309.200000000001</v>
      </c>
      <c r="S141" s="228">
        <v>155.5</v>
      </c>
      <c r="T141" s="229">
        <v>6.1000000000000004E-3</v>
      </c>
      <c r="U141" s="231">
        <v>25688.400000000001</v>
      </c>
      <c r="V141" s="231">
        <v>25499.7</v>
      </c>
      <c r="W141" s="228">
        <v>188.7</v>
      </c>
      <c r="X141" s="229">
        <v>7.4000000000000003E-3</v>
      </c>
      <c r="Y141" s="228">
        <v>59.9</v>
      </c>
      <c r="Z141" s="228">
        <v>20.7</v>
      </c>
      <c r="AA141" s="228">
        <v>39.200000000000003</v>
      </c>
      <c r="AB141" s="229">
        <v>2.3999999999999998E-3</v>
      </c>
      <c r="AC141" s="228">
        <v>59.9</v>
      </c>
      <c r="AD141" s="228">
        <v>20.7</v>
      </c>
      <c r="AE141" s="228">
        <v>39.200000000000003</v>
      </c>
      <c r="AF141" s="229">
        <v>2.3999999999999998E-3</v>
      </c>
      <c r="AG141" s="228">
        <v>174.8</v>
      </c>
      <c r="AH141" s="228">
        <v>151.69999999999999</v>
      </c>
      <c r="AI141" s="228">
        <v>23.1</v>
      </c>
      <c r="AJ141" s="229">
        <v>6.8999999999999999E-3</v>
      </c>
      <c r="AK141" s="228">
        <v>398.5</v>
      </c>
      <c r="AL141" s="228">
        <v>342.2</v>
      </c>
      <c r="AM141" s="228">
        <v>56.3</v>
      </c>
      <c r="AN141" s="229">
        <v>1.5800000000000002E-2</v>
      </c>
      <c r="AO141" s="231">
        <v>25317.75</v>
      </c>
      <c r="AP141" s="231">
        <v>25421.919999999998</v>
      </c>
      <c r="AQ141" s="228">
        <v>0</v>
      </c>
      <c r="AR141" s="230">
        <v>16181165</v>
      </c>
      <c r="AS141" s="230">
        <v>14166815</v>
      </c>
      <c r="AT141" s="230">
        <v>2014350</v>
      </c>
      <c r="AU141" s="229">
        <v>0.14219999999999999</v>
      </c>
      <c r="AV141" s="230">
        <v>10481055</v>
      </c>
      <c r="AW141" s="230">
        <v>10363145</v>
      </c>
      <c r="AX141" s="230">
        <v>117910</v>
      </c>
      <c r="AY141" s="229">
        <v>1.14E-2</v>
      </c>
      <c r="AZ141" s="230">
        <v>5217095</v>
      </c>
      <c r="BA141" s="230">
        <v>3283020</v>
      </c>
      <c r="BB141" s="230">
        <v>1934075</v>
      </c>
      <c r="BC141" s="229">
        <v>0.58909999999999996</v>
      </c>
      <c r="BD141" s="230">
        <v>483015</v>
      </c>
      <c r="BE141" s="230">
        <v>520650</v>
      </c>
      <c r="BF141" s="230">
        <v>-37635</v>
      </c>
      <c r="BG141" s="229">
        <v>-7.2300000000000003E-2</v>
      </c>
      <c r="BH141" s="230">
        <v>2947594780</v>
      </c>
      <c r="BI141" s="230">
        <v>3275599665</v>
      </c>
      <c r="BJ141" s="230">
        <v>-328004885</v>
      </c>
      <c r="BK141" s="229">
        <v>-0.10009999999999999</v>
      </c>
      <c r="BL141" s="230">
        <v>3080244505</v>
      </c>
      <c r="BM141" s="230">
        <v>3405836330</v>
      </c>
      <c r="BN141" s="230">
        <v>-325591825</v>
      </c>
      <c r="BO141" s="229">
        <v>-9.5600000000000004E-2</v>
      </c>
      <c r="BP141" s="230">
        <v>6044020450</v>
      </c>
      <c r="BQ141" s="230">
        <v>6695602810</v>
      </c>
      <c r="BR141" s="230">
        <v>-651582360</v>
      </c>
      <c r="BS141" s="229">
        <v>-9.7299999999999998E-2</v>
      </c>
      <c r="BT141" s="228">
        <v>0</v>
      </c>
      <c r="BU141" s="228">
        <v>0</v>
      </c>
      <c r="BV141" s="228">
        <v>0</v>
      </c>
      <c r="BW141" s="229">
        <v>0</v>
      </c>
      <c r="BX141" s="230">
        <v>20976085</v>
      </c>
      <c r="BY141" s="230">
        <v>20138820</v>
      </c>
      <c r="BZ141" s="230">
        <v>837265</v>
      </c>
      <c r="CA141" s="229">
        <v>4.1599999999999998E-2</v>
      </c>
      <c r="CB141" s="230">
        <v>12272325</v>
      </c>
      <c r="CC141" s="230">
        <v>14765855</v>
      </c>
      <c r="CD141" s="230">
        <v>-2493530</v>
      </c>
      <c r="CE141" s="229">
        <v>-0.16889999999999999</v>
      </c>
      <c r="CF141" s="230">
        <v>7839845</v>
      </c>
      <c r="CG141" s="230">
        <v>4531475</v>
      </c>
      <c r="CH141" s="230">
        <v>3308370</v>
      </c>
      <c r="CI141" s="229">
        <v>0.73009999999999997</v>
      </c>
      <c r="CJ141" s="230">
        <v>863915</v>
      </c>
      <c r="CK141" s="230">
        <v>841490</v>
      </c>
      <c r="CL141" s="230">
        <v>22425</v>
      </c>
      <c r="CM141" s="229">
        <v>2.6599999999999999E-2</v>
      </c>
      <c r="CN141" s="230">
        <v>249425910</v>
      </c>
      <c r="CO141" s="230">
        <v>243274430</v>
      </c>
      <c r="CP141" s="230">
        <v>6151480</v>
      </c>
      <c r="CQ141" s="229">
        <v>2.53E-2</v>
      </c>
      <c r="CR141" s="230">
        <v>218117770</v>
      </c>
      <c r="CS141" s="230">
        <v>190524450</v>
      </c>
      <c r="CT141" s="230">
        <v>27593320</v>
      </c>
      <c r="CU141" s="229">
        <v>0.14480000000000001</v>
      </c>
      <c r="CV141" s="230">
        <v>488519765</v>
      </c>
      <c r="CW141" s="230">
        <v>453937700</v>
      </c>
      <c r="CX141" s="230">
        <v>34582065</v>
      </c>
      <c r="CY141" s="229">
        <v>7.6200000000000004E-2</v>
      </c>
      <c r="CZ141" s="228">
        <v>14.72</v>
      </c>
      <c r="DA141" s="228">
        <v>13.69</v>
      </c>
      <c r="DB141" s="228">
        <v>1.03</v>
      </c>
      <c r="DC141" s="228">
        <v>1.03</v>
      </c>
      <c r="DD141" s="228">
        <v>13.75</v>
      </c>
      <c r="DE141" s="228">
        <v>13.77</v>
      </c>
      <c r="DF141" s="228">
        <v>0.97</v>
      </c>
      <c r="DG141" s="228">
        <v>-0.02</v>
      </c>
      <c r="DH141" s="228">
        <v>14.04</v>
      </c>
      <c r="DI141" s="228">
        <v>13.17</v>
      </c>
      <c r="DJ141" s="228">
        <v>0.87</v>
      </c>
      <c r="DK141" s="228">
        <v>0.87</v>
      </c>
      <c r="DL141" s="228">
        <v>15.46</v>
      </c>
      <c r="DM141" s="228">
        <v>14.2</v>
      </c>
      <c r="DN141" s="228">
        <v>1.26</v>
      </c>
      <c r="DO141" s="228">
        <v>1.26</v>
      </c>
      <c r="DP141" s="228">
        <v>0.87</v>
      </c>
      <c r="DQ141" s="228">
        <v>0.78</v>
      </c>
      <c r="DR141" s="228">
        <v>0.09</v>
      </c>
      <c r="DS141" s="229">
        <v>0.1154</v>
      </c>
      <c r="DT141" s="231">
        <v>26000</v>
      </c>
      <c r="DU141" s="231">
        <v>25000</v>
      </c>
      <c r="DV141" s="228">
        <v>1.05</v>
      </c>
      <c r="DW141" s="228">
        <v>1.04</v>
      </c>
      <c r="DX141" s="228">
        <v>0.01</v>
      </c>
      <c r="DY141" s="229">
        <v>9.5999999999999992E-3</v>
      </c>
      <c r="DZ141" s="229">
        <v>0.41489999999999999</v>
      </c>
      <c r="EA141" s="230">
        <v>5372965</v>
      </c>
      <c r="EB141" s="229">
        <v>4.4999999999999997E-3</v>
      </c>
      <c r="EC141" s="229">
        <v>0.41489999999999999</v>
      </c>
      <c r="ED141" s="228">
        <v>104.17</v>
      </c>
      <c r="EE141" s="229">
        <v>4.1000000000000003E-3</v>
      </c>
      <c r="EF141" s="228">
        <v>0</v>
      </c>
      <c r="EG141" s="228">
        <v>0</v>
      </c>
      <c r="EH141" s="229">
        <v>0</v>
      </c>
      <c r="EI141" s="229">
        <v>0</v>
      </c>
      <c r="EJ141" s="231">
        <v>759892022.66999996</v>
      </c>
      <c r="EK141" s="231">
        <v>768806072.66999996</v>
      </c>
      <c r="EL141" s="231">
        <v>4103728.63</v>
      </c>
      <c r="EM141" s="231">
        <v>135128</v>
      </c>
      <c r="EN141" s="231">
        <v>1532801823.97</v>
      </c>
      <c r="EO141" s="231">
        <v>1697097223.96</v>
      </c>
      <c r="EP141" s="231">
        <v>-164295399.99000001</v>
      </c>
      <c r="EQ141" s="229">
        <v>-9.6799999999999997E-2</v>
      </c>
      <c r="ER141" s="231">
        <v>65258786</v>
      </c>
      <c r="ES141" s="231">
        <v>54311935</v>
      </c>
      <c r="ET141" s="231">
        <v>5329329</v>
      </c>
      <c r="EU141" s="228">
        <v>0</v>
      </c>
      <c r="EV141" s="231">
        <v>124900049</v>
      </c>
      <c r="EW141" s="231">
        <v>116245383</v>
      </c>
      <c r="EX141" s="231">
        <v>8654666</v>
      </c>
      <c r="EY141" s="229">
        <v>7.4499999999999997E-2</v>
      </c>
      <c r="EZ141" s="229">
        <v>0</v>
      </c>
      <c r="FA141" s="227" t="s">
        <v>555</v>
      </c>
      <c r="FB141" s="161">
        <f>BX215-CB215</f>
        <v>6039000</v>
      </c>
    </row>
    <row r="142" spans="1:158" ht="17.25" hidden="1" thickBot="1" x14ac:dyDescent="0.3">
      <c r="A142" s="226">
        <v>46044</v>
      </c>
      <c r="B142" s="227" t="s">
        <v>181</v>
      </c>
      <c r="C142" s="227" t="s">
        <v>566</v>
      </c>
      <c r="D142" s="228">
        <v>25</v>
      </c>
      <c r="E142" s="231">
        <v>67754</v>
      </c>
      <c r="F142" s="231">
        <v>66991.199999999997</v>
      </c>
      <c r="G142" s="228">
        <v>762.8</v>
      </c>
      <c r="H142" s="229">
        <v>1.14E-2</v>
      </c>
      <c r="I142" s="231">
        <v>67592.800000000003</v>
      </c>
      <c r="J142" s="231">
        <v>66864.45</v>
      </c>
      <c r="K142" s="228">
        <v>728.35</v>
      </c>
      <c r="L142" s="229">
        <v>1.09E-2</v>
      </c>
      <c r="M142" s="231">
        <v>67754</v>
      </c>
      <c r="N142" s="231">
        <v>66991.199999999997</v>
      </c>
      <c r="O142" s="228">
        <v>762.8</v>
      </c>
      <c r="P142" s="229">
        <v>1.14E-2</v>
      </c>
      <c r="Q142" s="231">
        <v>67897.399999999994</v>
      </c>
      <c r="R142" s="231">
        <v>67246.2</v>
      </c>
      <c r="S142" s="228">
        <v>651.20000000000005</v>
      </c>
      <c r="T142" s="229">
        <v>9.7000000000000003E-3</v>
      </c>
      <c r="U142" s="228">
        <v>0</v>
      </c>
      <c r="V142" s="228">
        <v>0</v>
      </c>
      <c r="W142" s="228">
        <v>0</v>
      </c>
      <c r="X142" s="229">
        <v>0</v>
      </c>
      <c r="Y142" s="228">
        <v>161.19999999999999</v>
      </c>
      <c r="Z142" s="228">
        <v>126.75</v>
      </c>
      <c r="AA142" s="228">
        <v>34.450000000000003</v>
      </c>
      <c r="AB142" s="229">
        <v>2.3999999999999998E-3</v>
      </c>
      <c r="AC142" s="228">
        <v>161.19999999999999</v>
      </c>
      <c r="AD142" s="228">
        <v>126.75</v>
      </c>
      <c r="AE142" s="228">
        <v>34.450000000000003</v>
      </c>
      <c r="AF142" s="229">
        <v>2.3999999999999998E-3</v>
      </c>
      <c r="AG142" s="228">
        <v>304.60000000000002</v>
      </c>
      <c r="AH142" s="228">
        <v>381.75</v>
      </c>
      <c r="AI142" s="228">
        <v>-77.150000000000006</v>
      </c>
      <c r="AJ142" s="229">
        <v>4.4999999999999997E-3</v>
      </c>
      <c r="AK142" s="228">
        <v>0</v>
      </c>
      <c r="AL142" s="228">
        <v>0</v>
      </c>
      <c r="AM142" s="228">
        <v>0</v>
      </c>
      <c r="AN142" s="229">
        <v>0</v>
      </c>
      <c r="AO142" s="231">
        <v>67680.649999999994</v>
      </c>
      <c r="AP142" s="231">
        <v>67868.070000000007</v>
      </c>
      <c r="AQ142" s="228">
        <v>0</v>
      </c>
      <c r="AR142" s="230">
        <v>13775</v>
      </c>
      <c r="AS142" s="230">
        <v>13525</v>
      </c>
      <c r="AT142" s="228">
        <v>250</v>
      </c>
      <c r="AU142" s="229">
        <v>1.8499999999999999E-2</v>
      </c>
      <c r="AV142" s="230">
        <v>9250</v>
      </c>
      <c r="AW142" s="230">
        <v>10075</v>
      </c>
      <c r="AX142" s="228">
        <v>-825</v>
      </c>
      <c r="AY142" s="229">
        <v>-8.1900000000000001E-2</v>
      </c>
      <c r="AZ142" s="230">
        <v>4525</v>
      </c>
      <c r="BA142" s="230">
        <v>3450</v>
      </c>
      <c r="BB142" s="230">
        <v>1075</v>
      </c>
      <c r="BC142" s="229">
        <v>0.31159999999999999</v>
      </c>
      <c r="BD142" s="228">
        <v>0</v>
      </c>
      <c r="BE142" s="228">
        <v>0</v>
      </c>
      <c r="BF142" s="228">
        <v>0</v>
      </c>
      <c r="BG142" s="229">
        <v>0</v>
      </c>
      <c r="BH142" s="230">
        <v>25425</v>
      </c>
      <c r="BI142" s="230">
        <v>16300</v>
      </c>
      <c r="BJ142" s="230">
        <v>9125</v>
      </c>
      <c r="BK142" s="229">
        <v>0.55979999999999996</v>
      </c>
      <c r="BL142" s="230">
        <v>10275</v>
      </c>
      <c r="BM142" s="230">
        <v>5975</v>
      </c>
      <c r="BN142" s="230">
        <v>4300</v>
      </c>
      <c r="BO142" s="229">
        <v>0.71970000000000001</v>
      </c>
      <c r="BP142" s="230">
        <v>49475</v>
      </c>
      <c r="BQ142" s="230">
        <v>35800</v>
      </c>
      <c r="BR142" s="230">
        <v>13675</v>
      </c>
      <c r="BS142" s="229">
        <v>0.38200000000000001</v>
      </c>
      <c r="BT142" s="228">
        <v>0</v>
      </c>
      <c r="BU142" s="228">
        <v>0</v>
      </c>
      <c r="BV142" s="228">
        <v>0</v>
      </c>
      <c r="BW142" s="229">
        <v>0</v>
      </c>
      <c r="BX142" s="230">
        <v>24675</v>
      </c>
      <c r="BY142" s="230">
        <v>24575</v>
      </c>
      <c r="BZ142" s="228">
        <v>100</v>
      </c>
      <c r="CA142" s="229">
        <v>4.1000000000000003E-3</v>
      </c>
      <c r="CB142" s="230">
        <v>17175</v>
      </c>
      <c r="CC142" s="230">
        <v>18500</v>
      </c>
      <c r="CD142" s="230">
        <v>-1325</v>
      </c>
      <c r="CE142" s="229">
        <v>-7.1599999999999997E-2</v>
      </c>
      <c r="CF142" s="230">
        <v>7500</v>
      </c>
      <c r="CG142" s="230">
        <v>6075</v>
      </c>
      <c r="CH142" s="230">
        <v>1425</v>
      </c>
      <c r="CI142" s="229">
        <v>0.2346</v>
      </c>
      <c r="CJ142" s="228">
        <v>0</v>
      </c>
      <c r="CK142" s="228">
        <v>0</v>
      </c>
      <c r="CL142" s="228">
        <v>0</v>
      </c>
      <c r="CM142" s="229">
        <v>0</v>
      </c>
      <c r="CN142" s="230">
        <v>23300</v>
      </c>
      <c r="CO142" s="230">
        <v>22950</v>
      </c>
      <c r="CP142" s="228">
        <v>350</v>
      </c>
      <c r="CQ142" s="229">
        <v>1.5299999999999999E-2</v>
      </c>
      <c r="CR142" s="230">
        <v>6900</v>
      </c>
      <c r="CS142" s="230">
        <v>6975</v>
      </c>
      <c r="CT142" s="228">
        <v>-75</v>
      </c>
      <c r="CU142" s="229">
        <v>-1.0800000000000001E-2</v>
      </c>
      <c r="CV142" s="230">
        <v>54875</v>
      </c>
      <c r="CW142" s="230">
        <v>54500</v>
      </c>
      <c r="CX142" s="228">
        <v>375</v>
      </c>
      <c r="CY142" s="229">
        <v>6.8999999999999999E-3</v>
      </c>
      <c r="CZ142" s="228">
        <v>16.07</v>
      </c>
      <c r="DA142" s="228">
        <v>18.399999999999999</v>
      </c>
      <c r="DB142" s="228">
        <v>-2.33</v>
      </c>
      <c r="DC142" s="228">
        <v>-2.33</v>
      </c>
      <c r="DD142" s="228">
        <v>19.55</v>
      </c>
      <c r="DE142" s="228">
        <v>19.54</v>
      </c>
      <c r="DF142" s="228">
        <v>-3.48</v>
      </c>
      <c r="DG142" s="228">
        <v>0.01</v>
      </c>
      <c r="DH142" s="228">
        <v>16.07</v>
      </c>
      <c r="DI142" s="228">
        <v>18.28</v>
      </c>
      <c r="DJ142" s="228">
        <v>-2.21</v>
      </c>
      <c r="DK142" s="228">
        <v>-2.21</v>
      </c>
      <c r="DL142" s="228">
        <v>16.07</v>
      </c>
      <c r="DM142" s="228">
        <v>18.73</v>
      </c>
      <c r="DN142" s="228">
        <v>-2.66</v>
      </c>
      <c r="DO142" s="228">
        <v>-2.66</v>
      </c>
      <c r="DP142" s="228">
        <v>0.3</v>
      </c>
      <c r="DQ142" s="228">
        <v>0.3</v>
      </c>
      <c r="DR142" s="228">
        <v>0</v>
      </c>
      <c r="DS142" s="229">
        <v>0</v>
      </c>
      <c r="DT142" s="231">
        <v>70000</v>
      </c>
      <c r="DU142" s="231">
        <v>69000</v>
      </c>
      <c r="DV142" s="228">
        <v>0.4</v>
      </c>
      <c r="DW142" s="228">
        <v>0.37</v>
      </c>
      <c r="DX142" s="228">
        <v>0.03</v>
      </c>
      <c r="DY142" s="229">
        <v>8.1100000000000005E-2</v>
      </c>
      <c r="DZ142" s="229">
        <v>0.30399999999999999</v>
      </c>
      <c r="EA142" s="230">
        <v>6075</v>
      </c>
      <c r="EB142" s="229">
        <v>2.0999999999999999E-3</v>
      </c>
      <c r="EC142" s="229">
        <v>0.30399999999999999</v>
      </c>
      <c r="ED142" s="228">
        <v>187.42</v>
      </c>
      <c r="EE142" s="229">
        <v>2.8E-3</v>
      </c>
      <c r="EF142" s="228">
        <v>0</v>
      </c>
      <c r="EG142" s="228">
        <v>0</v>
      </c>
      <c r="EH142" s="229">
        <v>0</v>
      </c>
      <c r="EI142" s="229">
        <v>0</v>
      </c>
      <c r="EJ142" s="231">
        <v>17523.95</v>
      </c>
      <c r="EK142" s="231">
        <v>6902</v>
      </c>
      <c r="EL142" s="231">
        <v>9331.49</v>
      </c>
      <c r="EM142" s="228">
        <v>0</v>
      </c>
      <c r="EN142" s="231">
        <v>33757.440000000002</v>
      </c>
      <c r="EO142" s="231">
        <v>24299</v>
      </c>
      <c r="EP142" s="231">
        <v>9458.44</v>
      </c>
      <c r="EQ142" s="229">
        <v>0.38929999999999998</v>
      </c>
      <c r="ER142" s="231">
        <v>16173</v>
      </c>
      <c r="ES142" s="231">
        <v>4689</v>
      </c>
      <c r="ET142" s="231">
        <v>16729</v>
      </c>
      <c r="EU142" s="228">
        <v>0</v>
      </c>
      <c r="EV142" s="231">
        <v>37592</v>
      </c>
      <c r="EW142" s="231">
        <v>37184</v>
      </c>
      <c r="EX142" s="228">
        <v>408</v>
      </c>
      <c r="EY142" s="229">
        <v>1.0999999999999999E-2</v>
      </c>
      <c r="EZ142" s="229">
        <v>0</v>
      </c>
      <c r="FA142" s="227" t="s">
        <v>555</v>
      </c>
      <c r="FB142" s="161">
        <f t="shared" ref="FB142:FB161" si="3">BX216-CB216</f>
        <v>0</v>
      </c>
    </row>
    <row r="143" spans="1:158" ht="17.25" hidden="1" thickBot="1" x14ac:dyDescent="0.3">
      <c r="A143" s="226">
        <v>46044</v>
      </c>
      <c r="B143" s="227" t="s">
        <v>227</v>
      </c>
      <c r="C143" s="227" t="s">
        <v>267</v>
      </c>
      <c r="D143" s="228">
        <v>6750</v>
      </c>
      <c r="E143" s="228">
        <v>78.39</v>
      </c>
      <c r="F143" s="228">
        <v>78.58</v>
      </c>
      <c r="G143" s="228">
        <v>-0.19</v>
      </c>
      <c r="H143" s="229">
        <v>-2.3999999999999998E-3</v>
      </c>
      <c r="I143" s="228">
        <v>78.23</v>
      </c>
      <c r="J143" s="228">
        <v>78.64</v>
      </c>
      <c r="K143" s="228">
        <v>-0.41</v>
      </c>
      <c r="L143" s="229">
        <v>-5.1999999999999998E-3</v>
      </c>
      <c r="M143" s="228">
        <v>78.39</v>
      </c>
      <c r="N143" s="228">
        <v>78.58</v>
      </c>
      <c r="O143" s="228">
        <v>-0.19</v>
      </c>
      <c r="P143" s="229">
        <v>-2.3999999999999998E-3</v>
      </c>
      <c r="Q143" s="228">
        <v>78.790000000000006</v>
      </c>
      <c r="R143" s="228">
        <v>78.97</v>
      </c>
      <c r="S143" s="228">
        <v>-0.18</v>
      </c>
      <c r="T143" s="229">
        <v>-2.3E-3</v>
      </c>
      <c r="U143" s="228">
        <v>79.290000000000006</v>
      </c>
      <c r="V143" s="228">
        <v>79.489999999999995</v>
      </c>
      <c r="W143" s="228">
        <v>-0.2</v>
      </c>
      <c r="X143" s="229">
        <v>-2.5000000000000001E-3</v>
      </c>
      <c r="Y143" s="228">
        <v>0.16</v>
      </c>
      <c r="Z143" s="228">
        <v>-0.06</v>
      </c>
      <c r="AA143" s="228">
        <v>0.22</v>
      </c>
      <c r="AB143" s="229">
        <v>2E-3</v>
      </c>
      <c r="AC143" s="228">
        <v>0.16</v>
      </c>
      <c r="AD143" s="228">
        <v>-0.06</v>
      </c>
      <c r="AE143" s="228">
        <v>0.22</v>
      </c>
      <c r="AF143" s="229">
        <v>2E-3</v>
      </c>
      <c r="AG143" s="228">
        <v>0.56000000000000005</v>
      </c>
      <c r="AH143" s="228">
        <v>0.33</v>
      </c>
      <c r="AI143" s="228">
        <v>0.23</v>
      </c>
      <c r="AJ143" s="229">
        <v>7.1999999999999998E-3</v>
      </c>
      <c r="AK143" s="228">
        <v>1.06</v>
      </c>
      <c r="AL143" s="228">
        <v>0.85</v>
      </c>
      <c r="AM143" s="228">
        <v>0.21</v>
      </c>
      <c r="AN143" s="229">
        <v>1.35E-2</v>
      </c>
      <c r="AO143" s="228">
        <v>78.680000000000007</v>
      </c>
      <c r="AP143" s="228">
        <v>79.069999999999993</v>
      </c>
      <c r="AQ143" s="228">
        <v>0</v>
      </c>
      <c r="AR143" s="230">
        <v>148810500</v>
      </c>
      <c r="AS143" s="230">
        <v>122343750</v>
      </c>
      <c r="AT143" s="230">
        <v>26466750</v>
      </c>
      <c r="AU143" s="229">
        <v>0.21629999999999999</v>
      </c>
      <c r="AV143" s="230">
        <v>76349250</v>
      </c>
      <c r="AW143" s="230">
        <v>66791250</v>
      </c>
      <c r="AX143" s="230">
        <v>9558000</v>
      </c>
      <c r="AY143" s="229">
        <v>0.1431</v>
      </c>
      <c r="AZ143" s="230">
        <v>71806500</v>
      </c>
      <c r="BA143" s="230">
        <v>55032750</v>
      </c>
      <c r="BB143" s="230">
        <v>16773750</v>
      </c>
      <c r="BC143" s="229">
        <v>0.30480000000000002</v>
      </c>
      <c r="BD143" s="230">
        <v>654750</v>
      </c>
      <c r="BE143" s="230">
        <v>519750</v>
      </c>
      <c r="BF143" s="230">
        <v>135000</v>
      </c>
      <c r="BG143" s="229">
        <v>0.25969999999999999</v>
      </c>
      <c r="BH143" s="230">
        <v>101270250</v>
      </c>
      <c r="BI143" s="230">
        <v>152475750</v>
      </c>
      <c r="BJ143" s="230">
        <v>-51205500</v>
      </c>
      <c r="BK143" s="229">
        <v>-0.33579999999999999</v>
      </c>
      <c r="BL143" s="230">
        <v>40668750</v>
      </c>
      <c r="BM143" s="230">
        <v>78576750</v>
      </c>
      <c r="BN143" s="230">
        <v>-37908000</v>
      </c>
      <c r="BO143" s="229">
        <v>-0.4824</v>
      </c>
      <c r="BP143" s="230">
        <v>290749500</v>
      </c>
      <c r="BQ143" s="230">
        <v>353396250</v>
      </c>
      <c r="BR143" s="230">
        <v>-62646750</v>
      </c>
      <c r="BS143" s="229">
        <v>-0.17730000000000001</v>
      </c>
      <c r="BT143" s="230">
        <v>19121226</v>
      </c>
      <c r="BU143" s="230">
        <v>21584392</v>
      </c>
      <c r="BV143" s="230">
        <v>-2463166</v>
      </c>
      <c r="BW143" s="229">
        <v>-0.11409999999999999</v>
      </c>
      <c r="BX143" s="230">
        <v>353976750</v>
      </c>
      <c r="BY143" s="230">
        <v>352944000</v>
      </c>
      <c r="BZ143" s="230">
        <v>1032750</v>
      </c>
      <c r="CA143" s="229">
        <v>2.8999999999999998E-3</v>
      </c>
      <c r="CB143" s="230">
        <v>205591500</v>
      </c>
      <c r="CC143" s="230">
        <v>261792000</v>
      </c>
      <c r="CD143" s="230">
        <v>-56200500</v>
      </c>
      <c r="CE143" s="229">
        <v>-0.2147</v>
      </c>
      <c r="CF143" s="230">
        <v>144969750</v>
      </c>
      <c r="CG143" s="230">
        <v>88101000</v>
      </c>
      <c r="CH143" s="230">
        <v>56868750</v>
      </c>
      <c r="CI143" s="229">
        <v>0.64549999999999996</v>
      </c>
      <c r="CJ143" s="230">
        <v>3415500</v>
      </c>
      <c r="CK143" s="230">
        <v>3051000</v>
      </c>
      <c r="CL143" s="230">
        <v>364500</v>
      </c>
      <c r="CM143" s="229">
        <v>0.1195</v>
      </c>
      <c r="CN143" s="230">
        <v>149249250</v>
      </c>
      <c r="CO143" s="230">
        <v>151881750</v>
      </c>
      <c r="CP143" s="230">
        <v>-2632500</v>
      </c>
      <c r="CQ143" s="229">
        <v>-1.7299999999999999E-2</v>
      </c>
      <c r="CR143" s="230">
        <v>57516750</v>
      </c>
      <c r="CS143" s="230">
        <v>59130000</v>
      </c>
      <c r="CT143" s="230">
        <v>-1613250</v>
      </c>
      <c r="CU143" s="229">
        <v>-2.7300000000000001E-2</v>
      </c>
      <c r="CV143" s="230">
        <v>560742750</v>
      </c>
      <c r="CW143" s="230">
        <v>563955750</v>
      </c>
      <c r="CX143" s="230">
        <v>-3213000</v>
      </c>
      <c r="CY143" s="229">
        <v>-5.7000000000000002E-3</v>
      </c>
      <c r="CZ143" s="228">
        <v>36.86</v>
      </c>
      <c r="DA143" s="228">
        <v>36.31</v>
      </c>
      <c r="DB143" s="228">
        <v>0.55000000000000004</v>
      </c>
      <c r="DC143" s="228">
        <v>0.55000000000000004</v>
      </c>
      <c r="DD143" s="228">
        <v>37.53</v>
      </c>
      <c r="DE143" s="228">
        <v>37.619999999999997</v>
      </c>
      <c r="DF143" s="228">
        <v>-0.67</v>
      </c>
      <c r="DG143" s="228">
        <v>-0.09</v>
      </c>
      <c r="DH143" s="228">
        <v>37.1</v>
      </c>
      <c r="DI143" s="228">
        <v>36.700000000000003</v>
      </c>
      <c r="DJ143" s="228">
        <v>0.4</v>
      </c>
      <c r="DK143" s="228">
        <v>0.4</v>
      </c>
      <c r="DL143" s="228">
        <v>36.28</v>
      </c>
      <c r="DM143" s="228">
        <v>35.56</v>
      </c>
      <c r="DN143" s="228">
        <v>0.72</v>
      </c>
      <c r="DO143" s="228">
        <v>0.72</v>
      </c>
      <c r="DP143" s="228">
        <v>0.39</v>
      </c>
      <c r="DQ143" s="228">
        <v>0.39</v>
      </c>
      <c r="DR143" s="228">
        <v>0</v>
      </c>
      <c r="DS143" s="229">
        <v>0</v>
      </c>
      <c r="DT143" s="228">
        <v>85</v>
      </c>
      <c r="DU143" s="228">
        <v>75</v>
      </c>
      <c r="DV143" s="228">
        <v>0.4</v>
      </c>
      <c r="DW143" s="228">
        <v>0.52</v>
      </c>
      <c r="DX143" s="228">
        <v>-0.12</v>
      </c>
      <c r="DY143" s="229">
        <v>-0.23080000000000001</v>
      </c>
      <c r="DZ143" s="229">
        <v>0.41920000000000002</v>
      </c>
      <c r="EA143" s="230">
        <v>91152000</v>
      </c>
      <c r="EB143" s="229">
        <v>5.1000000000000004E-3</v>
      </c>
      <c r="EC143" s="229">
        <v>0.41920000000000002</v>
      </c>
      <c r="ED143" s="228">
        <v>0.39</v>
      </c>
      <c r="EE143" s="229">
        <v>5.0000000000000001E-3</v>
      </c>
      <c r="EF143" s="230">
        <v>8559754</v>
      </c>
      <c r="EG143" s="230">
        <v>5810410</v>
      </c>
      <c r="EH143" s="229">
        <v>0.47320000000000001</v>
      </c>
      <c r="EI143" s="229">
        <v>0.44769999999999999</v>
      </c>
      <c r="EJ143" s="231">
        <v>85019.21</v>
      </c>
      <c r="EK143" s="231">
        <v>31998.57</v>
      </c>
      <c r="EL143" s="231">
        <v>117368.66</v>
      </c>
      <c r="EM143" s="231">
        <v>10313</v>
      </c>
      <c r="EN143" s="231">
        <v>234386.44</v>
      </c>
      <c r="EO143" s="231">
        <v>283573.95</v>
      </c>
      <c r="EP143" s="231">
        <v>-49187.51</v>
      </c>
      <c r="EQ143" s="229">
        <v>-0.17349999999999999</v>
      </c>
      <c r="ER143" s="231">
        <v>127734</v>
      </c>
      <c r="ES143" s="231">
        <v>45576</v>
      </c>
      <c r="ET143" s="231">
        <v>278093</v>
      </c>
      <c r="EU143" s="231">
        <v>517037525</v>
      </c>
      <c r="EV143" s="231">
        <v>451403</v>
      </c>
      <c r="EW143" s="231">
        <v>454830</v>
      </c>
      <c r="EX143" s="231">
        <v>-3427</v>
      </c>
      <c r="EY143" s="229">
        <v>-7.4999999999999997E-3</v>
      </c>
      <c r="EZ143" s="229">
        <v>1.0845</v>
      </c>
      <c r="FA143" s="227" t="s">
        <v>567</v>
      </c>
      <c r="FB143" s="161">
        <f t="shared" si="3"/>
        <v>0</v>
      </c>
    </row>
    <row r="144" spans="1:158" ht="17.25" hidden="1" thickBot="1" x14ac:dyDescent="0.3">
      <c r="A144" s="226">
        <v>46044</v>
      </c>
      <c r="B144" s="227" t="s">
        <v>161</v>
      </c>
      <c r="C144" s="227" t="s">
        <v>268</v>
      </c>
      <c r="D144" s="228">
        <v>1500</v>
      </c>
      <c r="E144" s="228">
        <v>342.8</v>
      </c>
      <c r="F144" s="228">
        <v>338.55</v>
      </c>
      <c r="G144" s="228">
        <v>4.25</v>
      </c>
      <c r="H144" s="229">
        <v>1.26E-2</v>
      </c>
      <c r="I144" s="228">
        <v>342.45</v>
      </c>
      <c r="J144" s="228">
        <v>338.7</v>
      </c>
      <c r="K144" s="228">
        <v>3.75</v>
      </c>
      <c r="L144" s="229">
        <v>1.11E-2</v>
      </c>
      <c r="M144" s="228">
        <v>342.8</v>
      </c>
      <c r="N144" s="228">
        <v>338.55</v>
      </c>
      <c r="O144" s="228">
        <v>4.25</v>
      </c>
      <c r="P144" s="229">
        <v>1.26E-2</v>
      </c>
      <c r="Q144" s="228">
        <v>342.15</v>
      </c>
      <c r="R144" s="228">
        <v>337.7</v>
      </c>
      <c r="S144" s="228">
        <v>4.45</v>
      </c>
      <c r="T144" s="229">
        <v>1.32E-2</v>
      </c>
      <c r="U144" s="228">
        <v>344.55</v>
      </c>
      <c r="V144" s="228">
        <v>340.05</v>
      </c>
      <c r="W144" s="228">
        <v>4.5</v>
      </c>
      <c r="X144" s="229">
        <v>1.32E-2</v>
      </c>
      <c r="Y144" s="228">
        <v>0.35</v>
      </c>
      <c r="Z144" s="228">
        <v>-0.15</v>
      </c>
      <c r="AA144" s="228">
        <v>0.5</v>
      </c>
      <c r="AB144" s="229">
        <v>1E-3</v>
      </c>
      <c r="AC144" s="228">
        <v>0.35</v>
      </c>
      <c r="AD144" s="228">
        <v>-0.15</v>
      </c>
      <c r="AE144" s="228">
        <v>0.5</v>
      </c>
      <c r="AF144" s="229">
        <v>1E-3</v>
      </c>
      <c r="AG144" s="228">
        <v>-0.3</v>
      </c>
      <c r="AH144" s="228">
        <v>-1</v>
      </c>
      <c r="AI144" s="228">
        <v>0.7</v>
      </c>
      <c r="AJ144" s="229">
        <v>-8.9999999999999998E-4</v>
      </c>
      <c r="AK144" s="228">
        <v>2.1</v>
      </c>
      <c r="AL144" s="228">
        <v>1.35</v>
      </c>
      <c r="AM144" s="228">
        <v>0.75</v>
      </c>
      <c r="AN144" s="229">
        <v>6.1000000000000004E-3</v>
      </c>
      <c r="AO144" s="228">
        <v>341.2</v>
      </c>
      <c r="AP144" s="228">
        <v>340.53</v>
      </c>
      <c r="AQ144" s="228">
        <v>0</v>
      </c>
      <c r="AR144" s="230">
        <v>53923500</v>
      </c>
      <c r="AS144" s="230">
        <v>39948000</v>
      </c>
      <c r="AT144" s="230">
        <v>13975500</v>
      </c>
      <c r="AU144" s="229">
        <v>0.3498</v>
      </c>
      <c r="AV144" s="230">
        <v>27726000</v>
      </c>
      <c r="AW144" s="230">
        <v>21529500</v>
      </c>
      <c r="AX144" s="230">
        <v>6196500</v>
      </c>
      <c r="AY144" s="229">
        <v>0.2878</v>
      </c>
      <c r="AZ144" s="230">
        <v>26124000</v>
      </c>
      <c r="BA144" s="230">
        <v>18300000</v>
      </c>
      <c r="BB144" s="230">
        <v>7824000</v>
      </c>
      <c r="BC144" s="229">
        <v>0.42749999999999999</v>
      </c>
      <c r="BD144" s="230">
        <v>73500</v>
      </c>
      <c r="BE144" s="230">
        <v>118500</v>
      </c>
      <c r="BF144" s="230">
        <v>-45000</v>
      </c>
      <c r="BG144" s="229">
        <v>-0.37969999999999998</v>
      </c>
      <c r="BH144" s="230">
        <v>63171000</v>
      </c>
      <c r="BI144" s="230">
        <v>66354000</v>
      </c>
      <c r="BJ144" s="230">
        <v>-3183000</v>
      </c>
      <c r="BK144" s="229">
        <v>-4.8000000000000001E-2</v>
      </c>
      <c r="BL144" s="230">
        <v>40879500</v>
      </c>
      <c r="BM144" s="230">
        <v>42838500</v>
      </c>
      <c r="BN144" s="230">
        <v>-1959000</v>
      </c>
      <c r="BO144" s="229">
        <v>-4.5699999999999998E-2</v>
      </c>
      <c r="BP144" s="230">
        <v>157974000</v>
      </c>
      <c r="BQ144" s="230">
        <v>149140500</v>
      </c>
      <c r="BR144" s="230">
        <v>8833500</v>
      </c>
      <c r="BS144" s="229">
        <v>5.9200000000000003E-2</v>
      </c>
      <c r="BT144" s="230">
        <v>12165239</v>
      </c>
      <c r="BU144" s="230">
        <v>7247655</v>
      </c>
      <c r="BV144" s="230">
        <v>4917584</v>
      </c>
      <c r="BW144" s="229">
        <v>0.67849999999999999</v>
      </c>
      <c r="BX144" s="230">
        <v>85038000</v>
      </c>
      <c r="BY144" s="230">
        <v>83662500</v>
      </c>
      <c r="BZ144" s="230">
        <v>1375500</v>
      </c>
      <c r="CA144" s="229">
        <v>1.6400000000000001E-2</v>
      </c>
      <c r="CB144" s="230">
        <v>35851500</v>
      </c>
      <c r="CC144" s="230">
        <v>56590500</v>
      </c>
      <c r="CD144" s="230">
        <v>-20739000</v>
      </c>
      <c r="CE144" s="229">
        <v>-0.36649999999999999</v>
      </c>
      <c r="CF144" s="230">
        <v>48040500</v>
      </c>
      <c r="CG144" s="230">
        <v>25942500</v>
      </c>
      <c r="CH144" s="230">
        <v>22098000</v>
      </c>
      <c r="CI144" s="229">
        <v>0.8518</v>
      </c>
      <c r="CJ144" s="230">
        <v>1146000</v>
      </c>
      <c r="CK144" s="230">
        <v>1129500</v>
      </c>
      <c r="CL144" s="230">
        <v>16500</v>
      </c>
      <c r="CM144" s="229">
        <v>1.46E-2</v>
      </c>
      <c r="CN144" s="230">
        <v>67656000</v>
      </c>
      <c r="CO144" s="230">
        <v>69591000</v>
      </c>
      <c r="CP144" s="230">
        <v>-1935000</v>
      </c>
      <c r="CQ144" s="229">
        <v>-2.7799999999999998E-2</v>
      </c>
      <c r="CR144" s="230">
        <v>29089500</v>
      </c>
      <c r="CS144" s="230">
        <v>27562500</v>
      </c>
      <c r="CT144" s="230">
        <v>1527000</v>
      </c>
      <c r="CU144" s="229">
        <v>5.5399999999999998E-2</v>
      </c>
      <c r="CV144" s="230">
        <v>181783500</v>
      </c>
      <c r="CW144" s="230">
        <v>180816000</v>
      </c>
      <c r="CX144" s="230">
        <v>967500</v>
      </c>
      <c r="CY144" s="229">
        <v>5.4000000000000003E-3</v>
      </c>
      <c r="CZ144" s="228">
        <v>21.79</v>
      </c>
      <c r="DA144" s="228">
        <v>16.68</v>
      </c>
      <c r="DB144" s="228">
        <v>5.1100000000000003</v>
      </c>
      <c r="DC144" s="228">
        <v>5.1100000000000003</v>
      </c>
      <c r="DD144" s="228">
        <v>26.9</v>
      </c>
      <c r="DE144" s="228">
        <v>26.93</v>
      </c>
      <c r="DF144" s="228">
        <v>-5.1100000000000003</v>
      </c>
      <c r="DG144" s="228">
        <v>-0.03</v>
      </c>
      <c r="DH144" s="228">
        <v>21.71</v>
      </c>
      <c r="DI144" s="228">
        <v>16.920000000000002</v>
      </c>
      <c r="DJ144" s="228">
        <v>4.79</v>
      </c>
      <c r="DK144" s="228">
        <v>4.79</v>
      </c>
      <c r="DL144" s="228">
        <v>21.98</v>
      </c>
      <c r="DM144" s="228">
        <v>16.32</v>
      </c>
      <c r="DN144" s="228">
        <v>5.66</v>
      </c>
      <c r="DO144" s="228">
        <v>5.66</v>
      </c>
      <c r="DP144" s="228">
        <v>0.43</v>
      </c>
      <c r="DQ144" s="228">
        <v>0.4</v>
      </c>
      <c r="DR144" s="228">
        <v>0.03</v>
      </c>
      <c r="DS144" s="229">
        <v>7.4999999999999997E-2</v>
      </c>
      <c r="DT144" s="228">
        <v>350</v>
      </c>
      <c r="DU144" s="228">
        <v>340</v>
      </c>
      <c r="DV144" s="228">
        <v>0.65</v>
      </c>
      <c r="DW144" s="228">
        <v>0.65</v>
      </c>
      <c r="DX144" s="228">
        <v>0</v>
      </c>
      <c r="DY144" s="229">
        <v>0</v>
      </c>
      <c r="DZ144" s="229">
        <v>0.57840000000000003</v>
      </c>
      <c r="EA144" s="230">
        <v>27072000</v>
      </c>
      <c r="EB144" s="229">
        <v>-1.9E-3</v>
      </c>
      <c r="EC144" s="229">
        <v>0.57840000000000003</v>
      </c>
      <c r="ED144" s="228">
        <v>-0.67</v>
      </c>
      <c r="EE144" s="229">
        <v>-2E-3</v>
      </c>
      <c r="EF144" s="230">
        <v>9050690</v>
      </c>
      <c r="EG144" s="230">
        <v>4277170</v>
      </c>
      <c r="EH144" s="229">
        <v>1.1160000000000001</v>
      </c>
      <c r="EI144" s="229">
        <v>0.74399999999999999</v>
      </c>
      <c r="EJ144" s="231">
        <v>220240.38</v>
      </c>
      <c r="EK144" s="231">
        <v>138634.15</v>
      </c>
      <c r="EL144" s="231">
        <v>183815.23</v>
      </c>
      <c r="EM144" s="231">
        <v>13771</v>
      </c>
      <c r="EN144" s="231">
        <v>542689.76</v>
      </c>
      <c r="EO144" s="231">
        <v>511026.27</v>
      </c>
      <c r="EP144" s="231">
        <v>31663.49</v>
      </c>
      <c r="EQ144" s="229">
        <v>6.2E-2</v>
      </c>
      <c r="ER144" s="231">
        <v>239195</v>
      </c>
      <c r="ES144" s="231">
        <v>98878</v>
      </c>
      <c r="ET144" s="231">
        <v>291218</v>
      </c>
      <c r="EU144" s="231">
        <v>474131988</v>
      </c>
      <c r="EV144" s="231">
        <v>629292</v>
      </c>
      <c r="EW144" s="231">
        <v>623009</v>
      </c>
      <c r="EX144" s="231">
        <v>6283</v>
      </c>
      <c r="EY144" s="229">
        <v>1.01E-2</v>
      </c>
      <c r="EZ144" s="229">
        <v>0.38340000000000002</v>
      </c>
      <c r="FA144" s="227" t="s">
        <v>555</v>
      </c>
      <c r="FB144" s="161">
        <f t="shared" si="3"/>
        <v>0</v>
      </c>
    </row>
    <row r="145" spans="1:158" ht="17.25" hidden="1" thickBot="1" x14ac:dyDescent="0.3">
      <c r="A145" s="226">
        <v>46044</v>
      </c>
      <c r="B145" s="227" t="s">
        <v>175</v>
      </c>
      <c r="C145" s="227" t="s">
        <v>685</v>
      </c>
      <c r="D145" s="228">
        <v>500</v>
      </c>
      <c r="E145" s="231">
        <v>1383.4</v>
      </c>
      <c r="F145" s="231">
        <v>1365.7</v>
      </c>
      <c r="G145" s="228">
        <v>17.7</v>
      </c>
      <c r="H145" s="229">
        <v>1.2999999999999999E-2</v>
      </c>
      <c r="I145" s="231">
        <v>1383.3</v>
      </c>
      <c r="J145" s="231">
        <v>1364.7</v>
      </c>
      <c r="K145" s="228">
        <v>18.600000000000001</v>
      </c>
      <c r="L145" s="229">
        <v>1.3599999999999999E-2</v>
      </c>
      <c r="M145" s="231">
        <v>1383.4</v>
      </c>
      <c r="N145" s="231">
        <v>1365.7</v>
      </c>
      <c r="O145" s="228">
        <v>17.7</v>
      </c>
      <c r="P145" s="229">
        <v>1.2999999999999999E-2</v>
      </c>
      <c r="Q145" s="231">
        <v>1391.2</v>
      </c>
      <c r="R145" s="231">
        <v>1371.4</v>
      </c>
      <c r="S145" s="228">
        <v>19.8</v>
      </c>
      <c r="T145" s="229">
        <v>1.44E-2</v>
      </c>
      <c r="U145" s="231">
        <v>1400.7</v>
      </c>
      <c r="V145" s="231">
        <v>1371.6</v>
      </c>
      <c r="W145" s="228">
        <v>29.1</v>
      </c>
      <c r="X145" s="229">
        <v>2.12E-2</v>
      </c>
      <c r="Y145" s="228">
        <v>0.1</v>
      </c>
      <c r="Z145" s="228">
        <v>1</v>
      </c>
      <c r="AA145" s="228">
        <v>-0.9</v>
      </c>
      <c r="AB145" s="229">
        <v>1E-4</v>
      </c>
      <c r="AC145" s="228">
        <v>0.1</v>
      </c>
      <c r="AD145" s="228">
        <v>1</v>
      </c>
      <c r="AE145" s="228">
        <v>-0.9</v>
      </c>
      <c r="AF145" s="229">
        <v>1E-4</v>
      </c>
      <c r="AG145" s="228">
        <v>7.9</v>
      </c>
      <c r="AH145" s="228">
        <v>6.7</v>
      </c>
      <c r="AI145" s="228">
        <v>1.2</v>
      </c>
      <c r="AJ145" s="229">
        <v>5.7000000000000002E-3</v>
      </c>
      <c r="AK145" s="228">
        <v>17.399999999999999</v>
      </c>
      <c r="AL145" s="228">
        <v>6.9</v>
      </c>
      <c r="AM145" s="228">
        <v>10.5</v>
      </c>
      <c r="AN145" s="229">
        <v>1.26E-2</v>
      </c>
      <c r="AO145" s="231">
        <v>1388.98</v>
      </c>
      <c r="AP145" s="231">
        <v>1396.27</v>
      </c>
      <c r="AQ145" s="228">
        <v>0</v>
      </c>
      <c r="AR145" s="230">
        <v>1953500</v>
      </c>
      <c r="AS145" s="230">
        <v>1809500</v>
      </c>
      <c r="AT145" s="230">
        <v>144000</v>
      </c>
      <c r="AU145" s="229">
        <v>7.9600000000000004E-2</v>
      </c>
      <c r="AV145" s="230">
        <v>950500</v>
      </c>
      <c r="AW145" s="230">
        <v>921500</v>
      </c>
      <c r="AX145" s="230">
        <v>29000</v>
      </c>
      <c r="AY145" s="229">
        <v>3.15E-2</v>
      </c>
      <c r="AZ145" s="230">
        <v>1000500</v>
      </c>
      <c r="BA145" s="230">
        <v>885000</v>
      </c>
      <c r="BB145" s="230">
        <v>115500</v>
      </c>
      <c r="BC145" s="229">
        <v>0.1305</v>
      </c>
      <c r="BD145" s="230">
        <v>2500</v>
      </c>
      <c r="BE145" s="230">
        <v>3000</v>
      </c>
      <c r="BF145" s="228">
        <v>-500</v>
      </c>
      <c r="BG145" s="229">
        <v>-0.16669999999999999</v>
      </c>
      <c r="BH145" s="230">
        <v>1091500</v>
      </c>
      <c r="BI145" s="230">
        <v>1882000</v>
      </c>
      <c r="BJ145" s="230">
        <v>-790500</v>
      </c>
      <c r="BK145" s="229">
        <v>-0.42</v>
      </c>
      <c r="BL145" s="230">
        <v>632500</v>
      </c>
      <c r="BM145" s="230">
        <v>1181500</v>
      </c>
      <c r="BN145" s="230">
        <v>-549000</v>
      </c>
      <c r="BO145" s="229">
        <v>-0.4647</v>
      </c>
      <c r="BP145" s="230">
        <v>3677500</v>
      </c>
      <c r="BQ145" s="230">
        <v>4873000</v>
      </c>
      <c r="BR145" s="230">
        <v>-1195500</v>
      </c>
      <c r="BS145" s="229">
        <v>-0.24529999999999999</v>
      </c>
      <c r="BT145" s="230">
        <v>357287</v>
      </c>
      <c r="BU145" s="230">
        <v>549138</v>
      </c>
      <c r="BV145" s="230">
        <v>-191851</v>
      </c>
      <c r="BW145" s="229">
        <v>-0.34939999999999999</v>
      </c>
      <c r="BX145" s="230">
        <v>2686500</v>
      </c>
      <c r="BY145" s="230">
        <v>2590500</v>
      </c>
      <c r="BZ145" s="230">
        <v>96000</v>
      </c>
      <c r="CA145" s="229">
        <v>3.7100000000000001E-2</v>
      </c>
      <c r="CB145" s="230">
        <v>1459500</v>
      </c>
      <c r="CC145" s="230">
        <v>2000500</v>
      </c>
      <c r="CD145" s="230">
        <v>-541000</v>
      </c>
      <c r="CE145" s="229">
        <v>-0.27039999999999997</v>
      </c>
      <c r="CF145" s="230">
        <v>1218500</v>
      </c>
      <c r="CG145" s="230">
        <v>582500</v>
      </c>
      <c r="CH145" s="230">
        <v>636000</v>
      </c>
      <c r="CI145" s="229">
        <v>1.0918000000000001</v>
      </c>
      <c r="CJ145" s="230">
        <v>8500</v>
      </c>
      <c r="CK145" s="230">
        <v>7500</v>
      </c>
      <c r="CL145" s="230">
        <v>1000</v>
      </c>
      <c r="CM145" s="229">
        <v>0.1333</v>
      </c>
      <c r="CN145" s="230">
        <v>1483500</v>
      </c>
      <c r="CO145" s="230">
        <v>1645000</v>
      </c>
      <c r="CP145" s="230">
        <v>-161500</v>
      </c>
      <c r="CQ145" s="229">
        <v>-9.8199999999999996E-2</v>
      </c>
      <c r="CR145" s="230">
        <v>613500</v>
      </c>
      <c r="CS145" s="230">
        <v>637000</v>
      </c>
      <c r="CT145" s="230">
        <v>-23500</v>
      </c>
      <c r="CU145" s="229">
        <v>-3.6900000000000002E-2</v>
      </c>
      <c r="CV145" s="230">
        <v>4783500</v>
      </c>
      <c r="CW145" s="230">
        <v>4872500</v>
      </c>
      <c r="CX145" s="230">
        <v>-89000</v>
      </c>
      <c r="CY145" s="229">
        <v>-1.83E-2</v>
      </c>
      <c r="CZ145" s="228">
        <v>35.94</v>
      </c>
      <c r="DA145" s="228">
        <v>43.26</v>
      </c>
      <c r="DB145" s="228">
        <v>-7.32</v>
      </c>
      <c r="DC145" s="228">
        <v>-7.32</v>
      </c>
      <c r="DD145" s="228">
        <v>47.77</v>
      </c>
      <c r="DE145" s="228">
        <v>47.86</v>
      </c>
      <c r="DF145" s="228">
        <v>-11.83</v>
      </c>
      <c r="DG145" s="228">
        <v>-0.09</v>
      </c>
      <c r="DH145" s="228">
        <v>35.79</v>
      </c>
      <c r="DI145" s="228">
        <v>44.91</v>
      </c>
      <c r="DJ145" s="228">
        <v>-9.1199999999999992</v>
      </c>
      <c r="DK145" s="228">
        <v>-9.1199999999999992</v>
      </c>
      <c r="DL145" s="228">
        <v>36.14</v>
      </c>
      <c r="DM145" s="228">
        <v>40.64</v>
      </c>
      <c r="DN145" s="228">
        <v>-4.5</v>
      </c>
      <c r="DO145" s="228">
        <v>-4.5</v>
      </c>
      <c r="DP145" s="228">
        <v>0.41</v>
      </c>
      <c r="DQ145" s="228">
        <v>0.39</v>
      </c>
      <c r="DR145" s="228">
        <v>0.02</v>
      </c>
      <c r="DS145" s="229">
        <v>5.1299999999999998E-2</v>
      </c>
      <c r="DT145" s="231">
        <v>1500</v>
      </c>
      <c r="DU145" s="231">
        <v>1300</v>
      </c>
      <c r="DV145" s="228">
        <v>0.57999999999999996</v>
      </c>
      <c r="DW145" s="228">
        <v>0.63</v>
      </c>
      <c r="DX145" s="228">
        <v>-0.05</v>
      </c>
      <c r="DY145" s="229">
        <v>-7.9399999999999998E-2</v>
      </c>
      <c r="DZ145" s="229">
        <v>0.45669999999999999</v>
      </c>
      <c r="EA145" s="230">
        <v>590000</v>
      </c>
      <c r="EB145" s="229">
        <v>5.5999999999999999E-3</v>
      </c>
      <c r="EC145" s="229">
        <v>0.45669999999999999</v>
      </c>
      <c r="ED145" s="228">
        <v>7.29</v>
      </c>
      <c r="EE145" s="229">
        <v>5.1999999999999998E-3</v>
      </c>
      <c r="EF145" s="230">
        <v>178615</v>
      </c>
      <c r="EG145" s="230">
        <v>242474</v>
      </c>
      <c r="EH145" s="229">
        <v>-0.26340000000000002</v>
      </c>
      <c r="EI145" s="229">
        <v>0.49990000000000001</v>
      </c>
      <c r="EJ145" s="231">
        <v>16071.83</v>
      </c>
      <c r="EK145" s="231">
        <v>8720.85</v>
      </c>
      <c r="EL145" s="231">
        <v>27207.14</v>
      </c>
      <c r="EM145" s="231">
        <v>2911</v>
      </c>
      <c r="EN145" s="231">
        <v>51999.82</v>
      </c>
      <c r="EO145" s="231">
        <v>69570.559999999998</v>
      </c>
      <c r="EP145" s="231">
        <v>-17570.740000000002</v>
      </c>
      <c r="EQ145" s="229">
        <v>-0.25259999999999999</v>
      </c>
      <c r="ER145" s="231">
        <v>22378</v>
      </c>
      <c r="ES145" s="231">
        <v>8575</v>
      </c>
      <c r="ET145" s="231">
        <v>37262</v>
      </c>
      <c r="EU145" s="231">
        <v>12267678</v>
      </c>
      <c r="EV145" s="231">
        <v>68215</v>
      </c>
      <c r="EW145" s="231">
        <v>69123</v>
      </c>
      <c r="EX145" s="228">
        <v>-908</v>
      </c>
      <c r="EY145" s="229">
        <v>-1.3100000000000001E-2</v>
      </c>
      <c r="EZ145" s="229">
        <v>0.38990000000000002</v>
      </c>
      <c r="FA145" s="227" t="s">
        <v>555</v>
      </c>
      <c r="FB145" s="161">
        <f t="shared" si="3"/>
        <v>0</v>
      </c>
    </row>
    <row r="146" spans="1:158" ht="17.25" hidden="1" thickBot="1" x14ac:dyDescent="0.3">
      <c r="A146" s="226">
        <v>46044</v>
      </c>
      <c r="B146" s="227" t="s">
        <v>615</v>
      </c>
      <c r="C146" s="227" t="s">
        <v>613</v>
      </c>
      <c r="D146" s="228">
        <v>3125</v>
      </c>
      <c r="E146" s="228">
        <v>239.8</v>
      </c>
      <c r="F146" s="228">
        <v>242.2</v>
      </c>
      <c r="G146" s="228">
        <v>-2.4</v>
      </c>
      <c r="H146" s="229">
        <v>-9.9000000000000008E-3</v>
      </c>
      <c r="I146" s="228">
        <v>239.45</v>
      </c>
      <c r="J146" s="228">
        <v>241.65</v>
      </c>
      <c r="K146" s="228">
        <v>-2.2000000000000002</v>
      </c>
      <c r="L146" s="229">
        <v>-9.1000000000000004E-3</v>
      </c>
      <c r="M146" s="228">
        <v>239.8</v>
      </c>
      <c r="N146" s="228">
        <v>242.2</v>
      </c>
      <c r="O146" s="228">
        <v>-2.4</v>
      </c>
      <c r="P146" s="229">
        <v>-9.9000000000000008E-3</v>
      </c>
      <c r="Q146" s="228">
        <v>239.95</v>
      </c>
      <c r="R146" s="228">
        <v>242.4</v>
      </c>
      <c r="S146" s="228">
        <v>-2.4500000000000002</v>
      </c>
      <c r="T146" s="229">
        <v>-1.01E-2</v>
      </c>
      <c r="U146" s="228">
        <v>240.3</v>
      </c>
      <c r="V146" s="228">
        <v>243.25</v>
      </c>
      <c r="W146" s="228">
        <v>-2.95</v>
      </c>
      <c r="X146" s="229">
        <v>-1.21E-2</v>
      </c>
      <c r="Y146" s="228">
        <v>0.35</v>
      </c>
      <c r="Z146" s="228">
        <v>0.55000000000000004</v>
      </c>
      <c r="AA146" s="228">
        <v>-0.2</v>
      </c>
      <c r="AB146" s="229">
        <v>1.5E-3</v>
      </c>
      <c r="AC146" s="228">
        <v>0.35</v>
      </c>
      <c r="AD146" s="228">
        <v>0.55000000000000004</v>
      </c>
      <c r="AE146" s="228">
        <v>-0.2</v>
      </c>
      <c r="AF146" s="229">
        <v>1.5E-3</v>
      </c>
      <c r="AG146" s="228">
        <v>0.5</v>
      </c>
      <c r="AH146" s="228">
        <v>0.75</v>
      </c>
      <c r="AI146" s="228">
        <v>-0.25</v>
      </c>
      <c r="AJ146" s="229">
        <v>2.0999999999999999E-3</v>
      </c>
      <c r="AK146" s="228">
        <v>0.85</v>
      </c>
      <c r="AL146" s="228">
        <v>1.6</v>
      </c>
      <c r="AM146" s="228">
        <v>-0.75</v>
      </c>
      <c r="AN146" s="229">
        <v>3.5000000000000001E-3</v>
      </c>
      <c r="AO146" s="228">
        <v>240.72</v>
      </c>
      <c r="AP146" s="228">
        <v>240.81</v>
      </c>
      <c r="AQ146" s="228">
        <v>0</v>
      </c>
      <c r="AR146" s="230">
        <v>40812500</v>
      </c>
      <c r="AS146" s="230">
        <v>24106250</v>
      </c>
      <c r="AT146" s="230">
        <v>16706250</v>
      </c>
      <c r="AU146" s="229">
        <v>0.69299999999999995</v>
      </c>
      <c r="AV146" s="230">
        <v>19896875</v>
      </c>
      <c r="AW146" s="230">
        <v>13750000</v>
      </c>
      <c r="AX146" s="230">
        <v>6146875</v>
      </c>
      <c r="AY146" s="229">
        <v>0.44700000000000001</v>
      </c>
      <c r="AZ146" s="230">
        <v>20846875</v>
      </c>
      <c r="BA146" s="230">
        <v>10287500</v>
      </c>
      <c r="BB146" s="230">
        <v>10559375</v>
      </c>
      <c r="BC146" s="229">
        <v>1.0264</v>
      </c>
      <c r="BD146" s="230">
        <v>68750</v>
      </c>
      <c r="BE146" s="230">
        <v>68750</v>
      </c>
      <c r="BF146" s="228">
        <v>0</v>
      </c>
      <c r="BG146" s="229">
        <v>0</v>
      </c>
      <c r="BH146" s="230">
        <v>21906250</v>
      </c>
      <c r="BI146" s="230">
        <v>22093750</v>
      </c>
      <c r="BJ146" s="230">
        <v>-187500</v>
      </c>
      <c r="BK146" s="229">
        <v>-8.5000000000000006E-3</v>
      </c>
      <c r="BL146" s="230">
        <v>15596875</v>
      </c>
      <c r="BM146" s="230">
        <v>11559375</v>
      </c>
      <c r="BN146" s="230">
        <v>4037500</v>
      </c>
      <c r="BO146" s="229">
        <v>0.3493</v>
      </c>
      <c r="BP146" s="230">
        <v>78315625</v>
      </c>
      <c r="BQ146" s="230">
        <v>57759375</v>
      </c>
      <c r="BR146" s="230">
        <v>20556250</v>
      </c>
      <c r="BS146" s="229">
        <v>0.35589999999999999</v>
      </c>
      <c r="BT146" s="230">
        <v>2964349</v>
      </c>
      <c r="BU146" s="230">
        <v>5494440</v>
      </c>
      <c r="BV146" s="230">
        <v>-2530091</v>
      </c>
      <c r="BW146" s="229">
        <v>-0.46050000000000002</v>
      </c>
      <c r="BX146" s="230">
        <v>48168750</v>
      </c>
      <c r="BY146" s="230">
        <v>46212500</v>
      </c>
      <c r="BZ146" s="230">
        <v>1956250</v>
      </c>
      <c r="CA146" s="229">
        <v>4.2299999999999997E-2</v>
      </c>
      <c r="CB146" s="230">
        <v>23803125</v>
      </c>
      <c r="CC146" s="230">
        <v>36315625</v>
      </c>
      <c r="CD146" s="230">
        <v>-12512500</v>
      </c>
      <c r="CE146" s="229">
        <v>-0.34449999999999997</v>
      </c>
      <c r="CF146" s="230">
        <v>24162500</v>
      </c>
      <c r="CG146" s="230">
        <v>9728125</v>
      </c>
      <c r="CH146" s="230">
        <v>14434375</v>
      </c>
      <c r="CI146" s="229">
        <v>1.4838</v>
      </c>
      <c r="CJ146" s="230">
        <v>203125</v>
      </c>
      <c r="CK146" s="230">
        <v>168750</v>
      </c>
      <c r="CL146" s="230">
        <v>34375</v>
      </c>
      <c r="CM146" s="229">
        <v>0.20369999999999999</v>
      </c>
      <c r="CN146" s="230">
        <v>17118750</v>
      </c>
      <c r="CO146" s="230">
        <v>17653125</v>
      </c>
      <c r="CP146" s="230">
        <v>-534375</v>
      </c>
      <c r="CQ146" s="229">
        <v>-3.0300000000000001E-2</v>
      </c>
      <c r="CR146" s="230">
        <v>11665625</v>
      </c>
      <c r="CS146" s="230">
        <v>11293750</v>
      </c>
      <c r="CT146" s="230">
        <v>371875</v>
      </c>
      <c r="CU146" s="229">
        <v>3.2899999999999999E-2</v>
      </c>
      <c r="CV146" s="230">
        <v>76953125</v>
      </c>
      <c r="CW146" s="230">
        <v>75159375</v>
      </c>
      <c r="CX146" s="230">
        <v>1793750</v>
      </c>
      <c r="CY146" s="229">
        <v>2.3900000000000001E-2</v>
      </c>
      <c r="CZ146" s="228">
        <v>36.020000000000003</v>
      </c>
      <c r="DA146" s="228">
        <v>31.46</v>
      </c>
      <c r="DB146" s="228">
        <v>4.5599999999999996</v>
      </c>
      <c r="DC146" s="228">
        <v>4.5599999999999996</v>
      </c>
      <c r="DD146" s="228">
        <v>35.15</v>
      </c>
      <c r="DE146" s="228">
        <v>35.22</v>
      </c>
      <c r="DF146" s="228">
        <v>0.87</v>
      </c>
      <c r="DG146" s="228">
        <v>-7.0000000000000007E-2</v>
      </c>
      <c r="DH146" s="228">
        <v>36.380000000000003</v>
      </c>
      <c r="DI146" s="228">
        <v>32.93</v>
      </c>
      <c r="DJ146" s="228">
        <v>3.45</v>
      </c>
      <c r="DK146" s="228">
        <v>3.45</v>
      </c>
      <c r="DL146" s="228">
        <v>35.53</v>
      </c>
      <c r="DM146" s="228">
        <v>28.66</v>
      </c>
      <c r="DN146" s="228">
        <v>6.87</v>
      </c>
      <c r="DO146" s="228">
        <v>6.87</v>
      </c>
      <c r="DP146" s="228">
        <v>0.68</v>
      </c>
      <c r="DQ146" s="228">
        <v>0.64</v>
      </c>
      <c r="DR146" s="228">
        <v>0.04</v>
      </c>
      <c r="DS146" s="229">
        <v>6.25E-2</v>
      </c>
      <c r="DT146" s="228">
        <v>270</v>
      </c>
      <c r="DU146" s="228">
        <v>260</v>
      </c>
      <c r="DV146" s="228">
        <v>0.71</v>
      </c>
      <c r="DW146" s="228">
        <v>0.52</v>
      </c>
      <c r="DX146" s="228">
        <v>0.19</v>
      </c>
      <c r="DY146" s="229">
        <v>0.3654</v>
      </c>
      <c r="DZ146" s="229">
        <v>0.50580000000000003</v>
      </c>
      <c r="EA146" s="230">
        <v>9896875</v>
      </c>
      <c r="EB146" s="229">
        <v>5.9999999999999995E-4</v>
      </c>
      <c r="EC146" s="229">
        <v>0.50580000000000003</v>
      </c>
      <c r="ED146" s="228">
        <v>0.09</v>
      </c>
      <c r="EE146" s="229">
        <v>4.0000000000000002E-4</v>
      </c>
      <c r="EF146" s="230">
        <v>1177777</v>
      </c>
      <c r="EG146" s="230">
        <v>2996746</v>
      </c>
      <c r="EH146" s="229">
        <v>-0.60699999999999998</v>
      </c>
      <c r="EI146" s="229">
        <v>0.39729999999999999</v>
      </c>
      <c r="EJ146" s="231">
        <v>55996.22</v>
      </c>
      <c r="EK146" s="231">
        <v>37767.51</v>
      </c>
      <c r="EL146" s="231">
        <v>98263.91</v>
      </c>
      <c r="EM146" s="231">
        <v>3626</v>
      </c>
      <c r="EN146" s="231">
        <v>192027.64</v>
      </c>
      <c r="EO146" s="231">
        <v>143352.17000000001</v>
      </c>
      <c r="EP146" s="231">
        <v>48675.47</v>
      </c>
      <c r="EQ146" s="229">
        <v>0.33960000000000001</v>
      </c>
      <c r="ER146" s="231">
        <v>45319</v>
      </c>
      <c r="ES146" s="231">
        <v>28927</v>
      </c>
      <c r="ET146" s="231">
        <v>115546</v>
      </c>
      <c r="EU146" s="231">
        <v>205483040</v>
      </c>
      <c r="EV146" s="231">
        <v>189792</v>
      </c>
      <c r="EW146" s="231">
        <v>186793</v>
      </c>
      <c r="EX146" s="231">
        <v>2999</v>
      </c>
      <c r="EY146" s="229">
        <v>1.61E-2</v>
      </c>
      <c r="EZ146" s="229">
        <v>0.3745</v>
      </c>
      <c r="FA146" s="227" t="s">
        <v>567</v>
      </c>
      <c r="FB146" s="161">
        <f t="shared" si="3"/>
        <v>0</v>
      </c>
    </row>
    <row r="147" spans="1:158" ht="17.25" hidden="1" thickBot="1" x14ac:dyDescent="0.3">
      <c r="A147" s="226">
        <v>46044</v>
      </c>
      <c r="B147" s="227" t="s">
        <v>206</v>
      </c>
      <c r="C147" s="227" t="s">
        <v>528</v>
      </c>
      <c r="D147" s="228">
        <v>350</v>
      </c>
      <c r="E147" s="231">
        <v>1477.9</v>
      </c>
      <c r="F147" s="231">
        <v>1502.3</v>
      </c>
      <c r="G147" s="228">
        <v>-24.4</v>
      </c>
      <c r="H147" s="229">
        <v>-1.6199999999999999E-2</v>
      </c>
      <c r="I147" s="231">
        <v>1480.2</v>
      </c>
      <c r="J147" s="231">
        <v>1502.6</v>
      </c>
      <c r="K147" s="228">
        <v>-22.4</v>
      </c>
      <c r="L147" s="229">
        <v>-1.49E-2</v>
      </c>
      <c r="M147" s="231">
        <v>1477.9</v>
      </c>
      <c r="N147" s="231">
        <v>1502.3</v>
      </c>
      <c r="O147" s="228">
        <v>-24.4</v>
      </c>
      <c r="P147" s="229">
        <v>-1.6199999999999999E-2</v>
      </c>
      <c r="Q147" s="231">
        <v>1459.8</v>
      </c>
      <c r="R147" s="231">
        <v>1484.4</v>
      </c>
      <c r="S147" s="228">
        <v>-24.6</v>
      </c>
      <c r="T147" s="229">
        <v>-1.66E-2</v>
      </c>
      <c r="U147" s="231">
        <v>1456</v>
      </c>
      <c r="V147" s="231">
        <v>1476.8</v>
      </c>
      <c r="W147" s="228">
        <v>-20.8</v>
      </c>
      <c r="X147" s="229">
        <v>-1.41E-2</v>
      </c>
      <c r="Y147" s="228">
        <v>-2.2999999999999998</v>
      </c>
      <c r="Z147" s="228">
        <v>-0.3</v>
      </c>
      <c r="AA147" s="228">
        <v>-2</v>
      </c>
      <c r="AB147" s="229">
        <v>-1.6000000000000001E-3</v>
      </c>
      <c r="AC147" s="228">
        <v>-2.2999999999999998</v>
      </c>
      <c r="AD147" s="228">
        <v>-0.3</v>
      </c>
      <c r="AE147" s="228">
        <v>-2</v>
      </c>
      <c r="AF147" s="229">
        <v>-1.6000000000000001E-3</v>
      </c>
      <c r="AG147" s="228">
        <v>-20.399999999999999</v>
      </c>
      <c r="AH147" s="228">
        <v>-18.2</v>
      </c>
      <c r="AI147" s="228">
        <v>-2.2000000000000002</v>
      </c>
      <c r="AJ147" s="229">
        <v>-1.38E-2</v>
      </c>
      <c r="AK147" s="228">
        <v>-24.2</v>
      </c>
      <c r="AL147" s="228">
        <v>-25.8</v>
      </c>
      <c r="AM147" s="228">
        <v>1.6</v>
      </c>
      <c r="AN147" s="229">
        <v>-1.6299999999999999E-2</v>
      </c>
      <c r="AO147" s="231">
        <v>1485.74</v>
      </c>
      <c r="AP147" s="231">
        <v>1467.21</v>
      </c>
      <c r="AQ147" s="228">
        <v>0</v>
      </c>
      <c r="AR147" s="230">
        <v>4751250</v>
      </c>
      <c r="AS147" s="230">
        <v>5563950</v>
      </c>
      <c r="AT147" s="230">
        <v>-812700</v>
      </c>
      <c r="AU147" s="229">
        <v>-0.14610000000000001</v>
      </c>
      <c r="AV147" s="230">
        <v>2529800</v>
      </c>
      <c r="AW147" s="230">
        <v>3128300</v>
      </c>
      <c r="AX147" s="230">
        <v>-598500</v>
      </c>
      <c r="AY147" s="229">
        <v>-0.1913</v>
      </c>
      <c r="AZ147" s="230">
        <v>2209550</v>
      </c>
      <c r="BA147" s="230">
        <v>2401000</v>
      </c>
      <c r="BB147" s="230">
        <v>-191450</v>
      </c>
      <c r="BC147" s="229">
        <v>-7.9699999999999993E-2</v>
      </c>
      <c r="BD147" s="230">
        <v>11900</v>
      </c>
      <c r="BE147" s="230">
        <v>34650</v>
      </c>
      <c r="BF147" s="230">
        <v>-22750</v>
      </c>
      <c r="BG147" s="229">
        <v>-0.65659999999999996</v>
      </c>
      <c r="BH147" s="230">
        <v>5134500</v>
      </c>
      <c r="BI147" s="230">
        <v>10321500</v>
      </c>
      <c r="BJ147" s="230">
        <v>-5187000</v>
      </c>
      <c r="BK147" s="229">
        <v>-0.50249999999999995</v>
      </c>
      <c r="BL147" s="230">
        <v>3097850</v>
      </c>
      <c r="BM147" s="230">
        <v>7078050</v>
      </c>
      <c r="BN147" s="230">
        <v>-3980200</v>
      </c>
      <c r="BO147" s="229">
        <v>-0.56230000000000002</v>
      </c>
      <c r="BP147" s="230">
        <v>12983600</v>
      </c>
      <c r="BQ147" s="230">
        <v>22963500</v>
      </c>
      <c r="BR147" s="230">
        <v>-9979900</v>
      </c>
      <c r="BS147" s="229">
        <v>-0.43459999999999999</v>
      </c>
      <c r="BT147" s="230">
        <v>1592863</v>
      </c>
      <c r="BU147" s="230">
        <v>1502372</v>
      </c>
      <c r="BV147" s="230">
        <v>90491</v>
      </c>
      <c r="BW147" s="229">
        <v>6.0199999999999997E-2</v>
      </c>
      <c r="BX147" s="230">
        <v>6017550</v>
      </c>
      <c r="BY147" s="230">
        <v>6410950</v>
      </c>
      <c r="BZ147" s="230">
        <v>-393400</v>
      </c>
      <c r="CA147" s="229">
        <v>-6.1400000000000003E-2</v>
      </c>
      <c r="CB147" s="230">
        <v>2280250</v>
      </c>
      <c r="CC147" s="230">
        <v>3742550</v>
      </c>
      <c r="CD147" s="230">
        <v>-1462300</v>
      </c>
      <c r="CE147" s="229">
        <v>-0.39069999999999999</v>
      </c>
      <c r="CF147" s="230">
        <v>3693200</v>
      </c>
      <c r="CG147" s="230">
        <v>2629550</v>
      </c>
      <c r="CH147" s="230">
        <v>1063650</v>
      </c>
      <c r="CI147" s="229">
        <v>0.40450000000000003</v>
      </c>
      <c r="CJ147" s="230">
        <v>44100</v>
      </c>
      <c r="CK147" s="230">
        <v>38850</v>
      </c>
      <c r="CL147" s="230">
        <v>5250</v>
      </c>
      <c r="CM147" s="229">
        <v>0.1351</v>
      </c>
      <c r="CN147" s="230">
        <v>2712500</v>
      </c>
      <c r="CO147" s="230">
        <v>3023300</v>
      </c>
      <c r="CP147" s="230">
        <v>-310800</v>
      </c>
      <c r="CQ147" s="229">
        <v>-0.1028</v>
      </c>
      <c r="CR147" s="230">
        <v>1426250</v>
      </c>
      <c r="CS147" s="230">
        <v>1547000</v>
      </c>
      <c r="CT147" s="230">
        <v>-120750</v>
      </c>
      <c r="CU147" s="229">
        <v>-7.8100000000000003E-2</v>
      </c>
      <c r="CV147" s="230">
        <v>10156300</v>
      </c>
      <c r="CW147" s="230">
        <v>10981250</v>
      </c>
      <c r="CX147" s="230">
        <v>-824950</v>
      </c>
      <c r="CY147" s="229">
        <v>-7.51E-2</v>
      </c>
      <c r="CZ147" s="228">
        <v>32.94</v>
      </c>
      <c r="DA147" s="228">
        <v>30.17</v>
      </c>
      <c r="DB147" s="228">
        <v>2.77</v>
      </c>
      <c r="DC147" s="228">
        <v>2.77</v>
      </c>
      <c r="DD147" s="228">
        <v>37.24</v>
      </c>
      <c r="DE147" s="228">
        <v>37.28</v>
      </c>
      <c r="DF147" s="228">
        <v>-4.3</v>
      </c>
      <c r="DG147" s="228">
        <v>-0.04</v>
      </c>
      <c r="DH147" s="228">
        <v>33.04</v>
      </c>
      <c r="DI147" s="228">
        <v>32.159999999999997</v>
      </c>
      <c r="DJ147" s="228">
        <v>0.88</v>
      </c>
      <c r="DK147" s="228">
        <v>0.88</v>
      </c>
      <c r="DL147" s="228">
        <v>32.81</v>
      </c>
      <c r="DM147" s="228">
        <v>27.26</v>
      </c>
      <c r="DN147" s="228">
        <v>5.55</v>
      </c>
      <c r="DO147" s="228">
        <v>5.55</v>
      </c>
      <c r="DP147" s="228">
        <v>0.53</v>
      </c>
      <c r="DQ147" s="228">
        <v>0.51</v>
      </c>
      <c r="DR147" s="228">
        <v>0.02</v>
      </c>
      <c r="DS147" s="229">
        <v>3.9199999999999999E-2</v>
      </c>
      <c r="DT147" s="231">
        <v>1600</v>
      </c>
      <c r="DU147" s="231">
        <v>1400</v>
      </c>
      <c r="DV147" s="228">
        <v>0.6</v>
      </c>
      <c r="DW147" s="228">
        <v>0.69</v>
      </c>
      <c r="DX147" s="228">
        <v>-0.09</v>
      </c>
      <c r="DY147" s="229">
        <v>-0.13039999999999999</v>
      </c>
      <c r="DZ147" s="229">
        <v>0.62109999999999999</v>
      </c>
      <c r="EA147" s="230">
        <v>2668400</v>
      </c>
      <c r="EB147" s="229">
        <v>-1.2200000000000001E-2</v>
      </c>
      <c r="EC147" s="229">
        <v>0.62109999999999999</v>
      </c>
      <c r="ED147" s="228">
        <v>-18.53</v>
      </c>
      <c r="EE147" s="229">
        <v>-1.2500000000000001E-2</v>
      </c>
      <c r="EF147" s="230">
        <v>1077347</v>
      </c>
      <c r="EG147" s="230">
        <v>677403</v>
      </c>
      <c r="EH147" s="229">
        <v>0.59040000000000004</v>
      </c>
      <c r="EI147" s="229">
        <v>0.6764</v>
      </c>
      <c r="EJ147" s="231">
        <v>80499.92</v>
      </c>
      <c r="EK147" s="231">
        <v>46338.93</v>
      </c>
      <c r="EL147" s="231">
        <v>70179.210000000006</v>
      </c>
      <c r="EM147" s="231">
        <v>9977</v>
      </c>
      <c r="EN147" s="231">
        <v>197018.06</v>
      </c>
      <c r="EO147" s="231">
        <v>355876.98</v>
      </c>
      <c r="EP147" s="231">
        <v>-158858.92000000001</v>
      </c>
      <c r="EQ147" s="229">
        <v>-0.44640000000000002</v>
      </c>
      <c r="ER147" s="231">
        <v>44818</v>
      </c>
      <c r="ES147" s="231">
        <v>21776</v>
      </c>
      <c r="ET147" s="231">
        <v>88255</v>
      </c>
      <c r="EU147" s="231">
        <v>17614093</v>
      </c>
      <c r="EV147" s="231">
        <v>154849</v>
      </c>
      <c r="EW147" s="231">
        <v>169749</v>
      </c>
      <c r="EX147" s="231">
        <v>-14900</v>
      </c>
      <c r="EY147" s="229">
        <v>-8.7800000000000003E-2</v>
      </c>
      <c r="EZ147" s="229">
        <v>0.5766</v>
      </c>
      <c r="FA147" s="227" t="s">
        <v>568</v>
      </c>
      <c r="FB147" s="161">
        <f t="shared" si="3"/>
        <v>0</v>
      </c>
    </row>
    <row r="148" spans="1:158" ht="17.25" hidden="1" thickBot="1" x14ac:dyDescent="0.3">
      <c r="A148" s="226">
        <v>46044</v>
      </c>
      <c r="B148" s="227" t="s">
        <v>221</v>
      </c>
      <c r="C148" s="227" t="s">
        <v>518</v>
      </c>
      <c r="D148" s="228">
        <v>75</v>
      </c>
      <c r="E148" s="231">
        <v>7895</v>
      </c>
      <c r="F148" s="231">
        <v>7696</v>
      </c>
      <c r="G148" s="228">
        <v>199</v>
      </c>
      <c r="H148" s="229">
        <v>2.5899999999999999E-2</v>
      </c>
      <c r="I148" s="231">
        <v>7897</v>
      </c>
      <c r="J148" s="231">
        <v>7673.5</v>
      </c>
      <c r="K148" s="228">
        <v>223.5</v>
      </c>
      <c r="L148" s="229">
        <v>2.9100000000000001E-2</v>
      </c>
      <c r="M148" s="231">
        <v>7895</v>
      </c>
      <c r="N148" s="231">
        <v>7696</v>
      </c>
      <c r="O148" s="228">
        <v>199</v>
      </c>
      <c r="P148" s="229">
        <v>2.5899999999999999E-2</v>
      </c>
      <c r="Q148" s="231">
        <v>7926.5</v>
      </c>
      <c r="R148" s="231">
        <v>7731</v>
      </c>
      <c r="S148" s="228">
        <v>195.5</v>
      </c>
      <c r="T148" s="229">
        <v>2.53E-2</v>
      </c>
      <c r="U148" s="231">
        <v>7965</v>
      </c>
      <c r="V148" s="231">
        <v>7757</v>
      </c>
      <c r="W148" s="228">
        <v>208</v>
      </c>
      <c r="X148" s="229">
        <v>2.6800000000000001E-2</v>
      </c>
      <c r="Y148" s="228">
        <v>-2</v>
      </c>
      <c r="Z148" s="228">
        <v>22.5</v>
      </c>
      <c r="AA148" s="228">
        <v>-24.5</v>
      </c>
      <c r="AB148" s="229">
        <v>-2.9999999999999997E-4</v>
      </c>
      <c r="AC148" s="228">
        <v>-2</v>
      </c>
      <c r="AD148" s="228">
        <v>22.5</v>
      </c>
      <c r="AE148" s="228">
        <v>-24.5</v>
      </c>
      <c r="AF148" s="229">
        <v>-2.9999999999999997E-4</v>
      </c>
      <c r="AG148" s="228">
        <v>29.5</v>
      </c>
      <c r="AH148" s="228">
        <v>57.5</v>
      </c>
      <c r="AI148" s="228">
        <v>-28</v>
      </c>
      <c r="AJ148" s="229">
        <v>3.7000000000000002E-3</v>
      </c>
      <c r="AK148" s="228">
        <v>68</v>
      </c>
      <c r="AL148" s="228">
        <v>83.5</v>
      </c>
      <c r="AM148" s="228">
        <v>-15.5</v>
      </c>
      <c r="AN148" s="229">
        <v>8.6E-3</v>
      </c>
      <c r="AO148" s="231">
        <v>7925.59</v>
      </c>
      <c r="AP148" s="231">
        <v>7958.92</v>
      </c>
      <c r="AQ148" s="228">
        <v>0</v>
      </c>
      <c r="AR148" s="230">
        <v>1749000</v>
      </c>
      <c r="AS148" s="230">
        <v>2143800</v>
      </c>
      <c r="AT148" s="230">
        <v>-394800</v>
      </c>
      <c r="AU148" s="229">
        <v>-0.1842</v>
      </c>
      <c r="AV148" s="230">
        <v>962850</v>
      </c>
      <c r="AW148" s="230">
        <v>1164075</v>
      </c>
      <c r="AX148" s="230">
        <v>-201225</v>
      </c>
      <c r="AY148" s="229">
        <v>-0.1729</v>
      </c>
      <c r="AZ148" s="230">
        <v>779400</v>
      </c>
      <c r="BA148" s="230">
        <v>971925</v>
      </c>
      <c r="BB148" s="230">
        <v>-192525</v>
      </c>
      <c r="BC148" s="229">
        <v>-0.1981</v>
      </c>
      <c r="BD148" s="230">
        <v>6750</v>
      </c>
      <c r="BE148" s="230">
        <v>7800</v>
      </c>
      <c r="BF148" s="230">
        <v>-1050</v>
      </c>
      <c r="BG148" s="229">
        <v>-0.1346</v>
      </c>
      <c r="BH148" s="230">
        <v>4718775</v>
      </c>
      <c r="BI148" s="230">
        <v>1889775</v>
      </c>
      <c r="BJ148" s="230">
        <v>2829000</v>
      </c>
      <c r="BK148" s="229">
        <v>1.4970000000000001</v>
      </c>
      <c r="BL148" s="230">
        <v>2144550</v>
      </c>
      <c r="BM148" s="230">
        <v>1570425</v>
      </c>
      <c r="BN148" s="230">
        <v>574125</v>
      </c>
      <c r="BO148" s="229">
        <v>0.36559999999999998</v>
      </c>
      <c r="BP148" s="230">
        <v>8612325</v>
      </c>
      <c r="BQ148" s="230">
        <v>5604000</v>
      </c>
      <c r="BR148" s="230">
        <v>3008325</v>
      </c>
      <c r="BS148" s="229">
        <v>0.53680000000000005</v>
      </c>
      <c r="BT148" s="230">
        <v>336790</v>
      </c>
      <c r="BU148" s="230">
        <v>171214</v>
      </c>
      <c r="BV148" s="230">
        <v>165576</v>
      </c>
      <c r="BW148" s="229">
        <v>0.96709999999999996</v>
      </c>
      <c r="BX148" s="230">
        <v>1481625</v>
      </c>
      <c r="BY148" s="230">
        <v>1810125</v>
      </c>
      <c r="BZ148" s="230">
        <v>-328500</v>
      </c>
      <c r="CA148" s="229">
        <v>-0.18149999999999999</v>
      </c>
      <c r="CB148" s="230">
        <v>574275</v>
      </c>
      <c r="CC148" s="230">
        <v>1047225</v>
      </c>
      <c r="CD148" s="230">
        <v>-472950</v>
      </c>
      <c r="CE148" s="229">
        <v>-0.4516</v>
      </c>
      <c r="CF148" s="230">
        <v>889725</v>
      </c>
      <c r="CG148" s="230">
        <v>746175</v>
      </c>
      <c r="CH148" s="230">
        <v>143550</v>
      </c>
      <c r="CI148" s="229">
        <v>0.19239999999999999</v>
      </c>
      <c r="CJ148" s="230">
        <v>17625</v>
      </c>
      <c r="CK148" s="230">
        <v>16725</v>
      </c>
      <c r="CL148" s="228">
        <v>900</v>
      </c>
      <c r="CM148" s="229">
        <v>5.3800000000000001E-2</v>
      </c>
      <c r="CN148" s="230">
        <v>553350</v>
      </c>
      <c r="CO148" s="230">
        <v>650475</v>
      </c>
      <c r="CP148" s="230">
        <v>-97125</v>
      </c>
      <c r="CQ148" s="229">
        <v>-0.14929999999999999</v>
      </c>
      <c r="CR148" s="230">
        <v>434925</v>
      </c>
      <c r="CS148" s="230">
        <v>521175</v>
      </c>
      <c r="CT148" s="230">
        <v>-86250</v>
      </c>
      <c r="CU148" s="229">
        <v>-0.16550000000000001</v>
      </c>
      <c r="CV148" s="230">
        <v>2469900</v>
      </c>
      <c r="CW148" s="230">
        <v>2981775</v>
      </c>
      <c r="CX148" s="230">
        <v>-511875</v>
      </c>
      <c r="CY148" s="229">
        <v>-0.17169999999999999</v>
      </c>
      <c r="CZ148" s="228">
        <v>30.77</v>
      </c>
      <c r="DA148" s="228">
        <v>50.85</v>
      </c>
      <c r="DB148" s="228">
        <v>-20.079999999999998</v>
      </c>
      <c r="DC148" s="228">
        <v>-20.079999999999998</v>
      </c>
      <c r="DD148" s="228">
        <v>38.71</v>
      </c>
      <c r="DE148" s="228">
        <v>38.65</v>
      </c>
      <c r="DF148" s="228">
        <v>-7.94</v>
      </c>
      <c r="DG148" s="228">
        <v>0.06</v>
      </c>
      <c r="DH148" s="228">
        <v>30.73</v>
      </c>
      <c r="DI148" s="228">
        <v>50.53</v>
      </c>
      <c r="DJ148" s="228">
        <v>-19.8</v>
      </c>
      <c r="DK148" s="228">
        <v>-19.8</v>
      </c>
      <c r="DL148" s="228">
        <v>30.85</v>
      </c>
      <c r="DM148" s="228">
        <v>51.24</v>
      </c>
      <c r="DN148" s="228">
        <v>-20.39</v>
      </c>
      <c r="DO148" s="228">
        <v>-20.39</v>
      </c>
      <c r="DP148" s="228">
        <v>0.79</v>
      </c>
      <c r="DQ148" s="228">
        <v>0.8</v>
      </c>
      <c r="DR148" s="228">
        <v>-0.01</v>
      </c>
      <c r="DS148" s="229">
        <v>-1.2500000000000001E-2</v>
      </c>
      <c r="DT148" s="231">
        <v>8000</v>
      </c>
      <c r="DU148" s="231">
        <v>7500</v>
      </c>
      <c r="DV148" s="228">
        <v>0.45</v>
      </c>
      <c r="DW148" s="228">
        <v>0.83</v>
      </c>
      <c r="DX148" s="228">
        <v>-0.38</v>
      </c>
      <c r="DY148" s="229">
        <v>-0.45779999999999998</v>
      </c>
      <c r="DZ148" s="229">
        <v>0.61240000000000006</v>
      </c>
      <c r="EA148" s="230">
        <v>762900</v>
      </c>
      <c r="EB148" s="229">
        <v>4.0000000000000001E-3</v>
      </c>
      <c r="EC148" s="229">
        <v>0.61240000000000006</v>
      </c>
      <c r="ED148" s="228">
        <v>33.33</v>
      </c>
      <c r="EE148" s="229">
        <v>4.1999999999999997E-3</v>
      </c>
      <c r="EF148" s="230">
        <v>83118</v>
      </c>
      <c r="EG148" s="230">
        <v>52364</v>
      </c>
      <c r="EH148" s="229">
        <v>0.58730000000000004</v>
      </c>
      <c r="EI148" s="229">
        <v>0.24679999999999999</v>
      </c>
      <c r="EJ148" s="231">
        <v>388655.82</v>
      </c>
      <c r="EK148" s="231">
        <v>162943.64000000001</v>
      </c>
      <c r="EL148" s="231">
        <v>138883.89000000001</v>
      </c>
      <c r="EM148" s="231">
        <v>13028</v>
      </c>
      <c r="EN148" s="231">
        <v>690483.35</v>
      </c>
      <c r="EO148" s="231">
        <v>438872.51</v>
      </c>
      <c r="EP148" s="231">
        <v>251610.84</v>
      </c>
      <c r="EQ148" s="229">
        <v>0.57330000000000003</v>
      </c>
      <c r="ER148" s="231">
        <v>45443</v>
      </c>
      <c r="ES148" s="231">
        <v>33196</v>
      </c>
      <c r="ET148" s="231">
        <v>117267</v>
      </c>
      <c r="EU148" s="231">
        <v>3582756</v>
      </c>
      <c r="EV148" s="231">
        <v>195906</v>
      </c>
      <c r="EW148" s="231">
        <v>231667</v>
      </c>
      <c r="EX148" s="231">
        <v>-35761</v>
      </c>
      <c r="EY148" s="229">
        <v>-0.15440000000000001</v>
      </c>
      <c r="EZ148" s="229">
        <v>0.68940000000000001</v>
      </c>
      <c r="FA148" s="227" t="s">
        <v>556</v>
      </c>
      <c r="FB148" s="161">
        <f t="shared" si="3"/>
        <v>0</v>
      </c>
    </row>
    <row r="149" spans="1:158" ht="17.25" hidden="1" thickBot="1" x14ac:dyDescent="0.3">
      <c r="A149" s="226">
        <v>46044</v>
      </c>
      <c r="B149" s="227" t="s">
        <v>193</v>
      </c>
      <c r="C149" s="227" t="s">
        <v>587</v>
      </c>
      <c r="D149" s="228">
        <v>1400</v>
      </c>
      <c r="E149" s="228">
        <v>438.05</v>
      </c>
      <c r="F149" s="228">
        <v>433.55</v>
      </c>
      <c r="G149" s="228">
        <v>4.5</v>
      </c>
      <c r="H149" s="229">
        <v>1.04E-2</v>
      </c>
      <c r="I149" s="228">
        <v>436.45</v>
      </c>
      <c r="J149" s="228">
        <v>433.55</v>
      </c>
      <c r="K149" s="228">
        <v>2.9</v>
      </c>
      <c r="L149" s="229">
        <v>6.7000000000000002E-3</v>
      </c>
      <c r="M149" s="228">
        <v>438.05</v>
      </c>
      <c r="N149" s="228">
        <v>433.55</v>
      </c>
      <c r="O149" s="228">
        <v>4.5</v>
      </c>
      <c r="P149" s="229">
        <v>1.04E-2</v>
      </c>
      <c r="Q149" s="228">
        <v>432.5</v>
      </c>
      <c r="R149" s="228">
        <v>428.1</v>
      </c>
      <c r="S149" s="228">
        <v>4.4000000000000004</v>
      </c>
      <c r="T149" s="229">
        <v>1.03E-2</v>
      </c>
      <c r="U149" s="228">
        <v>431.75</v>
      </c>
      <c r="V149" s="228">
        <v>426.4</v>
      </c>
      <c r="W149" s="228">
        <v>5.35</v>
      </c>
      <c r="X149" s="229">
        <v>1.2500000000000001E-2</v>
      </c>
      <c r="Y149" s="228">
        <v>1.6</v>
      </c>
      <c r="Z149" s="228">
        <v>0</v>
      </c>
      <c r="AA149" s="228">
        <v>1.6</v>
      </c>
      <c r="AB149" s="229">
        <v>3.7000000000000002E-3</v>
      </c>
      <c r="AC149" s="228">
        <v>1.6</v>
      </c>
      <c r="AD149" s="228">
        <v>0</v>
      </c>
      <c r="AE149" s="228">
        <v>1.6</v>
      </c>
      <c r="AF149" s="229">
        <v>3.7000000000000002E-3</v>
      </c>
      <c r="AG149" s="228">
        <v>-3.95</v>
      </c>
      <c r="AH149" s="228">
        <v>-5.45</v>
      </c>
      <c r="AI149" s="228">
        <v>1.5</v>
      </c>
      <c r="AJ149" s="229">
        <v>-9.1000000000000004E-3</v>
      </c>
      <c r="AK149" s="228">
        <v>-4.7</v>
      </c>
      <c r="AL149" s="228">
        <v>-7.15</v>
      </c>
      <c r="AM149" s="228">
        <v>2.4500000000000002</v>
      </c>
      <c r="AN149" s="229">
        <v>-1.0800000000000001E-2</v>
      </c>
      <c r="AO149" s="228">
        <v>440.29</v>
      </c>
      <c r="AP149" s="228">
        <v>435.19</v>
      </c>
      <c r="AQ149" s="228">
        <v>0</v>
      </c>
      <c r="AR149" s="230">
        <v>18663400</v>
      </c>
      <c r="AS149" s="230">
        <v>10666600</v>
      </c>
      <c r="AT149" s="230">
        <v>7996800</v>
      </c>
      <c r="AU149" s="229">
        <v>0.74970000000000003</v>
      </c>
      <c r="AV149" s="230">
        <v>9069200</v>
      </c>
      <c r="AW149" s="230">
        <v>5681200</v>
      </c>
      <c r="AX149" s="230">
        <v>3388000</v>
      </c>
      <c r="AY149" s="229">
        <v>0.59640000000000004</v>
      </c>
      <c r="AZ149" s="230">
        <v>9518600</v>
      </c>
      <c r="BA149" s="230">
        <v>4968600</v>
      </c>
      <c r="BB149" s="230">
        <v>4550000</v>
      </c>
      <c r="BC149" s="229">
        <v>0.91579999999999995</v>
      </c>
      <c r="BD149" s="230">
        <v>75600</v>
      </c>
      <c r="BE149" s="230">
        <v>16800</v>
      </c>
      <c r="BF149" s="230">
        <v>58800</v>
      </c>
      <c r="BG149" s="229">
        <v>3.5</v>
      </c>
      <c r="BH149" s="230">
        <v>10980200</v>
      </c>
      <c r="BI149" s="230">
        <v>12962600</v>
      </c>
      <c r="BJ149" s="230">
        <v>-1982400</v>
      </c>
      <c r="BK149" s="229">
        <v>-0.15290000000000001</v>
      </c>
      <c r="BL149" s="230">
        <v>3789800</v>
      </c>
      <c r="BM149" s="230">
        <v>5553800</v>
      </c>
      <c r="BN149" s="230">
        <v>-1764000</v>
      </c>
      <c r="BO149" s="229">
        <v>-0.31759999999999999</v>
      </c>
      <c r="BP149" s="230">
        <v>33433400</v>
      </c>
      <c r="BQ149" s="230">
        <v>29183000</v>
      </c>
      <c r="BR149" s="230">
        <v>4250400</v>
      </c>
      <c r="BS149" s="229">
        <v>0.14560000000000001</v>
      </c>
      <c r="BT149" s="230">
        <v>2260886</v>
      </c>
      <c r="BU149" s="230">
        <v>2420858</v>
      </c>
      <c r="BV149" s="230">
        <v>-159972</v>
      </c>
      <c r="BW149" s="229">
        <v>-6.6100000000000006E-2</v>
      </c>
      <c r="BX149" s="230">
        <v>14207200</v>
      </c>
      <c r="BY149" s="230">
        <v>15177400</v>
      </c>
      <c r="BZ149" s="230">
        <v>-970200</v>
      </c>
      <c r="CA149" s="229">
        <v>-6.3899999999999998E-2</v>
      </c>
      <c r="CB149" s="230">
        <v>3295600</v>
      </c>
      <c r="CC149" s="230">
        <v>8995000</v>
      </c>
      <c r="CD149" s="230">
        <v>-5699400</v>
      </c>
      <c r="CE149" s="229">
        <v>-0.63360000000000005</v>
      </c>
      <c r="CF149" s="230">
        <v>10774400</v>
      </c>
      <c r="CG149" s="230">
        <v>6018600</v>
      </c>
      <c r="CH149" s="230">
        <v>4755800</v>
      </c>
      <c r="CI149" s="229">
        <v>0.79020000000000001</v>
      </c>
      <c r="CJ149" s="230">
        <v>137200</v>
      </c>
      <c r="CK149" s="230">
        <v>163800</v>
      </c>
      <c r="CL149" s="230">
        <v>-26600</v>
      </c>
      <c r="CM149" s="229">
        <v>-0.16239999999999999</v>
      </c>
      <c r="CN149" s="230">
        <v>8507800</v>
      </c>
      <c r="CO149" s="230">
        <v>8989400</v>
      </c>
      <c r="CP149" s="230">
        <v>-481600</v>
      </c>
      <c r="CQ149" s="229">
        <v>-5.3600000000000002E-2</v>
      </c>
      <c r="CR149" s="230">
        <v>5450200</v>
      </c>
      <c r="CS149" s="230">
        <v>5490800</v>
      </c>
      <c r="CT149" s="230">
        <v>-40600</v>
      </c>
      <c r="CU149" s="229">
        <v>-7.4000000000000003E-3</v>
      </c>
      <c r="CV149" s="230">
        <v>28165200</v>
      </c>
      <c r="CW149" s="230">
        <v>29657600</v>
      </c>
      <c r="CX149" s="230">
        <v>-1492400</v>
      </c>
      <c r="CY149" s="229">
        <v>-5.0299999999999997E-2</v>
      </c>
      <c r="CZ149" s="228">
        <v>33.979999999999997</v>
      </c>
      <c r="DA149" s="228">
        <v>27.91</v>
      </c>
      <c r="DB149" s="228">
        <v>6.07</v>
      </c>
      <c r="DC149" s="228">
        <v>6.07</v>
      </c>
      <c r="DD149" s="228">
        <v>40.869999999999997</v>
      </c>
      <c r="DE149" s="228">
        <v>40.94</v>
      </c>
      <c r="DF149" s="228">
        <v>-6.89</v>
      </c>
      <c r="DG149" s="228">
        <v>-7.0000000000000007E-2</v>
      </c>
      <c r="DH149" s="228">
        <v>34.47</v>
      </c>
      <c r="DI149" s="228">
        <v>28.2</v>
      </c>
      <c r="DJ149" s="228">
        <v>6.27</v>
      </c>
      <c r="DK149" s="228">
        <v>6.27</v>
      </c>
      <c r="DL149" s="228">
        <v>32.65</v>
      </c>
      <c r="DM149" s="228">
        <v>27.23</v>
      </c>
      <c r="DN149" s="228">
        <v>5.42</v>
      </c>
      <c r="DO149" s="228">
        <v>5.42</v>
      </c>
      <c r="DP149" s="228">
        <v>0.64</v>
      </c>
      <c r="DQ149" s="228">
        <v>0.61</v>
      </c>
      <c r="DR149" s="228">
        <v>0.03</v>
      </c>
      <c r="DS149" s="229">
        <v>4.9200000000000001E-2</v>
      </c>
      <c r="DT149" s="228">
        <v>470</v>
      </c>
      <c r="DU149" s="228">
        <v>420</v>
      </c>
      <c r="DV149" s="228">
        <v>0.35</v>
      </c>
      <c r="DW149" s="228">
        <v>0.43</v>
      </c>
      <c r="DX149" s="228">
        <v>-0.08</v>
      </c>
      <c r="DY149" s="229">
        <v>-0.186</v>
      </c>
      <c r="DZ149" s="229">
        <v>0.76800000000000002</v>
      </c>
      <c r="EA149" s="230">
        <v>6182400</v>
      </c>
      <c r="EB149" s="229">
        <v>-1.2699999999999999E-2</v>
      </c>
      <c r="EC149" s="229">
        <v>0.76800000000000002</v>
      </c>
      <c r="ED149" s="228">
        <v>-5.0999999999999996</v>
      </c>
      <c r="EE149" s="229">
        <v>-1.1599999999999999E-2</v>
      </c>
      <c r="EF149" s="230">
        <v>1204316</v>
      </c>
      <c r="EG149" s="230">
        <v>863234</v>
      </c>
      <c r="EH149" s="229">
        <v>0.39510000000000001</v>
      </c>
      <c r="EI149" s="229">
        <v>0.53269999999999995</v>
      </c>
      <c r="EJ149" s="231">
        <v>50240.74</v>
      </c>
      <c r="EK149" s="231">
        <v>16313.02</v>
      </c>
      <c r="EL149" s="231">
        <v>81682.92</v>
      </c>
      <c r="EM149" s="231">
        <v>4638</v>
      </c>
      <c r="EN149" s="231">
        <v>148236.68</v>
      </c>
      <c r="EO149" s="231">
        <v>127929.60000000001</v>
      </c>
      <c r="EP149" s="231">
        <v>20307.080000000002</v>
      </c>
      <c r="EQ149" s="229">
        <v>0.15870000000000001</v>
      </c>
      <c r="ER149" s="231">
        <v>39229</v>
      </c>
      <c r="ES149" s="231">
        <v>22946</v>
      </c>
      <c r="ET149" s="231">
        <v>61628</v>
      </c>
      <c r="EU149" s="231">
        <v>102006452</v>
      </c>
      <c r="EV149" s="231">
        <v>123803</v>
      </c>
      <c r="EW149" s="231">
        <v>129965</v>
      </c>
      <c r="EX149" s="231">
        <v>-6162</v>
      </c>
      <c r="EY149" s="229">
        <v>-4.7399999999999998E-2</v>
      </c>
      <c r="EZ149" s="229">
        <v>0.27610000000000001</v>
      </c>
      <c r="FA149" s="227" t="s">
        <v>556</v>
      </c>
      <c r="FB149" s="161">
        <f t="shared" si="3"/>
        <v>0</v>
      </c>
    </row>
    <row r="150" spans="1:158" ht="17.25" thickBot="1" x14ac:dyDescent="0.3">
      <c r="A150" s="226">
        <v>46044</v>
      </c>
      <c r="B150" s="227" t="s">
        <v>193</v>
      </c>
      <c r="C150" s="227" t="s">
        <v>269</v>
      </c>
      <c r="D150" s="228">
        <v>2250</v>
      </c>
      <c r="E150" s="228">
        <v>243.78</v>
      </c>
      <c r="F150" s="228">
        <v>242.14</v>
      </c>
      <c r="G150" s="228">
        <v>1.64</v>
      </c>
      <c r="H150" s="229">
        <v>6.7999999999999996E-3</v>
      </c>
      <c r="I150" s="228">
        <v>244.01</v>
      </c>
      <c r="J150" s="228">
        <v>242.37</v>
      </c>
      <c r="K150" s="228">
        <v>1.64</v>
      </c>
      <c r="L150" s="229">
        <v>6.7999999999999996E-3</v>
      </c>
      <c r="M150" s="228">
        <v>243.78</v>
      </c>
      <c r="N150" s="228">
        <v>242.14</v>
      </c>
      <c r="O150" s="228">
        <v>1.64</v>
      </c>
      <c r="P150" s="229">
        <v>6.7999999999999996E-3</v>
      </c>
      <c r="Q150" s="228">
        <v>244.65</v>
      </c>
      <c r="R150" s="228">
        <v>242.6</v>
      </c>
      <c r="S150" s="228">
        <v>2.0499999999999998</v>
      </c>
      <c r="T150" s="229">
        <v>8.5000000000000006E-3</v>
      </c>
      <c r="U150" s="228">
        <v>245.8</v>
      </c>
      <c r="V150" s="228">
        <v>244.28</v>
      </c>
      <c r="W150" s="228">
        <v>1.52</v>
      </c>
      <c r="X150" s="229">
        <v>6.1999999999999998E-3</v>
      </c>
      <c r="Y150" s="228">
        <v>-0.23</v>
      </c>
      <c r="Z150" s="228">
        <v>-0.23</v>
      </c>
      <c r="AA150" s="228">
        <v>0</v>
      </c>
      <c r="AB150" s="229">
        <v>-8.9999999999999998E-4</v>
      </c>
      <c r="AC150" s="228">
        <v>-0.23</v>
      </c>
      <c r="AD150" s="228">
        <v>-0.23</v>
      </c>
      <c r="AE150" s="228">
        <v>0</v>
      </c>
      <c r="AF150" s="229">
        <v>-8.9999999999999998E-4</v>
      </c>
      <c r="AG150" s="228">
        <v>0.64</v>
      </c>
      <c r="AH150" s="228">
        <v>0.23</v>
      </c>
      <c r="AI150" s="228">
        <v>0.41</v>
      </c>
      <c r="AJ150" s="229">
        <v>2.5999999999999999E-3</v>
      </c>
      <c r="AK150" s="228">
        <v>1.79</v>
      </c>
      <c r="AL150" s="228">
        <v>1.91</v>
      </c>
      <c r="AM150" s="228">
        <v>-0.12</v>
      </c>
      <c r="AN150" s="229">
        <v>7.3000000000000001E-3</v>
      </c>
      <c r="AO150" s="228">
        <v>244.23</v>
      </c>
      <c r="AP150" s="228">
        <v>245.04</v>
      </c>
      <c r="AQ150" s="228">
        <v>0</v>
      </c>
      <c r="AR150" s="230">
        <v>56619000</v>
      </c>
      <c r="AS150" s="230">
        <v>43148250</v>
      </c>
      <c r="AT150" s="230">
        <v>13470750</v>
      </c>
      <c r="AU150" s="229">
        <v>0.31219999999999998</v>
      </c>
      <c r="AV150" s="230">
        <v>30714750</v>
      </c>
      <c r="AW150" s="230">
        <v>25258500</v>
      </c>
      <c r="AX150" s="230">
        <v>5456250</v>
      </c>
      <c r="AY150" s="229">
        <v>0.216</v>
      </c>
      <c r="AZ150" s="230">
        <v>25175250</v>
      </c>
      <c r="BA150" s="230">
        <v>17678250</v>
      </c>
      <c r="BB150" s="230">
        <v>7497000</v>
      </c>
      <c r="BC150" s="229">
        <v>0.42409999999999998</v>
      </c>
      <c r="BD150" s="230">
        <v>729000</v>
      </c>
      <c r="BE150" s="230">
        <v>211500</v>
      </c>
      <c r="BF150" s="230">
        <v>517500</v>
      </c>
      <c r="BG150" s="229">
        <v>2.4468000000000001</v>
      </c>
      <c r="BH150" s="230">
        <v>82136250</v>
      </c>
      <c r="BI150" s="230">
        <v>87525000</v>
      </c>
      <c r="BJ150" s="230">
        <v>-5388750</v>
      </c>
      <c r="BK150" s="229">
        <v>-6.1600000000000002E-2</v>
      </c>
      <c r="BL150" s="230">
        <v>56760750</v>
      </c>
      <c r="BM150" s="230">
        <v>61074000</v>
      </c>
      <c r="BN150" s="230">
        <v>-4313250</v>
      </c>
      <c r="BO150" s="229">
        <v>-7.0599999999999996E-2</v>
      </c>
      <c r="BP150" s="230">
        <v>195516000</v>
      </c>
      <c r="BQ150" s="230">
        <v>191747250</v>
      </c>
      <c r="BR150" s="230">
        <v>3768750</v>
      </c>
      <c r="BS150" s="229">
        <v>1.9699999999999999E-2</v>
      </c>
      <c r="BT150" s="230">
        <v>11140205</v>
      </c>
      <c r="BU150" s="230">
        <v>10358736</v>
      </c>
      <c r="BV150" s="230">
        <v>781469</v>
      </c>
      <c r="BW150" s="229">
        <v>7.5399999999999995E-2</v>
      </c>
      <c r="BX150" s="230">
        <v>114840000</v>
      </c>
      <c r="BY150" s="230">
        <v>112000500</v>
      </c>
      <c r="BZ150" s="230">
        <v>2839500</v>
      </c>
      <c r="CA150" s="229">
        <v>2.5399999999999999E-2</v>
      </c>
      <c r="CB150" s="230">
        <v>76630500</v>
      </c>
      <c r="CC150" s="230">
        <v>92459250</v>
      </c>
      <c r="CD150" s="230">
        <v>-15828750</v>
      </c>
      <c r="CE150" s="229">
        <v>-0.17119999999999999</v>
      </c>
      <c r="CF150" s="230">
        <v>37008000</v>
      </c>
      <c r="CG150" s="230">
        <v>18600750</v>
      </c>
      <c r="CH150" s="230">
        <v>18407250</v>
      </c>
      <c r="CI150" s="229">
        <v>0.98960000000000004</v>
      </c>
      <c r="CJ150" s="230">
        <v>1201500</v>
      </c>
      <c r="CK150" s="230">
        <v>940500</v>
      </c>
      <c r="CL150" s="230">
        <v>261000</v>
      </c>
      <c r="CM150" s="229">
        <v>0.27750000000000002</v>
      </c>
      <c r="CN150" s="230">
        <v>100921500</v>
      </c>
      <c r="CO150" s="230">
        <v>102854250</v>
      </c>
      <c r="CP150" s="230">
        <v>-1932750</v>
      </c>
      <c r="CQ150" s="229">
        <v>-1.8800000000000001E-2</v>
      </c>
      <c r="CR150" s="230">
        <v>45472500</v>
      </c>
      <c r="CS150" s="230">
        <v>44892000</v>
      </c>
      <c r="CT150" s="230">
        <v>580500</v>
      </c>
      <c r="CU150" s="229">
        <v>1.29E-2</v>
      </c>
      <c r="CV150" s="230">
        <v>261234000</v>
      </c>
      <c r="CW150" s="230">
        <v>259746750</v>
      </c>
      <c r="CX150" s="230">
        <v>1487250</v>
      </c>
      <c r="CY150" s="229">
        <v>5.7000000000000002E-3</v>
      </c>
      <c r="CZ150" s="228">
        <v>24.44</v>
      </c>
      <c r="DA150" s="228">
        <v>18.29</v>
      </c>
      <c r="DB150" s="228">
        <v>6.15</v>
      </c>
      <c r="DC150" s="228">
        <v>6.15</v>
      </c>
      <c r="DD150" s="228">
        <v>29.72</v>
      </c>
      <c r="DE150" s="228">
        <v>29.78</v>
      </c>
      <c r="DF150" s="228">
        <v>-5.28</v>
      </c>
      <c r="DG150" s="228">
        <v>-0.06</v>
      </c>
      <c r="DH150" s="228">
        <v>23.82</v>
      </c>
      <c r="DI150" s="228">
        <v>18.04</v>
      </c>
      <c r="DJ150" s="228">
        <v>5.78</v>
      </c>
      <c r="DK150" s="228">
        <v>5.78</v>
      </c>
      <c r="DL150" s="228">
        <v>25.48</v>
      </c>
      <c r="DM150" s="228">
        <v>18.649999999999999</v>
      </c>
      <c r="DN150" s="228">
        <v>6.83</v>
      </c>
      <c r="DO150" s="228">
        <v>6.83</v>
      </c>
      <c r="DP150" s="228">
        <v>0.45</v>
      </c>
      <c r="DQ150" s="228">
        <v>0.44</v>
      </c>
      <c r="DR150" s="228">
        <v>0.01</v>
      </c>
      <c r="DS150" s="229">
        <v>2.2700000000000001E-2</v>
      </c>
      <c r="DT150" s="228">
        <v>240</v>
      </c>
      <c r="DU150" s="228">
        <v>240</v>
      </c>
      <c r="DV150" s="228">
        <v>0.69</v>
      </c>
      <c r="DW150" s="228">
        <v>0.7</v>
      </c>
      <c r="DX150" s="228">
        <v>-0.01</v>
      </c>
      <c r="DY150" s="229">
        <v>-1.43E-2</v>
      </c>
      <c r="DZ150" s="229">
        <v>0.3327</v>
      </c>
      <c r="EA150" s="230">
        <v>19541250</v>
      </c>
      <c r="EB150" s="229">
        <v>3.5999999999999999E-3</v>
      </c>
      <c r="EC150" s="229">
        <v>0.3327</v>
      </c>
      <c r="ED150" s="228">
        <v>0.81</v>
      </c>
      <c r="EE150" s="229">
        <v>3.3E-3</v>
      </c>
      <c r="EF150" s="230">
        <v>7446762</v>
      </c>
      <c r="EG150" s="230">
        <v>5726029</v>
      </c>
      <c r="EH150" s="229">
        <v>0.30049999999999999</v>
      </c>
      <c r="EI150" s="229">
        <v>0.66849999999999998</v>
      </c>
      <c r="EJ150" s="231">
        <v>205126.01</v>
      </c>
      <c r="EK150" s="231">
        <v>136484.66</v>
      </c>
      <c r="EL150" s="231">
        <v>138504.04999999999</v>
      </c>
      <c r="EM150" s="231">
        <v>10752</v>
      </c>
      <c r="EN150" s="231">
        <v>480114.72</v>
      </c>
      <c r="EO150" s="231">
        <v>468277.56</v>
      </c>
      <c r="EP150" s="231">
        <v>11837.16</v>
      </c>
      <c r="EQ150" s="229">
        <v>2.53E-2</v>
      </c>
      <c r="ER150" s="231">
        <v>249580</v>
      </c>
      <c r="ES150" s="231">
        <v>108004</v>
      </c>
      <c r="ET150" s="231">
        <v>280303</v>
      </c>
      <c r="EU150" s="231">
        <v>517141211</v>
      </c>
      <c r="EV150" s="231">
        <v>637887</v>
      </c>
      <c r="EW150" s="231">
        <v>632488</v>
      </c>
      <c r="EX150" s="231">
        <v>5399</v>
      </c>
      <c r="EY150" s="229">
        <v>8.5000000000000006E-3</v>
      </c>
      <c r="EZ150" s="229">
        <v>0.50519999999999998</v>
      </c>
      <c r="FA150" s="227" t="s">
        <v>555</v>
      </c>
      <c r="FB150" s="161">
        <f t="shared" si="3"/>
        <v>0</v>
      </c>
    </row>
    <row r="151" spans="1:158" ht="17.25" thickBot="1" x14ac:dyDescent="0.3">
      <c r="A151" s="226">
        <v>46044</v>
      </c>
      <c r="B151" s="227" t="s">
        <v>197</v>
      </c>
      <c r="C151" s="227" t="s">
        <v>270</v>
      </c>
      <c r="D151" s="228">
        <v>15</v>
      </c>
      <c r="E151" s="231">
        <v>33005</v>
      </c>
      <c r="F151" s="231">
        <v>33050</v>
      </c>
      <c r="G151" s="228">
        <v>-45</v>
      </c>
      <c r="H151" s="229">
        <v>-1.4E-3</v>
      </c>
      <c r="I151" s="231">
        <v>32875</v>
      </c>
      <c r="J151" s="231">
        <v>33110</v>
      </c>
      <c r="K151" s="228">
        <v>-235</v>
      </c>
      <c r="L151" s="229">
        <v>-7.1000000000000004E-3</v>
      </c>
      <c r="M151" s="231">
        <v>33005</v>
      </c>
      <c r="N151" s="231">
        <v>33050</v>
      </c>
      <c r="O151" s="228">
        <v>-45</v>
      </c>
      <c r="P151" s="229">
        <v>-1.4E-3</v>
      </c>
      <c r="Q151" s="231">
        <v>32185</v>
      </c>
      <c r="R151" s="231">
        <v>32290</v>
      </c>
      <c r="S151" s="228">
        <v>-105</v>
      </c>
      <c r="T151" s="229">
        <v>-3.3E-3</v>
      </c>
      <c r="U151" s="231">
        <v>31980</v>
      </c>
      <c r="V151" s="231">
        <v>32175</v>
      </c>
      <c r="W151" s="228">
        <v>-195</v>
      </c>
      <c r="X151" s="229">
        <v>-6.1000000000000004E-3</v>
      </c>
      <c r="Y151" s="228">
        <v>130</v>
      </c>
      <c r="Z151" s="228">
        <v>-60</v>
      </c>
      <c r="AA151" s="228">
        <v>190</v>
      </c>
      <c r="AB151" s="229">
        <v>4.0000000000000001E-3</v>
      </c>
      <c r="AC151" s="228">
        <v>130</v>
      </c>
      <c r="AD151" s="228">
        <v>-60</v>
      </c>
      <c r="AE151" s="228">
        <v>190</v>
      </c>
      <c r="AF151" s="229">
        <v>4.0000000000000001E-3</v>
      </c>
      <c r="AG151" s="228">
        <v>-690</v>
      </c>
      <c r="AH151" s="228">
        <v>-820</v>
      </c>
      <c r="AI151" s="228">
        <v>130</v>
      </c>
      <c r="AJ151" s="229">
        <v>-2.1000000000000001E-2</v>
      </c>
      <c r="AK151" s="228">
        <v>-895</v>
      </c>
      <c r="AL151" s="228">
        <v>-935</v>
      </c>
      <c r="AM151" s="228">
        <v>40</v>
      </c>
      <c r="AN151" s="229">
        <v>-2.7199999999999998E-2</v>
      </c>
      <c r="AO151" s="231">
        <v>32997.71</v>
      </c>
      <c r="AP151" s="231">
        <v>32225.51</v>
      </c>
      <c r="AQ151" s="228">
        <v>0</v>
      </c>
      <c r="AR151" s="230">
        <v>313140</v>
      </c>
      <c r="AS151" s="230">
        <v>267195</v>
      </c>
      <c r="AT151" s="230">
        <v>45945</v>
      </c>
      <c r="AU151" s="229">
        <v>0.17199999999999999</v>
      </c>
      <c r="AV151" s="230">
        <v>147540</v>
      </c>
      <c r="AW151" s="230">
        <v>136965</v>
      </c>
      <c r="AX151" s="230">
        <v>10575</v>
      </c>
      <c r="AY151" s="229">
        <v>7.7200000000000005E-2</v>
      </c>
      <c r="AZ151" s="230">
        <v>162420</v>
      </c>
      <c r="BA151" s="230">
        <v>127155</v>
      </c>
      <c r="BB151" s="230">
        <v>35265</v>
      </c>
      <c r="BC151" s="229">
        <v>0.27729999999999999</v>
      </c>
      <c r="BD151" s="230">
        <v>3180</v>
      </c>
      <c r="BE151" s="230">
        <v>3075</v>
      </c>
      <c r="BF151" s="228">
        <v>105</v>
      </c>
      <c r="BG151" s="229">
        <v>3.4099999999999998E-2</v>
      </c>
      <c r="BH151" s="230">
        <v>190605</v>
      </c>
      <c r="BI151" s="230">
        <v>202815</v>
      </c>
      <c r="BJ151" s="230">
        <v>-12210</v>
      </c>
      <c r="BK151" s="229">
        <v>-6.0199999999999997E-2</v>
      </c>
      <c r="BL151" s="230">
        <v>69945</v>
      </c>
      <c r="BM151" s="230">
        <v>75375</v>
      </c>
      <c r="BN151" s="230">
        <v>-5430</v>
      </c>
      <c r="BO151" s="229">
        <v>-7.1999999999999995E-2</v>
      </c>
      <c r="BP151" s="230">
        <v>573690</v>
      </c>
      <c r="BQ151" s="230">
        <v>545385</v>
      </c>
      <c r="BR151" s="230">
        <v>28305</v>
      </c>
      <c r="BS151" s="229">
        <v>5.1900000000000002E-2</v>
      </c>
      <c r="BT151" s="230">
        <v>34076</v>
      </c>
      <c r="BU151" s="230">
        <v>33391</v>
      </c>
      <c r="BV151" s="228">
        <v>685</v>
      </c>
      <c r="BW151" s="229">
        <v>2.0500000000000001E-2</v>
      </c>
      <c r="BX151" s="230">
        <v>294690</v>
      </c>
      <c r="BY151" s="230">
        <v>280155</v>
      </c>
      <c r="BZ151" s="230">
        <v>14535</v>
      </c>
      <c r="CA151" s="229">
        <v>5.1900000000000002E-2</v>
      </c>
      <c r="CB151" s="230">
        <v>81360</v>
      </c>
      <c r="CC151" s="230">
        <v>162390</v>
      </c>
      <c r="CD151" s="230">
        <v>-81030</v>
      </c>
      <c r="CE151" s="229">
        <v>-0.499</v>
      </c>
      <c r="CF151" s="230">
        <v>208095</v>
      </c>
      <c r="CG151" s="230">
        <v>113505</v>
      </c>
      <c r="CH151" s="230">
        <v>94590</v>
      </c>
      <c r="CI151" s="229">
        <v>0.83340000000000003</v>
      </c>
      <c r="CJ151" s="230">
        <v>5235</v>
      </c>
      <c r="CK151" s="230">
        <v>4260</v>
      </c>
      <c r="CL151" s="228">
        <v>975</v>
      </c>
      <c r="CM151" s="229">
        <v>0.22889999999999999</v>
      </c>
      <c r="CN151" s="230">
        <v>120375</v>
      </c>
      <c r="CO151" s="230">
        <v>114285</v>
      </c>
      <c r="CP151" s="230">
        <v>6090</v>
      </c>
      <c r="CQ151" s="229">
        <v>5.33E-2</v>
      </c>
      <c r="CR151" s="230">
        <v>56400</v>
      </c>
      <c r="CS151" s="230">
        <v>56520</v>
      </c>
      <c r="CT151" s="228">
        <v>-120</v>
      </c>
      <c r="CU151" s="229">
        <v>-2.0999999999999999E-3</v>
      </c>
      <c r="CV151" s="230">
        <v>471465</v>
      </c>
      <c r="CW151" s="230">
        <v>450960</v>
      </c>
      <c r="CX151" s="230">
        <v>20505</v>
      </c>
      <c r="CY151" s="229">
        <v>4.5499999999999999E-2</v>
      </c>
      <c r="CZ151" s="228">
        <v>29.78</v>
      </c>
      <c r="DA151" s="228">
        <v>28.87</v>
      </c>
      <c r="DB151" s="228">
        <v>0.91</v>
      </c>
      <c r="DC151" s="228">
        <v>0.91</v>
      </c>
      <c r="DD151" s="228">
        <v>27.5</v>
      </c>
      <c r="DE151" s="228">
        <v>27.55</v>
      </c>
      <c r="DF151" s="228">
        <v>2.2799999999999998</v>
      </c>
      <c r="DG151" s="228">
        <v>-0.05</v>
      </c>
      <c r="DH151" s="228">
        <v>30.26</v>
      </c>
      <c r="DI151" s="228">
        <v>28.48</v>
      </c>
      <c r="DJ151" s="228">
        <v>1.78</v>
      </c>
      <c r="DK151" s="228">
        <v>1.78</v>
      </c>
      <c r="DL151" s="228">
        <v>28.81</v>
      </c>
      <c r="DM151" s="228">
        <v>29.91</v>
      </c>
      <c r="DN151" s="228">
        <v>-1.1000000000000001</v>
      </c>
      <c r="DO151" s="228">
        <v>-1.1000000000000001</v>
      </c>
      <c r="DP151" s="228">
        <v>0.47</v>
      </c>
      <c r="DQ151" s="228">
        <v>0.49</v>
      </c>
      <c r="DR151" s="228">
        <v>-0.02</v>
      </c>
      <c r="DS151" s="229">
        <v>-4.0800000000000003E-2</v>
      </c>
      <c r="DT151" s="231">
        <v>36000</v>
      </c>
      <c r="DU151" s="231">
        <v>35000</v>
      </c>
      <c r="DV151" s="228">
        <v>0.37</v>
      </c>
      <c r="DW151" s="228">
        <v>0.37</v>
      </c>
      <c r="DX151" s="228">
        <v>0</v>
      </c>
      <c r="DY151" s="229">
        <v>0</v>
      </c>
      <c r="DZ151" s="229">
        <v>0.72389999999999999</v>
      </c>
      <c r="EA151" s="230">
        <v>117765</v>
      </c>
      <c r="EB151" s="229">
        <v>-2.4799999999999999E-2</v>
      </c>
      <c r="EC151" s="229">
        <v>0.72389999999999999</v>
      </c>
      <c r="ED151" s="228">
        <v>-772.2</v>
      </c>
      <c r="EE151" s="229">
        <v>-2.3400000000000001E-2</v>
      </c>
      <c r="EF151" s="230">
        <v>17534</v>
      </c>
      <c r="EG151" s="230">
        <v>15003</v>
      </c>
      <c r="EH151" s="229">
        <v>0.16869999999999999</v>
      </c>
      <c r="EI151" s="229">
        <v>0.51459999999999995</v>
      </c>
      <c r="EJ151" s="231">
        <v>68343.78</v>
      </c>
      <c r="EK151" s="231">
        <v>22426.82</v>
      </c>
      <c r="EL151" s="231">
        <v>102043.13</v>
      </c>
      <c r="EM151" s="231">
        <v>8132</v>
      </c>
      <c r="EN151" s="231">
        <v>192813.73</v>
      </c>
      <c r="EO151" s="231">
        <v>184149.45</v>
      </c>
      <c r="EP151" s="231">
        <v>8664.2800000000007</v>
      </c>
      <c r="EQ151" s="229">
        <v>4.7100000000000003E-2</v>
      </c>
      <c r="ER151" s="231">
        <v>43542</v>
      </c>
      <c r="ES151" s="231">
        <v>19205</v>
      </c>
      <c r="ET151" s="231">
        <v>95502</v>
      </c>
      <c r="EU151" s="231">
        <v>955549</v>
      </c>
      <c r="EV151" s="231">
        <v>158250</v>
      </c>
      <c r="EW151" s="231">
        <v>152378</v>
      </c>
      <c r="EX151" s="231">
        <v>5872</v>
      </c>
      <c r="EY151" s="229">
        <v>3.85E-2</v>
      </c>
      <c r="EZ151" s="229">
        <v>0.49340000000000001</v>
      </c>
      <c r="FA151" s="227" t="s">
        <v>567</v>
      </c>
      <c r="FB151" s="161">
        <f t="shared" si="3"/>
        <v>0</v>
      </c>
    </row>
    <row r="152" spans="1:158" ht="17.25" thickBot="1" x14ac:dyDescent="0.3">
      <c r="A152" s="226">
        <v>46044</v>
      </c>
      <c r="B152" s="227" t="s">
        <v>168</v>
      </c>
      <c r="C152" s="227" t="s">
        <v>665</v>
      </c>
      <c r="D152" s="228">
        <v>900</v>
      </c>
      <c r="E152" s="228">
        <v>510.55</v>
      </c>
      <c r="F152" s="228">
        <v>503.55</v>
      </c>
      <c r="G152" s="228">
        <v>7</v>
      </c>
      <c r="H152" s="229">
        <v>1.3899999999999999E-2</v>
      </c>
      <c r="I152" s="228">
        <v>511</v>
      </c>
      <c r="J152" s="228">
        <v>505</v>
      </c>
      <c r="K152" s="228">
        <v>6</v>
      </c>
      <c r="L152" s="229">
        <v>1.1900000000000001E-2</v>
      </c>
      <c r="M152" s="228">
        <v>510.55</v>
      </c>
      <c r="N152" s="228">
        <v>503.55</v>
      </c>
      <c r="O152" s="228">
        <v>7</v>
      </c>
      <c r="P152" s="229">
        <v>1.3899999999999999E-2</v>
      </c>
      <c r="Q152" s="228">
        <v>513.29999999999995</v>
      </c>
      <c r="R152" s="228">
        <v>505.85</v>
      </c>
      <c r="S152" s="228">
        <v>7.45</v>
      </c>
      <c r="T152" s="229">
        <v>1.47E-2</v>
      </c>
      <c r="U152" s="228">
        <v>516.54999999999995</v>
      </c>
      <c r="V152" s="228">
        <v>508.7</v>
      </c>
      <c r="W152" s="228">
        <v>7.85</v>
      </c>
      <c r="X152" s="229">
        <v>1.54E-2</v>
      </c>
      <c r="Y152" s="228">
        <v>-0.45</v>
      </c>
      <c r="Z152" s="228">
        <v>-1.45</v>
      </c>
      <c r="AA152" s="228">
        <v>1</v>
      </c>
      <c r="AB152" s="229">
        <v>-8.9999999999999998E-4</v>
      </c>
      <c r="AC152" s="228">
        <v>-0.45</v>
      </c>
      <c r="AD152" s="228">
        <v>-1.45</v>
      </c>
      <c r="AE152" s="228">
        <v>1</v>
      </c>
      <c r="AF152" s="229">
        <v>-8.9999999999999998E-4</v>
      </c>
      <c r="AG152" s="228">
        <v>2.2999999999999998</v>
      </c>
      <c r="AH152" s="228">
        <v>0.85</v>
      </c>
      <c r="AI152" s="228">
        <v>1.45</v>
      </c>
      <c r="AJ152" s="229">
        <v>4.4999999999999997E-3</v>
      </c>
      <c r="AK152" s="228">
        <v>5.55</v>
      </c>
      <c r="AL152" s="228">
        <v>3.7</v>
      </c>
      <c r="AM152" s="228">
        <v>1.85</v>
      </c>
      <c r="AN152" s="229">
        <v>1.09E-2</v>
      </c>
      <c r="AO152" s="228">
        <v>510.71</v>
      </c>
      <c r="AP152" s="228">
        <v>513.26</v>
      </c>
      <c r="AQ152" s="228">
        <v>0</v>
      </c>
      <c r="AR152" s="230">
        <v>22118400</v>
      </c>
      <c r="AS152" s="230">
        <v>22613400</v>
      </c>
      <c r="AT152" s="230">
        <v>-495000</v>
      </c>
      <c r="AU152" s="229">
        <v>-2.1899999999999999E-2</v>
      </c>
      <c r="AV152" s="230">
        <v>10873800</v>
      </c>
      <c r="AW152" s="230">
        <v>11865600</v>
      </c>
      <c r="AX152" s="230">
        <v>-991800</v>
      </c>
      <c r="AY152" s="229">
        <v>-8.3599999999999994E-2</v>
      </c>
      <c r="AZ152" s="230">
        <v>11234700</v>
      </c>
      <c r="BA152" s="230">
        <v>10728900</v>
      </c>
      <c r="BB152" s="230">
        <v>505800</v>
      </c>
      <c r="BC152" s="229">
        <v>4.7100000000000003E-2</v>
      </c>
      <c r="BD152" s="230">
        <v>9900</v>
      </c>
      <c r="BE152" s="230">
        <v>18900</v>
      </c>
      <c r="BF152" s="230">
        <v>-9000</v>
      </c>
      <c r="BG152" s="229">
        <v>-0.47620000000000001</v>
      </c>
      <c r="BH152" s="230">
        <v>6910200</v>
      </c>
      <c r="BI152" s="230">
        <v>11182500</v>
      </c>
      <c r="BJ152" s="230">
        <v>-4272300</v>
      </c>
      <c r="BK152" s="229">
        <v>-0.3821</v>
      </c>
      <c r="BL152" s="230">
        <v>2721600</v>
      </c>
      <c r="BM152" s="230">
        <v>6687000</v>
      </c>
      <c r="BN152" s="230">
        <v>-3965400</v>
      </c>
      <c r="BO152" s="229">
        <v>-0.59299999999999997</v>
      </c>
      <c r="BP152" s="230">
        <v>31750200</v>
      </c>
      <c r="BQ152" s="230">
        <v>40482900</v>
      </c>
      <c r="BR152" s="230">
        <v>-8732700</v>
      </c>
      <c r="BS152" s="229">
        <v>-0.2157</v>
      </c>
      <c r="BT152" s="230">
        <v>1133250</v>
      </c>
      <c r="BU152" s="230">
        <v>6921655</v>
      </c>
      <c r="BV152" s="230">
        <v>-5788405</v>
      </c>
      <c r="BW152" s="229">
        <v>-0.83630000000000004</v>
      </c>
      <c r="BX152" s="230">
        <v>38655000</v>
      </c>
      <c r="BY152" s="230">
        <v>38834100</v>
      </c>
      <c r="BZ152" s="230">
        <v>-179100</v>
      </c>
      <c r="CA152" s="229">
        <v>-4.5999999999999999E-3</v>
      </c>
      <c r="CB152" s="230">
        <v>8285400</v>
      </c>
      <c r="CC152" s="230">
        <v>16417800</v>
      </c>
      <c r="CD152" s="230">
        <v>-8132400</v>
      </c>
      <c r="CE152" s="229">
        <v>-0.49530000000000002</v>
      </c>
      <c r="CF152" s="230">
        <v>30319200</v>
      </c>
      <c r="CG152" s="230">
        <v>22373100</v>
      </c>
      <c r="CH152" s="230">
        <v>7946100</v>
      </c>
      <c r="CI152" s="229">
        <v>0.35520000000000002</v>
      </c>
      <c r="CJ152" s="230">
        <v>50400</v>
      </c>
      <c r="CK152" s="230">
        <v>43200</v>
      </c>
      <c r="CL152" s="230">
        <v>7200</v>
      </c>
      <c r="CM152" s="229">
        <v>0.16669999999999999</v>
      </c>
      <c r="CN152" s="230">
        <v>6738300</v>
      </c>
      <c r="CO152" s="230">
        <v>7659900</v>
      </c>
      <c r="CP152" s="230">
        <v>-921600</v>
      </c>
      <c r="CQ152" s="229">
        <v>-0.1203</v>
      </c>
      <c r="CR152" s="230">
        <v>3167100</v>
      </c>
      <c r="CS152" s="230">
        <v>3465000</v>
      </c>
      <c r="CT152" s="230">
        <v>-297900</v>
      </c>
      <c r="CU152" s="229">
        <v>-8.5999999999999993E-2</v>
      </c>
      <c r="CV152" s="230">
        <v>48560400</v>
      </c>
      <c r="CW152" s="230">
        <v>49959000</v>
      </c>
      <c r="CX152" s="230">
        <v>-1398600</v>
      </c>
      <c r="CY152" s="229">
        <v>-2.8000000000000001E-2</v>
      </c>
      <c r="CZ152" s="228">
        <v>30.45</v>
      </c>
      <c r="DA152" s="228">
        <v>30.12</v>
      </c>
      <c r="DB152" s="228">
        <v>0.33</v>
      </c>
      <c r="DC152" s="228">
        <v>0.33</v>
      </c>
      <c r="DD152" s="228">
        <v>33.31</v>
      </c>
      <c r="DE152" s="228">
        <v>33.340000000000003</v>
      </c>
      <c r="DF152" s="228">
        <v>-2.86</v>
      </c>
      <c r="DG152" s="228">
        <v>-0.03</v>
      </c>
      <c r="DH152" s="228">
        <v>30.68</v>
      </c>
      <c r="DI152" s="228">
        <v>32.340000000000003</v>
      </c>
      <c r="DJ152" s="228">
        <v>-1.66</v>
      </c>
      <c r="DK152" s="228">
        <v>-1.66</v>
      </c>
      <c r="DL152" s="228">
        <v>30.14</v>
      </c>
      <c r="DM152" s="228">
        <v>26.41</v>
      </c>
      <c r="DN152" s="228">
        <v>3.73</v>
      </c>
      <c r="DO152" s="228">
        <v>3.73</v>
      </c>
      <c r="DP152" s="228">
        <v>0.47</v>
      </c>
      <c r="DQ152" s="228">
        <v>0.45</v>
      </c>
      <c r="DR152" s="228">
        <v>0.02</v>
      </c>
      <c r="DS152" s="229">
        <v>4.4400000000000002E-2</v>
      </c>
      <c r="DT152" s="228">
        <v>600</v>
      </c>
      <c r="DU152" s="228">
        <v>480</v>
      </c>
      <c r="DV152" s="228">
        <v>0.39</v>
      </c>
      <c r="DW152" s="228">
        <v>0.6</v>
      </c>
      <c r="DX152" s="228">
        <v>-0.21</v>
      </c>
      <c r="DY152" s="229">
        <v>-0.35</v>
      </c>
      <c r="DZ152" s="229">
        <v>0.78569999999999995</v>
      </c>
      <c r="EA152" s="230">
        <v>22416300</v>
      </c>
      <c r="EB152" s="229">
        <v>5.4000000000000003E-3</v>
      </c>
      <c r="EC152" s="229">
        <v>0.78569999999999995</v>
      </c>
      <c r="ED152" s="228">
        <v>2.5499999999999998</v>
      </c>
      <c r="EE152" s="229">
        <v>5.0000000000000001E-3</v>
      </c>
      <c r="EF152" s="230">
        <v>383727</v>
      </c>
      <c r="EG152" s="230">
        <v>3445228</v>
      </c>
      <c r="EH152" s="229">
        <v>-0.88859999999999995</v>
      </c>
      <c r="EI152" s="229">
        <v>0.33860000000000001</v>
      </c>
      <c r="EJ152" s="231">
        <v>37046.85</v>
      </c>
      <c r="EK152" s="231">
        <v>13816.67</v>
      </c>
      <c r="EL152" s="231">
        <v>113247.82</v>
      </c>
      <c r="EM152" s="231">
        <v>19371</v>
      </c>
      <c r="EN152" s="231">
        <v>164111.34</v>
      </c>
      <c r="EO152" s="231">
        <v>205930.74</v>
      </c>
      <c r="EP152" s="231">
        <v>-41819.4</v>
      </c>
      <c r="EQ152" s="229">
        <v>-0.2031</v>
      </c>
      <c r="ER152" s="231">
        <v>38238</v>
      </c>
      <c r="ES152" s="231">
        <v>16562</v>
      </c>
      <c r="ET152" s="231">
        <v>198190</v>
      </c>
      <c r="EU152" s="231">
        <v>50886533</v>
      </c>
      <c r="EV152" s="231">
        <v>252990</v>
      </c>
      <c r="EW152" s="231">
        <v>257277</v>
      </c>
      <c r="EX152" s="231">
        <v>-4287</v>
      </c>
      <c r="EY152" s="229">
        <v>-1.67E-2</v>
      </c>
      <c r="EZ152" s="229">
        <v>0.95430000000000004</v>
      </c>
      <c r="FA152" s="227" t="s">
        <v>556</v>
      </c>
      <c r="FB152" s="161">
        <f t="shared" si="3"/>
        <v>0</v>
      </c>
    </row>
    <row r="153" spans="1:158" ht="17.25" thickBot="1" x14ac:dyDescent="0.3">
      <c r="A153" s="226">
        <v>46044</v>
      </c>
      <c r="B153" s="227" t="s">
        <v>615</v>
      </c>
      <c r="C153" s="227" t="s">
        <v>575</v>
      </c>
      <c r="D153" s="228">
        <v>725</v>
      </c>
      <c r="E153" s="231">
        <v>1262.5999999999999</v>
      </c>
      <c r="F153" s="231">
        <v>1234.7</v>
      </c>
      <c r="G153" s="228">
        <v>27.9</v>
      </c>
      <c r="H153" s="229">
        <v>2.2599999999999999E-2</v>
      </c>
      <c r="I153" s="231">
        <v>1260.5</v>
      </c>
      <c r="J153" s="231">
        <v>1235.9000000000001</v>
      </c>
      <c r="K153" s="228">
        <v>24.6</v>
      </c>
      <c r="L153" s="229">
        <v>1.9900000000000001E-2</v>
      </c>
      <c r="M153" s="231">
        <v>1262.5999999999999</v>
      </c>
      <c r="N153" s="231">
        <v>1234.7</v>
      </c>
      <c r="O153" s="228">
        <v>27.9</v>
      </c>
      <c r="P153" s="229">
        <v>2.2599999999999999E-2</v>
      </c>
      <c r="Q153" s="231">
        <v>1269</v>
      </c>
      <c r="R153" s="231">
        <v>1240.9000000000001</v>
      </c>
      <c r="S153" s="228">
        <v>28.1</v>
      </c>
      <c r="T153" s="229">
        <v>2.2599999999999999E-2</v>
      </c>
      <c r="U153" s="231">
        <v>1276.7</v>
      </c>
      <c r="V153" s="231">
        <v>1248.2</v>
      </c>
      <c r="W153" s="228">
        <v>28.5</v>
      </c>
      <c r="X153" s="229">
        <v>2.2800000000000001E-2</v>
      </c>
      <c r="Y153" s="228">
        <v>2.1</v>
      </c>
      <c r="Z153" s="228">
        <v>-1.2</v>
      </c>
      <c r="AA153" s="228">
        <v>3.3</v>
      </c>
      <c r="AB153" s="229">
        <v>1.6999999999999999E-3</v>
      </c>
      <c r="AC153" s="228">
        <v>2.1</v>
      </c>
      <c r="AD153" s="228">
        <v>-1.2</v>
      </c>
      <c r="AE153" s="228">
        <v>3.3</v>
      </c>
      <c r="AF153" s="229">
        <v>1.6999999999999999E-3</v>
      </c>
      <c r="AG153" s="228">
        <v>8.5</v>
      </c>
      <c r="AH153" s="228">
        <v>5</v>
      </c>
      <c r="AI153" s="228">
        <v>3.5</v>
      </c>
      <c r="AJ153" s="229">
        <v>6.7000000000000002E-3</v>
      </c>
      <c r="AK153" s="228">
        <v>16.2</v>
      </c>
      <c r="AL153" s="228">
        <v>12.3</v>
      </c>
      <c r="AM153" s="228">
        <v>3.9</v>
      </c>
      <c r="AN153" s="229">
        <v>1.29E-2</v>
      </c>
      <c r="AO153" s="231">
        <v>1256.48</v>
      </c>
      <c r="AP153" s="231">
        <v>1262.5999999999999</v>
      </c>
      <c r="AQ153" s="228">
        <v>0</v>
      </c>
      <c r="AR153" s="230">
        <v>12774500</v>
      </c>
      <c r="AS153" s="230">
        <v>13393650</v>
      </c>
      <c r="AT153" s="230">
        <v>-619150</v>
      </c>
      <c r="AU153" s="229">
        <v>-4.6199999999999998E-2</v>
      </c>
      <c r="AV153" s="230">
        <v>6569225</v>
      </c>
      <c r="AW153" s="230">
        <v>8323725</v>
      </c>
      <c r="AX153" s="230">
        <v>-1754500</v>
      </c>
      <c r="AY153" s="229">
        <v>-0.21079999999999999</v>
      </c>
      <c r="AZ153" s="230">
        <v>6182075</v>
      </c>
      <c r="BA153" s="230">
        <v>5038025</v>
      </c>
      <c r="BB153" s="230">
        <v>1144050</v>
      </c>
      <c r="BC153" s="229">
        <v>0.2271</v>
      </c>
      <c r="BD153" s="230">
        <v>23200</v>
      </c>
      <c r="BE153" s="230">
        <v>31900</v>
      </c>
      <c r="BF153" s="230">
        <v>-8700</v>
      </c>
      <c r="BG153" s="229">
        <v>-0.2727</v>
      </c>
      <c r="BH153" s="230">
        <v>10651700</v>
      </c>
      <c r="BI153" s="230">
        <v>21858750</v>
      </c>
      <c r="BJ153" s="230">
        <v>-11207050</v>
      </c>
      <c r="BK153" s="229">
        <v>-0.51270000000000004</v>
      </c>
      <c r="BL153" s="230">
        <v>6759900</v>
      </c>
      <c r="BM153" s="230">
        <v>19611975</v>
      </c>
      <c r="BN153" s="230">
        <v>-12852075</v>
      </c>
      <c r="BO153" s="229">
        <v>-0.65529999999999999</v>
      </c>
      <c r="BP153" s="230">
        <v>30186100</v>
      </c>
      <c r="BQ153" s="230">
        <v>54864375</v>
      </c>
      <c r="BR153" s="230">
        <v>-24678275</v>
      </c>
      <c r="BS153" s="229">
        <v>-0.44979999999999998</v>
      </c>
      <c r="BT153" s="230">
        <v>2480657</v>
      </c>
      <c r="BU153" s="230">
        <v>6960242</v>
      </c>
      <c r="BV153" s="230">
        <v>-4479585</v>
      </c>
      <c r="BW153" s="229">
        <v>-0.64359999999999995</v>
      </c>
      <c r="BX153" s="230">
        <v>16937450</v>
      </c>
      <c r="BY153" s="230">
        <v>17416675</v>
      </c>
      <c r="BZ153" s="230">
        <v>-479225</v>
      </c>
      <c r="CA153" s="229">
        <v>-2.75E-2</v>
      </c>
      <c r="CB153" s="230">
        <v>8987825</v>
      </c>
      <c r="CC153" s="230">
        <v>13701050</v>
      </c>
      <c r="CD153" s="230">
        <v>-4713225</v>
      </c>
      <c r="CE153" s="229">
        <v>-0.34399999999999997</v>
      </c>
      <c r="CF153" s="230">
        <v>7859725</v>
      </c>
      <c r="CG153" s="230">
        <v>3634425</v>
      </c>
      <c r="CH153" s="230">
        <v>4225300</v>
      </c>
      <c r="CI153" s="229">
        <v>1.1626000000000001</v>
      </c>
      <c r="CJ153" s="230">
        <v>89900</v>
      </c>
      <c r="CK153" s="230">
        <v>81200</v>
      </c>
      <c r="CL153" s="230">
        <v>8700</v>
      </c>
      <c r="CM153" s="229">
        <v>0.1071</v>
      </c>
      <c r="CN153" s="230">
        <v>5885550</v>
      </c>
      <c r="CO153" s="230">
        <v>6764250</v>
      </c>
      <c r="CP153" s="230">
        <v>-878700</v>
      </c>
      <c r="CQ153" s="229">
        <v>-0.12989999999999999</v>
      </c>
      <c r="CR153" s="230">
        <v>4336225</v>
      </c>
      <c r="CS153" s="230">
        <v>4185425</v>
      </c>
      <c r="CT153" s="230">
        <v>150800</v>
      </c>
      <c r="CU153" s="229">
        <v>3.5999999999999997E-2</v>
      </c>
      <c r="CV153" s="230">
        <v>27159225</v>
      </c>
      <c r="CW153" s="230">
        <v>28366350</v>
      </c>
      <c r="CX153" s="230">
        <v>-1207125</v>
      </c>
      <c r="CY153" s="229">
        <v>-4.2599999999999999E-2</v>
      </c>
      <c r="CZ153" s="228">
        <v>38.270000000000003</v>
      </c>
      <c r="DA153" s="228">
        <v>37.46</v>
      </c>
      <c r="DB153" s="228">
        <v>0.81</v>
      </c>
      <c r="DC153" s="228">
        <v>0.81</v>
      </c>
      <c r="DD153" s="228">
        <v>50.8</v>
      </c>
      <c r="DE153" s="228">
        <v>50.84</v>
      </c>
      <c r="DF153" s="228">
        <v>-12.53</v>
      </c>
      <c r="DG153" s="228">
        <v>-0.04</v>
      </c>
      <c r="DH153" s="228">
        <v>37.58</v>
      </c>
      <c r="DI153" s="228">
        <v>39.01</v>
      </c>
      <c r="DJ153" s="228">
        <v>-1.43</v>
      </c>
      <c r="DK153" s="228">
        <v>-1.43</v>
      </c>
      <c r="DL153" s="228">
        <v>39.119999999999997</v>
      </c>
      <c r="DM153" s="228">
        <v>35.74</v>
      </c>
      <c r="DN153" s="228">
        <v>3.38</v>
      </c>
      <c r="DO153" s="228">
        <v>3.38</v>
      </c>
      <c r="DP153" s="228">
        <v>0.74</v>
      </c>
      <c r="DQ153" s="228">
        <v>0.62</v>
      </c>
      <c r="DR153" s="228">
        <v>0.12</v>
      </c>
      <c r="DS153" s="229">
        <v>0.19350000000000001</v>
      </c>
      <c r="DT153" s="231">
        <v>1300</v>
      </c>
      <c r="DU153" s="231">
        <v>1200</v>
      </c>
      <c r="DV153" s="228">
        <v>0.63</v>
      </c>
      <c r="DW153" s="228">
        <v>0.9</v>
      </c>
      <c r="DX153" s="228">
        <v>-0.27</v>
      </c>
      <c r="DY153" s="229">
        <v>-0.3</v>
      </c>
      <c r="DZ153" s="229">
        <v>0.46939999999999998</v>
      </c>
      <c r="EA153" s="230">
        <v>3715625</v>
      </c>
      <c r="EB153" s="229">
        <v>5.1000000000000004E-3</v>
      </c>
      <c r="EC153" s="229">
        <v>0.46939999999999998</v>
      </c>
      <c r="ED153" s="228">
        <v>6.12</v>
      </c>
      <c r="EE153" s="229">
        <v>4.8999999999999998E-3</v>
      </c>
      <c r="EF153" s="230">
        <v>1016524</v>
      </c>
      <c r="EG153" s="230">
        <v>3158996</v>
      </c>
      <c r="EH153" s="229">
        <v>-0.67820000000000003</v>
      </c>
      <c r="EI153" s="229">
        <v>0.4098</v>
      </c>
      <c r="EJ153" s="231">
        <v>139845.18</v>
      </c>
      <c r="EK153" s="231">
        <v>83557.03</v>
      </c>
      <c r="EL153" s="231">
        <v>160890.10999999999</v>
      </c>
      <c r="EM153" s="231">
        <v>8516</v>
      </c>
      <c r="EN153" s="231">
        <v>384292.32</v>
      </c>
      <c r="EO153" s="231">
        <v>700736.65</v>
      </c>
      <c r="EP153" s="231">
        <v>-316444.33</v>
      </c>
      <c r="EQ153" s="229">
        <v>-0.4516</v>
      </c>
      <c r="ER153" s="231">
        <v>79002</v>
      </c>
      <c r="ES153" s="231">
        <v>54038</v>
      </c>
      <c r="ET153" s="231">
        <v>214368</v>
      </c>
      <c r="EU153" s="231">
        <v>95799519</v>
      </c>
      <c r="EV153" s="231">
        <v>347408</v>
      </c>
      <c r="EW153" s="231">
        <v>358190</v>
      </c>
      <c r="EX153" s="231">
        <v>-10782</v>
      </c>
      <c r="EY153" s="229">
        <v>-3.0099999999999998E-2</v>
      </c>
      <c r="EZ153" s="229">
        <v>0.28349999999999997</v>
      </c>
      <c r="FA153" s="227" t="s">
        <v>556</v>
      </c>
      <c r="FB153" s="161">
        <f>BX227-CB227</f>
        <v>0</v>
      </c>
    </row>
    <row r="154" spans="1:158" ht="17.25" thickBot="1" x14ac:dyDescent="0.3">
      <c r="A154" s="226">
        <v>46044</v>
      </c>
      <c r="B154" s="227" t="s">
        <v>221</v>
      </c>
      <c r="C154" s="227" t="s">
        <v>529</v>
      </c>
      <c r="D154" s="228">
        <v>100</v>
      </c>
      <c r="E154" s="231">
        <v>6297.5</v>
      </c>
      <c r="F154" s="231">
        <v>6219.5</v>
      </c>
      <c r="G154" s="228">
        <v>78</v>
      </c>
      <c r="H154" s="229">
        <v>1.2500000000000001E-2</v>
      </c>
      <c r="I154" s="231">
        <v>6320.5</v>
      </c>
      <c r="J154" s="231">
        <v>6242</v>
      </c>
      <c r="K154" s="228">
        <v>78.5</v>
      </c>
      <c r="L154" s="229">
        <v>1.26E-2</v>
      </c>
      <c r="M154" s="231">
        <v>6297.5</v>
      </c>
      <c r="N154" s="231">
        <v>6219.5</v>
      </c>
      <c r="O154" s="228">
        <v>78</v>
      </c>
      <c r="P154" s="229">
        <v>1.2500000000000001E-2</v>
      </c>
      <c r="Q154" s="231">
        <v>6328.5</v>
      </c>
      <c r="R154" s="231">
        <v>6248.5</v>
      </c>
      <c r="S154" s="228">
        <v>80</v>
      </c>
      <c r="T154" s="229">
        <v>1.2800000000000001E-2</v>
      </c>
      <c r="U154" s="231">
        <v>6372.5</v>
      </c>
      <c r="V154" s="231">
        <v>6283</v>
      </c>
      <c r="W154" s="228">
        <v>89.5</v>
      </c>
      <c r="X154" s="229">
        <v>1.4200000000000001E-2</v>
      </c>
      <c r="Y154" s="228">
        <v>-23</v>
      </c>
      <c r="Z154" s="228">
        <v>-22.5</v>
      </c>
      <c r="AA154" s="228">
        <v>-0.5</v>
      </c>
      <c r="AB154" s="229">
        <v>-3.5999999999999999E-3</v>
      </c>
      <c r="AC154" s="228">
        <v>-23</v>
      </c>
      <c r="AD154" s="228">
        <v>-22.5</v>
      </c>
      <c r="AE154" s="228">
        <v>-0.5</v>
      </c>
      <c r="AF154" s="229">
        <v>-3.5999999999999999E-3</v>
      </c>
      <c r="AG154" s="228">
        <v>8</v>
      </c>
      <c r="AH154" s="228">
        <v>6.5</v>
      </c>
      <c r="AI154" s="228">
        <v>1.5</v>
      </c>
      <c r="AJ154" s="229">
        <v>1.2999999999999999E-3</v>
      </c>
      <c r="AK154" s="228">
        <v>52</v>
      </c>
      <c r="AL154" s="228">
        <v>41</v>
      </c>
      <c r="AM154" s="228">
        <v>11</v>
      </c>
      <c r="AN154" s="229">
        <v>8.2000000000000007E-3</v>
      </c>
      <c r="AO154" s="231">
        <v>6267.25</v>
      </c>
      <c r="AP154" s="231">
        <v>6296.27</v>
      </c>
      <c r="AQ154" s="228">
        <v>0</v>
      </c>
      <c r="AR154" s="230">
        <v>2045700</v>
      </c>
      <c r="AS154" s="230">
        <v>4495100</v>
      </c>
      <c r="AT154" s="230">
        <v>-2449400</v>
      </c>
      <c r="AU154" s="229">
        <v>-0.54490000000000005</v>
      </c>
      <c r="AV154" s="230">
        <v>1101000</v>
      </c>
      <c r="AW154" s="230">
        <v>3090400</v>
      </c>
      <c r="AX154" s="230">
        <v>-1989400</v>
      </c>
      <c r="AY154" s="229">
        <v>-0.64370000000000005</v>
      </c>
      <c r="AZ154" s="230">
        <v>936700</v>
      </c>
      <c r="BA154" s="230">
        <v>1395100</v>
      </c>
      <c r="BB154" s="230">
        <v>-458400</v>
      </c>
      <c r="BC154" s="229">
        <v>-0.3286</v>
      </c>
      <c r="BD154" s="230">
        <v>8000</v>
      </c>
      <c r="BE154" s="230">
        <v>9600</v>
      </c>
      <c r="BF154" s="230">
        <v>-1600</v>
      </c>
      <c r="BG154" s="229">
        <v>-0.16669999999999999</v>
      </c>
      <c r="BH154" s="230">
        <v>4322200</v>
      </c>
      <c r="BI154" s="230">
        <v>13400800</v>
      </c>
      <c r="BJ154" s="230">
        <v>-9078600</v>
      </c>
      <c r="BK154" s="229">
        <v>-0.67749999999999999</v>
      </c>
      <c r="BL154" s="230">
        <v>3142100</v>
      </c>
      <c r="BM154" s="230">
        <v>14100800</v>
      </c>
      <c r="BN154" s="230">
        <v>-10958700</v>
      </c>
      <c r="BO154" s="229">
        <v>-0.7772</v>
      </c>
      <c r="BP154" s="230">
        <v>9510000</v>
      </c>
      <c r="BQ154" s="230">
        <v>31996700</v>
      </c>
      <c r="BR154" s="230">
        <v>-22486700</v>
      </c>
      <c r="BS154" s="229">
        <v>-0.70279999999999998</v>
      </c>
      <c r="BT154" s="230">
        <v>466114</v>
      </c>
      <c r="BU154" s="230">
        <v>2188999</v>
      </c>
      <c r="BV154" s="230">
        <v>-1722885</v>
      </c>
      <c r="BW154" s="229">
        <v>-0.78710000000000002</v>
      </c>
      <c r="BX154" s="230">
        <v>2786700</v>
      </c>
      <c r="BY154" s="230">
        <v>2983500</v>
      </c>
      <c r="BZ154" s="230">
        <v>-196800</v>
      </c>
      <c r="CA154" s="229">
        <v>-6.6000000000000003E-2</v>
      </c>
      <c r="CB154" s="230">
        <v>1480900</v>
      </c>
      <c r="CC154" s="230">
        <v>2089200</v>
      </c>
      <c r="CD154" s="230">
        <v>-608300</v>
      </c>
      <c r="CE154" s="229">
        <v>-0.29120000000000001</v>
      </c>
      <c r="CF154" s="230">
        <v>1294600</v>
      </c>
      <c r="CG154" s="230">
        <v>884300</v>
      </c>
      <c r="CH154" s="230">
        <v>410300</v>
      </c>
      <c r="CI154" s="229">
        <v>0.46400000000000002</v>
      </c>
      <c r="CJ154" s="230">
        <v>11200</v>
      </c>
      <c r="CK154" s="230">
        <v>10000</v>
      </c>
      <c r="CL154" s="230">
        <v>1200</v>
      </c>
      <c r="CM154" s="229">
        <v>0.12</v>
      </c>
      <c r="CN154" s="230">
        <v>1124100</v>
      </c>
      <c r="CO154" s="230">
        <v>1528500</v>
      </c>
      <c r="CP154" s="230">
        <v>-404400</v>
      </c>
      <c r="CQ154" s="229">
        <v>-0.2646</v>
      </c>
      <c r="CR154" s="230">
        <v>933200</v>
      </c>
      <c r="CS154" s="230">
        <v>1138800</v>
      </c>
      <c r="CT154" s="230">
        <v>-205600</v>
      </c>
      <c r="CU154" s="229">
        <v>-0.18049999999999999</v>
      </c>
      <c r="CV154" s="230">
        <v>4844000</v>
      </c>
      <c r="CW154" s="230">
        <v>5650800</v>
      </c>
      <c r="CX154" s="230">
        <v>-806800</v>
      </c>
      <c r="CY154" s="229">
        <v>-0.14280000000000001</v>
      </c>
      <c r="CZ154" s="228">
        <v>30.31</v>
      </c>
      <c r="DA154" s="228">
        <v>35.26</v>
      </c>
      <c r="DB154" s="228">
        <v>-4.95</v>
      </c>
      <c r="DC154" s="228">
        <v>-4.95</v>
      </c>
      <c r="DD154" s="228">
        <v>39.14</v>
      </c>
      <c r="DE154" s="228">
        <v>39.200000000000003</v>
      </c>
      <c r="DF154" s="228">
        <v>-8.83</v>
      </c>
      <c r="DG154" s="228">
        <v>-0.06</v>
      </c>
      <c r="DH154" s="228">
        <v>29.89</v>
      </c>
      <c r="DI154" s="228">
        <v>35.53</v>
      </c>
      <c r="DJ154" s="228">
        <v>-5.64</v>
      </c>
      <c r="DK154" s="228">
        <v>-5.64</v>
      </c>
      <c r="DL154" s="228">
        <v>30.88</v>
      </c>
      <c r="DM154" s="228">
        <v>35.01</v>
      </c>
      <c r="DN154" s="228">
        <v>-4.13</v>
      </c>
      <c r="DO154" s="228">
        <v>-4.13</v>
      </c>
      <c r="DP154" s="228">
        <v>0.83</v>
      </c>
      <c r="DQ154" s="228">
        <v>0.75</v>
      </c>
      <c r="DR154" s="228">
        <v>0.08</v>
      </c>
      <c r="DS154" s="229">
        <v>0.1067</v>
      </c>
      <c r="DT154" s="231">
        <v>6500</v>
      </c>
      <c r="DU154" s="231">
        <v>6000</v>
      </c>
      <c r="DV154" s="228">
        <v>0.73</v>
      </c>
      <c r="DW154" s="228">
        <v>1.05</v>
      </c>
      <c r="DX154" s="228">
        <v>-0.32</v>
      </c>
      <c r="DY154" s="229">
        <v>-0.30480000000000002</v>
      </c>
      <c r="DZ154" s="229">
        <v>0.46860000000000002</v>
      </c>
      <c r="EA154" s="230">
        <v>894300</v>
      </c>
      <c r="EB154" s="229">
        <v>4.8999999999999998E-3</v>
      </c>
      <c r="EC154" s="229">
        <v>0.46860000000000002</v>
      </c>
      <c r="ED154" s="228">
        <v>29.02</v>
      </c>
      <c r="EE154" s="229">
        <v>4.5999999999999999E-3</v>
      </c>
      <c r="EF154" s="230">
        <v>207252</v>
      </c>
      <c r="EG154" s="230">
        <v>912258</v>
      </c>
      <c r="EH154" s="229">
        <v>-0.77280000000000004</v>
      </c>
      <c r="EI154" s="229">
        <v>0.4446</v>
      </c>
      <c r="EJ154" s="231">
        <v>282381.45</v>
      </c>
      <c r="EK154" s="231">
        <v>191545.41</v>
      </c>
      <c r="EL154" s="231">
        <v>128487.86</v>
      </c>
      <c r="EM154" s="231">
        <v>20103</v>
      </c>
      <c r="EN154" s="231">
        <v>602414.72</v>
      </c>
      <c r="EO154" s="231">
        <v>2006587.88</v>
      </c>
      <c r="EP154" s="231">
        <v>-1404173.16</v>
      </c>
      <c r="EQ154" s="229">
        <v>-0.69979999999999998</v>
      </c>
      <c r="ER154" s="231">
        <v>73982</v>
      </c>
      <c r="ES154" s="231">
        <v>56139</v>
      </c>
      <c r="ET154" s="231">
        <v>175902</v>
      </c>
      <c r="EU154" s="231">
        <v>15732422</v>
      </c>
      <c r="EV154" s="231">
        <v>306024</v>
      </c>
      <c r="EW154" s="231">
        <v>354267</v>
      </c>
      <c r="EX154" s="231">
        <v>-48243</v>
      </c>
      <c r="EY154" s="229">
        <v>-0.13619999999999999</v>
      </c>
      <c r="EZ154" s="229">
        <v>0.30790000000000001</v>
      </c>
      <c r="FA154" s="227" t="s">
        <v>556</v>
      </c>
      <c r="FB154" s="161">
        <f t="shared" si="3"/>
        <v>0</v>
      </c>
    </row>
    <row r="155" spans="1:158" ht="17.25" thickBot="1" x14ac:dyDescent="0.3">
      <c r="A155" s="226">
        <v>46044</v>
      </c>
      <c r="B155" s="227" t="s">
        <v>193</v>
      </c>
      <c r="C155" s="227" t="s">
        <v>272</v>
      </c>
      <c r="D155" s="228">
        <v>1900</v>
      </c>
      <c r="E155" s="228">
        <v>275.14999999999998</v>
      </c>
      <c r="F155" s="228">
        <v>275.64999999999998</v>
      </c>
      <c r="G155" s="228">
        <v>-0.5</v>
      </c>
      <c r="H155" s="229">
        <v>-1.8E-3</v>
      </c>
      <c r="I155" s="228">
        <v>275.05</v>
      </c>
      <c r="J155" s="228">
        <v>275.85000000000002</v>
      </c>
      <c r="K155" s="228">
        <v>-0.8</v>
      </c>
      <c r="L155" s="229">
        <v>-2.8999999999999998E-3</v>
      </c>
      <c r="M155" s="228">
        <v>275.14999999999998</v>
      </c>
      <c r="N155" s="228">
        <v>275.64999999999998</v>
      </c>
      <c r="O155" s="228">
        <v>-0.5</v>
      </c>
      <c r="P155" s="229">
        <v>-1.8E-3</v>
      </c>
      <c r="Q155" s="228">
        <v>276.60000000000002</v>
      </c>
      <c r="R155" s="228">
        <v>277.14999999999998</v>
      </c>
      <c r="S155" s="228">
        <v>-0.55000000000000004</v>
      </c>
      <c r="T155" s="229">
        <v>-2E-3</v>
      </c>
      <c r="U155" s="228">
        <v>278.75</v>
      </c>
      <c r="V155" s="228">
        <v>279.25</v>
      </c>
      <c r="W155" s="228">
        <v>-0.5</v>
      </c>
      <c r="X155" s="229">
        <v>-1.8E-3</v>
      </c>
      <c r="Y155" s="228">
        <v>0.1</v>
      </c>
      <c r="Z155" s="228">
        <v>-0.2</v>
      </c>
      <c r="AA155" s="228">
        <v>0.3</v>
      </c>
      <c r="AB155" s="229">
        <v>4.0000000000000002E-4</v>
      </c>
      <c r="AC155" s="228">
        <v>0.1</v>
      </c>
      <c r="AD155" s="228">
        <v>-0.2</v>
      </c>
      <c r="AE155" s="228">
        <v>0.3</v>
      </c>
      <c r="AF155" s="229">
        <v>4.0000000000000002E-4</v>
      </c>
      <c r="AG155" s="228">
        <v>1.55</v>
      </c>
      <c r="AH155" s="228">
        <v>1.3</v>
      </c>
      <c r="AI155" s="228">
        <v>0.25</v>
      </c>
      <c r="AJ155" s="229">
        <v>5.5999999999999999E-3</v>
      </c>
      <c r="AK155" s="228">
        <v>3.7</v>
      </c>
      <c r="AL155" s="228">
        <v>3.4</v>
      </c>
      <c r="AM155" s="228">
        <v>0.3</v>
      </c>
      <c r="AN155" s="229">
        <v>1.35E-2</v>
      </c>
      <c r="AO155" s="228">
        <v>275.19</v>
      </c>
      <c r="AP155" s="228">
        <v>276.63</v>
      </c>
      <c r="AQ155" s="228">
        <v>0</v>
      </c>
      <c r="AR155" s="230">
        <v>26031900</v>
      </c>
      <c r="AS155" s="230">
        <v>22535900</v>
      </c>
      <c r="AT155" s="230">
        <v>3496000</v>
      </c>
      <c r="AU155" s="229">
        <v>0.15509999999999999</v>
      </c>
      <c r="AV155" s="230">
        <v>12944700</v>
      </c>
      <c r="AW155" s="230">
        <v>12279700</v>
      </c>
      <c r="AX155" s="230">
        <v>665000</v>
      </c>
      <c r="AY155" s="229">
        <v>5.4199999999999998E-2</v>
      </c>
      <c r="AZ155" s="230">
        <v>12999800</v>
      </c>
      <c r="BA155" s="230">
        <v>10028200</v>
      </c>
      <c r="BB155" s="230">
        <v>2971600</v>
      </c>
      <c r="BC155" s="229">
        <v>0.29630000000000001</v>
      </c>
      <c r="BD155" s="230">
        <v>87400</v>
      </c>
      <c r="BE155" s="230">
        <v>228000</v>
      </c>
      <c r="BF155" s="230">
        <v>-140600</v>
      </c>
      <c r="BG155" s="229">
        <v>-0.61670000000000003</v>
      </c>
      <c r="BH155" s="230">
        <v>6727900</v>
      </c>
      <c r="BI155" s="230">
        <v>13904200</v>
      </c>
      <c r="BJ155" s="230">
        <v>-7176300</v>
      </c>
      <c r="BK155" s="229">
        <v>-0.5161</v>
      </c>
      <c r="BL155" s="230">
        <v>8639300</v>
      </c>
      <c r="BM155" s="230">
        <v>8536700</v>
      </c>
      <c r="BN155" s="230">
        <v>102600</v>
      </c>
      <c r="BO155" s="229">
        <v>1.2E-2</v>
      </c>
      <c r="BP155" s="230">
        <v>41399100</v>
      </c>
      <c r="BQ155" s="230">
        <v>44976800</v>
      </c>
      <c r="BR155" s="230">
        <v>-3577700</v>
      </c>
      <c r="BS155" s="229">
        <v>-7.9500000000000001E-2</v>
      </c>
      <c r="BT155" s="230">
        <v>1474007</v>
      </c>
      <c r="BU155" s="230">
        <v>3151092</v>
      </c>
      <c r="BV155" s="230">
        <v>-1677085</v>
      </c>
      <c r="BW155" s="229">
        <v>-0.53220000000000001</v>
      </c>
      <c r="BX155" s="230">
        <v>41486500</v>
      </c>
      <c r="BY155" s="230">
        <v>41321200</v>
      </c>
      <c r="BZ155" s="230">
        <v>165300</v>
      </c>
      <c r="CA155" s="229">
        <v>4.0000000000000001E-3</v>
      </c>
      <c r="CB155" s="230">
        <v>16353300</v>
      </c>
      <c r="CC155" s="230">
        <v>26634200</v>
      </c>
      <c r="CD155" s="230">
        <v>-10280900</v>
      </c>
      <c r="CE155" s="229">
        <v>-0.38600000000000001</v>
      </c>
      <c r="CF155" s="230">
        <v>24815900</v>
      </c>
      <c r="CG155" s="230">
        <v>14394400</v>
      </c>
      <c r="CH155" s="230">
        <v>10421500</v>
      </c>
      <c r="CI155" s="229">
        <v>0.72399999999999998</v>
      </c>
      <c r="CJ155" s="230">
        <v>317300</v>
      </c>
      <c r="CK155" s="230">
        <v>292600</v>
      </c>
      <c r="CL155" s="230">
        <v>24700</v>
      </c>
      <c r="CM155" s="229">
        <v>8.4400000000000003E-2</v>
      </c>
      <c r="CN155" s="230">
        <v>12956100</v>
      </c>
      <c r="CO155" s="230">
        <v>13535600</v>
      </c>
      <c r="CP155" s="230">
        <v>-579500</v>
      </c>
      <c r="CQ155" s="229">
        <v>-4.2799999999999998E-2</v>
      </c>
      <c r="CR155" s="230">
        <v>17996800</v>
      </c>
      <c r="CS155" s="230">
        <v>17981600</v>
      </c>
      <c r="CT155" s="230">
        <v>15200</v>
      </c>
      <c r="CU155" s="229">
        <v>8.0000000000000004E-4</v>
      </c>
      <c r="CV155" s="230">
        <v>72439400</v>
      </c>
      <c r="CW155" s="230">
        <v>72838400</v>
      </c>
      <c r="CX155" s="230">
        <v>-399000</v>
      </c>
      <c r="CY155" s="229">
        <v>-5.4999999999999997E-3</v>
      </c>
      <c r="CZ155" s="228">
        <v>28.68</v>
      </c>
      <c r="DA155" s="228">
        <v>29.43</v>
      </c>
      <c r="DB155" s="228">
        <v>-0.75</v>
      </c>
      <c r="DC155" s="228">
        <v>-0.75</v>
      </c>
      <c r="DD155" s="228">
        <v>30.71</v>
      </c>
      <c r="DE155" s="228">
        <v>30.79</v>
      </c>
      <c r="DF155" s="228">
        <v>-2.0299999999999998</v>
      </c>
      <c r="DG155" s="228">
        <v>-0.08</v>
      </c>
      <c r="DH155" s="228">
        <v>28.13</v>
      </c>
      <c r="DI155" s="228">
        <v>28.64</v>
      </c>
      <c r="DJ155" s="228">
        <v>-0.51</v>
      </c>
      <c r="DK155" s="228">
        <v>-0.51</v>
      </c>
      <c r="DL155" s="228">
        <v>29.04</v>
      </c>
      <c r="DM155" s="228">
        <v>30.71</v>
      </c>
      <c r="DN155" s="228">
        <v>-1.67</v>
      </c>
      <c r="DO155" s="228">
        <v>-1.67</v>
      </c>
      <c r="DP155" s="228">
        <v>1.39</v>
      </c>
      <c r="DQ155" s="228">
        <v>1.33</v>
      </c>
      <c r="DR155" s="228">
        <v>0.06</v>
      </c>
      <c r="DS155" s="229">
        <v>4.5100000000000001E-2</v>
      </c>
      <c r="DT155" s="228">
        <v>300</v>
      </c>
      <c r="DU155" s="228">
        <v>265</v>
      </c>
      <c r="DV155" s="228">
        <v>1.28</v>
      </c>
      <c r="DW155" s="228">
        <v>0.61</v>
      </c>
      <c r="DX155" s="228">
        <v>0.67</v>
      </c>
      <c r="DY155" s="229">
        <v>1.0984</v>
      </c>
      <c r="DZ155" s="229">
        <v>0.60580000000000001</v>
      </c>
      <c r="EA155" s="230">
        <v>14687000</v>
      </c>
      <c r="EB155" s="229">
        <v>5.3E-3</v>
      </c>
      <c r="EC155" s="229">
        <v>0.60580000000000001</v>
      </c>
      <c r="ED155" s="228">
        <v>1.44</v>
      </c>
      <c r="EE155" s="229">
        <v>5.1999999999999998E-3</v>
      </c>
      <c r="EF155" s="230">
        <v>751886</v>
      </c>
      <c r="EG155" s="230">
        <v>1587175</v>
      </c>
      <c r="EH155" s="229">
        <v>-0.52629999999999999</v>
      </c>
      <c r="EI155" s="229">
        <v>0.5101</v>
      </c>
      <c r="EJ155" s="231">
        <v>19325.27</v>
      </c>
      <c r="EK155" s="231">
        <v>24053.09</v>
      </c>
      <c r="EL155" s="231">
        <v>71826.91</v>
      </c>
      <c r="EM155" s="231">
        <v>6331</v>
      </c>
      <c r="EN155" s="231">
        <v>115205.27</v>
      </c>
      <c r="EO155" s="231">
        <v>124579.3</v>
      </c>
      <c r="EP155" s="231">
        <v>-9374.0300000000007</v>
      </c>
      <c r="EQ155" s="229">
        <v>-7.5200000000000003E-2</v>
      </c>
      <c r="ER155" s="231">
        <v>37839</v>
      </c>
      <c r="ES155" s="231">
        <v>49524</v>
      </c>
      <c r="ET155" s="231">
        <v>114521</v>
      </c>
      <c r="EU155" s="231">
        <v>108255733</v>
      </c>
      <c r="EV155" s="231">
        <v>201884</v>
      </c>
      <c r="EW155" s="231">
        <v>203190</v>
      </c>
      <c r="EX155" s="231">
        <v>-1306</v>
      </c>
      <c r="EY155" s="229">
        <v>-6.4000000000000003E-3</v>
      </c>
      <c r="EZ155" s="229">
        <v>0.66920000000000002</v>
      </c>
      <c r="FA155" s="227" t="s">
        <v>567</v>
      </c>
      <c r="FB155" s="161">
        <f t="shared" si="3"/>
        <v>0</v>
      </c>
    </row>
    <row r="156" spans="1:158" ht="17.25" thickBot="1" x14ac:dyDescent="0.3">
      <c r="A156" s="226">
        <v>46044</v>
      </c>
      <c r="B156" s="227" t="s">
        <v>175</v>
      </c>
      <c r="C156" s="227" t="s">
        <v>273</v>
      </c>
      <c r="D156" s="228">
        <v>1300</v>
      </c>
      <c r="E156" s="228">
        <v>364.6</v>
      </c>
      <c r="F156" s="228">
        <v>357.4</v>
      </c>
      <c r="G156" s="228">
        <v>7.2</v>
      </c>
      <c r="H156" s="229">
        <v>2.01E-2</v>
      </c>
      <c r="I156" s="228">
        <v>364.7</v>
      </c>
      <c r="J156" s="228">
        <v>357.65</v>
      </c>
      <c r="K156" s="228">
        <v>7.05</v>
      </c>
      <c r="L156" s="229">
        <v>1.9699999999999999E-2</v>
      </c>
      <c r="M156" s="228">
        <v>364.6</v>
      </c>
      <c r="N156" s="228">
        <v>357.4</v>
      </c>
      <c r="O156" s="228">
        <v>7.2</v>
      </c>
      <c r="P156" s="229">
        <v>2.01E-2</v>
      </c>
      <c r="Q156" s="228">
        <v>365.6</v>
      </c>
      <c r="R156" s="228">
        <v>358.6</v>
      </c>
      <c r="S156" s="228">
        <v>7</v>
      </c>
      <c r="T156" s="229">
        <v>1.95E-2</v>
      </c>
      <c r="U156" s="228">
        <v>365.65</v>
      </c>
      <c r="V156" s="228">
        <v>358.45</v>
      </c>
      <c r="W156" s="228">
        <v>7.2</v>
      </c>
      <c r="X156" s="229">
        <v>2.01E-2</v>
      </c>
      <c r="Y156" s="228">
        <v>-0.1</v>
      </c>
      <c r="Z156" s="228">
        <v>-0.25</v>
      </c>
      <c r="AA156" s="228">
        <v>0.15</v>
      </c>
      <c r="AB156" s="229">
        <v>-2.9999999999999997E-4</v>
      </c>
      <c r="AC156" s="228">
        <v>-0.1</v>
      </c>
      <c r="AD156" s="228">
        <v>-0.25</v>
      </c>
      <c r="AE156" s="228">
        <v>0.15</v>
      </c>
      <c r="AF156" s="229">
        <v>-2.9999999999999997E-4</v>
      </c>
      <c r="AG156" s="228">
        <v>0.9</v>
      </c>
      <c r="AH156" s="228">
        <v>0.95</v>
      </c>
      <c r="AI156" s="228">
        <v>-0.05</v>
      </c>
      <c r="AJ156" s="229">
        <v>2.5000000000000001E-3</v>
      </c>
      <c r="AK156" s="228">
        <v>0.95</v>
      </c>
      <c r="AL156" s="228">
        <v>0.8</v>
      </c>
      <c r="AM156" s="228">
        <v>0.15</v>
      </c>
      <c r="AN156" s="229">
        <v>2.5999999999999999E-3</v>
      </c>
      <c r="AO156" s="228">
        <v>364.21</v>
      </c>
      <c r="AP156" s="228">
        <v>365.38</v>
      </c>
      <c r="AQ156" s="228">
        <v>0</v>
      </c>
      <c r="AR156" s="230">
        <v>37664900</v>
      </c>
      <c r="AS156" s="230">
        <v>37967800</v>
      </c>
      <c r="AT156" s="230">
        <v>-302900</v>
      </c>
      <c r="AU156" s="229">
        <v>-8.0000000000000002E-3</v>
      </c>
      <c r="AV156" s="230">
        <v>18778500</v>
      </c>
      <c r="AW156" s="230">
        <v>19999200</v>
      </c>
      <c r="AX156" s="230">
        <v>-1220700</v>
      </c>
      <c r="AY156" s="229">
        <v>-6.0999999999999999E-2</v>
      </c>
      <c r="AZ156" s="230">
        <v>18240300</v>
      </c>
      <c r="BA156" s="230">
        <v>17561700</v>
      </c>
      <c r="BB156" s="230">
        <v>678600</v>
      </c>
      <c r="BC156" s="229">
        <v>3.8600000000000002E-2</v>
      </c>
      <c r="BD156" s="230">
        <v>646100</v>
      </c>
      <c r="BE156" s="230">
        <v>406900</v>
      </c>
      <c r="BF156" s="230">
        <v>239200</v>
      </c>
      <c r="BG156" s="229">
        <v>0.58789999999999998</v>
      </c>
      <c r="BH156" s="230">
        <v>36475400</v>
      </c>
      <c r="BI156" s="230">
        <v>52982800</v>
      </c>
      <c r="BJ156" s="230">
        <v>-16507400</v>
      </c>
      <c r="BK156" s="229">
        <v>-0.31159999999999999</v>
      </c>
      <c r="BL156" s="230">
        <v>22618700</v>
      </c>
      <c r="BM156" s="230">
        <v>35791600</v>
      </c>
      <c r="BN156" s="230">
        <v>-13172900</v>
      </c>
      <c r="BO156" s="229">
        <v>-0.36799999999999999</v>
      </c>
      <c r="BP156" s="230">
        <v>96759000</v>
      </c>
      <c r="BQ156" s="230">
        <v>126742200</v>
      </c>
      <c r="BR156" s="230">
        <v>-29983200</v>
      </c>
      <c r="BS156" s="229">
        <v>-0.2366</v>
      </c>
      <c r="BT156" s="230">
        <v>3518591</v>
      </c>
      <c r="BU156" s="230">
        <v>6396277</v>
      </c>
      <c r="BV156" s="230">
        <v>-2877686</v>
      </c>
      <c r="BW156" s="229">
        <v>-0.44990000000000002</v>
      </c>
      <c r="BX156" s="230">
        <v>78144300</v>
      </c>
      <c r="BY156" s="230">
        <v>79176500</v>
      </c>
      <c r="BZ156" s="230">
        <v>-1032200</v>
      </c>
      <c r="CA156" s="229">
        <v>-1.2999999999999999E-2</v>
      </c>
      <c r="CB156" s="230">
        <v>41221700</v>
      </c>
      <c r="CC156" s="230">
        <v>54921100</v>
      </c>
      <c r="CD156" s="230">
        <v>-13699400</v>
      </c>
      <c r="CE156" s="229">
        <v>-0.24940000000000001</v>
      </c>
      <c r="CF156" s="230">
        <v>34734700</v>
      </c>
      <c r="CG156" s="230">
        <v>22493900</v>
      </c>
      <c r="CH156" s="230">
        <v>12240800</v>
      </c>
      <c r="CI156" s="229">
        <v>0.54420000000000002</v>
      </c>
      <c r="CJ156" s="230">
        <v>2187900</v>
      </c>
      <c r="CK156" s="230">
        <v>1761500</v>
      </c>
      <c r="CL156" s="230">
        <v>426400</v>
      </c>
      <c r="CM156" s="229">
        <v>0.24210000000000001</v>
      </c>
      <c r="CN156" s="230">
        <v>32662500</v>
      </c>
      <c r="CO156" s="230">
        <v>34984300</v>
      </c>
      <c r="CP156" s="230">
        <v>-2321800</v>
      </c>
      <c r="CQ156" s="229">
        <v>-6.6400000000000001E-2</v>
      </c>
      <c r="CR156" s="230">
        <v>24536200</v>
      </c>
      <c r="CS156" s="230">
        <v>25317500</v>
      </c>
      <c r="CT156" s="230">
        <v>-781300</v>
      </c>
      <c r="CU156" s="229">
        <v>-3.09E-2</v>
      </c>
      <c r="CV156" s="230">
        <v>135343000</v>
      </c>
      <c r="CW156" s="230">
        <v>139478300</v>
      </c>
      <c r="CX156" s="230">
        <v>-4135300</v>
      </c>
      <c r="CY156" s="229">
        <v>-2.9600000000000001E-2</v>
      </c>
      <c r="CZ156" s="228">
        <v>30.21</v>
      </c>
      <c r="DA156" s="228">
        <v>28.97</v>
      </c>
      <c r="DB156" s="228">
        <v>1.24</v>
      </c>
      <c r="DC156" s="228">
        <v>1.24</v>
      </c>
      <c r="DD156" s="228">
        <v>40.71</v>
      </c>
      <c r="DE156" s="228">
        <v>40.72</v>
      </c>
      <c r="DF156" s="228">
        <v>-10.5</v>
      </c>
      <c r="DG156" s="228">
        <v>-0.01</v>
      </c>
      <c r="DH156" s="228">
        <v>30.59</v>
      </c>
      <c r="DI156" s="228">
        <v>29.28</v>
      </c>
      <c r="DJ156" s="228">
        <v>1.31</v>
      </c>
      <c r="DK156" s="228">
        <v>1.31</v>
      </c>
      <c r="DL156" s="228">
        <v>29.7</v>
      </c>
      <c r="DM156" s="228">
        <v>28.52</v>
      </c>
      <c r="DN156" s="228">
        <v>1.18</v>
      </c>
      <c r="DO156" s="228">
        <v>1.18</v>
      </c>
      <c r="DP156" s="228">
        <v>0.75</v>
      </c>
      <c r="DQ156" s="228">
        <v>0.72</v>
      </c>
      <c r="DR156" s="228">
        <v>0.03</v>
      </c>
      <c r="DS156" s="229">
        <v>4.1700000000000001E-2</v>
      </c>
      <c r="DT156" s="228">
        <v>380</v>
      </c>
      <c r="DU156" s="228">
        <v>350</v>
      </c>
      <c r="DV156" s="228">
        <v>0.62</v>
      </c>
      <c r="DW156" s="228">
        <v>0.68</v>
      </c>
      <c r="DX156" s="228">
        <v>-0.06</v>
      </c>
      <c r="DY156" s="229">
        <v>-8.8200000000000001E-2</v>
      </c>
      <c r="DZ156" s="229">
        <v>0.47249999999999998</v>
      </c>
      <c r="EA156" s="230">
        <v>24255400</v>
      </c>
      <c r="EB156" s="229">
        <v>2.7000000000000001E-3</v>
      </c>
      <c r="EC156" s="229">
        <v>0.47249999999999998</v>
      </c>
      <c r="ED156" s="228">
        <v>1.17</v>
      </c>
      <c r="EE156" s="229">
        <v>3.2000000000000002E-3</v>
      </c>
      <c r="EF156" s="230">
        <v>1759583</v>
      </c>
      <c r="EG156" s="230">
        <v>2251571</v>
      </c>
      <c r="EH156" s="229">
        <v>-0.2185</v>
      </c>
      <c r="EI156" s="229">
        <v>0.50009999999999999</v>
      </c>
      <c r="EJ156" s="231">
        <v>137116.9</v>
      </c>
      <c r="EK156" s="231">
        <v>83458.320000000007</v>
      </c>
      <c r="EL156" s="231">
        <v>137398.69</v>
      </c>
      <c r="EM156" s="231">
        <v>14944</v>
      </c>
      <c r="EN156" s="231">
        <v>357973.91</v>
      </c>
      <c r="EO156" s="231">
        <v>461929.96</v>
      </c>
      <c r="EP156" s="231">
        <v>-103956.05</v>
      </c>
      <c r="EQ156" s="229">
        <v>-0.22500000000000001</v>
      </c>
      <c r="ER156" s="231">
        <v>123459</v>
      </c>
      <c r="ES156" s="231">
        <v>88993</v>
      </c>
      <c r="ET156" s="231">
        <v>285284</v>
      </c>
      <c r="EU156" s="231">
        <v>217835555</v>
      </c>
      <c r="EV156" s="231">
        <v>497736</v>
      </c>
      <c r="EW156" s="231">
        <v>506794</v>
      </c>
      <c r="EX156" s="231">
        <v>-9058</v>
      </c>
      <c r="EY156" s="229">
        <v>-1.7899999999999999E-2</v>
      </c>
      <c r="EZ156" s="229">
        <v>0.62129999999999996</v>
      </c>
      <c r="FA156" s="227" t="s">
        <v>556</v>
      </c>
      <c r="FB156" s="161">
        <f t="shared" si="3"/>
        <v>0</v>
      </c>
    </row>
    <row r="157" spans="1:158" ht="17.25" thickBot="1" x14ac:dyDescent="0.3">
      <c r="A157" s="226">
        <v>46044</v>
      </c>
      <c r="B157" s="227" t="s">
        <v>184</v>
      </c>
      <c r="C157" s="227" t="s">
        <v>680</v>
      </c>
      <c r="D157" s="228">
        <v>950</v>
      </c>
      <c r="E157" s="228">
        <v>532.04999999999995</v>
      </c>
      <c r="F157" s="228">
        <v>535.70000000000005</v>
      </c>
      <c r="G157" s="228">
        <v>-3.65</v>
      </c>
      <c r="H157" s="229">
        <v>-6.7999999999999996E-3</v>
      </c>
      <c r="I157" s="228">
        <v>530.4</v>
      </c>
      <c r="J157" s="228">
        <v>533</v>
      </c>
      <c r="K157" s="228">
        <v>-2.6</v>
      </c>
      <c r="L157" s="229">
        <v>-4.8999999999999998E-3</v>
      </c>
      <c r="M157" s="228">
        <v>532.04999999999995</v>
      </c>
      <c r="N157" s="228">
        <v>535.70000000000005</v>
      </c>
      <c r="O157" s="228">
        <v>-3.65</v>
      </c>
      <c r="P157" s="229">
        <v>-6.7999999999999996E-3</v>
      </c>
      <c r="Q157" s="228">
        <v>533.1</v>
      </c>
      <c r="R157" s="228">
        <v>536.79999999999995</v>
      </c>
      <c r="S157" s="228">
        <v>-3.7</v>
      </c>
      <c r="T157" s="229">
        <v>-6.8999999999999999E-3</v>
      </c>
      <c r="U157" s="228">
        <v>535.65</v>
      </c>
      <c r="V157" s="228">
        <v>541</v>
      </c>
      <c r="W157" s="228">
        <v>-5.35</v>
      </c>
      <c r="X157" s="229">
        <v>-9.9000000000000008E-3</v>
      </c>
      <c r="Y157" s="228">
        <v>1.65</v>
      </c>
      <c r="Z157" s="228">
        <v>2.7</v>
      </c>
      <c r="AA157" s="228">
        <v>-1.05</v>
      </c>
      <c r="AB157" s="229">
        <v>3.0999999999999999E-3</v>
      </c>
      <c r="AC157" s="228">
        <v>1.65</v>
      </c>
      <c r="AD157" s="228">
        <v>2.7</v>
      </c>
      <c r="AE157" s="228">
        <v>-1.05</v>
      </c>
      <c r="AF157" s="229">
        <v>3.0999999999999999E-3</v>
      </c>
      <c r="AG157" s="228">
        <v>2.7</v>
      </c>
      <c r="AH157" s="228">
        <v>3.8</v>
      </c>
      <c r="AI157" s="228">
        <v>-1.1000000000000001</v>
      </c>
      <c r="AJ157" s="229">
        <v>5.1000000000000004E-3</v>
      </c>
      <c r="AK157" s="228">
        <v>5.25</v>
      </c>
      <c r="AL157" s="228">
        <v>8</v>
      </c>
      <c r="AM157" s="228">
        <v>-2.75</v>
      </c>
      <c r="AN157" s="229">
        <v>9.9000000000000008E-3</v>
      </c>
      <c r="AO157" s="228">
        <v>536.37</v>
      </c>
      <c r="AP157" s="228">
        <v>536.80999999999995</v>
      </c>
      <c r="AQ157" s="228">
        <v>0</v>
      </c>
      <c r="AR157" s="230">
        <v>10407250</v>
      </c>
      <c r="AS157" s="230">
        <v>12118200</v>
      </c>
      <c r="AT157" s="230">
        <v>-1710950</v>
      </c>
      <c r="AU157" s="229">
        <v>-0.14119999999999999</v>
      </c>
      <c r="AV157" s="230">
        <v>5339000</v>
      </c>
      <c r="AW157" s="230">
        <v>6816250</v>
      </c>
      <c r="AX157" s="230">
        <v>-1477250</v>
      </c>
      <c r="AY157" s="229">
        <v>-0.2167</v>
      </c>
      <c r="AZ157" s="230">
        <v>4991300</v>
      </c>
      <c r="BA157" s="230">
        <v>5227850</v>
      </c>
      <c r="BB157" s="230">
        <v>-236550</v>
      </c>
      <c r="BC157" s="229">
        <v>-4.5199999999999997E-2</v>
      </c>
      <c r="BD157" s="230">
        <v>76950</v>
      </c>
      <c r="BE157" s="230">
        <v>74100</v>
      </c>
      <c r="BF157" s="230">
        <v>2850</v>
      </c>
      <c r="BG157" s="229">
        <v>3.85E-2</v>
      </c>
      <c r="BH157" s="230">
        <v>14390600</v>
      </c>
      <c r="BI157" s="230">
        <v>20574150</v>
      </c>
      <c r="BJ157" s="230">
        <v>-6183550</v>
      </c>
      <c r="BK157" s="229">
        <v>-0.30049999999999999</v>
      </c>
      <c r="BL157" s="230">
        <v>7252300</v>
      </c>
      <c r="BM157" s="230">
        <v>22390550</v>
      </c>
      <c r="BN157" s="230">
        <v>-15138250</v>
      </c>
      <c r="BO157" s="229">
        <v>-0.67610000000000003</v>
      </c>
      <c r="BP157" s="230">
        <v>32050150</v>
      </c>
      <c r="BQ157" s="230">
        <v>55082900</v>
      </c>
      <c r="BR157" s="230">
        <v>-23032750</v>
      </c>
      <c r="BS157" s="229">
        <v>-0.41810000000000003</v>
      </c>
      <c r="BT157" s="230">
        <v>1729626</v>
      </c>
      <c r="BU157" s="230">
        <v>3098119</v>
      </c>
      <c r="BV157" s="230">
        <v>-1368493</v>
      </c>
      <c r="BW157" s="229">
        <v>-0.44169999999999998</v>
      </c>
      <c r="BX157" s="230">
        <v>12633100</v>
      </c>
      <c r="BY157" s="230">
        <v>12867750</v>
      </c>
      <c r="BZ157" s="230">
        <v>-234650</v>
      </c>
      <c r="CA157" s="229">
        <v>-1.8200000000000001E-2</v>
      </c>
      <c r="CB157" s="230">
        <v>5871000</v>
      </c>
      <c r="CC157" s="230">
        <v>8921450</v>
      </c>
      <c r="CD157" s="230">
        <v>-3050450</v>
      </c>
      <c r="CE157" s="229">
        <v>-0.34189999999999998</v>
      </c>
      <c r="CF157" s="230">
        <v>6613900</v>
      </c>
      <c r="CG157" s="230">
        <v>3817100</v>
      </c>
      <c r="CH157" s="230">
        <v>2796800</v>
      </c>
      <c r="CI157" s="229">
        <v>0.73270000000000002</v>
      </c>
      <c r="CJ157" s="230">
        <v>148200</v>
      </c>
      <c r="CK157" s="230">
        <v>129200</v>
      </c>
      <c r="CL157" s="230">
        <v>19000</v>
      </c>
      <c r="CM157" s="229">
        <v>0.14710000000000001</v>
      </c>
      <c r="CN157" s="230">
        <v>7793800</v>
      </c>
      <c r="CO157" s="230">
        <v>8875850</v>
      </c>
      <c r="CP157" s="230">
        <v>-1082050</v>
      </c>
      <c r="CQ157" s="229">
        <v>-0.12189999999999999</v>
      </c>
      <c r="CR157" s="230">
        <v>4067900</v>
      </c>
      <c r="CS157" s="230">
        <v>4926700</v>
      </c>
      <c r="CT157" s="230">
        <v>-858800</v>
      </c>
      <c r="CU157" s="229">
        <v>-0.17430000000000001</v>
      </c>
      <c r="CV157" s="230">
        <v>24494800</v>
      </c>
      <c r="CW157" s="230">
        <v>26670300</v>
      </c>
      <c r="CX157" s="230">
        <v>-2175500</v>
      </c>
      <c r="CY157" s="229">
        <v>-8.1600000000000006E-2</v>
      </c>
      <c r="CZ157" s="228">
        <v>46.9</v>
      </c>
      <c r="DA157" s="228">
        <v>35.44</v>
      </c>
      <c r="DB157" s="228">
        <v>11.46</v>
      </c>
      <c r="DC157" s="228">
        <v>11.46</v>
      </c>
      <c r="DD157" s="228">
        <v>63.76</v>
      </c>
      <c r="DE157" s="228">
        <v>63.92</v>
      </c>
      <c r="DF157" s="228">
        <v>-16.86</v>
      </c>
      <c r="DG157" s="228">
        <v>-0.16</v>
      </c>
      <c r="DH157" s="228">
        <v>47.02</v>
      </c>
      <c r="DI157" s="228">
        <v>38.18</v>
      </c>
      <c r="DJ157" s="228">
        <v>8.84</v>
      </c>
      <c r="DK157" s="228">
        <v>8.84</v>
      </c>
      <c r="DL157" s="228">
        <v>46.61</v>
      </c>
      <c r="DM157" s="228">
        <v>32.92</v>
      </c>
      <c r="DN157" s="228">
        <v>13.69</v>
      </c>
      <c r="DO157" s="228">
        <v>13.69</v>
      </c>
      <c r="DP157" s="228">
        <v>0.52</v>
      </c>
      <c r="DQ157" s="228">
        <v>0.56000000000000005</v>
      </c>
      <c r="DR157" s="228">
        <v>-0.04</v>
      </c>
      <c r="DS157" s="229">
        <v>-7.1400000000000005E-2</v>
      </c>
      <c r="DT157" s="228">
        <v>600</v>
      </c>
      <c r="DU157" s="228">
        <v>520</v>
      </c>
      <c r="DV157" s="228">
        <v>0.5</v>
      </c>
      <c r="DW157" s="228">
        <v>1.0900000000000001</v>
      </c>
      <c r="DX157" s="228">
        <v>-0.59</v>
      </c>
      <c r="DY157" s="229">
        <v>-0.5413</v>
      </c>
      <c r="DZ157" s="229">
        <v>0.5353</v>
      </c>
      <c r="EA157" s="230">
        <v>3946300</v>
      </c>
      <c r="EB157" s="229">
        <v>2E-3</v>
      </c>
      <c r="EC157" s="229">
        <v>0.5353</v>
      </c>
      <c r="ED157" s="228">
        <v>0.44</v>
      </c>
      <c r="EE157" s="229">
        <v>8.0000000000000004E-4</v>
      </c>
      <c r="EF157" s="230">
        <v>620503</v>
      </c>
      <c r="EG157" s="230">
        <v>821290</v>
      </c>
      <c r="EH157" s="229">
        <v>-0.2445</v>
      </c>
      <c r="EI157" s="229">
        <v>0.35870000000000002</v>
      </c>
      <c r="EJ157" s="231">
        <v>82265.05</v>
      </c>
      <c r="EK157" s="231">
        <v>39255.03</v>
      </c>
      <c r="EL157" s="231">
        <v>55845.34</v>
      </c>
      <c r="EM157" s="231">
        <v>5243</v>
      </c>
      <c r="EN157" s="231">
        <v>177365.42</v>
      </c>
      <c r="EO157" s="231">
        <v>303103.03999999998</v>
      </c>
      <c r="EP157" s="231">
        <v>-125737.62</v>
      </c>
      <c r="EQ157" s="229">
        <v>-0.4148</v>
      </c>
      <c r="ER157" s="231">
        <v>46882</v>
      </c>
      <c r="ES157" s="231">
        <v>22484</v>
      </c>
      <c r="ET157" s="231">
        <v>67289</v>
      </c>
      <c r="EU157" s="231">
        <v>24030912</v>
      </c>
      <c r="EV157" s="231">
        <v>136655</v>
      </c>
      <c r="EW157" s="231">
        <v>149732</v>
      </c>
      <c r="EX157" s="231">
        <v>-13077</v>
      </c>
      <c r="EY157" s="229">
        <v>-8.7300000000000003E-2</v>
      </c>
      <c r="EZ157" s="229">
        <v>1.0193000000000001</v>
      </c>
      <c r="FA157" s="227" t="s">
        <v>568</v>
      </c>
      <c r="FB157" s="161">
        <f t="shared" si="3"/>
        <v>0</v>
      </c>
    </row>
    <row r="158" spans="1:158" ht="17.25" thickBot="1" x14ac:dyDescent="0.3">
      <c r="A158" s="226">
        <v>46044</v>
      </c>
      <c r="B158" s="227" t="s">
        <v>206</v>
      </c>
      <c r="C158" s="227" t="s">
        <v>645</v>
      </c>
      <c r="D158" s="228">
        <v>350</v>
      </c>
      <c r="E158" s="231">
        <v>1770.7</v>
      </c>
      <c r="F158" s="231">
        <v>1749.4</v>
      </c>
      <c r="G158" s="228">
        <v>21.3</v>
      </c>
      <c r="H158" s="229">
        <v>1.2200000000000001E-2</v>
      </c>
      <c r="I158" s="231">
        <v>1768.2</v>
      </c>
      <c r="J158" s="231">
        <v>1746.7</v>
      </c>
      <c r="K158" s="228">
        <v>21.5</v>
      </c>
      <c r="L158" s="229">
        <v>1.23E-2</v>
      </c>
      <c r="M158" s="231">
        <v>1770.7</v>
      </c>
      <c r="N158" s="231">
        <v>1749.4</v>
      </c>
      <c r="O158" s="228">
        <v>21.3</v>
      </c>
      <c r="P158" s="229">
        <v>1.2200000000000001E-2</v>
      </c>
      <c r="Q158" s="231">
        <v>1779.7</v>
      </c>
      <c r="R158" s="231">
        <v>1758.7</v>
      </c>
      <c r="S158" s="228">
        <v>21</v>
      </c>
      <c r="T158" s="229">
        <v>1.1900000000000001E-2</v>
      </c>
      <c r="U158" s="231">
        <v>1792.8</v>
      </c>
      <c r="V158" s="231">
        <v>1768</v>
      </c>
      <c r="W158" s="228">
        <v>24.8</v>
      </c>
      <c r="X158" s="229">
        <v>1.4E-2</v>
      </c>
      <c r="Y158" s="228">
        <v>2.5</v>
      </c>
      <c r="Z158" s="228">
        <v>2.7</v>
      </c>
      <c r="AA158" s="228">
        <v>-0.2</v>
      </c>
      <c r="AB158" s="229">
        <v>1.4E-3</v>
      </c>
      <c r="AC158" s="228">
        <v>2.5</v>
      </c>
      <c r="AD158" s="228">
        <v>2.7</v>
      </c>
      <c r="AE158" s="228">
        <v>-0.2</v>
      </c>
      <c r="AF158" s="229">
        <v>1.4E-3</v>
      </c>
      <c r="AG158" s="228">
        <v>11.5</v>
      </c>
      <c r="AH158" s="228">
        <v>12</v>
      </c>
      <c r="AI158" s="228">
        <v>-0.5</v>
      </c>
      <c r="AJ158" s="229">
        <v>6.4999999999999997E-3</v>
      </c>
      <c r="AK158" s="228">
        <v>24.6</v>
      </c>
      <c r="AL158" s="228">
        <v>21.3</v>
      </c>
      <c r="AM158" s="228">
        <v>3.3</v>
      </c>
      <c r="AN158" s="229">
        <v>1.3899999999999999E-2</v>
      </c>
      <c r="AO158" s="231">
        <v>1771.51</v>
      </c>
      <c r="AP158" s="231">
        <v>1780.65</v>
      </c>
      <c r="AQ158" s="228">
        <v>0</v>
      </c>
      <c r="AR158" s="230">
        <v>3036600</v>
      </c>
      <c r="AS158" s="230">
        <v>2542750</v>
      </c>
      <c r="AT158" s="230">
        <v>493850</v>
      </c>
      <c r="AU158" s="229">
        <v>0.19420000000000001</v>
      </c>
      <c r="AV158" s="230">
        <v>1503250</v>
      </c>
      <c r="AW158" s="230">
        <v>1277850</v>
      </c>
      <c r="AX158" s="230">
        <v>225400</v>
      </c>
      <c r="AY158" s="229">
        <v>0.1764</v>
      </c>
      <c r="AZ158" s="230">
        <v>1532650</v>
      </c>
      <c r="BA158" s="230">
        <v>1263500</v>
      </c>
      <c r="BB158" s="230">
        <v>269150</v>
      </c>
      <c r="BC158" s="229">
        <v>0.21299999999999999</v>
      </c>
      <c r="BD158" s="228">
        <v>700</v>
      </c>
      <c r="BE158" s="230">
        <v>1400</v>
      </c>
      <c r="BF158" s="228">
        <v>-700</v>
      </c>
      <c r="BG158" s="229">
        <v>-0.5</v>
      </c>
      <c r="BH158" s="230">
        <v>2965900</v>
      </c>
      <c r="BI158" s="230">
        <v>1951250</v>
      </c>
      <c r="BJ158" s="230">
        <v>1014650</v>
      </c>
      <c r="BK158" s="229">
        <v>0.52</v>
      </c>
      <c r="BL158" s="230">
        <v>744450</v>
      </c>
      <c r="BM158" s="230">
        <v>2194500</v>
      </c>
      <c r="BN158" s="230">
        <v>-1450050</v>
      </c>
      <c r="BO158" s="229">
        <v>-0.66080000000000005</v>
      </c>
      <c r="BP158" s="230">
        <v>6746950</v>
      </c>
      <c r="BQ158" s="230">
        <v>6688500</v>
      </c>
      <c r="BR158" s="230">
        <v>58450</v>
      </c>
      <c r="BS158" s="229">
        <v>8.6999999999999994E-3</v>
      </c>
      <c r="BT158" s="230">
        <v>563009</v>
      </c>
      <c r="BU158" s="230">
        <v>790613</v>
      </c>
      <c r="BV158" s="230">
        <v>-227604</v>
      </c>
      <c r="BW158" s="229">
        <v>-0.28789999999999999</v>
      </c>
      <c r="BX158" s="230">
        <v>3930150</v>
      </c>
      <c r="BY158" s="230">
        <v>3892700</v>
      </c>
      <c r="BZ158" s="230">
        <v>37450</v>
      </c>
      <c r="CA158" s="229">
        <v>9.5999999999999992E-3</v>
      </c>
      <c r="CB158" s="230">
        <v>1760500</v>
      </c>
      <c r="CC158" s="230">
        <v>2725800</v>
      </c>
      <c r="CD158" s="230">
        <v>-965300</v>
      </c>
      <c r="CE158" s="229">
        <v>-0.35410000000000003</v>
      </c>
      <c r="CF158" s="230">
        <v>2167550</v>
      </c>
      <c r="CG158" s="230">
        <v>1164800</v>
      </c>
      <c r="CH158" s="230">
        <v>1002750</v>
      </c>
      <c r="CI158" s="229">
        <v>0.8609</v>
      </c>
      <c r="CJ158" s="230">
        <v>2100</v>
      </c>
      <c r="CK158" s="230">
        <v>2100</v>
      </c>
      <c r="CL158" s="228">
        <v>0</v>
      </c>
      <c r="CM158" s="229">
        <v>0</v>
      </c>
      <c r="CN158" s="230">
        <v>1209250</v>
      </c>
      <c r="CO158" s="230">
        <v>1268050</v>
      </c>
      <c r="CP158" s="230">
        <v>-58800</v>
      </c>
      <c r="CQ158" s="229">
        <v>-4.6399999999999997E-2</v>
      </c>
      <c r="CR158" s="230">
        <v>799750</v>
      </c>
      <c r="CS158" s="230">
        <v>830550</v>
      </c>
      <c r="CT158" s="230">
        <v>-30800</v>
      </c>
      <c r="CU158" s="229">
        <v>-3.7100000000000001E-2</v>
      </c>
      <c r="CV158" s="230">
        <v>5939150</v>
      </c>
      <c r="CW158" s="230">
        <v>5991300</v>
      </c>
      <c r="CX158" s="230">
        <v>-52150</v>
      </c>
      <c r="CY158" s="229">
        <v>-8.6999999999999994E-3</v>
      </c>
      <c r="CZ158" s="228">
        <v>32.93</v>
      </c>
      <c r="DA158" s="228">
        <v>28.17</v>
      </c>
      <c r="DB158" s="228">
        <v>4.76</v>
      </c>
      <c r="DC158" s="228">
        <v>4.76</v>
      </c>
      <c r="DD158" s="228">
        <v>39.64</v>
      </c>
      <c r="DE158" s="228">
        <v>39.71</v>
      </c>
      <c r="DF158" s="228">
        <v>-6.71</v>
      </c>
      <c r="DG158" s="228">
        <v>-7.0000000000000007E-2</v>
      </c>
      <c r="DH158" s="228">
        <v>33.17</v>
      </c>
      <c r="DI158" s="228">
        <v>29.45</v>
      </c>
      <c r="DJ158" s="228">
        <v>3.72</v>
      </c>
      <c r="DK158" s="228">
        <v>3.72</v>
      </c>
      <c r="DL158" s="228">
        <v>31.98</v>
      </c>
      <c r="DM158" s="228">
        <v>27.04</v>
      </c>
      <c r="DN158" s="228">
        <v>4.9400000000000004</v>
      </c>
      <c r="DO158" s="228">
        <v>4.9400000000000004</v>
      </c>
      <c r="DP158" s="228">
        <v>0.66</v>
      </c>
      <c r="DQ158" s="228">
        <v>0.65</v>
      </c>
      <c r="DR158" s="228">
        <v>0.01</v>
      </c>
      <c r="DS158" s="229">
        <v>1.54E-2</v>
      </c>
      <c r="DT158" s="231">
        <v>1820</v>
      </c>
      <c r="DU158" s="231">
        <v>1700</v>
      </c>
      <c r="DV158" s="228">
        <v>0.25</v>
      </c>
      <c r="DW158" s="228">
        <v>1.1200000000000001</v>
      </c>
      <c r="DX158" s="228">
        <v>-0.87</v>
      </c>
      <c r="DY158" s="229">
        <v>-0.77680000000000005</v>
      </c>
      <c r="DZ158" s="229">
        <v>0.55210000000000004</v>
      </c>
      <c r="EA158" s="230">
        <v>1166900</v>
      </c>
      <c r="EB158" s="229">
        <v>5.1000000000000004E-3</v>
      </c>
      <c r="EC158" s="229">
        <v>0.55210000000000004</v>
      </c>
      <c r="ED158" s="228">
        <v>9.14</v>
      </c>
      <c r="EE158" s="229">
        <v>5.1999999999999998E-3</v>
      </c>
      <c r="EF158" s="230">
        <v>274313</v>
      </c>
      <c r="EG158" s="230">
        <v>414599</v>
      </c>
      <c r="EH158" s="229">
        <v>-0.33839999999999998</v>
      </c>
      <c r="EI158" s="229">
        <v>0.48720000000000002</v>
      </c>
      <c r="EJ158" s="231">
        <v>55037.71</v>
      </c>
      <c r="EK158" s="231">
        <v>12847.09</v>
      </c>
      <c r="EL158" s="231">
        <v>53933.919999999998</v>
      </c>
      <c r="EM158" s="231">
        <v>2753</v>
      </c>
      <c r="EN158" s="231">
        <v>121818.72</v>
      </c>
      <c r="EO158" s="231">
        <v>118836.93</v>
      </c>
      <c r="EP158" s="231">
        <v>2981.79</v>
      </c>
      <c r="EQ158" s="229">
        <v>2.5100000000000001E-2</v>
      </c>
      <c r="ER158" s="231">
        <v>23096</v>
      </c>
      <c r="ES158" s="231">
        <v>14082</v>
      </c>
      <c r="ET158" s="231">
        <v>69787</v>
      </c>
      <c r="EU158" s="231">
        <v>19533471</v>
      </c>
      <c r="EV158" s="231">
        <v>106965</v>
      </c>
      <c r="EW158" s="231">
        <v>107002</v>
      </c>
      <c r="EX158" s="228">
        <v>-37</v>
      </c>
      <c r="EY158" s="229">
        <v>-2.9999999999999997E-4</v>
      </c>
      <c r="EZ158" s="229">
        <v>0.30399999999999999</v>
      </c>
      <c r="FA158" s="227" t="s">
        <v>555</v>
      </c>
      <c r="FB158" s="161">
        <f t="shared" si="3"/>
        <v>0</v>
      </c>
    </row>
    <row r="159" spans="1:158" ht="17.25" thickBot="1" x14ac:dyDescent="0.3">
      <c r="A159" s="226">
        <v>46044</v>
      </c>
      <c r="B159" s="227" t="s">
        <v>168</v>
      </c>
      <c r="C159" s="227" t="s">
        <v>274</v>
      </c>
      <c r="D159" s="228">
        <v>500</v>
      </c>
      <c r="E159" s="231">
        <v>1455.2</v>
      </c>
      <c r="F159" s="231">
        <v>1423.2</v>
      </c>
      <c r="G159" s="228">
        <v>32</v>
      </c>
      <c r="H159" s="229">
        <v>2.2499999999999999E-2</v>
      </c>
      <c r="I159" s="231">
        <v>1452.8</v>
      </c>
      <c r="J159" s="231">
        <v>1421.8</v>
      </c>
      <c r="K159" s="228">
        <v>31</v>
      </c>
      <c r="L159" s="229">
        <v>2.18E-2</v>
      </c>
      <c r="M159" s="231">
        <v>1455.2</v>
      </c>
      <c r="N159" s="231">
        <v>1423.2</v>
      </c>
      <c r="O159" s="228">
        <v>32</v>
      </c>
      <c r="P159" s="229">
        <v>2.2499999999999999E-2</v>
      </c>
      <c r="Q159" s="231">
        <v>1462.7</v>
      </c>
      <c r="R159" s="231">
        <v>1430.6</v>
      </c>
      <c r="S159" s="228">
        <v>32.1</v>
      </c>
      <c r="T159" s="229">
        <v>2.24E-2</v>
      </c>
      <c r="U159" s="231">
        <v>1477</v>
      </c>
      <c r="V159" s="231">
        <v>1436.1</v>
      </c>
      <c r="W159" s="228">
        <v>40.9</v>
      </c>
      <c r="X159" s="229">
        <v>2.8500000000000001E-2</v>
      </c>
      <c r="Y159" s="228">
        <v>2.4</v>
      </c>
      <c r="Z159" s="228">
        <v>1.4</v>
      </c>
      <c r="AA159" s="228">
        <v>1</v>
      </c>
      <c r="AB159" s="229">
        <v>1.6999999999999999E-3</v>
      </c>
      <c r="AC159" s="228">
        <v>2.4</v>
      </c>
      <c r="AD159" s="228">
        <v>1.4</v>
      </c>
      <c r="AE159" s="228">
        <v>1</v>
      </c>
      <c r="AF159" s="229">
        <v>1.6999999999999999E-3</v>
      </c>
      <c r="AG159" s="228">
        <v>9.9</v>
      </c>
      <c r="AH159" s="228">
        <v>8.8000000000000007</v>
      </c>
      <c r="AI159" s="228">
        <v>1.1000000000000001</v>
      </c>
      <c r="AJ159" s="229">
        <v>6.7999999999999996E-3</v>
      </c>
      <c r="AK159" s="228">
        <v>24.2</v>
      </c>
      <c r="AL159" s="228">
        <v>14.3</v>
      </c>
      <c r="AM159" s="228">
        <v>9.9</v>
      </c>
      <c r="AN159" s="229">
        <v>1.67E-2</v>
      </c>
      <c r="AO159" s="231">
        <v>1445.85</v>
      </c>
      <c r="AP159" s="231">
        <v>1453.13</v>
      </c>
      <c r="AQ159" s="228">
        <v>0</v>
      </c>
      <c r="AR159" s="230">
        <v>7277500</v>
      </c>
      <c r="AS159" s="230">
        <v>4966500</v>
      </c>
      <c r="AT159" s="230">
        <v>2311000</v>
      </c>
      <c r="AU159" s="229">
        <v>0.46529999999999999</v>
      </c>
      <c r="AV159" s="230">
        <v>3550500</v>
      </c>
      <c r="AW159" s="230">
        <v>2599000</v>
      </c>
      <c r="AX159" s="230">
        <v>951500</v>
      </c>
      <c r="AY159" s="229">
        <v>0.36609999999999998</v>
      </c>
      <c r="AZ159" s="230">
        <v>3717000</v>
      </c>
      <c r="BA159" s="230">
        <v>2364000</v>
      </c>
      <c r="BB159" s="230">
        <v>1353000</v>
      </c>
      <c r="BC159" s="229">
        <v>0.57230000000000003</v>
      </c>
      <c r="BD159" s="230">
        <v>10000</v>
      </c>
      <c r="BE159" s="230">
        <v>3500</v>
      </c>
      <c r="BF159" s="230">
        <v>6500</v>
      </c>
      <c r="BG159" s="229">
        <v>1.8571</v>
      </c>
      <c r="BH159" s="230">
        <v>1651000</v>
      </c>
      <c r="BI159" s="230">
        <v>1824500</v>
      </c>
      <c r="BJ159" s="230">
        <v>-173500</v>
      </c>
      <c r="BK159" s="229">
        <v>-9.5100000000000004E-2</v>
      </c>
      <c r="BL159" s="230">
        <v>1641000</v>
      </c>
      <c r="BM159" s="230">
        <v>1797500</v>
      </c>
      <c r="BN159" s="230">
        <v>-156500</v>
      </c>
      <c r="BO159" s="229">
        <v>-8.7099999999999997E-2</v>
      </c>
      <c r="BP159" s="230">
        <v>10569500</v>
      </c>
      <c r="BQ159" s="230">
        <v>8588500</v>
      </c>
      <c r="BR159" s="230">
        <v>1981000</v>
      </c>
      <c r="BS159" s="229">
        <v>0.23069999999999999</v>
      </c>
      <c r="BT159" s="230">
        <v>393653</v>
      </c>
      <c r="BU159" s="230">
        <v>581221</v>
      </c>
      <c r="BV159" s="230">
        <v>-187568</v>
      </c>
      <c r="BW159" s="229">
        <v>-0.32269999999999999</v>
      </c>
      <c r="BX159" s="230">
        <v>8434500</v>
      </c>
      <c r="BY159" s="230">
        <v>8290500</v>
      </c>
      <c r="BZ159" s="230">
        <v>144000</v>
      </c>
      <c r="CA159" s="229">
        <v>1.7399999999999999E-2</v>
      </c>
      <c r="CB159" s="230">
        <v>3196500</v>
      </c>
      <c r="CC159" s="230">
        <v>6052000</v>
      </c>
      <c r="CD159" s="230">
        <v>-2855500</v>
      </c>
      <c r="CE159" s="229">
        <v>-0.4718</v>
      </c>
      <c r="CF159" s="230">
        <v>5224500</v>
      </c>
      <c r="CG159" s="230">
        <v>2230500</v>
      </c>
      <c r="CH159" s="230">
        <v>2994000</v>
      </c>
      <c r="CI159" s="229">
        <v>1.3423</v>
      </c>
      <c r="CJ159" s="230">
        <v>13500</v>
      </c>
      <c r="CK159" s="230">
        <v>8000</v>
      </c>
      <c r="CL159" s="230">
        <v>5500</v>
      </c>
      <c r="CM159" s="229">
        <v>0.6875</v>
      </c>
      <c r="CN159" s="230">
        <v>1179000</v>
      </c>
      <c r="CO159" s="230">
        <v>1325000</v>
      </c>
      <c r="CP159" s="230">
        <v>-146000</v>
      </c>
      <c r="CQ159" s="229">
        <v>-0.11020000000000001</v>
      </c>
      <c r="CR159" s="230">
        <v>1151000</v>
      </c>
      <c r="CS159" s="230">
        <v>1241500</v>
      </c>
      <c r="CT159" s="230">
        <v>-90500</v>
      </c>
      <c r="CU159" s="229">
        <v>-7.2900000000000006E-2</v>
      </c>
      <c r="CV159" s="230">
        <v>10764500</v>
      </c>
      <c r="CW159" s="230">
        <v>10857000</v>
      </c>
      <c r="CX159" s="230">
        <v>-92500</v>
      </c>
      <c r="CY159" s="229">
        <v>-8.5000000000000006E-3</v>
      </c>
      <c r="CZ159" s="228">
        <v>23.32</v>
      </c>
      <c r="DA159" s="228">
        <v>19.84</v>
      </c>
      <c r="DB159" s="228">
        <v>3.48</v>
      </c>
      <c r="DC159" s="228">
        <v>3.48</v>
      </c>
      <c r="DD159" s="228">
        <v>21.38</v>
      </c>
      <c r="DE159" s="228">
        <v>21.23</v>
      </c>
      <c r="DF159" s="228">
        <v>1.94</v>
      </c>
      <c r="DG159" s="228">
        <v>0.15</v>
      </c>
      <c r="DH159" s="228">
        <v>22.58</v>
      </c>
      <c r="DI159" s="228">
        <v>22.1</v>
      </c>
      <c r="DJ159" s="228">
        <v>0.48</v>
      </c>
      <c r="DK159" s="228">
        <v>0.48</v>
      </c>
      <c r="DL159" s="228">
        <v>23.9</v>
      </c>
      <c r="DM159" s="228">
        <v>17.54</v>
      </c>
      <c r="DN159" s="228">
        <v>6.36</v>
      </c>
      <c r="DO159" s="228">
        <v>6.36</v>
      </c>
      <c r="DP159" s="228">
        <v>0.98</v>
      </c>
      <c r="DQ159" s="228">
        <v>0.94</v>
      </c>
      <c r="DR159" s="228">
        <v>0.04</v>
      </c>
      <c r="DS159" s="229">
        <v>4.2599999999999999E-2</v>
      </c>
      <c r="DT159" s="231">
        <v>1500</v>
      </c>
      <c r="DU159" s="231">
        <v>1400</v>
      </c>
      <c r="DV159" s="228">
        <v>0.99</v>
      </c>
      <c r="DW159" s="228">
        <v>0.99</v>
      </c>
      <c r="DX159" s="228">
        <v>0</v>
      </c>
      <c r="DY159" s="229">
        <v>0</v>
      </c>
      <c r="DZ159" s="229">
        <v>0.621</v>
      </c>
      <c r="EA159" s="230">
        <v>2238500</v>
      </c>
      <c r="EB159" s="229">
        <v>5.1999999999999998E-3</v>
      </c>
      <c r="EC159" s="229">
        <v>0.621</v>
      </c>
      <c r="ED159" s="228">
        <v>7.28</v>
      </c>
      <c r="EE159" s="229">
        <v>5.0000000000000001E-3</v>
      </c>
      <c r="EF159" s="230">
        <v>208952</v>
      </c>
      <c r="EG159" s="230">
        <v>291088</v>
      </c>
      <c r="EH159" s="229">
        <v>-0.28220000000000001</v>
      </c>
      <c r="EI159" s="229">
        <v>0.53080000000000005</v>
      </c>
      <c r="EJ159" s="231">
        <v>24416.11</v>
      </c>
      <c r="EK159" s="231">
        <v>23477.4</v>
      </c>
      <c r="EL159" s="231">
        <v>105493.79</v>
      </c>
      <c r="EM159" s="231">
        <v>4403</v>
      </c>
      <c r="EN159" s="231">
        <v>153387.29999999999</v>
      </c>
      <c r="EO159" s="231">
        <v>123774.12</v>
      </c>
      <c r="EP159" s="231">
        <v>29613.18</v>
      </c>
      <c r="EQ159" s="229">
        <v>0.23930000000000001</v>
      </c>
      <c r="ER159" s="231">
        <v>18099</v>
      </c>
      <c r="ES159" s="231">
        <v>16514</v>
      </c>
      <c r="ET159" s="231">
        <v>123134</v>
      </c>
      <c r="EU159" s="231">
        <v>31214205</v>
      </c>
      <c r="EV159" s="231">
        <v>157746</v>
      </c>
      <c r="EW159" s="231">
        <v>156163</v>
      </c>
      <c r="EX159" s="231">
        <v>1583</v>
      </c>
      <c r="EY159" s="229">
        <v>1.01E-2</v>
      </c>
      <c r="EZ159" s="229">
        <v>0.34489999999999998</v>
      </c>
      <c r="FA159" s="227" t="s">
        <v>555</v>
      </c>
      <c r="FB159" s="161">
        <f t="shared" si="3"/>
        <v>0</v>
      </c>
    </row>
    <row r="160" spans="1:158" ht="17.25" thickBot="1" x14ac:dyDescent="0.3">
      <c r="A160" s="226">
        <v>46044</v>
      </c>
      <c r="B160" s="227" t="s">
        <v>498</v>
      </c>
      <c r="C160" s="227" t="s">
        <v>483</v>
      </c>
      <c r="D160" s="228">
        <v>175</v>
      </c>
      <c r="E160" s="231">
        <v>3173.6</v>
      </c>
      <c r="F160" s="231">
        <v>3116.6</v>
      </c>
      <c r="G160" s="228">
        <v>57</v>
      </c>
      <c r="H160" s="229">
        <v>1.83E-2</v>
      </c>
      <c r="I160" s="231">
        <v>3170.4</v>
      </c>
      <c r="J160" s="231">
        <v>3112.7</v>
      </c>
      <c r="K160" s="228">
        <v>57.7</v>
      </c>
      <c r="L160" s="229">
        <v>1.8499999999999999E-2</v>
      </c>
      <c r="M160" s="231">
        <v>3173.6</v>
      </c>
      <c r="N160" s="231">
        <v>3116.6</v>
      </c>
      <c r="O160" s="228">
        <v>57</v>
      </c>
      <c r="P160" s="229">
        <v>1.83E-2</v>
      </c>
      <c r="Q160" s="231">
        <v>3130.6</v>
      </c>
      <c r="R160" s="231">
        <v>3084.2</v>
      </c>
      <c r="S160" s="228">
        <v>46.4</v>
      </c>
      <c r="T160" s="229">
        <v>1.4999999999999999E-2</v>
      </c>
      <c r="U160" s="231">
        <v>3119.8</v>
      </c>
      <c r="V160" s="231">
        <v>3079</v>
      </c>
      <c r="W160" s="228">
        <v>40.799999999999997</v>
      </c>
      <c r="X160" s="229">
        <v>1.3299999999999999E-2</v>
      </c>
      <c r="Y160" s="228">
        <v>3.2</v>
      </c>
      <c r="Z160" s="228">
        <v>3.9</v>
      </c>
      <c r="AA160" s="228">
        <v>-0.7</v>
      </c>
      <c r="AB160" s="229">
        <v>1E-3</v>
      </c>
      <c r="AC160" s="228">
        <v>3.2</v>
      </c>
      <c r="AD160" s="228">
        <v>3.9</v>
      </c>
      <c r="AE160" s="228">
        <v>-0.7</v>
      </c>
      <c r="AF160" s="229">
        <v>1E-3</v>
      </c>
      <c r="AG160" s="228">
        <v>-39.799999999999997</v>
      </c>
      <c r="AH160" s="228">
        <v>-28.5</v>
      </c>
      <c r="AI160" s="228">
        <v>-11.3</v>
      </c>
      <c r="AJ160" s="229">
        <v>-1.26E-2</v>
      </c>
      <c r="AK160" s="228">
        <v>-50.6</v>
      </c>
      <c r="AL160" s="228">
        <v>-33.700000000000003</v>
      </c>
      <c r="AM160" s="228">
        <v>-16.899999999999999</v>
      </c>
      <c r="AN160" s="229">
        <v>-1.6E-2</v>
      </c>
      <c r="AO160" s="231">
        <v>3167.91</v>
      </c>
      <c r="AP160" s="231">
        <v>3131.87</v>
      </c>
      <c r="AQ160" s="228">
        <v>0</v>
      </c>
      <c r="AR160" s="230">
        <v>2900975</v>
      </c>
      <c r="AS160" s="230">
        <v>2272200</v>
      </c>
      <c r="AT160" s="230">
        <v>628775</v>
      </c>
      <c r="AU160" s="229">
        <v>0.2767</v>
      </c>
      <c r="AV160" s="230">
        <v>1417500</v>
      </c>
      <c r="AW160" s="230">
        <v>1168300</v>
      </c>
      <c r="AX160" s="230">
        <v>249200</v>
      </c>
      <c r="AY160" s="229">
        <v>0.21329999999999999</v>
      </c>
      <c r="AZ160" s="230">
        <v>1468775</v>
      </c>
      <c r="BA160" s="230">
        <v>1099350</v>
      </c>
      <c r="BB160" s="230">
        <v>369425</v>
      </c>
      <c r="BC160" s="229">
        <v>0.33600000000000002</v>
      </c>
      <c r="BD160" s="230">
        <v>14700</v>
      </c>
      <c r="BE160" s="230">
        <v>4550</v>
      </c>
      <c r="BF160" s="230">
        <v>10150</v>
      </c>
      <c r="BG160" s="229">
        <v>2.2307999999999999</v>
      </c>
      <c r="BH160" s="230">
        <v>640850</v>
      </c>
      <c r="BI160" s="230">
        <v>641725</v>
      </c>
      <c r="BJ160" s="228">
        <v>-875</v>
      </c>
      <c r="BK160" s="229">
        <v>-1.4E-3</v>
      </c>
      <c r="BL160" s="230">
        <v>332675</v>
      </c>
      <c r="BM160" s="230">
        <v>513975</v>
      </c>
      <c r="BN160" s="230">
        <v>-181300</v>
      </c>
      <c r="BO160" s="229">
        <v>-0.35270000000000001</v>
      </c>
      <c r="BP160" s="230">
        <v>3874500</v>
      </c>
      <c r="BQ160" s="230">
        <v>3427900</v>
      </c>
      <c r="BR160" s="230">
        <v>446600</v>
      </c>
      <c r="BS160" s="229">
        <v>0.1303</v>
      </c>
      <c r="BT160" s="230">
        <v>248829</v>
      </c>
      <c r="BU160" s="230">
        <v>453966</v>
      </c>
      <c r="BV160" s="230">
        <v>-205137</v>
      </c>
      <c r="BW160" s="229">
        <v>-0.45190000000000002</v>
      </c>
      <c r="BX160" s="230">
        <v>2848125</v>
      </c>
      <c r="BY160" s="230">
        <v>2917600</v>
      </c>
      <c r="BZ160" s="230">
        <v>-69475</v>
      </c>
      <c r="CA160" s="229">
        <v>-2.3800000000000002E-2</v>
      </c>
      <c r="CB160" s="230">
        <v>914200</v>
      </c>
      <c r="CC160" s="230">
        <v>1805475</v>
      </c>
      <c r="CD160" s="230">
        <v>-891275</v>
      </c>
      <c r="CE160" s="229">
        <v>-0.49370000000000003</v>
      </c>
      <c r="CF160" s="230">
        <v>1898750</v>
      </c>
      <c r="CG160" s="230">
        <v>1086575</v>
      </c>
      <c r="CH160" s="230">
        <v>812175</v>
      </c>
      <c r="CI160" s="229">
        <v>0.74750000000000005</v>
      </c>
      <c r="CJ160" s="230">
        <v>35175</v>
      </c>
      <c r="CK160" s="230">
        <v>25550</v>
      </c>
      <c r="CL160" s="230">
        <v>9625</v>
      </c>
      <c r="CM160" s="229">
        <v>0.37669999999999998</v>
      </c>
      <c r="CN160" s="230">
        <v>847875</v>
      </c>
      <c r="CO160" s="230">
        <v>930650</v>
      </c>
      <c r="CP160" s="230">
        <v>-82775</v>
      </c>
      <c r="CQ160" s="229">
        <v>-8.8900000000000007E-2</v>
      </c>
      <c r="CR160" s="230">
        <v>475825</v>
      </c>
      <c r="CS160" s="230">
        <v>519050</v>
      </c>
      <c r="CT160" s="230">
        <v>-43225</v>
      </c>
      <c r="CU160" s="229">
        <v>-8.3299999999999999E-2</v>
      </c>
      <c r="CV160" s="230">
        <v>4171825</v>
      </c>
      <c r="CW160" s="230">
        <v>4367300</v>
      </c>
      <c r="CX160" s="230">
        <v>-195475</v>
      </c>
      <c r="CY160" s="229">
        <v>-4.48E-2</v>
      </c>
      <c r="CZ160" s="228">
        <v>30.01</v>
      </c>
      <c r="DA160" s="228">
        <v>26.41</v>
      </c>
      <c r="DB160" s="228">
        <v>3.6</v>
      </c>
      <c r="DC160" s="228">
        <v>3.6</v>
      </c>
      <c r="DD160" s="228">
        <v>28.56</v>
      </c>
      <c r="DE160" s="228">
        <v>28.52</v>
      </c>
      <c r="DF160" s="228">
        <v>1.45</v>
      </c>
      <c r="DG160" s="228">
        <v>0.04</v>
      </c>
      <c r="DH160" s="228">
        <v>30.23</v>
      </c>
      <c r="DI160" s="228">
        <v>28.82</v>
      </c>
      <c r="DJ160" s="228">
        <v>1.41</v>
      </c>
      <c r="DK160" s="228">
        <v>1.41</v>
      </c>
      <c r="DL160" s="228">
        <v>29.75</v>
      </c>
      <c r="DM160" s="228">
        <v>23.4</v>
      </c>
      <c r="DN160" s="228">
        <v>6.35</v>
      </c>
      <c r="DO160" s="228">
        <v>6.35</v>
      </c>
      <c r="DP160" s="228">
        <v>0.56000000000000005</v>
      </c>
      <c r="DQ160" s="228">
        <v>0.56000000000000005</v>
      </c>
      <c r="DR160" s="228">
        <v>0</v>
      </c>
      <c r="DS160" s="229">
        <v>0</v>
      </c>
      <c r="DT160" s="231">
        <v>3300</v>
      </c>
      <c r="DU160" s="231">
        <v>3200</v>
      </c>
      <c r="DV160" s="228">
        <v>0.52</v>
      </c>
      <c r="DW160" s="228">
        <v>0.8</v>
      </c>
      <c r="DX160" s="228">
        <v>-0.28000000000000003</v>
      </c>
      <c r="DY160" s="229">
        <v>-0.35</v>
      </c>
      <c r="DZ160" s="229">
        <v>0.67900000000000005</v>
      </c>
      <c r="EA160" s="230">
        <v>1112125</v>
      </c>
      <c r="EB160" s="229">
        <v>-1.35E-2</v>
      </c>
      <c r="EC160" s="229">
        <v>0.67900000000000005</v>
      </c>
      <c r="ED160" s="228">
        <v>-36.04</v>
      </c>
      <c r="EE160" s="229">
        <v>-1.14E-2</v>
      </c>
      <c r="EF160" s="230">
        <v>136002</v>
      </c>
      <c r="EG160" s="230">
        <v>252483</v>
      </c>
      <c r="EH160" s="229">
        <v>-0.46129999999999999</v>
      </c>
      <c r="EI160" s="229">
        <v>0.54659999999999997</v>
      </c>
      <c r="EJ160" s="231">
        <v>21106.76</v>
      </c>
      <c r="EK160" s="231">
        <v>10495.08</v>
      </c>
      <c r="EL160" s="231">
        <v>91363.81</v>
      </c>
      <c r="EM160" s="231">
        <v>5698</v>
      </c>
      <c r="EN160" s="231">
        <v>122965.65</v>
      </c>
      <c r="EO160" s="231">
        <v>108157.27</v>
      </c>
      <c r="EP160" s="231">
        <v>14808.38</v>
      </c>
      <c r="EQ160" s="229">
        <v>0.13689999999999999</v>
      </c>
      <c r="ER160" s="231">
        <v>28630</v>
      </c>
      <c r="ES160" s="231">
        <v>15288</v>
      </c>
      <c r="ET160" s="231">
        <v>89553</v>
      </c>
      <c r="EU160" s="231">
        <v>10712372</v>
      </c>
      <c r="EV160" s="231">
        <v>133470</v>
      </c>
      <c r="EW160" s="231">
        <v>138625</v>
      </c>
      <c r="EX160" s="231">
        <v>-5155</v>
      </c>
      <c r="EY160" s="229">
        <v>-3.7199999999999997E-2</v>
      </c>
      <c r="EZ160" s="229">
        <v>0.38940000000000002</v>
      </c>
      <c r="FA160" s="227" t="s">
        <v>556</v>
      </c>
      <c r="FB160" s="161">
        <f t="shared" si="3"/>
        <v>0</v>
      </c>
    </row>
    <row r="161" spans="1:158" ht="17.25" thickBot="1" x14ac:dyDescent="0.3">
      <c r="A161" s="226">
        <v>46044</v>
      </c>
      <c r="B161" s="227" t="s">
        <v>172</v>
      </c>
      <c r="C161" s="227" t="s">
        <v>275</v>
      </c>
      <c r="D161" s="228">
        <v>8000</v>
      </c>
      <c r="E161" s="228">
        <v>125.29</v>
      </c>
      <c r="F161" s="228">
        <v>124.08</v>
      </c>
      <c r="G161" s="228">
        <v>1.21</v>
      </c>
      <c r="H161" s="229">
        <v>9.7999999999999997E-3</v>
      </c>
      <c r="I161" s="228">
        <v>125.16</v>
      </c>
      <c r="J161" s="228">
        <v>123.99</v>
      </c>
      <c r="K161" s="228">
        <v>1.17</v>
      </c>
      <c r="L161" s="229">
        <v>9.4000000000000004E-3</v>
      </c>
      <c r="M161" s="228">
        <v>125.29</v>
      </c>
      <c r="N161" s="228">
        <v>124.08</v>
      </c>
      <c r="O161" s="228">
        <v>1.21</v>
      </c>
      <c r="P161" s="229">
        <v>9.7999999999999997E-3</v>
      </c>
      <c r="Q161" s="228">
        <v>125.91</v>
      </c>
      <c r="R161" s="228">
        <v>124.75</v>
      </c>
      <c r="S161" s="228">
        <v>1.1599999999999999</v>
      </c>
      <c r="T161" s="229">
        <v>9.2999999999999992E-3</v>
      </c>
      <c r="U161" s="228">
        <v>126.83</v>
      </c>
      <c r="V161" s="228">
        <v>125.54</v>
      </c>
      <c r="W161" s="228">
        <v>1.29</v>
      </c>
      <c r="X161" s="229">
        <v>1.03E-2</v>
      </c>
      <c r="Y161" s="228">
        <v>0.13</v>
      </c>
      <c r="Z161" s="228">
        <v>0.09</v>
      </c>
      <c r="AA161" s="228">
        <v>0.04</v>
      </c>
      <c r="AB161" s="229">
        <v>1E-3</v>
      </c>
      <c r="AC161" s="228">
        <v>0.13</v>
      </c>
      <c r="AD161" s="228">
        <v>0.09</v>
      </c>
      <c r="AE161" s="228">
        <v>0.04</v>
      </c>
      <c r="AF161" s="229">
        <v>1E-3</v>
      </c>
      <c r="AG161" s="228">
        <v>0.75</v>
      </c>
      <c r="AH161" s="228">
        <v>0.76</v>
      </c>
      <c r="AI161" s="228">
        <v>-0.01</v>
      </c>
      <c r="AJ161" s="229">
        <v>6.0000000000000001E-3</v>
      </c>
      <c r="AK161" s="228">
        <v>1.67</v>
      </c>
      <c r="AL161" s="228">
        <v>1.55</v>
      </c>
      <c r="AM161" s="228">
        <v>0.12</v>
      </c>
      <c r="AN161" s="229">
        <v>1.3299999999999999E-2</v>
      </c>
      <c r="AO161" s="228">
        <v>125.18</v>
      </c>
      <c r="AP161" s="228">
        <v>125.82</v>
      </c>
      <c r="AQ161" s="228">
        <v>0</v>
      </c>
      <c r="AR161" s="230">
        <v>146320000</v>
      </c>
      <c r="AS161" s="230">
        <v>102712000</v>
      </c>
      <c r="AT161" s="230">
        <v>43608000</v>
      </c>
      <c r="AU161" s="229">
        <v>0.42459999999999998</v>
      </c>
      <c r="AV161" s="230">
        <v>74832000</v>
      </c>
      <c r="AW161" s="230">
        <v>60976000</v>
      </c>
      <c r="AX161" s="230">
        <v>13856000</v>
      </c>
      <c r="AY161" s="229">
        <v>0.22720000000000001</v>
      </c>
      <c r="AZ161" s="230">
        <v>70368000</v>
      </c>
      <c r="BA161" s="230">
        <v>39816000</v>
      </c>
      <c r="BB161" s="230">
        <v>30552000</v>
      </c>
      <c r="BC161" s="229">
        <v>0.76729999999999998</v>
      </c>
      <c r="BD161" s="230">
        <v>1120000</v>
      </c>
      <c r="BE161" s="230">
        <v>1920000</v>
      </c>
      <c r="BF161" s="230">
        <v>-800000</v>
      </c>
      <c r="BG161" s="229">
        <v>-0.41670000000000001</v>
      </c>
      <c r="BH161" s="230">
        <v>195872000</v>
      </c>
      <c r="BI161" s="230">
        <v>281360000</v>
      </c>
      <c r="BJ161" s="230">
        <v>-85488000</v>
      </c>
      <c r="BK161" s="229">
        <v>-0.30380000000000001</v>
      </c>
      <c r="BL161" s="230">
        <v>110792000</v>
      </c>
      <c r="BM161" s="230">
        <v>199768000</v>
      </c>
      <c r="BN161" s="230">
        <v>-88976000</v>
      </c>
      <c r="BO161" s="229">
        <v>-0.44540000000000002</v>
      </c>
      <c r="BP161" s="230">
        <v>452984000</v>
      </c>
      <c r="BQ161" s="230">
        <v>583840000</v>
      </c>
      <c r="BR161" s="230">
        <v>-130856000</v>
      </c>
      <c r="BS161" s="229">
        <v>-0.22409999999999999</v>
      </c>
      <c r="BT161" s="230">
        <v>14470547</v>
      </c>
      <c r="BU161" s="230">
        <v>17998646</v>
      </c>
      <c r="BV161" s="230">
        <v>-3528099</v>
      </c>
      <c r="BW161" s="229">
        <v>-0.19600000000000001</v>
      </c>
      <c r="BX161" s="230">
        <v>242536000</v>
      </c>
      <c r="BY161" s="230">
        <v>240936000</v>
      </c>
      <c r="BZ161" s="230">
        <v>1600000</v>
      </c>
      <c r="CA161" s="229">
        <v>6.6E-3</v>
      </c>
      <c r="CB161" s="230">
        <v>109040000</v>
      </c>
      <c r="CC161" s="230">
        <v>157096000</v>
      </c>
      <c r="CD161" s="230">
        <v>-48056000</v>
      </c>
      <c r="CE161" s="229">
        <v>-0.30590000000000001</v>
      </c>
      <c r="CF161" s="230">
        <v>128864000</v>
      </c>
      <c r="CG161" s="230">
        <v>79600000</v>
      </c>
      <c r="CH161" s="230">
        <v>49264000</v>
      </c>
      <c r="CI161" s="229">
        <v>0.61890000000000001</v>
      </c>
      <c r="CJ161" s="230">
        <v>4632000</v>
      </c>
      <c r="CK161" s="230">
        <v>4240000</v>
      </c>
      <c r="CL161" s="230">
        <v>392000</v>
      </c>
      <c r="CM161" s="229">
        <v>9.2499999999999999E-2</v>
      </c>
      <c r="CN161" s="230">
        <v>145856000</v>
      </c>
      <c r="CO161" s="230">
        <v>159336000</v>
      </c>
      <c r="CP161" s="230">
        <v>-13480000</v>
      </c>
      <c r="CQ161" s="229">
        <v>-8.4599999999999995E-2</v>
      </c>
      <c r="CR161" s="230">
        <v>91392000</v>
      </c>
      <c r="CS161" s="230">
        <v>93304000</v>
      </c>
      <c r="CT161" s="230">
        <v>-1912000</v>
      </c>
      <c r="CU161" s="229">
        <v>-2.0500000000000001E-2</v>
      </c>
      <c r="CV161" s="230">
        <v>479784000</v>
      </c>
      <c r="CW161" s="230">
        <v>493576000</v>
      </c>
      <c r="CX161" s="230">
        <v>-13792000</v>
      </c>
      <c r="CY161" s="229">
        <v>-2.7900000000000001E-2</v>
      </c>
      <c r="CZ161" s="228">
        <v>29.23</v>
      </c>
      <c r="DA161" s="228">
        <v>28.98</v>
      </c>
      <c r="DB161" s="228">
        <v>0.25</v>
      </c>
      <c r="DC161" s="228">
        <v>0.25</v>
      </c>
      <c r="DD161" s="228">
        <v>35.17</v>
      </c>
      <c r="DE161" s="228">
        <v>35.229999999999997</v>
      </c>
      <c r="DF161" s="228">
        <v>-5.94</v>
      </c>
      <c r="DG161" s="228">
        <v>-0.06</v>
      </c>
      <c r="DH161" s="228">
        <v>29.33</v>
      </c>
      <c r="DI161" s="228">
        <v>30.33</v>
      </c>
      <c r="DJ161" s="228">
        <v>-1</v>
      </c>
      <c r="DK161" s="228">
        <v>-1</v>
      </c>
      <c r="DL161" s="228">
        <v>29.03</v>
      </c>
      <c r="DM161" s="228">
        <v>27.08</v>
      </c>
      <c r="DN161" s="228">
        <v>1.95</v>
      </c>
      <c r="DO161" s="228">
        <v>1.95</v>
      </c>
      <c r="DP161" s="228">
        <v>0.63</v>
      </c>
      <c r="DQ161" s="228">
        <v>0.59</v>
      </c>
      <c r="DR161" s="228">
        <v>0.04</v>
      </c>
      <c r="DS161" s="229">
        <v>6.7799999999999999E-2</v>
      </c>
      <c r="DT161" s="228">
        <v>130</v>
      </c>
      <c r="DU161" s="228">
        <v>120</v>
      </c>
      <c r="DV161" s="228">
        <v>0.56999999999999995</v>
      </c>
      <c r="DW161" s="228">
        <v>0.71</v>
      </c>
      <c r="DX161" s="228">
        <v>-0.14000000000000001</v>
      </c>
      <c r="DY161" s="229">
        <v>-0.19719999999999999</v>
      </c>
      <c r="DZ161" s="229">
        <v>0.5504</v>
      </c>
      <c r="EA161" s="230">
        <v>83840000</v>
      </c>
      <c r="EB161" s="229">
        <v>4.8999999999999998E-3</v>
      </c>
      <c r="EC161" s="229">
        <v>0.5504</v>
      </c>
      <c r="ED161" s="228">
        <v>0.64</v>
      </c>
      <c r="EE161" s="229">
        <v>5.1000000000000004E-3</v>
      </c>
      <c r="EF161" s="230">
        <v>5118934</v>
      </c>
      <c r="EG161" s="230">
        <v>5593047</v>
      </c>
      <c r="EH161" s="229">
        <v>-8.48E-2</v>
      </c>
      <c r="EI161" s="229">
        <v>0.35370000000000001</v>
      </c>
      <c r="EJ161" s="231">
        <v>255625.09</v>
      </c>
      <c r="EK161" s="231">
        <v>136801.45000000001</v>
      </c>
      <c r="EL161" s="231">
        <v>183633.66</v>
      </c>
      <c r="EM161" s="231">
        <v>20345</v>
      </c>
      <c r="EN161" s="231">
        <v>576060.19999999995</v>
      </c>
      <c r="EO161" s="231">
        <v>743323.56</v>
      </c>
      <c r="EP161" s="231">
        <v>-167263.35999999999</v>
      </c>
      <c r="EQ161" s="229">
        <v>-0.22500000000000001</v>
      </c>
      <c r="ER161" s="231">
        <v>193840</v>
      </c>
      <c r="ES161" s="231">
        <v>111766</v>
      </c>
      <c r="ET161" s="231">
        <v>304744</v>
      </c>
      <c r="EU161" s="231">
        <v>515822637</v>
      </c>
      <c r="EV161" s="231">
        <v>610350</v>
      </c>
      <c r="EW161" s="231">
        <v>624996</v>
      </c>
      <c r="EX161" s="231">
        <v>-14646</v>
      </c>
      <c r="EY161" s="229">
        <v>-2.3400000000000001E-2</v>
      </c>
      <c r="EZ161" s="229">
        <v>0.93010000000000004</v>
      </c>
      <c r="FA161" s="227" t="s">
        <v>555</v>
      </c>
      <c r="FB161" s="161">
        <f t="shared" si="3"/>
        <v>0</v>
      </c>
    </row>
    <row r="162" spans="1:158" ht="17.25" thickBot="1" x14ac:dyDescent="0.3">
      <c r="A162" s="226">
        <v>46044</v>
      </c>
      <c r="B162" s="227" t="s">
        <v>175</v>
      </c>
      <c r="C162" s="227" t="s">
        <v>670</v>
      </c>
      <c r="D162" s="228">
        <v>650</v>
      </c>
      <c r="E162" s="228">
        <v>859.7</v>
      </c>
      <c r="F162" s="228">
        <v>932.35</v>
      </c>
      <c r="G162" s="228">
        <v>-72.650000000000006</v>
      </c>
      <c r="H162" s="229">
        <v>-7.7899999999999997E-2</v>
      </c>
      <c r="I162" s="228">
        <v>860.25</v>
      </c>
      <c r="J162" s="228">
        <v>930.55</v>
      </c>
      <c r="K162" s="228">
        <v>-70.3</v>
      </c>
      <c r="L162" s="229">
        <v>-7.5499999999999998E-2</v>
      </c>
      <c r="M162" s="228">
        <v>859.7</v>
      </c>
      <c r="N162" s="228">
        <v>932.35</v>
      </c>
      <c r="O162" s="228">
        <v>-72.650000000000006</v>
      </c>
      <c r="P162" s="229">
        <v>-7.7899999999999997E-2</v>
      </c>
      <c r="Q162" s="228">
        <v>863.6</v>
      </c>
      <c r="R162" s="228">
        <v>937.35</v>
      </c>
      <c r="S162" s="228">
        <v>-73.75</v>
      </c>
      <c r="T162" s="229">
        <v>-7.8700000000000006E-2</v>
      </c>
      <c r="U162" s="228">
        <v>869.4</v>
      </c>
      <c r="V162" s="228">
        <v>933.85</v>
      </c>
      <c r="W162" s="228">
        <v>-64.45</v>
      </c>
      <c r="X162" s="229">
        <v>-6.9000000000000006E-2</v>
      </c>
      <c r="Y162" s="228">
        <v>-0.55000000000000004</v>
      </c>
      <c r="Z162" s="228">
        <v>1.8</v>
      </c>
      <c r="AA162" s="228">
        <v>-2.35</v>
      </c>
      <c r="AB162" s="229">
        <v>-5.9999999999999995E-4</v>
      </c>
      <c r="AC162" s="228">
        <v>-0.55000000000000004</v>
      </c>
      <c r="AD162" s="228">
        <v>1.8</v>
      </c>
      <c r="AE162" s="228">
        <v>-2.35</v>
      </c>
      <c r="AF162" s="229">
        <v>-5.9999999999999995E-4</v>
      </c>
      <c r="AG162" s="228">
        <v>3.35</v>
      </c>
      <c r="AH162" s="228">
        <v>6.8</v>
      </c>
      <c r="AI162" s="228">
        <v>-3.45</v>
      </c>
      <c r="AJ162" s="229">
        <v>3.8999999999999998E-3</v>
      </c>
      <c r="AK162" s="228">
        <v>9.15</v>
      </c>
      <c r="AL162" s="228">
        <v>3.3</v>
      </c>
      <c r="AM162" s="228">
        <v>5.85</v>
      </c>
      <c r="AN162" s="229">
        <v>1.06E-2</v>
      </c>
      <c r="AO162" s="228">
        <v>863.4</v>
      </c>
      <c r="AP162" s="228">
        <v>868.78</v>
      </c>
      <c r="AQ162" s="228">
        <v>0</v>
      </c>
      <c r="AR162" s="230">
        <v>20941050</v>
      </c>
      <c r="AS162" s="230">
        <v>7522450</v>
      </c>
      <c r="AT162" s="230">
        <v>13418600</v>
      </c>
      <c r="AU162" s="229">
        <v>1.7838000000000001</v>
      </c>
      <c r="AV162" s="230">
        <v>10802350</v>
      </c>
      <c r="AW162" s="230">
        <v>4640350</v>
      </c>
      <c r="AX162" s="230">
        <v>6162000</v>
      </c>
      <c r="AY162" s="229">
        <v>1.3279000000000001</v>
      </c>
      <c r="AZ162" s="230">
        <v>10071750</v>
      </c>
      <c r="BA162" s="230">
        <v>2878850</v>
      </c>
      <c r="BB162" s="230">
        <v>7192900</v>
      </c>
      <c r="BC162" s="229">
        <v>2.4984999999999999</v>
      </c>
      <c r="BD162" s="230">
        <v>66950</v>
      </c>
      <c r="BE162" s="230">
        <v>3250</v>
      </c>
      <c r="BF162" s="230">
        <v>63700</v>
      </c>
      <c r="BG162" s="229">
        <v>19.600000000000001</v>
      </c>
      <c r="BH162" s="230">
        <v>37663600</v>
      </c>
      <c r="BI162" s="230">
        <v>10496850</v>
      </c>
      <c r="BJ162" s="230">
        <v>27166750</v>
      </c>
      <c r="BK162" s="229">
        <v>2.5880999999999998</v>
      </c>
      <c r="BL162" s="230">
        <v>40641250</v>
      </c>
      <c r="BM162" s="230">
        <v>7162350</v>
      </c>
      <c r="BN162" s="230">
        <v>33478900</v>
      </c>
      <c r="BO162" s="229">
        <v>4.6742999999999997</v>
      </c>
      <c r="BP162" s="230">
        <v>99245900</v>
      </c>
      <c r="BQ162" s="230">
        <v>25181650</v>
      </c>
      <c r="BR162" s="230">
        <v>74064250</v>
      </c>
      <c r="BS162" s="229">
        <v>2.9411999999999998</v>
      </c>
      <c r="BT162" s="230">
        <v>7947132</v>
      </c>
      <c r="BU162" s="230">
        <v>904861</v>
      </c>
      <c r="BV162" s="230">
        <v>7042271</v>
      </c>
      <c r="BW162" s="229">
        <v>7.7827000000000002</v>
      </c>
      <c r="BX162" s="230">
        <v>15191150</v>
      </c>
      <c r="BY162" s="230">
        <v>13589550</v>
      </c>
      <c r="BZ162" s="230">
        <v>1601600</v>
      </c>
      <c r="CA162" s="229">
        <v>0.1179</v>
      </c>
      <c r="CB162" s="230">
        <v>7442500</v>
      </c>
      <c r="CC162" s="230">
        <v>11220300</v>
      </c>
      <c r="CD162" s="230">
        <v>-3777800</v>
      </c>
      <c r="CE162" s="229">
        <v>-0.3367</v>
      </c>
      <c r="CF162" s="230">
        <v>7686250</v>
      </c>
      <c r="CG162" s="230">
        <v>2336750</v>
      </c>
      <c r="CH162" s="230">
        <v>5349500</v>
      </c>
      <c r="CI162" s="229">
        <v>2.2892999999999999</v>
      </c>
      <c r="CJ162" s="230">
        <v>62400</v>
      </c>
      <c r="CK162" s="230">
        <v>32500</v>
      </c>
      <c r="CL162" s="230">
        <v>29900</v>
      </c>
      <c r="CM162" s="229">
        <v>0.92</v>
      </c>
      <c r="CN162" s="230">
        <v>5627050</v>
      </c>
      <c r="CO162" s="230">
        <v>3138850</v>
      </c>
      <c r="CP162" s="230">
        <v>2488200</v>
      </c>
      <c r="CQ162" s="229">
        <v>0.79269999999999996</v>
      </c>
      <c r="CR162" s="230">
        <v>3944200</v>
      </c>
      <c r="CS162" s="230">
        <v>2349750</v>
      </c>
      <c r="CT162" s="230">
        <v>1594450</v>
      </c>
      <c r="CU162" s="229">
        <v>0.67859999999999998</v>
      </c>
      <c r="CV162" s="230">
        <v>24762400</v>
      </c>
      <c r="CW162" s="230">
        <v>19078150</v>
      </c>
      <c r="CX162" s="230">
        <v>5684250</v>
      </c>
      <c r="CY162" s="229">
        <v>0.2979</v>
      </c>
      <c r="CZ162" s="228">
        <v>37.35</v>
      </c>
      <c r="DA162" s="228">
        <v>52.66</v>
      </c>
      <c r="DB162" s="228">
        <v>-15.31</v>
      </c>
      <c r="DC162" s="228">
        <v>-15.31</v>
      </c>
      <c r="DD162" s="228">
        <v>46.1</v>
      </c>
      <c r="DE162" s="228">
        <v>44.98</v>
      </c>
      <c r="DF162" s="228">
        <v>-8.75</v>
      </c>
      <c r="DG162" s="228">
        <v>1.1200000000000001</v>
      </c>
      <c r="DH162" s="228">
        <v>36.65</v>
      </c>
      <c r="DI162" s="228">
        <v>50.84</v>
      </c>
      <c r="DJ162" s="228">
        <v>-14.19</v>
      </c>
      <c r="DK162" s="228">
        <v>-14.19</v>
      </c>
      <c r="DL162" s="228">
        <v>38.31</v>
      </c>
      <c r="DM162" s="228">
        <v>55.32</v>
      </c>
      <c r="DN162" s="228">
        <v>-17.010000000000002</v>
      </c>
      <c r="DO162" s="228">
        <v>-17.010000000000002</v>
      </c>
      <c r="DP162" s="228">
        <v>0.7</v>
      </c>
      <c r="DQ162" s="228">
        <v>0.75</v>
      </c>
      <c r="DR162" s="228">
        <v>-0.05</v>
      </c>
      <c r="DS162" s="229">
        <v>-6.6699999999999995E-2</v>
      </c>
      <c r="DT162" s="228">
        <v>900</v>
      </c>
      <c r="DU162" s="228">
        <v>860</v>
      </c>
      <c r="DV162" s="228">
        <v>1.08</v>
      </c>
      <c r="DW162" s="228">
        <v>0.68</v>
      </c>
      <c r="DX162" s="228">
        <v>0.4</v>
      </c>
      <c r="DY162" s="229">
        <v>0.58819999999999995</v>
      </c>
      <c r="DZ162" s="229">
        <v>0.5101</v>
      </c>
      <c r="EA162" s="230">
        <v>2369250</v>
      </c>
      <c r="EB162" s="229">
        <v>4.4999999999999997E-3</v>
      </c>
      <c r="EC162" s="229">
        <v>0.5101</v>
      </c>
      <c r="ED162" s="228">
        <v>5.38</v>
      </c>
      <c r="EE162" s="229">
        <v>6.1999999999999998E-3</v>
      </c>
      <c r="EF162" s="230">
        <v>2529554</v>
      </c>
      <c r="EG162" s="230">
        <v>338080</v>
      </c>
      <c r="EH162" s="229">
        <v>6.4821</v>
      </c>
      <c r="EI162" s="229">
        <v>0.31830000000000003</v>
      </c>
      <c r="EJ162" s="231">
        <v>346303.38</v>
      </c>
      <c r="EK162" s="231">
        <v>352355.72</v>
      </c>
      <c r="EL162" s="231">
        <v>181353.75</v>
      </c>
      <c r="EM162" s="231">
        <v>4719</v>
      </c>
      <c r="EN162" s="231">
        <v>880012.85</v>
      </c>
      <c r="EO162" s="231">
        <v>240615.14</v>
      </c>
      <c r="EP162" s="231">
        <v>639397.71</v>
      </c>
      <c r="EQ162" s="229">
        <v>2.6573000000000002</v>
      </c>
      <c r="ER162" s="231">
        <v>53334</v>
      </c>
      <c r="ES162" s="231">
        <v>34402</v>
      </c>
      <c r="ET162" s="231">
        <v>130904</v>
      </c>
      <c r="EU162" s="231">
        <v>28118603</v>
      </c>
      <c r="EV162" s="231">
        <v>218640</v>
      </c>
      <c r="EW162" s="231">
        <v>179666</v>
      </c>
      <c r="EX162" s="231">
        <v>38974</v>
      </c>
      <c r="EY162" s="229">
        <v>0.21690000000000001</v>
      </c>
      <c r="EZ162" s="229">
        <v>0.88060000000000005</v>
      </c>
      <c r="FA162" s="227" t="s">
        <v>567</v>
      </c>
      <c r="FB162" s="161">
        <f t="shared" ref="FB162:FB194" si="4">BX228-CB228</f>
        <v>0</v>
      </c>
    </row>
    <row r="163" spans="1:158" ht="17.25" thickBot="1" x14ac:dyDescent="0.3">
      <c r="A163" s="226">
        <v>46044</v>
      </c>
      <c r="B163" s="227" t="s">
        <v>615</v>
      </c>
      <c r="C163" s="227" t="s">
        <v>573</v>
      </c>
      <c r="D163" s="228">
        <v>350</v>
      </c>
      <c r="E163" s="231">
        <v>1713.9</v>
      </c>
      <c r="F163" s="231">
        <v>1662.2</v>
      </c>
      <c r="G163" s="228">
        <v>51.7</v>
      </c>
      <c r="H163" s="229">
        <v>3.1099999999999999E-2</v>
      </c>
      <c r="I163" s="231">
        <v>1714.6</v>
      </c>
      <c r="J163" s="231">
        <v>1663.7</v>
      </c>
      <c r="K163" s="228">
        <v>50.9</v>
      </c>
      <c r="L163" s="229">
        <v>3.0599999999999999E-2</v>
      </c>
      <c r="M163" s="231">
        <v>1713.9</v>
      </c>
      <c r="N163" s="231">
        <v>1662.2</v>
      </c>
      <c r="O163" s="228">
        <v>51.7</v>
      </c>
      <c r="P163" s="229">
        <v>3.1099999999999999E-2</v>
      </c>
      <c r="Q163" s="231">
        <v>1720.9</v>
      </c>
      <c r="R163" s="231">
        <v>1670.4</v>
      </c>
      <c r="S163" s="228">
        <v>50.5</v>
      </c>
      <c r="T163" s="229">
        <v>3.0200000000000001E-2</v>
      </c>
      <c r="U163" s="231">
        <v>1731.6</v>
      </c>
      <c r="V163" s="231">
        <v>1644.8</v>
      </c>
      <c r="W163" s="228">
        <v>86.8</v>
      </c>
      <c r="X163" s="229">
        <v>5.28E-2</v>
      </c>
      <c r="Y163" s="228">
        <v>-0.7</v>
      </c>
      <c r="Z163" s="228">
        <v>-1.5</v>
      </c>
      <c r="AA163" s="228">
        <v>0.8</v>
      </c>
      <c r="AB163" s="229">
        <v>-4.0000000000000002E-4</v>
      </c>
      <c r="AC163" s="228">
        <v>-0.7</v>
      </c>
      <c r="AD163" s="228">
        <v>-1.5</v>
      </c>
      <c r="AE163" s="228">
        <v>0.8</v>
      </c>
      <c r="AF163" s="229">
        <v>-4.0000000000000002E-4</v>
      </c>
      <c r="AG163" s="228">
        <v>6.3</v>
      </c>
      <c r="AH163" s="228">
        <v>6.7</v>
      </c>
      <c r="AI163" s="228">
        <v>-0.4</v>
      </c>
      <c r="AJ163" s="229">
        <v>3.7000000000000002E-3</v>
      </c>
      <c r="AK163" s="228">
        <v>17</v>
      </c>
      <c r="AL163" s="228">
        <v>-18.899999999999999</v>
      </c>
      <c r="AM163" s="228">
        <v>35.9</v>
      </c>
      <c r="AN163" s="229">
        <v>9.9000000000000008E-3</v>
      </c>
      <c r="AO163" s="231">
        <v>1697.35</v>
      </c>
      <c r="AP163" s="231">
        <v>1705.23</v>
      </c>
      <c r="AQ163" s="228">
        <v>0</v>
      </c>
      <c r="AR163" s="230">
        <v>7154700</v>
      </c>
      <c r="AS163" s="230">
        <v>4678100</v>
      </c>
      <c r="AT163" s="230">
        <v>2476600</v>
      </c>
      <c r="AU163" s="229">
        <v>0.52939999999999998</v>
      </c>
      <c r="AV163" s="230">
        <v>3536750</v>
      </c>
      <c r="AW163" s="230">
        <v>2613100</v>
      </c>
      <c r="AX163" s="230">
        <v>923650</v>
      </c>
      <c r="AY163" s="229">
        <v>0.35349999999999998</v>
      </c>
      <c r="AZ163" s="230">
        <v>3609200</v>
      </c>
      <c r="BA163" s="230">
        <v>2063250</v>
      </c>
      <c r="BB163" s="230">
        <v>1545950</v>
      </c>
      <c r="BC163" s="229">
        <v>0.74929999999999997</v>
      </c>
      <c r="BD163" s="230">
        <v>8750</v>
      </c>
      <c r="BE163" s="230">
        <v>1750</v>
      </c>
      <c r="BF163" s="230">
        <v>7000</v>
      </c>
      <c r="BG163" s="229">
        <v>4</v>
      </c>
      <c r="BH163" s="230">
        <v>4015900</v>
      </c>
      <c r="BI163" s="230">
        <v>2995650</v>
      </c>
      <c r="BJ163" s="230">
        <v>1020250</v>
      </c>
      <c r="BK163" s="229">
        <v>0.34060000000000001</v>
      </c>
      <c r="BL163" s="230">
        <v>1759100</v>
      </c>
      <c r="BM163" s="230">
        <v>1964900</v>
      </c>
      <c r="BN163" s="230">
        <v>-205800</v>
      </c>
      <c r="BO163" s="229">
        <v>-0.1047</v>
      </c>
      <c r="BP163" s="230">
        <v>12929700</v>
      </c>
      <c r="BQ163" s="230">
        <v>9638650</v>
      </c>
      <c r="BR163" s="230">
        <v>3291050</v>
      </c>
      <c r="BS163" s="229">
        <v>0.34139999999999998</v>
      </c>
      <c r="BT163" s="230">
        <v>1505594</v>
      </c>
      <c r="BU163" s="230">
        <v>1050994</v>
      </c>
      <c r="BV163" s="230">
        <v>454600</v>
      </c>
      <c r="BW163" s="229">
        <v>0.4325</v>
      </c>
      <c r="BX163" s="230">
        <v>7443450</v>
      </c>
      <c r="BY163" s="230">
        <v>7305200</v>
      </c>
      <c r="BZ163" s="230">
        <v>138250</v>
      </c>
      <c r="CA163" s="229">
        <v>1.89E-2</v>
      </c>
      <c r="CB163" s="230">
        <v>3771950</v>
      </c>
      <c r="CC163" s="230">
        <v>5715850</v>
      </c>
      <c r="CD163" s="230">
        <v>-1943900</v>
      </c>
      <c r="CE163" s="229">
        <v>-0.34010000000000001</v>
      </c>
      <c r="CF163" s="230">
        <v>3638250</v>
      </c>
      <c r="CG163" s="230">
        <v>1554000</v>
      </c>
      <c r="CH163" s="230">
        <v>2084250</v>
      </c>
      <c r="CI163" s="229">
        <v>1.3411999999999999</v>
      </c>
      <c r="CJ163" s="230">
        <v>33250</v>
      </c>
      <c r="CK163" s="230">
        <v>35350</v>
      </c>
      <c r="CL163" s="230">
        <v>-2100</v>
      </c>
      <c r="CM163" s="229">
        <v>-5.9400000000000001E-2</v>
      </c>
      <c r="CN163" s="230">
        <v>2153550</v>
      </c>
      <c r="CO163" s="230">
        <v>2742250</v>
      </c>
      <c r="CP163" s="230">
        <v>-588700</v>
      </c>
      <c r="CQ163" s="229">
        <v>-0.2147</v>
      </c>
      <c r="CR163" s="230">
        <v>1324750</v>
      </c>
      <c r="CS163" s="230">
        <v>1491700</v>
      </c>
      <c r="CT163" s="230">
        <v>-166950</v>
      </c>
      <c r="CU163" s="229">
        <v>-0.1119</v>
      </c>
      <c r="CV163" s="230">
        <v>10921750</v>
      </c>
      <c r="CW163" s="230">
        <v>11539150</v>
      </c>
      <c r="CX163" s="230">
        <v>-617400</v>
      </c>
      <c r="CY163" s="229">
        <v>-5.3499999999999999E-2</v>
      </c>
      <c r="CZ163" s="228">
        <v>36.93</v>
      </c>
      <c r="DA163" s="228">
        <v>30.9</v>
      </c>
      <c r="DB163" s="228">
        <v>6.03</v>
      </c>
      <c r="DC163" s="228">
        <v>6.03</v>
      </c>
      <c r="DD163" s="228">
        <v>45.68</v>
      </c>
      <c r="DE163" s="228">
        <v>45.61</v>
      </c>
      <c r="DF163" s="228">
        <v>-8.75</v>
      </c>
      <c r="DG163" s="228">
        <v>7.0000000000000007E-2</v>
      </c>
      <c r="DH163" s="228">
        <v>36.75</v>
      </c>
      <c r="DI163" s="228">
        <v>31.16</v>
      </c>
      <c r="DJ163" s="228">
        <v>5.59</v>
      </c>
      <c r="DK163" s="228">
        <v>5.59</v>
      </c>
      <c r="DL163" s="228">
        <v>37.21</v>
      </c>
      <c r="DM163" s="228">
        <v>30.51</v>
      </c>
      <c r="DN163" s="228">
        <v>6.7</v>
      </c>
      <c r="DO163" s="228">
        <v>6.7</v>
      </c>
      <c r="DP163" s="228">
        <v>0.62</v>
      </c>
      <c r="DQ163" s="228">
        <v>0.54</v>
      </c>
      <c r="DR163" s="228">
        <v>0.08</v>
      </c>
      <c r="DS163" s="229">
        <v>0.14810000000000001</v>
      </c>
      <c r="DT163" s="231">
        <v>1900</v>
      </c>
      <c r="DU163" s="231">
        <v>1740</v>
      </c>
      <c r="DV163" s="228">
        <v>0.44</v>
      </c>
      <c r="DW163" s="228">
        <v>0.66</v>
      </c>
      <c r="DX163" s="228">
        <v>-0.22</v>
      </c>
      <c r="DY163" s="229">
        <v>-0.33329999999999999</v>
      </c>
      <c r="DZ163" s="229">
        <v>0.49330000000000002</v>
      </c>
      <c r="EA163" s="230">
        <v>1589350</v>
      </c>
      <c r="EB163" s="229">
        <v>4.1000000000000003E-3</v>
      </c>
      <c r="EC163" s="229">
        <v>0.49330000000000002</v>
      </c>
      <c r="ED163" s="228">
        <v>7.88</v>
      </c>
      <c r="EE163" s="229">
        <v>4.5999999999999999E-3</v>
      </c>
      <c r="EF163" s="230">
        <v>904124</v>
      </c>
      <c r="EG163" s="230">
        <v>491047</v>
      </c>
      <c r="EH163" s="229">
        <v>0.84119999999999995</v>
      </c>
      <c r="EI163" s="229">
        <v>0.60050000000000003</v>
      </c>
      <c r="EJ163" s="231">
        <v>70860.759999999995</v>
      </c>
      <c r="EK163" s="231">
        <v>29296.55</v>
      </c>
      <c r="EL163" s="231">
        <v>121726.35</v>
      </c>
      <c r="EM163" s="231">
        <v>6797</v>
      </c>
      <c r="EN163" s="231">
        <v>221883.66</v>
      </c>
      <c r="EO163" s="231">
        <v>161313.41</v>
      </c>
      <c r="EP163" s="231">
        <v>60570.25</v>
      </c>
      <c r="EQ163" s="229">
        <v>0.3755</v>
      </c>
      <c r="ER163" s="231">
        <v>39395</v>
      </c>
      <c r="ES163" s="231">
        <v>22557</v>
      </c>
      <c r="ET163" s="231">
        <v>127834</v>
      </c>
      <c r="EU163" s="231">
        <v>60642005</v>
      </c>
      <c r="EV163" s="231">
        <v>189785</v>
      </c>
      <c r="EW163" s="231">
        <v>196807</v>
      </c>
      <c r="EX163" s="231">
        <v>-7022</v>
      </c>
      <c r="EY163" s="229">
        <v>-3.5700000000000003E-2</v>
      </c>
      <c r="EZ163" s="229">
        <v>0.18010000000000001</v>
      </c>
      <c r="FA163" s="227" t="s">
        <v>555</v>
      </c>
      <c r="FB163" s="161">
        <f t="shared" si="4"/>
        <v>0</v>
      </c>
    </row>
    <row r="164" spans="1:158" ht="17.25" thickBot="1" x14ac:dyDescent="0.3">
      <c r="A164" s="226">
        <v>46044</v>
      </c>
      <c r="B164" s="227" t="s">
        <v>184</v>
      </c>
      <c r="C164" s="227" t="s">
        <v>519</v>
      </c>
      <c r="D164" s="228">
        <v>125</v>
      </c>
      <c r="E164" s="231">
        <v>7014.5</v>
      </c>
      <c r="F164" s="231">
        <v>6973.5</v>
      </c>
      <c r="G164" s="228">
        <v>41</v>
      </c>
      <c r="H164" s="229">
        <v>5.8999999999999999E-3</v>
      </c>
      <c r="I164" s="231">
        <v>6999</v>
      </c>
      <c r="J164" s="231">
        <v>6975</v>
      </c>
      <c r="K164" s="228">
        <v>24</v>
      </c>
      <c r="L164" s="229">
        <v>3.3999999999999998E-3</v>
      </c>
      <c r="M164" s="231">
        <v>7014.5</v>
      </c>
      <c r="N164" s="231">
        <v>6973.5</v>
      </c>
      <c r="O164" s="228">
        <v>41</v>
      </c>
      <c r="P164" s="229">
        <v>5.8999999999999999E-3</v>
      </c>
      <c r="Q164" s="231">
        <v>7051</v>
      </c>
      <c r="R164" s="231">
        <v>7009</v>
      </c>
      <c r="S164" s="228">
        <v>42</v>
      </c>
      <c r="T164" s="229">
        <v>6.0000000000000001E-3</v>
      </c>
      <c r="U164" s="231">
        <v>7085.5</v>
      </c>
      <c r="V164" s="231">
        <v>7040.5</v>
      </c>
      <c r="W164" s="228">
        <v>45</v>
      </c>
      <c r="X164" s="229">
        <v>6.4000000000000003E-3</v>
      </c>
      <c r="Y164" s="228">
        <v>15.5</v>
      </c>
      <c r="Z164" s="228">
        <v>-1.5</v>
      </c>
      <c r="AA164" s="228">
        <v>17</v>
      </c>
      <c r="AB164" s="229">
        <v>2.2000000000000001E-3</v>
      </c>
      <c r="AC164" s="228">
        <v>15.5</v>
      </c>
      <c r="AD164" s="228">
        <v>-1.5</v>
      </c>
      <c r="AE164" s="228">
        <v>17</v>
      </c>
      <c r="AF164" s="229">
        <v>2.2000000000000001E-3</v>
      </c>
      <c r="AG164" s="228">
        <v>52</v>
      </c>
      <c r="AH164" s="228">
        <v>34</v>
      </c>
      <c r="AI164" s="228">
        <v>18</v>
      </c>
      <c r="AJ164" s="229">
        <v>7.4000000000000003E-3</v>
      </c>
      <c r="AK164" s="228">
        <v>86.5</v>
      </c>
      <c r="AL164" s="228">
        <v>65.5</v>
      </c>
      <c r="AM164" s="228">
        <v>21</v>
      </c>
      <c r="AN164" s="229">
        <v>1.24E-2</v>
      </c>
      <c r="AO164" s="231">
        <v>7036.33</v>
      </c>
      <c r="AP164" s="231">
        <v>7073</v>
      </c>
      <c r="AQ164" s="228">
        <v>0</v>
      </c>
      <c r="AR164" s="230">
        <v>3203250</v>
      </c>
      <c r="AS164" s="230">
        <v>2944750</v>
      </c>
      <c r="AT164" s="230">
        <v>258500</v>
      </c>
      <c r="AU164" s="229">
        <v>8.7800000000000003E-2</v>
      </c>
      <c r="AV164" s="230">
        <v>1577875</v>
      </c>
      <c r="AW164" s="230">
        <v>1588625</v>
      </c>
      <c r="AX164" s="230">
        <v>-10750</v>
      </c>
      <c r="AY164" s="229">
        <v>-6.7999999999999996E-3</v>
      </c>
      <c r="AZ164" s="230">
        <v>1610750</v>
      </c>
      <c r="BA164" s="230">
        <v>1339750</v>
      </c>
      <c r="BB164" s="230">
        <v>271000</v>
      </c>
      <c r="BC164" s="229">
        <v>0.20230000000000001</v>
      </c>
      <c r="BD164" s="230">
        <v>14625</v>
      </c>
      <c r="BE164" s="230">
        <v>16375</v>
      </c>
      <c r="BF164" s="230">
        <v>-1750</v>
      </c>
      <c r="BG164" s="229">
        <v>-0.1069</v>
      </c>
      <c r="BH164" s="230">
        <v>3873000</v>
      </c>
      <c r="BI164" s="230">
        <v>7453500</v>
      </c>
      <c r="BJ164" s="230">
        <v>-3580500</v>
      </c>
      <c r="BK164" s="229">
        <v>-0.48039999999999999</v>
      </c>
      <c r="BL164" s="230">
        <v>1846375</v>
      </c>
      <c r="BM164" s="230">
        <v>5074250</v>
      </c>
      <c r="BN164" s="230">
        <v>-3227875</v>
      </c>
      <c r="BO164" s="229">
        <v>-0.6361</v>
      </c>
      <c r="BP164" s="230">
        <v>8922625</v>
      </c>
      <c r="BQ164" s="230">
        <v>15472500</v>
      </c>
      <c r="BR164" s="230">
        <v>-6549875</v>
      </c>
      <c r="BS164" s="229">
        <v>-0.42330000000000001</v>
      </c>
      <c r="BT164" s="230">
        <v>465480</v>
      </c>
      <c r="BU164" s="230">
        <v>804693</v>
      </c>
      <c r="BV164" s="230">
        <v>-339213</v>
      </c>
      <c r="BW164" s="229">
        <v>-0.42149999999999999</v>
      </c>
      <c r="BX164" s="230">
        <v>3874125</v>
      </c>
      <c r="BY164" s="230">
        <v>3962125</v>
      </c>
      <c r="BZ164" s="230">
        <v>-88000</v>
      </c>
      <c r="CA164" s="229">
        <v>-2.2200000000000001E-2</v>
      </c>
      <c r="CB164" s="230">
        <v>1682250</v>
      </c>
      <c r="CC164" s="230">
        <v>2897125</v>
      </c>
      <c r="CD164" s="230">
        <v>-1214875</v>
      </c>
      <c r="CE164" s="229">
        <v>-0.41930000000000001</v>
      </c>
      <c r="CF164" s="230">
        <v>2162375</v>
      </c>
      <c r="CG164" s="230">
        <v>1041875</v>
      </c>
      <c r="CH164" s="230">
        <v>1120500</v>
      </c>
      <c r="CI164" s="229">
        <v>1.0754999999999999</v>
      </c>
      <c r="CJ164" s="230">
        <v>29500</v>
      </c>
      <c r="CK164" s="230">
        <v>23125</v>
      </c>
      <c r="CL164" s="230">
        <v>6375</v>
      </c>
      <c r="CM164" s="229">
        <v>0.2757</v>
      </c>
      <c r="CN164" s="230">
        <v>2574875</v>
      </c>
      <c r="CO164" s="230">
        <v>2670000</v>
      </c>
      <c r="CP164" s="230">
        <v>-95125</v>
      </c>
      <c r="CQ164" s="229">
        <v>-3.56E-2</v>
      </c>
      <c r="CR164" s="230">
        <v>1099500</v>
      </c>
      <c r="CS164" s="230">
        <v>1130125</v>
      </c>
      <c r="CT164" s="230">
        <v>-30625</v>
      </c>
      <c r="CU164" s="229">
        <v>-2.7099999999999999E-2</v>
      </c>
      <c r="CV164" s="230">
        <v>7548500</v>
      </c>
      <c r="CW164" s="230">
        <v>7762250</v>
      </c>
      <c r="CX164" s="230">
        <v>-213750</v>
      </c>
      <c r="CY164" s="229">
        <v>-2.75E-2</v>
      </c>
      <c r="CZ164" s="228">
        <v>30.5</v>
      </c>
      <c r="DA164" s="228">
        <v>29.67</v>
      </c>
      <c r="DB164" s="228">
        <v>0.83</v>
      </c>
      <c r="DC164" s="228">
        <v>0.83</v>
      </c>
      <c r="DD164" s="228">
        <v>38.86</v>
      </c>
      <c r="DE164" s="228">
        <v>38.950000000000003</v>
      </c>
      <c r="DF164" s="228">
        <v>-8.36</v>
      </c>
      <c r="DG164" s="228">
        <v>-0.09</v>
      </c>
      <c r="DH164" s="228">
        <v>30.04</v>
      </c>
      <c r="DI164" s="228">
        <v>30.92</v>
      </c>
      <c r="DJ164" s="228">
        <v>-0.88</v>
      </c>
      <c r="DK164" s="228">
        <v>-0.88</v>
      </c>
      <c r="DL164" s="228">
        <v>31.47</v>
      </c>
      <c r="DM164" s="228">
        <v>27.84</v>
      </c>
      <c r="DN164" s="228">
        <v>3.63</v>
      </c>
      <c r="DO164" s="228">
        <v>3.63</v>
      </c>
      <c r="DP164" s="228">
        <v>0.43</v>
      </c>
      <c r="DQ164" s="228">
        <v>0.42</v>
      </c>
      <c r="DR164" s="228">
        <v>0.01</v>
      </c>
      <c r="DS164" s="229">
        <v>2.3800000000000002E-2</v>
      </c>
      <c r="DT164" s="231">
        <v>7200</v>
      </c>
      <c r="DU164" s="231">
        <v>6900</v>
      </c>
      <c r="DV164" s="228">
        <v>0.48</v>
      </c>
      <c r="DW164" s="228">
        <v>0.68</v>
      </c>
      <c r="DX164" s="228">
        <v>-0.2</v>
      </c>
      <c r="DY164" s="229">
        <v>-0.29409999999999997</v>
      </c>
      <c r="DZ164" s="229">
        <v>0.56579999999999997</v>
      </c>
      <c r="EA164" s="230">
        <v>1065000</v>
      </c>
      <c r="EB164" s="229">
        <v>5.1999999999999998E-3</v>
      </c>
      <c r="EC164" s="229">
        <v>0.56579999999999997</v>
      </c>
      <c r="ED164" s="228">
        <v>36.67</v>
      </c>
      <c r="EE164" s="229">
        <v>5.1999999999999998E-3</v>
      </c>
      <c r="EF164" s="230">
        <v>203102</v>
      </c>
      <c r="EG164" s="230">
        <v>342571</v>
      </c>
      <c r="EH164" s="229">
        <v>-0.40710000000000002</v>
      </c>
      <c r="EI164" s="229">
        <v>0.43630000000000002</v>
      </c>
      <c r="EJ164" s="231">
        <v>286573.12</v>
      </c>
      <c r="EK164" s="231">
        <v>127115.16</v>
      </c>
      <c r="EL164" s="231">
        <v>225995.25</v>
      </c>
      <c r="EM164" s="231">
        <v>19682</v>
      </c>
      <c r="EN164" s="231">
        <v>639683.53</v>
      </c>
      <c r="EO164" s="231">
        <v>1106544.7</v>
      </c>
      <c r="EP164" s="231">
        <v>-466861.17</v>
      </c>
      <c r="EQ164" s="229">
        <v>-0.4219</v>
      </c>
      <c r="ER164" s="231">
        <v>195424</v>
      </c>
      <c r="ES164" s="231">
        <v>77500</v>
      </c>
      <c r="ET164" s="231">
        <v>272561</v>
      </c>
      <c r="EU164" s="231">
        <v>8688405</v>
      </c>
      <c r="EV164" s="231">
        <v>545485</v>
      </c>
      <c r="EW164" s="231">
        <v>559436</v>
      </c>
      <c r="EX164" s="231">
        <v>-13951</v>
      </c>
      <c r="EY164" s="229">
        <v>-2.4899999999999999E-2</v>
      </c>
      <c r="EZ164" s="229">
        <v>0.86880000000000002</v>
      </c>
      <c r="FA164" s="227" t="s">
        <v>556</v>
      </c>
      <c r="FB164" s="161">
        <f t="shared" si="4"/>
        <v>0</v>
      </c>
    </row>
    <row r="165" spans="1:158" ht="17.25" thickBot="1" x14ac:dyDescent="0.3">
      <c r="A165" s="226">
        <v>46044</v>
      </c>
      <c r="B165" s="227" t="s">
        <v>161</v>
      </c>
      <c r="C165" s="227" t="s">
        <v>276</v>
      </c>
      <c r="D165" s="228">
        <v>1900</v>
      </c>
      <c r="E165" s="228">
        <v>259.14999999999998</v>
      </c>
      <c r="F165" s="228">
        <v>255.65</v>
      </c>
      <c r="G165" s="228">
        <v>3.5</v>
      </c>
      <c r="H165" s="229">
        <v>1.37E-2</v>
      </c>
      <c r="I165" s="228">
        <v>259.25</v>
      </c>
      <c r="J165" s="228">
        <v>255.8</v>
      </c>
      <c r="K165" s="228">
        <v>3.45</v>
      </c>
      <c r="L165" s="229">
        <v>1.35E-2</v>
      </c>
      <c r="M165" s="228">
        <v>259.14999999999998</v>
      </c>
      <c r="N165" s="228">
        <v>255.65</v>
      </c>
      <c r="O165" s="228">
        <v>3.5</v>
      </c>
      <c r="P165" s="229">
        <v>1.37E-2</v>
      </c>
      <c r="Q165" s="228">
        <v>257.2</v>
      </c>
      <c r="R165" s="228">
        <v>253.6</v>
      </c>
      <c r="S165" s="228">
        <v>3.6</v>
      </c>
      <c r="T165" s="229">
        <v>1.4200000000000001E-2</v>
      </c>
      <c r="U165" s="228">
        <v>258.55</v>
      </c>
      <c r="V165" s="228">
        <v>255.15</v>
      </c>
      <c r="W165" s="228">
        <v>3.4</v>
      </c>
      <c r="X165" s="229">
        <v>1.3299999999999999E-2</v>
      </c>
      <c r="Y165" s="228">
        <v>-0.1</v>
      </c>
      <c r="Z165" s="228">
        <v>-0.15</v>
      </c>
      <c r="AA165" s="228">
        <v>0.05</v>
      </c>
      <c r="AB165" s="229">
        <v>-4.0000000000000002E-4</v>
      </c>
      <c r="AC165" s="228">
        <v>-0.1</v>
      </c>
      <c r="AD165" s="228">
        <v>-0.15</v>
      </c>
      <c r="AE165" s="228">
        <v>0.05</v>
      </c>
      <c r="AF165" s="229">
        <v>-4.0000000000000002E-4</v>
      </c>
      <c r="AG165" s="228">
        <v>-2.0499999999999998</v>
      </c>
      <c r="AH165" s="228">
        <v>-2.2000000000000002</v>
      </c>
      <c r="AI165" s="228">
        <v>0.15</v>
      </c>
      <c r="AJ165" s="229">
        <v>-7.9000000000000008E-3</v>
      </c>
      <c r="AK165" s="228">
        <v>-0.7</v>
      </c>
      <c r="AL165" s="228">
        <v>-0.65</v>
      </c>
      <c r="AM165" s="228">
        <v>-0.05</v>
      </c>
      <c r="AN165" s="229">
        <v>-2.7000000000000001E-3</v>
      </c>
      <c r="AO165" s="228">
        <v>257.29000000000002</v>
      </c>
      <c r="AP165" s="228">
        <v>255.24</v>
      </c>
      <c r="AQ165" s="228">
        <v>0</v>
      </c>
      <c r="AR165" s="230">
        <v>40179300</v>
      </c>
      <c r="AS165" s="230">
        <v>42436500</v>
      </c>
      <c r="AT165" s="230">
        <v>-2257200</v>
      </c>
      <c r="AU165" s="229">
        <v>-5.3199999999999997E-2</v>
      </c>
      <c r="AV165" s="230">
        <v>20888600</v>
      </c>
      <c r="AW165" s="230">
        <v>23981800</v>
      </c>
      <c r="AX165" s="230">
        <v>-3093200</v>
      </c>
      <c r="AY165" s="229">
        <v>-0.129</v>
      </c>
      <c r="AZ165" s="230">
        <v>19106400</v>
      </c>
      <c r="BA165" s="230">
        <v>18217200</v>
      </c>
      <c r="BB165" s="230">
        <v>889200</v>
      </c>
      <c r="BC165" s="229">
        <v>4.8800000000000003E-2</v>
      </c>
      <c r="BD165" s="230">
        <v>184300</v>
      </c>
      <c r="BE165" s="230">
        <v>237500</v>
      </c>
      <c r="BF165" s="230">
        <v>-53200</v>
      </c>
      <c r="BG165" s="229">
        <v>-0.224</v>
      </c>
      <c r="BH165" s="230">
        <v>26548700</v>
      </c>
      <c r="BI165" s="230">
        <v>47864800</v>
      </c>
      <c r="BJ165" s="230">
        <v>-21316100</v>
      </c>
      <c r="BK165" s="229">
        <v>-0.44529999999999997</v>
      </c>
      <c r="BL165" s="230">
        <v>13737000</v>
      </c>
      <c r="BM165" s="230">
        <v>28767900</v>
      </c>
      <c r="BN165" s="230">
        <v>-15030900</v>
      </c>
      <c r="BO165" s="229">
        <v>-0.52249999999999996</v>
      </c>
      <c r="BP165" s="230">
        <v>80465000</v>
      </c>
      <c r="BQ165" s="230">
        <v>119069200</v>
      </c>
      <c r="BR165" s="230">
        <v>-38604200</v>
      </c>
      <c r="BS165" s="229">
        <v>-0.32419999999999999</v>
      </c>
      <c r="BT165" s="230">
        <v>16447205</v>
      </c>
      <c r="BU165" s="230">
        <v>15056882</v>
      </c>
      <c r="BV165" s="230">
        <v>1390323</v>
      </c>
      <c r="BW165" s="229">
        <v>9.2299999999999993E-2</v>
      </c>
      <c r="BX165" s="230">
        <v>104743200</v>
      </c>
      <c r="BY165" s="230">
        <v>105332200</v>
      </c>
      <c r="BZ165" s="230">
        <v>-589000</v>
      </c>
      <c r="CA165" s="229">
        <v>-5.5999999999999999E-3</v>
      </c>
      <c r="CB165" s="230">
        <v>62538500</v>
      </c>
      <c r="CC165" s="230">
        <v>77191300</v>
      </c>
      <c r="CD165" s="230">
        <v>-14652800</v>
      </c>
      <c r="CE165" s="229">
        <v>-0.1898</v>
      </c>
      <c r="CF165" s="230">
        <v>40891800</v>
      </c>
      <c r="CG165" s="230">
        <v>26862200</v>
      </c>
      <c r="CH165" s="230">
        <v>14029600</v>
      </c>
      <c r="CI165" s="229">
        <v>0.52229999999999999</v>
      </c>
      <c r="CJ165" s="230">
        <v>1312900</v>
      </c>
      <c r="CK165" s="230">
        <v>1278700</v>
      </c>
      <c r="CL165" s="230">
        <v>34200</v>
      </c>
      <c r="CM165" s="229">
        <v>2.6700000000000002E-2</v>
      </c>
      <c r="CN165" s="230">
        <v>40869000</v>
      </c>
      <c r="CO165" s="230">
        <v>42045100</v>
      </c>
      <c r="CP165" s="230">
        <v>-1176100</v>
      </c>
      <c r="CQ165" s="229">
        <v>-2.8000000000000001E-2</v>
      </c>
      <c r="CR165" s="230">
        <v>25425800</v>
      </c>
      <c r="CS165" s="230">
        <v>25178800</v>
      </c>
      <c r="CT165" s="230">
        <v>247000</v>
      </c>
      <c r="CU165" s="229">
        <v>9.7999999999999997E-3</v>
      </c>
      <c r="CV165" s="230">
        <v>171038000</v>
      </c>
      <c r="CW165" s="230">
        <v>172556100</v>
      </c>
      <c r="CX165" s="230">
        <v>-1518100</v>
      </c>
      <c r="CY165" s="229">
        <v>-8.8000000000000005E-3</v>
      </c>
      <c r="CZ165" s="228">
        <v>23.85</v>
      </c>
      <c r="DA165" s="228">
        <v>20.5</v>
      </c>
      <c r="DB165" s="228">
        <v>3.35</v>
      </c>
      <c r="DC165" s="228">
        <v>3.35</v>
      </c>
      <c r="DD165" s="228">
        <v>27.09</v>
      </c>
      <c r="DE165" s="228">
        <v>27.09</v>
      </c>
      <c r="DF165" s="228">
        <v>-3.24</v>
      </c>
      <c r="DG165" s="228">
        <v>0</v>
      </c>
      <c r="DH165" s="228">
        <v>23.98</v>
      </c>
      <c r="DI165" s="228">
        <v>20.65</v>
      </c>
      <c r="DJ165" s="228">
        <v>3.33</v>
      </c>
      <c r="DK165" s="228">
        <v>3.33</v>
      </c>
      <c r="DL165" s="228">
        <v>23.66</v>
      </c>
      <c r="DM165" s="228">
        <v>20.25</v>
      </c>
      <c r="DN165" s="228">
        <v>3.41</v>
      </c>
      <c r="DO165" s="228">
        <v>3.41</v>
      </c>
      <c r="DP165" s="228">
        <v>0.62</v>
      </c>
      <c r="DQ165" s="228">
        <v>0.6</v>
      </c>
      <c r="DR165" s="228">
        <v>0.02</v>
      </c>
      <c r="DS165" s="229">
        <v>3.3300000000000003E-2</v>
      </c>
      <c r="DT165" s="228">
        <v>270</v>
      </c>
      <c r="DU165" s="228">
        <v>250</v>
      </c>
      <c r="DV165" s="228">
        <v>0.52</v>
      </c>
      <c r="DW165" s="228">
        <v>0.6</v>
      </c>
      <c r="DX165" s="228">
        <v>-0.08</v>
      </c>
      <c r="DY165" s="229">
        <v>-0.1333</v>
      </c>
      <c r="DZ165" s="229">
        <v>0.40289999999999998</v>
      </c>
      <c r="EA165" s="230">
        <v>28140900</v>
      </c>
      <c r="EB165" s="229">
        <v>-7.4999999999999997E-3</v>
      </c>
      <c r="EC165" s="229">
        <v>0.40289999999999998</v>
      </c>
      <c r="ED165" s="228">
        <v>-2.0499999999999998</v>
      </c>
      <c r="EE165" s="229">
        <v>-8.0000000000000002E-3</v>
      </c>
      <c r="EF165" s="230">
        <v>12016019</v>
      </c>
      <c r="EG165" s="230">
        <v>9532919</v>
      </c>
      <c r="EH165" s="229">
        <v>0.26050000000000001</v>
      </c>
      <c r="EI165" s="229">
        <v>0.73060000000000003</v>
      </c>
      <c r="EJ165" s="231">
        <v>70581.88</v>
      </c>
      <c r="EK165" s="231">
        <v>36018.07</v>
      </c>
      <c r="EL165" s="231">
        <v>102986.74</v>
      </c>
      <c r="EM165" s="231">
        <v>9205</v>
      </c>
      <c r="EN165" s="231">
        <v>209586.69</v>
      </c>
      <c r="EO165" s="231">
        <v>309224.01</v>
      </c>
      <c r="EP165" s="231">
        <v>-99637.32</v>
      </c>
      <c r="EQ165" s="229">
        <v>-0.32219999999999999</v>
      </c>
      <c r="ER165" s="231">
        <v>111700</v>
      </c>
      <c r="ES165" s="231">
        <v>66405</v>
      </c>
      <c r="ET165" s="231">
        <v>270637</v>
      </c>
      <c r="EU165" s="231">
        <v>678857930</v>
      </c>
      <c r="EV165" s="231">
        <v>448742</v>
      </c>
      <c r="EW165" s="231">
        <v>449353</v>
      </c>
      <c r="EX165" s="228">
        <v>-611</v>
      </c>
      <c r="EY165" s="229">
        <v>-1.4E-3</v>
      </c>
      <c r="EZ165" s="229">
        <v>0.25190000000000001</v>
      </c>
      <c r="FA165" s="227" t="s">
        <v>556</v>
      </c>
      <c r="FB165" s="161">
        <f t="shared" si="4"/>
        <v>0</v>
      </c>
    </row>
    <row r="166" spans="1:158" ht="17.25" thickBot="1" x14ac:dyDescent="0.3">
      <c r="A166" s="226">
        <v>46044</v>
      </c>
      <c r="B166" s="227" t="s">
        <v>184</v>
      </c>
      <c r="C166" s="227" t="s">
        <v>687</v>
      </c>
      <c r="D166" s="228">
        <v>50</v>
      </c>
      <c r="E166" s="231">
        <v>16841</v>
      </c>
      <c r="F166" s="231">
        <v>16685</v>
      </c>
      <c r="G166" s="228">
        <v>156</v>
      </c>
      <c r="H166" s="229">
        <v>9.2999999999999992E-3</v>
      </c>
      <c r="I166" s="231">
        <v>16847</v>
      </c>
      <c r="J166" s="231">
        <v>16689</v>
      </c>
      <c r="K166" s="228">
        <v>158</v>
      </c>
      <c r="L166" s="229">
        <v>9.4999999999999998E-3</v>
      </c>
      <c r="M166" s="231">
        <v>16841</v>
      </c>
      <c r="N166" s="231">
        <v>16685</v>
      </c>
      <c r="O166" s="228">
        <v>156</v>
      </c>
      <c r="P166" s="229">
        <v>9.2999999999999992E-3</v>
      </c>
      <c r="Q166" s="231">
        <v>16919</v>
      </c>
      <c r="R166" s="231">
        <v>16765</v>
      </c>
      <c r="S166" s="228">
        <v>154</v>
      </c>
      <c r="T166" s="229">
        <v>9.1999999999999998E-3</v>
      </c>
      <c r="U166" s="231">
        <v>16964</v>
      </c>
      <c r="V166" s="231">
        <v>16870</v>
      </c>
      <c r="W166" s="228">
        <v>94</v>
      </c>
      <c r="X166" s="229">
        <v>5.5999999999999999E-3</v>
      </c>
      <c r="Y166" s="228">
        <v>-6</v>
      </c>
      <c r="Z166" s="228">
        <v>-4</v>
      </c>
      <c r="AA166" s="228">
        <v>-2</v>
      </c>
      <c r="AB166" s="229">
        <v>-4.0000000000000002E-4</v>
      </c>
      <c r="AC166" s="228">
        <v>-6</v>
      </c>
      <c r="AD166" s="228">
        <v>-4</v>
      </c>
      <c r="AE166" s="228">
        <v>-2</v>
      </c>
      <c r="AF166" s="229">
        <v>-4.0000000000000002E-4</v>
      </c>
      <c r="AG166" s="228">
        <v>72</v>
      </c>
      <c r="AH166" s="228">
        <v>76</v>
      </c>
      <c r="AI166" s="228">
        <v>-4</v>
      </c>
      <c r="AJ166" s="229">
        <v>4.3E-3</v>
      </c>
      <c r="AK166" s="228">
        <v>117</v>
      </c>
      <c r="AL166" s="228">
        <v>181</v>
      </c>
      <c r="AM166" s="228">
        <v>-64</v>
      </c>
      <c r="AN166" s="229">
        <v>6.8999999999999999E-3</v>
      </c>
      <c r="AO166" s="231">
        <v>16876.38</v>
      </c>
      <c r="AP166" s="231">
        <v>16957.78</v>
      </c>
      <c r="AQ166" s="228">
        <v>0</v>
      </c>
      <c r="AR166" s="230">
        <v>271250</v>
      </c>
      <c r="AS166" s="230">
        <v>222800</v>
      </c>
      <c r="AT166" s="230">
        <v>48450</v>
      </c>
      <c r="AU166" s="229">
        <v>0.2175</v>
      </c>
      <c r="AV166" s="230">
        <v>147400</v>
      </c>
      <c r="AW166" s="230">
        <v>138000</v>
      </c>
      <c r="AX166" s="230">
        <v>9400</v>
      </c>
      <c r="AY166" s="229">
        <v>6.8099999999999994E-2</v>
      </c>
      <c r="AZ166" s="230">
        <v>123350</v>
      </c>
      <c r="BA166" s="230">
        <v>83400</v>
      </c>
      <c r="BB166" s="230">
        <v>39950</v>
      </c>
      <c r="BC166" s="229">
        <v>0.47899999999999998</v>
      </c>
      <c r="BD166" s="228">
        <v>500</v>
      </c>
      <c r="BE166" s="230">
        <v>1400</v>
      </c>
      <c r="BF166" s="228">
        <v>-900</v>
      </c>
      <c r="BG166" s="229">
        <v>-0.64290000000000003</v>
      </c>
      <c r="BH166" s="230">
        <v>563800</v>
      </c>
      <c r="BI166" s="230">
        <v>784200</v>
      </c>
      <c r="BJ166" s="230">
        <v>-220400</v>
      </c>
      <c r="BK166" s="229">
        <v>-0.28110000000000002</v>
      </c>
      <c r="BL166" s="230">
        <v>163500</v>
      </c>
      <c r="BM166" s="230">
        <v>250600</v>
      </c>
      <c r="BN166" s="230">
        <v>-87100</v>
      </c>
      <c r="BO166" s="229">
        <v>-0.34760000000000002</v>
      </c>
      <c r="BP166" s="230">
        <v>998550</v>
      </c>
      <c r="BQ166" s="230">
        <v>1257600</v>
      </c>
      <c r="BR166" s="230">
        <v>-259050</v>
      </c>
      <c r="BS166" s="229">
        <v>-0.20599999999999999</v>
      </c>
      <c r="BT166" s="230">
        <v>119375</v>
      </c>
      <c r="BU166" s="230">
        <v>154841</v>
      </c>
      <c r="BV166" s="230">
        <v>-35466</v>
      </c>
      <c r="BW166" s="229">
        <v>-0.22900000000000001</v>
      </c>
      <c r="BX166" s="230">
        <v>382300</v>
      </c>
      <c r="BY166" s="230">
        <v>398850</v>
      </c>
      <c r="BZ166" s="230">
        <v>-16550</v>
      </c>
      <c r="CA166" s="229">
        <v>-4.1500000000000002E-2</v>
      </c>
      <c r="CB166" s="230">
        <v>212300</v>
      </c>
      <c r="CC166" s="230">
        <v>303400</v>
      </c>
      <c r="CD166" s="230">
        <v>-91100</v>
      </c>
      <c r="CE166" s="229">
        <v>-0.30030000000000001</v>
      </c>
      <c r="CF166" s="230">
        <v>166250</v>
      </c>
      <c r="CG166" s="230">
        <v>92050</v>
      </c>
      <c r="CH166" s="230">
        <v>74200</v>
      </c>
      <c r="CI166" s="229">
        <v>0.80610000000000004</v>
      </c>
      <c r="CJ166" s="230">
        <v>3750</v>
      </c>
      <c r="CK166" s="230">
        <v>3400</v>
      </c>
      <c r="CL166" s="228">
        <v>350</v>
      </c>
      <c r="CM166" s="229">
        <v>0.10290000000000001</v>
      </c>
      <c r="CN166" s="230">
        <v>293550</v>
      </c>
      <c r="CO166" s="230">
        <v>337400</v>
      </c>
      <c r="CP166" s="230">
        <v>-43850</v>
      </c>
      <c r="CQ166" s="229">
        <v>-0.13</v>
      </c>
      <c r="CR166" s="230">
        <v>172100</v>
      </c>
      <c r="CS166" s="230">
        <v>179900</v>
      </c>
      <c r="CT166" s="230">
        <v>-7800</v>
      </c>
      <c r="CU166" s="229">
        <v>-4.3400000000000001E-2</v>
      </c>
      <c r="CV166" s="230">
        <v>847950</v>
      </c>
      <c r="CW166" s="230">
        <v>916150</v>
      </c>
      <c r="CX166" s="230">
        <v>-68200</v>
      </c>
      <c r="CY166" s="229">
        <v>-7.4399999999999994E-2</v>
      </c>
      <c r="CZ166" s="228">
        <v>42.36</v>
      </c>
      <c r="DA166" s="228">
        <v>45.83</v>
      </c>
      <c r="DB166" s="228">
        <v>-3.47</v>
      </c>
      <c r="DC166" s="228">
        <v>-3.47</v>
      </c>
      <c r="DD166" s="228">
        <v>57.3</v>
      </c>
      <c r="DE166" s="228">
        <v>57.43</v>
      </c>
      <c r="DF166" s="228">
        <v>-14.94</v>
      </c>
      <c r="DG166" s="228">
        <v>-0.13</v>
      </c>
      <c r="DH166" s="228">
        <v>42.39</v>
      </c>
      <c r="DI166" s="228">
        <v>47.04</v>
      </c>
      <c r="DJ166" s="228">
        <v>-4.6500000000000004</v>
      </c>
      <c r="DK166" s="228">
        <v>-4.6500000000000004</v>
      </c>
      <c r="DL166" s="228">
        <v>42.32</v>
      </c>
      <c r="DM166" s="228">
        <v>42.04</v>
      </c>
      <c r="DN166" s="228">
        <v>0.28000000000000003</v>
      </c>
      <c r="DO166" s="228">
        <v>0.28000000000000003</v>
      </c>
      <c r="DP166" s="228">
        <v>0.59</v>
      </c>
      <c r="DQ166" s="228">
        <v>0.53</v>
      </c>
      <c r="DR166" s="228">
        <v>0.06</v>
      </c>
      <c r="DS166" s="229">
        <v>0.1132</v>
      </c>
      <c r="DT166" s="231">
        <v>18000</v>
      </c>
      <c r="DU166" s="231">
        <v>15500</v>
      </c>
      <c r="DV166" s="228">
        <v>0.28999999999999998</v>
      </c>
      <c r="DW166" s="228">
        <v>0.32</v>
      </c>
      <c r="DX166" s="228">
        <v>-0.03</v>
      </c>
      <c r="DY166" s="229">
        <v>-9.3799999999999994E-2</v>
      </c>
      <c r="DZ166" s="229">
        <v>0.44469999999999998</v>
      </c>
      <c r="EA166" s="230">
        <v>95450</v>
      </c>
      <c r="EB166" s="229">
        <v>4.5999999999999999E-3</v>
      </c>
      <c r="EC166" s="229">
        <v>0.44469999999999998</v>
      </c>
      <c r="ED166" s="228">
        <v>81.400000000000006</v>
      </c>
      <c r="EE166" s="229">
        <v>4.7999999999999996E-3</v>
      </c>
      <c r="EF166" s="230">
        <v>43581</v>
      </c>
      <c r="EG166" s="230">
        <v>39729</v>
      </c>
      <c r="EH166" s="229">
        <v>9.7000000000000003E-2</v>
      </c>
      <c r="EI166" s="229">
        <v>0.36509999999999998</v>
      </c>
      <c r="EJ166" s="231">
        <v>103579.31</v>
      </c>
      <c r="EK166" s="231">
        <v>26607.78</v>
      </c>
      <c r="EL166" s="231">
        <v>45878.51</v>
      </c>
      <c r="EM166" s="231">
        <v>3924</v>
      </c>
      <c r="EN166" s="231">
        <v>176065.6</v>
      </c>
      <c r="EO166" s="231">
        <v>223932.16</v>
      </c>
      <c r="EP166" s="231">
        <v>-47866.559999999998</v>
      </c>
      <c r="EQ166" s="229">
        <v>-0.21379999999999999</v>
      </c>
      <c r="ER166" s="231">
        <v>55496</v>
      </c>
      <c r="ES166" s="231">
        <v>28693</v>
      </c>
      <c r="ET166" s="231">
        <v>64517</v>
      </c>
      <c r="EU166" s="231">
        <v>1917916</v>
      </c>
      <c r="EV166" s="231">
        <v>148706</v>
      </c>
      <c r="EW166" s="231">
        <v>160446</v>
      </c>
      <c r="EX166" s="231">
        <v>-11740</v>
      </c>
      <c r="EY166" s="229">
        <v>-7.3200000000000001E-2</v>
      </c>
      <c r="EZ166" s="229">
        <v>0.44209999999999999</v>
      </c>
      <c r="FA166" s="227" t="s">
        <v>556</v>
      </c>
      <c r="FB166" s="161">
        <f t="shared" si="4"/>
        <v>0</v>
      </c>
    </row>
    <row r="167" spans="1:158" ht="17.25" thickBot="1" x14ac:dyDescent="0.3">
      <c r="A167" s="226">
        <v>46044</v>
      </c>
      <c r="B167" s="227" t="s">
        <v>170</v>
      </c>
      <c r="C167" s="227" t="s">
        <v>678</v>
      </c>
      <c r="D167" s="228">
        <v>2625</v>
      </c>
      <c r="E167" s="228">
        <v>156.82</v>
      </c>
      <c r="F167" s="228">
        <v>155.16999999999999</v>
      </c>
      <c r="G167" s="228">
        <v>1.65</v>
      </c>
      <c r="H167" s="229">
        <v>1.06E-2</v>
      </c>
      <c r="I167" s="228">
        <v>156.5</v>
      </c>
      <c r="J167" s="228">
        <v>155.11000000000001</v>
      </c>
      <c r="K167" s="228">
        <v>1.39</v>
      </c>
      <c r="L167" s="229">
        <v>8.9999999999999993E-3</v>
      </c>
      <c r="M167" s="228">
        <v>156.82</v>
      </c>
      <c r="N167" s="228">
        <v>155.16999999999999</v>
      </c>
      <c r="O167" s="228">
        <v>1.65</v>
      </c>
      <c r="P167" s="229">
        <v>1.06E-2</v>
      </c>
      <c r="Q167" s="228">
        <v>157.19</v>
      </c>
      <c r="R167" s="228">
        <v>155.52000000000001</v>
      </c>
      <c r="S167" s="228">
        <v>1.67</v>
      </c>
      <c r="T167" s="229">
        <v>1.0699999999999999E-2</v>
      </c>
      <c r="U167" s="228">
        <v>157.82</v>
      </c>
      <c r="V167" s="228">
        <v>156.47</v>
      </c>
      <c r="W167" s="228">
        <v>1.35</v>
      </c>
      <c r="X167" s="229">
        <v>8.6E-3</v>
      </c>
      <c r="Y167" s="228">
        <v>0.32</v>
      </c>
      <c r="Z167" s="228">
        <v>0.06</v>
      </c>
      <c r="AA167" s="228">
        <v>0.26</v>
      </c>
      <c r="AB167" s="229">
        <v>2E-3</v>
      </c>
      <c r="AC167" s="228">
        <v>0.32</v>
      </c>
      <c r="AD167" s="228">
        <v>0.06</v>
      </c>
      <c r="AE167" s="228">
        <v>0.26</v>
      </c>
      <c r="AF167" s="229">
        <v>2E-3</v>
      </c>
      <c r="AG167" s="228">
        <v>0.69</v>
      </c>
      <c r="AH167" s="228">
        <v>0.41</v>
      </c>
      <c r="AI167" s="228">
        <v>0.28000000000000003</v>
      </c>
      <c r="AJ167" s="229">
        <v>4.4000000000000003E-3</v>
      </c>
      <c r="AK167" s="228">
        <v>1.32</v>
      </c>
      <c r="AL167" s="228">
        <v>1.36</v>
      </c>
      <c r="AM167" s="228">
        <v>-0.04</v>
      </c>
      <c r="AN167" s="229">
        <v>8.3999999999999995E-3</v>
      </c>
      <c r="AO167" s="228">
        <v>157.02000000000001</v>
      </c>
      <c r="AP167" s="228">
        <v>157.34</v>
      </c>
      <c r="AQ167" s="228">
        <v>0</v>
      </c>
      <c r="AR167" s="230">
        <v>19653375</v>
      </c>
      <c r="AS167" s="230">
        <v>21567000</v>
      </c>
      <c r="AT167" s="230">
        <v>-1913625</v>
      </c>
      <c r="AU167" s="229">
        <v>-8.8700000000000001E-2</v>
      </c>
      <c r="AV167" s="230">
        <v>9744000</v>
      </c>
      <c r="AW167" s="230">
        <v>11573625</v>
      </c>
      <c r="AX167" s="230">
        <v>-1829625</v>
      </c>
      <c r="AY167" s="229">
        <v>-0.15809999999999999</v>
      </c>
      <c r="AZ167" s="230">
        <v>9681000</v>
      </c>
      <c r="BA167" s="230">
        <v>9581250</v>
      </c>
      <c r="BB167" s="230">
        <v>99750</v>
      </c>
      <c r="BC167" s="229">
        <v>1.04E-2</v>
      </c>
      <c r="BD167" s="230">
        <v>228375</v>
      </c>
      <c r="BE167" s="230">
        <v>412125</v>
      </c>
      <c r="BF167" s="230">
        <v>-183750</v>
      </c>
      <c r="BG167" s="229">
        <v>-0.44590000000000002</v>
      </c>
      <c r="BH167" s="230">
        <v>8930250</v>
      </c>
      <c r="BI167" s="230">
        <v>13392750</v>
      </c>
      <c r="BJ167" s="230">
        <v>-4462500</v>
      </c>
      <c r="BK167" s="229">
        <v>-0.3332</v>
      </c>
      <c r="BL167" s="230">
        <v>3814125</v>
      </c>
      <c r="BM167" s="230">
        <v>10072125</v>
      </c>
      <c r="BN167" s="230">
        <v>-6258000</v>
      </c>
      <c r="BO167" s="229">
        <v>-0.62129999999999996</v>
      </c>
      <c r="BP167" s="230">
        <v>32397750</v>
      </c>
      <c r="BQ167" s="230">
        <v>45031875</v>
      </c>
      <c r="BR167" s="230">
        <v>-12634125</v>
      </c>
      <c r="BS167" s="229">
        <v>-0.28060000000000002</v>
      </c>
      <c r="BT167" s="230">
        <v>2087397</v>
      </c>
      <c r="BU167" s="230">
        <v>3537163</v>
      </c>
      <c r="BV167" s="230">
        <v>-1449766</v>
      </c>
      <c r="BW167" s="229">
        <v>-0.40989999999999999</v>
      </c>
      <c r="BX167" s="230">
        <v>24885000</v>
      </c>
      <c r="BY167" s="230">
        <v>26029500</v>
      </c>
      <c r="BZ167" s="230">
        <v>-1144500</v>
      </c>
      <c r="CA167" s="229">
        <v>-4.3999999999999997E-2</v>
      </c>
      <c r="CB167" s="230">
        <v>12114375</v>
      </c>
      <c r="CC167" s="230">
        <v>18002250</v>
      </c>
      <c r="CD167" s="230">
        <v>-5887875</v>
      </c>
      <c r="CE167" s="229">
        <v>-0.3271</v>
      </c>
      <c r="CF167" s="230">
        <v>11983125</v>
      </c>
      <c r="CG167" s="230">
        <v>7355250</v>
      </c>
      <c r="CH167" s="230">
        <v>4627875</v>
      </c>
      <c r="CI167" s="229">
        <v>0.62919999999999998</v>
      </c>
      <c r="CJ167" s="230">
        <v>787500</v>
      </c>
      <c r="CK167" s="230">
        <v>672000</v>
      </c>
      <c r="CL167" s="230">
        <v>115500</v>
      </c>
      <c r="CM167" s="229">
        <v>0.1719</v>
      </c>
      <c r="CN167" s="230">
        <v>16498125</v>
      </c>
      <c r="CO167" s="230">
        <v>17653125</v>
      </c>
      <c r="CP167" s="230">
        <v>-1155000</v>
      </c>
      <c r="CQ167" s="229">
        <v>-6.54E-2</v>
      </c>
      <c r="CR167" s="230">
        <v>7071750</v>
      </c>
      <c r="CS167" s="230">
        <v>7074375</v>
      </c>
      <c r="CT167" s="230">
        <v>-2625</v>
      </c>
      <c r="CU167" s="229">
        <v>-4.0000000000000002E-4</v>
      </c>
      <c r="CV167" s="230">
        <v>48454875</v>
      </c>
      <c r="CW167" s="230">
        <v>50757000</v>
      </c>
      <c r="CX167" s="230">
        <v>-2302125</v>
      </c>
      <c r="CY167" s="229">
        <v>-4.5400000000000003E-2</v>
      </c>
      <c r="CZ167" s="228">
        <v>38.57</v>
      </c>
      <c r="DA167" s="228">
        <v>38.69</v>
      </c>
      <c r="DB167" s="228">
        <v>-0.12</v>
      </c>
      <c r="DC167" s="228">
        <v>-0.12</v>
      </c>
      <c r="DD167" s="228">
        <v>43.29</v>
      </c>
      <c r="DE167" s="228">
        <v>43.37</v>
      </c>
      <c r="DF167" s="228">
        <v>-4.72</v>
      </c>
      <c r="DG167" s="228">
        <v>-0.08</v>
      </c>
      <c r="DH167" s="228">
        <v>37.79</v>
      </c>
      <c r="DI167" s="228">
        <v>41.94</v>
      </c>
      <c r="DJ167" s="228">
        <v>-4.1500000000000004</v>
      </c>
      <c r="DK167" s="228">
        <v>-4.1500000000000004</v>
      </c>
      <c r="DL167" s="228">
        <v>39.159999999999997</v>
      </c>
      <c r="DM167" s="228">
        <v>34.380000000000003</v>
      </c>
      <c r="DN167" s="228">
        <v>4.78</v>
      </c>
      <c r="DO167" s="228">
        <v>4.78</v>
      </c>
      <c r="DP167" s="228">
        <v>0.43</v>
      </c>
      <c r="DQ167" s="228">
        <v>0.4</v>
      </c>
      <c r="DR167" s="228">
        <v>0.03</v>
      </c>
      <c r="DS167" s="229">
        <v>7.4999999999999997E-2</v>
      </c>
      <c r="DT167" s="228">
        <v>190</v>
      </c>
      <c r="DU167" s="228">
        <v>150</v>
      </c>
      <c r="DV167" s="228">
        <v>0.43</v>
      </c>
      <c r="DW167" s="228">
        <v>0.75</v>
      </c>
      <c r="DX167" s="228">
        <v>-0.32</v>
      </c>
      <c r="DY167" s="229">
        <v>-0.42670000000000002</v>
      </c>
      <c r="DZ167" s="229">
        <v>0.51319999999999999</v>
      </c>
      <c r="EA167" s="230">
        <v>8027250</v>
      </c>
      <c r="EB167" s="229">
        <v>2.3999999999999998E-3</v>
      </c>
      <c r="EC167" s="229">
        <v>0.51319999999999999</v>
      </c>
      <c r="ED167" s="228">
        <v>0.32</v>
      </c>
      <c r="EE167" s="229">
        <v>2E-3</v>
      </c>
      <c r="EF167" s="230">
        <v>907629</v>
      </c>
      <c r="EG167" s="230">
        <v>1079923</v>
      </c>
      <c r="EH167" s="229">
        <v>-0.1595</v>
      </c>
      <c r="EI167" s="229">
        <v>0.43480000000000002</v>
      </c>
      <c r="EJ167" s="231">
        <v>15466.88</v>
      </c>
      <c r="EK167" s="231">
        <v>6430.31</v>
      </c>
      <c r="EL167" s="231">
        <v>30892.45</v>
      </c>
      <c r="EM167" s="231">
        <v>3791</v>
      </c>
      <c r="EN167" s="231">
        <v>52789.64</v>
      </c>
      <c r="EO167" s="231">
        <v>72615.990000000005</v>
      </c>
      <c r="EP167" s="231">
        <v>-19826.349999999999</v>
      </c>
      <c r="EQ167" s="229">
        <v>-0.27300000000000002</v>
      </c>
      <c r="ER167" s="231">
        <v>29856</v>
      </c>
      <c r="ES167" s="231">
        <v>11866</v>
      </c>
      <c r="ET167" s="231">
        <v>39077</v>
      </c>
      <c r="EU167" s="231">
        <v>107697729</v>
      </c>
      <c r="EV167" s="231">
        <v>80799</v>
      </c>
      <c r="EW167" s="231">
        <v>84366</v>
      </c>
      <c r="EX167" s="231">
        <v>-3567</v>
      </c>
      <c r="EY167" s="229">
        <v>-4.2299999999999997E-2</v>
      </c>
      <c r="EZ167" s="229">
        <v>0.44990000000000002</v>
      </c>
      <c r="FA167" s="227" t="s">
        <v>556</v>
      </c>
      <c r="FB167" s="161">
        <f t="shared" si="4"/>
        <v>0</v>
      </c>
    </row>
    <row r="168" spans="1:158" ht="17.25" thickBot="1" x14ac:dyDescent="0.3">
      <c r="A168" s="226">
        <v>46044</v>
      </c>
      <c r="B168" s="227" t="s">
        <v>184</v>
      </c>
      <c r="C168" s="227" t="s">
        <v>690</v>
      </c>
      <c r="D168" s="228">
        <v>575</v>
      </c>
      <c r="E168" s="228">
        <v>742.5</v>
      </c>
      <c r="F168" s="228">
        <v>714.1</v>
      </c>
      <c r="G168" s="228">
        <v>28.4</v>
      </c>
      <c r="H168" s="229">
        <v>3.9800000000000002E-2</v>
      </c>
      <c r="I168" s="228">
        <v>739.75</v>
      </c>
      <c r="J168" s="228">
        <v>711.2</v>
      </c>
      <c r="K168" s="228">
        <v>28.55</v>
      </c>
      <c r="L168" s="229">
        <v>4.0099999999999997E-2</v>
      </c>
      <c r="M168" s="228">
        <v>742.5</v>
      </c>
      <c r="N168" s="228">
        <v>714.1</v>
      </c>
      <c r="O168" s="228">
        <v>28.4</v>
      </c>
      <c r="P168" s="229">
        <v>3.9800000000000002E-2</v>
      </c>
      <c r="Q168" s="228">
        <v>741.1</v>
      </c>
      <c r="R168" s="228">
        <v>710.5</v>
      </c>
      <c r="S168" s="228">
        <v>30.6</v>
      </c>
      <c r="T168" s="229">
        <v>4.3099999999999999E-2</v>
      </c>
      <c r="U168" s="228">
        <v>743.45</v>
      </c>
      <c r="V168" s="228">
        <v>710.25</v>
      </c>
      <c r="W168" s="228">
        <v>33.200000000000003</v>
      </c>
      <c r="X168" s="229">
        <v>4.6699999999999998E-2</v>
      </c>
      <c r="Y168" s="228">
        <v>2.75</v>
      </c>
      <c r="Z168" s="228">
        <v>2.9</v>
      </c>
      <c r="AA168" s="228">
        <v>-0.15</v>
      </c>
      <c r="AB168" s="229">
        <v>3.7000000000000002E-3</v>
      </c>
      <c r="AC168" s="228">
        <v>2.75</v>
      </c>
      <c r="AD168" s="228">
        <v>2.9</v>
      </c>
      <c r="AE168" s="228">
        <v>-0.15</v>
      </c>
      <c r="AF168" s="229">
        <v>3.7000000000000002E-3</v>
      </c>
      <c r="AG168" s="228">
        <v>1.35</v>
      </c>
      <c r="AH168" s="228">
        <v>-0.7</v>
      </c>
      <c r="AI168" s="228">
        <v>2.0499999999999998</v>
      </c>
      <c r="AJ168" s="229">
        <v>1.8E-3</v>
      </c>
      <c r="AK168" s="228">
        <v>3.7</v>
      </c>
      <c r="AL168" s="228">
        <v>-0.95</v>
      </c>
      <c r="AM168" s="228">
        <v>4.6500000000000004</v>
      </c>
      <c r="AN168" s="229">
        <v>5.0000000000000001E-3</v>
      </c>
      <c r="AO168" s="228">
        <v>737.38</v>
      </c>
      <c r="AP168" s="228">
        <v>732.03</v>
      </c>
      <c r="AQ168" s="228">
        <v>0</v>
      </c>
      <c r="AR168" s="230">
        <v>9280500</v>
      </c>
      <c r="AS168" s="230">
        <v>3205050</v>
      </c>
      <c r="AT168" s="230">
        <v>6075450</v>
      </c>
      <c r="AU168" s="229">
        <v>1.8956</v>
      </c>
      <c r="AV168" s="230">
        <v>5088175</v>
      </c>
      <c r="AW168" s="230">
        <v>1730750</v>
      </c>
      <c r="AX168" s="230">
        <v>3357425</v>
      </c>
      <c r="AY168" s="229">
        <v>1.9399</v>
      </c>
      <c r="AZ168" s="230">
        <v>4154950</v>
      </c>
      <c r="BA168" s="230">
        <v>1451875</v>
      </c>
      <c r="BB168" s="230">
        <v>2703075</v>
      </c>
      <c r="BC168" s="229">
        <v>1.8617999999999999</v>
      </c>
      <c r="BD168" s="230">
        <v>37375</v>
      </c>
      <c r="BE168" s="230">
        <v>22425</v>
      </c>
      <c r="BF168" s="230">
        <v>14950</v>
      </c>
      <c r="BG168" s="229">
        <v>0.66669999999999996</v>
      </c>
      <c r="BH168" s="230">
        <v>16366225</v>
      </c>
      <c r="BI168" s="230">
        <v>2521950</v>
      </c>
      <c r="BJ168" s="230">
        <v>13844275</v>
      </c>
      <c r="BK168" s="229">
        <v>5.4894999999999996</v>
      </c>
      <c r="BL168" s="230">
        <v>7261675</v>
      </c>
      <c r="BM168" s="230">
        <v>2840500</v>
      </c>
      <c r="BN168" s="230">
        <v>4421175</v>
      </c>
      <c r="BO168" s="229">
        <v>1.5565</v>
      </c>
      <c r="BP168" s="230">
        <v>32908400</v>
      </c>
      <c r="BQ168" s="230">
        <v>8567500</v>
      </c>
      <c r="BR168" s="230">
        <v>24340900</v>
      </c>
      <c r="BS168" s="229">
        <v>2.8411</v>
      </c>
      <c r="BT168" s="230">
        <v>4916795</v>
      </c>
      <c r="BU168" s="230">
        <v>1673249</v>
      </c>
      <c r="BV168" s="230">
        <v>3243546</v>
      </c>
      <c r="BW168" s="229">
        <v>1.9384999999999999</v>
      </c>
      <c r="BX168" s="230">
        <v>6271525</v>
      </c>
      <c r="BY168" s="230">
        <v>5986325</v>
      </c>
      <c r="BZ168" s="230">
        <v>285200</v>
      </c>
      <c r="CA168" s="229">
        <v>4.7600000000000003E-2</v>
      </c>
      <c r="CB168" s="230">
        <v>3344775</v>
      </c>
      <c r="CC168" s="230">
        <v>4307325</v>
      </c>
      <c r="CD168" s="230">
        <v>-962550</v>
      </c>
      <c r="CE168" s="229">
        <v>-0.2235</v>
      </c>
      <c r="CF168" s="230">
        <v>2790475</v>
      </c>
      <c r="CG168" s="230">
        <v>1547900</v>
      </c>
      <c r="CH168" s="230">
        <v>1242575</v>
      </c>
      <c r="CI168" s="229">
        <v>0.80269999999999997</v>
      </c>
      <c r="CJ168" s="230">
        <v>136275</v>
      </c>
      <c r="CK168" s="230">
        <v>131100</v>
      </c>
      <c r="CL168" s="230">
        <v>5175</v>
      </c>
      <c r="CM168" s="229">
        <v>3.95E-2</v>
      </c>
      <c r="CN168" s="230">
        <v>4905900</v>
      </c>
      <c r="CO168" s="230">
        <v>4171050</v>
      </c>
      <c r="CP168" s="230">
        <v>734850</v>
      </c>
      <c r="CQ168" s="229">
        <v>0.1762</v>
      </c>
      <c r="CR168" s="230">
        <v>2579450</v>
      </c>
      <c r="CS168" s="230">
        <v>2528850</v>
      </c>
      <c r="CT168" s="230">
        <v>50600</v>
      </c>
      <c r="CU168" s="229">
        <v>0.02</v>
      </c>
      <c r="CV168" s="230">
        <v>13756875</v>
      </c>
      <c r="CW168" s="230">
        <v>12686225</v>
      </c>
      <c r="CX168" s="230">
        <v>1070650</v>
      </c>
      <c r="CY168" s="229">
        <v>8.4400000000000003E-2</v>
      </c>
      <c r="CZ168" s="228">
        <v>50.87</v>
      </c>
      <c r="DA168" s="228">
        <v>52.29</v>
      </c>
      <c r="DB168" s="228">
        <v>-1.42</v>
      </c>
      <c r="DC168" s="228">
        <v>-1.42</v>
      </c>
      <c r="DD168" s="228">
        <v>45.93</v>
      </c>
      <c r="DE168" s="228">
        <v>45.74</v>
      </c>
      <c r="DF168" s="228">
        <v>4.9400000000000004</v>
      </c>
      <c r="DG168" s="228">
        <v>0.19</v>
      </c>
      <c r="DH168" s="228">
        <v>51.09</v>
      </c>
      <c r="DI168" s="228">
        <v>53.16</v>
      </c>
      <c r="DJ168" s="228">
        <v>-2.0699999999999998</v>
      </c>
      <c r="DK168" s="228">
        <v>-2.0699999999999998</v>
      </c>
      <c r="DL168" s="228">
        <v>50.05</v>
      </c>
      <c r="DM168" s="228">
        <v>51.51</v>
      </c>
      <c r="DN168" s="228">
        <v>-1.46</v>
      </c>
      <c r="DO168" s="228">
        <v>-1.46</v>
      </c>
      <c r="DP168" s="228">
        <v>0.53</v>
      </c>
      <c r="DQ168" s="228">
        <v>0.61</v>
      </c>
      <c r="DR168" s="228">
        <v>-0.08</v>
      </c>
      <c r="DS168" s="229">
        <v>-0.13109999999999999</v>
      </c>
      <c r="DT168" s="228">
        <v>800</v>
      </c>
      <c r="DU168" s="228">
        <v>700</v>
      </c>
      <c r="DV168" s="228">
        <v>0.44</v>
      </c>
      <c r="DW168" s="228">
        <v>1.1299999999999999</v>
      </c>
      <c r="DX168" s="228">
        <v>-0.69</v>
      </c>
      <c r="DY168" s="229">
        <v>-0.61060000000000003</v>
      </c>
      <c r="DZ168" s="229">
        <v>0.4667</v>
      </c>
      <c r="EA168" s="230">
        <v>1679000</v>
      </c>
      <c r="EB168" s="229">
        <v>-1.9E-3</v>
      </c>
      <c r="EC168" s="229">
        <v>0.4667</v>
      </c>
      <c r="ED168" s="228">
        <v>-5.35</v>
      </c>
      <c r="EE168" s="229">
        <v>-7.3000000000000001E-3</v>
      </c>
      <c r="EF168" s="230">
        <v>760988</v>
      </c>
      <c r="EG168" s="230">
        <v>539137</v>
      </c>
      <c r="EH168" s="229">
        <v>0.41149999999999998</v>
      </c>
      <c r="EI168" s="229">
        <v>0.15479999999999999</v>
      </c>
      <c r="EJ168" s="231">
        <v>127970.55</v>
      </c>
      <c r="EK168" s="231">
        <v>52462.58</v>
      </c>
      <c r="EL168" s="231">
        <v>68208.800000000003</v>
      </c>
      <c r="EM168" s="231">
        <v>3376</v>
      </c>
      <c r="EN168" s="231">
        <v>248641.93</v>
      </c>
      <c r="EO168" s="231">
        <v>63124.74</v>
      </c>
      <c r="EP168" s="231">
        <v>185517.19</v>
      </c>
      <c r="EQ168" s="229">
        <v>2.9388999999999998</v>
      </c>
      <c r="ER168" s="231">
        <v>39427</v>
      </c>
      <c r="ES168" s="231">
        <v>18544</v>
      </c>
      <c r="ET168" s="231">
        <v>46528</v>
      </c>
      <c r="EU168" s="231">
        <v>23923093</v>
      </c>
      <c r="EV168" s="231">
        <v>104499</v>
      </c>
      <c r="EW168" s="231">
        <v>94619</v>
      </c>
      <c r="EX168" s="231">
        <v>9880</v>
      </c>
      <c r="EY168" s="229">
        <v>0.10440000000000001</v>
      </c>
      <c r="EZ168" s="229">
        <v>0.57499999999999996</v>
      </c>
      <c r="FA168" s="227" t="s">
        <v>555</v>
      </c>
      <c r="FB168" s="161">
        <f t="shared" si="4"/>
        <v>0</v>
      </c>
    </row>
    <row r="169" spans="1:158" ht="17.25" thickBot="1" x14ac:dyDescent="0.3">
      <c r="A169" s="226">
        <v>46044</v>
      </c>
      <c r="B169" s="227" t="s">
        <v>206</v>
      </c>
      <c r="C169" s="227" t="s">
        <v>605</v>
      </c>
      <c r="D169" s="228">
        <v>450</v>
      </c>
      <c r="E169" s="231">
        <v>1422.6</v>
      </c>
      <c r="F169" s="231">
        <v>1438.1</v>
      </c>
      <c r="G169" s="228">
        <v>-15.5</v>
      </c>
      <c r="H169" s="229">
        <v>-1.0800000000000001E-2</v>
      </c>
      <c r="I169" s="231">
        <v>1422.6</v>
      </c>
      <c r="J169" s="231">
        <v>1439.1</v>
      </c>
      <c r="K169" s="228">
        <v>-16.5</v>
      </c>
      <c r="L169" s="229">
        <v>-1.15E-2</v>
      </c>
      <c r="M169" s="231">
        <v>1422.6</v>
      </c>
      <c r="N169" s="231">
        <v>1438.1</v>
      </c>
      <c r="O169" s="228">
        <v>-15.5</v>
      </c>
      <c r="P169" s="229">
        <v>-1.0800000000000001E-2</v>
      </c>
      <c r="Q169" s="231">
        <v>1428.7</v>
      </c>
      <c r="R169" s="231">
        <v>1447</v>
      </c>
      <c r="S169" s="228">
        <v>-18.3</v>
      </c>
      <c r="T169" s="229">
        <v>-1.26E-2</v>
      </c>
      <c r="U169" s="231">
        <v>1439.8</v>
      </c>
      <c r="V169" s="231">
        <v>1449</v>
      </c>
      <c r="W169" s="228">
        <v>-9.1999999999999993</v>
      </c>
      <c r="X169" s="229">
        <v>-6.3E-3</v>
      </c>
      <c r="Y169" s="228">
        <v>0</v>
      </c>
      <c r="Z169" s="228">
        <v>-1</v>
      </c>
      <c r="AA169" s="228">
        <v>1</v>
      </c>
      <c r="AB169" s="229">
        <v>0</v>
      </c>
      <c r="AC169" s="228">
        <v>0</v>
      </c>
      <c r="AD169" s="228">
        <v>-1</v>
      </c>
      <c r="AE169" s="228">
        <v>1</v>
      </c>
      <c r="AF169" s="229">
        <v>0</v>
      </c>
      <c r="AG169" s="228">
        <v>6.1</v>
      </c>
      <c r="AH169" s="228">
        <v>7.9</v>
      </c>
      <c r="AI169" s="228">
        <v>-1.8</v>
      </c>
      <c r="AJ169" s="229">
        <v>4.3E-3</v>
      </c>
      <c r="AK169" s="228">
        <v>17.2</v>
      </c>
      <c r="AL169" s="228">
        <v>9.9</v>
      </c>
      <c r="AM169" s="228">
        <v>7.3</v>
      </c>
      <c r="AN169" s="229">
        <v>1.21E-2</v>
      </c>
      <c r="AO169" s="231">
        <v>1424.85</v>
      </c>
      <c r="AP169" s="231">
        <v>1431.18</v>
      </c>
      <c r="AQ169" s="228">
        <v>0</v>
      </c>
      <c r="AR169" s="230">
        <v>3449250</v>
      </c>
      <c r="AS169" s="230">
        <v>3143250</v>
      </c>
      <c r="AT169" s="230">
        <v>306000</v>
      </c>
      <c r="AU169" s="229">
        <v>9.74E-2</v>
      </c>
      <c r="AV169" s="230">
        <v>1746000</v>
      </c>
      <c r="AW169" s="230">
        <v>1801350</v>
      </c>
      <c r="AX169" s="230">
        <v>-55350</v>
      </c>
      <c r="AY169" s="229">
        <v>-3.0700000000000002E-2</v>
      </c>
      <c r="AZ169" s="230">
        <v>1701000</v>
      </c>
      <c r="BA169" s="230">
        <v>1324350</v>
      </c>
      <c r="BB169" s="230">
        <v>376650</v>
      </c>
      <c r="BC169" s="229">
        <v>0.28439999999999999</v>
      </c>
      <c r="BD169" s="230">
        <v>2250</v>
      </c>
      <c r="BE169" s="230">
        <v>17550</v>
      </c>
      <c r="BF169" s="230">
        <v>-15300</v>
      </c>
      <c r="BG169" s="229">
        <v>-0.87180000000000002</v>
      </c>
      <c r="BH169" s="230">
        <v>2515500</v>
      </c>
      <c r="BI169" s="230">
        <v>3664800</v>
      </c>
      <c r="BJ169" s="230">
        <v>-1149300</v>
      </c>
      <c r="BK169" s="229">
        <v>-0.31359999999999999</v>
      </c>
      <c r="BL169" s="230">
        <v>961200</v>
      </c>
      <c r="BM169" s="230">
        <v>2414250</v>
      </c>
      <c r="BN169" s="230">
        <v>-1453050</v>
      </c>
      <c r="BO169" s="229">
        <v>-0.60189999999999999</v>
      </c>
      <c r="BP169" s="230">
        <v>6925950</v>
      </c>
      <c r="BQ169" s="230">
        <v>9222300</v>
      </c>
      <c r="BR169" s="230">
        <v>-2296350</v>
      </c>
      <c r="BS169" s="229">
        <v>-0.249</v>
      </c>
      <c r="BT169" s="230">
        <v>426757</v>
      </c>
      <c r="BU169" s="230">
        <v>1320295</v>
      </c>
      <c r="BV169" s="230">
        <v>-893538</v>
      </c>
      <c r="BW169" s="229">
        <v>-0.67679999999999996</v>
      </c>
      <c r="BX169" s="230">
        <v>4346550</v>
      </c>
      <c r="BY169" s="230">
        <v>4396500</v>
      </c>
      <c r="BZ169" s="230">
        <v>-49950</v>
      </c>
      <c r="CA169" s="229">
        <v>-1.14E-2</v>
      </c>
      <c r="CB169" s="230">
        <v>2220300</v>
      </c>
      <c r="CC169" s="230">
        <v>3348900</v>
      </c>
      <c r="CD169" s="230">
        <v>-1128600</v>
      </c>
      <c r="CE169" s="229">
        <v>-0.33700000000000002</v>
      </c>
      <c r="CF169" s="230">
        <v>2101500</v>
      </c>
      <c r="CG169" s="230">
        <v>1023300</v>
      </c>
      <c r="CH169" s="230">
        <v>1078200</v>
      </c>
      <c r="CI169" s="229">
        <v>1.0536000000000001</v>
      </c>
      <c r="CJ169" s="230">
        <v>24750</v>
      </c>
      <c r="CK169" s="230">
        <v>24300</v>
      </c>
      <c r="CL169" s="228">
        <v>450</v>
      </c>
      <c r="CM169" s="229">
        <v>1.8499999999999999E-2</v>
      </c>
      <c r="CN169" s="230">
        <v>2726100</v>
      </c>
      <c r="CO169" s="230">
        <v>2769750</v>
      </c>
      <c r="CP169" s="230">
        <v>-43650</v>
      </c>
      <c r="CQ169" s="229">
        <v>-1.5800000000000002E-2</v>
      </c>
      <c r="CR169" s="230">
        <v>1229850</v>
      </c>
      <c r="CS169" s="230">
        <v>1290150</v>
      </c>
      <c r="CT169" s="230">
        <v>-60300</v>
      </c>
      <c r="CU169" s="229">
        <v>-4.6699999999999998E-2</v>
      </c>
      <c r="CV169" s="230">
        <v>8302500</v>
      </c>
      <c r="CW169" s="230">
        <v>8456400</v>
      </c>
      <c r="CX169" s="230">
        <v>-153900</v>
      </c>
      <c r="CY169" s="229">
        <v>-1.8200000000000001E-2</v>
      </c>
      <c r="CZ169" s="228">
        <v>36.619999999999997</v>
      </c>
      <c r="DA169" s="228">
        <v>34.4</v>
      </c>
      <c r="DB169" s="228">
        <v>2.2200000000000002</v>
      </c>
      <c r="DC169" s="228">
        <v>2.2200000000000002</v>
      </c>
      <c r="DD169" s="228">
        <v>43.86</v>
      </c>
      <c r="DE169" s="228">
        <v>43.94</v>
      </c>
      <c r="DF169" s="228">
        <v>-7.24</v>
      </c>
      <c r="DG169" s="228">
        <v>-0.08</v>
      </c>
      <c r="DH169" s="228">
        <v>37.19</v>
      </c>
      <c r="DI169" s="228">
        <v>34.51</v>
      </c>
      <c r="DJ169" s="228">
        <v>2.68</v>
      </c>
      <c r="DK169" s="228">
        <v>2.68</v>
      </c>
      <c r="DL169" s="228">
        <v>36.19</v>
      </c>
      <c r="DM169" s="228">
        <v>34.22</v>
      </c>
      <c r="DN169" s="228">
        <v>1.97</v>
      </c>
      <c r="DO169" s="228">
        <v>1.97</v>
      </c>
      <c r="DP169" s="228">
        <v>0.45</v>
      </c>
      <c r="DQ169" s="228">
        <v>0.47</v>
      </c>
      <c r="DR169" s="228">
        <v>-0.02</v>
      </c>
      <c r="DS169" s="229">
        <v>-4.2599999999999999E-2</v>
      </c>
      <c r="DT169" s="231">
        <v>1540</v>
      </c>
      <c r="DU169" s="231">
        <v>1380</v>
      </c>
      <c r="DV169" s="228">
        <v>0.38</v>
      </c>
      <c r="DW169" s="228">
        <v>0.66</v>
      </c>
      <c r="DX169" s="228">
        <v>-0.28000000000000003</v>
      </c>
      <c r="DY169" s="229">
        <v>-0.42420000000000002</v>
      </c>
      <c r="DZ169" s="229">
        <v>0.48920000000000002</v>
      </c>
      <c r="EA169" s="230">
        <v>1047600</v>
      </c>
      <c r="EB169" s="229">
        <v>4.3E-3</v>
      </c>
      <c r="EC169" s="229">
        <v>0.48920000000000002</v>
      </c>
      <c r="ED169" s="228">
        <v>6.33</v>
      </c>
      <c r="EE169" s="229">
        <v>4.4000000000000003E-3</v>
      </c>
      <c r="EF169" s="230">
        <v>188842</v>
      </c>
      <c r="EG169" s="230">
        <v>562897</v>
      </c>
      <c r="EH169" s="229">
        <v>-0.66449999999999998</v>
      </c>
      <c r="EI169" s="229">
        <v>0.4425</v>
      </c>
      <c r="EJ169" s="231">
        <v>37889.120000000003</v>
      </c>
      <c r="EK169" s="231">
        <v>13780.75</v>
      </c>
      <c r="EL169" s="231">
        <v>49254.8</v>
      </c>
      <c r="EM169" s="231">
        <v>4317</v>
      </c>
      <c r="EN169" s="231">
        <v>100924.67</v>
      </c>
      <c r="EO169" s="231">
        <v>134440.62</v>
      </c>
      <c r="EP169" s="231">
        <v>-33515.949999999997</v>
      </c>
      <c r="EQ169" s="229">
        <v>-0.24929999999999999</v>
      </c>
      <c r="ER169" s="231">
        <v>42956</v>
      </c>
      <c r="ES169" s="231">
        <v>18083</v>
      </c>
      <c r="ET169" s="231">
        <v>61966</v>
      </c>
      <c r="EU169" s="231">
        <v>22697169</v>
      </c>
      <c r="EV169" s="231">
        <v>123005</v>
      </c>
      <c r="EW169" s="231">
        <v>126085</v>
      </c>
      <c r="EX169" s="231">
        <v>-3080</v>
      </c>
      <c r="EY169" s="229">
        <v>-2.4400000000000002E-2</v>
      </c>
      <c r="EZ169" s="229">
        <v>0.36580000000000001</v>
      </c>
      <c r="FA169" s="227" t="s">
        <v>568</v>
      </c>
      <c r="FB169" s="161">
        <f t="shared" si="4"/>
        <v>0</v>
      </c>
    </row>
    <row r="170" spans="1:158" ht="17.25" thickBot="1" x14ac:dyDescent="0.3">
      <c r="A170" s="226">
        <v>46044</v>
      </c>
      <c r="B170" s="227" t="s">
        <v>172</v>
      </c>
      <c r="C170" s="227" t="s">
        <v>279</v>
      </c>
      <c r="D170" s="228">
        <v>3175</v>
      </c>
      <c r="E170" s="228">
        <v>297</v>
      </c>
      <c r="F170" s="228">
        <v>297.75</v>
      </c>
      <c r="G170" s="228">
        <v>-0.75</v>
      </c>
      <c r="H170" s="229">
        <v>-2.5000000000000001E-3</v>
      </c>
      <c r="I170" s="228">
        <v>296.2</v>
      </c>
      <c r="J170" s="228">
        <v>297.5</v>
      </c>
      <c r="K170" s="228">
        <v>-1.3</v>
      </c>
      <c r="L170" s="229">
        <v>-4.4000000000000003E-3</v>
      </c>
      <c r="M170" s="228">
        <v>297</v>
      </c>
      <c r="N170" s="228">
        <v>297.75</v>
      </c>
      <c r="O170" s="228">
        <v>-0.75</v>
      </c>
      <c r="P170" s="229">
        <v>-2.5000000000000001E-3</v>
      </c>
      <c r="Q170" s="228">
        <v>298.39999999999998</v>
      </c>
      <c r="R170" s="228">
        <v>299.14999999999998</v>
      </c>
      <c r="S170" s="228">
        <v>-0.75</v>
      </c>
      <c r="T170" s="229">
        <v>-2.5000000000000001E-3</v>
      </c>
      <c r="U170" s="228">
        <v>300.60000000000002</v>
      </c>
      <c r="V170" s="228">
        <v>300.25</v>
      </c>
      <c r="W170" s="228">
        <v>0.35</v>
      </c>
      <c r="X170" s="229">
        <v>1.1999999999999999E-3</v>
      </c>
      <c r="Y170" s="228">
        <v>0.8</v>
      </c>
      <c r="Z170" s="228">
        <v>0.25</v>
      </c>
      <c r="AA170" s="228">
        <v>0.55000000000000004</v>
      </c>
      <c r="AB170" s="229">
        <v>2.7000000000000001E-3</v>
      </c>
      <c r="AC170" s="228">
        <v>0.8</v>
      </c>
      <c r="AD170" s="228">
        <v>0.25</v>
      </c>
      <c r="AE170" s="228">
        <v>0.55000000000000004</v>
      </c>
      <c r="AF170" s="229">
        <v>2.7000000000000001E-3</v>
      </c>
      <c r="AG170" s="228">
        <v>2.2000000000000002</v>
      </c>
      <c r="AH170" s="228">
        <v>1.65</v>
      </c>
      <c r="AI170" s="228">
        <v>0.55000000000000004</v>
      </c>
      <c r="AJ170" s="229">
        <v>7.4000000000000003E-3</v>
      </c>
      <c r="AK170" s="228">
        <v>4.4000000000000004</v>
      </c>
      <c r="AL170" s="228">
        <v>2.75</v>
      </c>
      <c r="AM170" s="228">
        <v>1.65</v>
      </c>
      <c r="AN170" s="229">
        <v>1.49E-2</v>
      </c>
      <c r="AO170" s="228">
        <v>298.13</v>
      </c>
      <c r="AP170" s="228">
        <v>299.49</v>
      </c>
      <c r="AQ170" s="228">
        <v>0</v>
      </c>
      <c r="AR170" s="230">
        <v>40408225</v>
      </c>
      <c r="AS170" s="230">
        <v>60553600</v>
      </c>
      <c r="AT170" s="230">
        <v>-20145375</v>
      </c>
      <c r="AU170" s="229">
        <v>-0.3327</v>
      </c>
      <c r="AV170" s="230">
        <v>20012025</v>
      </c>
      <c r="AW170" s="230">
        <v>36515675</v>
      </c>
      <c r="AX170" s="230">
        <v>-16503650</v>
      </c>
      <c r="AY170" s="229">
        <v>-0.45200000000000001</v>
      </c>
      <c r="AZ170" s="230">
        <v>20345400</v>
      </c>
      <c r="BA170" s="230">
        <v>23939500</v>
      </c>
      <c r="BB170" s="230">
        <v>-3594100</v>
      </c>
      <c r="BC170" s="229">
        <v>-0.15010000000000001</v>
      </c>
      <c r="BD170" s="230">
        <v>50800</v>
      </c>
      <c r="BE170" s="230">
        <v>98425</v>
      </c>
      <c r="BF170" s="230">
        <v>-47625</v>
      </c>
      <c r="BG170" s="229">
        <v>-0.4839</v>
      </c>
      <c r="BH170" s="230">
        <v>38855650</v>
      </c>
      <c r="BI170" s="230">
        <v>77844650</v>
      </c>
      <c r="BJ170" s="230">
        <v>-38989000</v>
      </c>
      <c r="BK170" s="229">
        <v>-0.50090000000000001</v>
      </c>
      <c r="BL170" s="230">
        <v>21805900</v>
      </c>
      <c r="BM170" s="230">
        <v>40020875</v>
      </c>
      <c r="BN170" s="230">
        <v>-18214975</v>
      </c>
      <c r="BO170" s="229">
        <v>-0.4551</v>
      </c>
      <c r="BP170" s="230">
        <v>101069775</v>
      </c>
      <c r="BQ170" s="230">
        <v>178419125</v>
      </c>
      <c r="BR170" s="230">
        <v>-77349350</v>
      </c>
      <c r="BS170" s="229">
        <v>-0.4335</v>
      </c>
      <c r="BT170" s="230">
        <v>4947019</v>
      </c>
      <c r="BU170" s="230">
        <v>15401681</v>
      </c>
      <c r="BV170" s="230">
        <v>-10454662</v>
      </c>
      <c r="BW170" s="229">
        <v>-0.67879999999999996</v>
      </c>
      <c r="BX170" s="230">
        <v>81054575</v>
      </c>
      <c r="BY170" s="230">
        <v>82099150</v>
      </c>
      <c r="BZ170" s="230">
        <v>-1044575</v>
      </c>
      <c r="CA170" s="229">
        <v>-1.2699999999999999E-2</v>
      </c>
      <c r="CB170" s="230">
        <v>42316400</v>
      </c>
      <c r="CC170" s="230">
        <v>55416450</v>
      </c>
      <c r="CD170" s="230">
        <v>-13100050</v>
      </c>
      <c r="CE170" s="229">
        <v>-0.2364</v>
      </c>
      <c r="CF170" s="230">
        <v>38468300</v>
      </c>
      <c r="CG170" s="230">
        <v>26428700</v>
      </c>
      <c r="CH170" s="230">
        <v>12039600</v>
      </c>
      <c r="CI170" s="229">
        <v>0.4556</v>
      </c>
      <c r="CJ170" s="230">
        <v>269875</v>
      </c>
      <c r="CK170" s="230">
        <v>254000</v>
      </c>
      <c r="CL170" s="230">
        <v>15875</v>
      </c>
      <c r="CM170" s="229">
        <v>6.25E-2</v>
      </c>
      <c r="CN170" s="230">
        <v>36842700</v>
      </c>
      <c r="CO170" s="230">
        <v>38665150</v>
      </c>
      <c r="CP170" s="230">
        <v>-1822450</v>
      </c>
      <c r="CQ170" s="229">
        <v>-4.7100000000000003E-2</v>
      </c>
      <c r="CR170" s="230">
        <v>22393275</v>
      </c>
      <c r="CS170" s="230">
        <v>23564850</v>
      </c>
      <c r="CT170" s="230">
        <v>-1171575</v>
      </c>
      <c r="CU170" s="229">
        <v>-4.9700000000000001E-2</v>
      </c>
      <c r="CV170" s="230">
        <v>140290550</v>
      </c>
      <c r="CW170" s="230">
        <v>144329150</v>
      </c>
      <c r="CX170" s="230">
        <v>-4038600</v>
      </c>
      <c r="CY170" s="229">
        <v>-2.8000000000000001E-2</v>
      </c>
      <c r="CZ170" s="228">
        <v>25.3</v>
      </c>
      <c r="DA170" s="228">
        <v>28.96</v>
      </c>
      <c r="DB170" s="228">
        <v>-3.66</v>
      </c>
      <c r="DC170" s="228">
        <v>-3.66</v>
      </c>
      <c r="DD170" s="228">
        <v>44.31</v>
      </c>
      <c r="DE170" s="228">
        <v>44.42</v>
      </c>
      <c r="DF170" s="228">
        <v>-19.010000000000002</v>
      </c>
      <c r="DG170" s="228">
        <v>-0.11</v>
      </c>
      <c r="DH170" s="228">
        <v>26.2</v>
      </c>
      <c r="DI170" s="228">
        <v>29.3</v>
      </c>
      <c r="DJ170" s="228">
        <v>-3.1</v>
      </c>
      <c r="DK170" s="228">
        <v>-3.1</v>
      </c>
      <c r="DL170" s="228">
        <v>23.71</v>
      </c>
      <c r="DM170" s="228">
        <v>28.29</v>
      </c>
      <c r="DN170" s="228">
        <v>-4.58</v>
      </c>
      <c r="DO170" s="228">
        <v>-4.58</v>
      </c>
      <c r="DP170" s="228">
        <v>0.61</v>
      </c>
      <c r="DQ170" s="228">
        <v>0.61</v>
      </c>
      <c r="DR170" s="228">
        <v>0</v>
      </c>
      <c r="DS170" s="229">
        <v>0</v>
      </c>
      <c r="DT170" s="228">
        <v>300</v>
      </c>
      <c r="DU170" s="228">
        <v>300</v>
      </c>
      <c r="DV170" s="228">
        <v>0.56000000000000005</v>
      </c>
      <c r="DW170" s="228">
        <v>0.51</v>
      </c>
      <c r="DX170" s="228">
        <v>0.05</v>
      </c>
      <c r="DY170" s="229">
        <v>9.8000000000000004E-2</v>
      </c>
      <c r="DZ170" s="229">
        <v>0.47789999999999999</v>
      </c>
      <c r="EA170" s="230">
        <v>26682700</v>
      </c>
      <c r="EB170" s="229">
        <v>4.7000000000000002E-3</v>
      </c>
      <c r="EC170" s="229">
        <v>0.47789999999999999</v>
      </c>
      <c r="ED170" s="228">
        <v>1.36</v>
      </c>
      <c r="EE170" s="229">
        <v>4.5999999999999999E-3</v>
      </c>
      <c r="EF170" s="230">
        <v>1879755</v>
      </c>
      <c r="EG170" s="230">
        <v>7778929</v>
      </c>
      <c r="EH170" s="229">
        <v>-0.75839999999999996</v>
      </c>
      <c r="EI170" s="229">
        <v>0.38</v>
      </c>
      <c r="EJ170" s="231">
        <v>120864.11</v>
      </c>
      <c r="EK170" s="231">
        <v>65019.03</v>
      </c>
      <c r="EL170" s="231">
        <v>120748.78</v>
      </c>
      <c r="EM170" s="231">
        <v>16773</v>
      </c>
      <c r="EN170" s="231">
        <v>306631.92</v>
      </c>
      <c r="EO170" s="231">
        <v>540074.75</v>
      </c>
      <c r="EP170" s="231">
        <v>-233442.83</v>
      </c>
      <c r="EQ170" s="229">
        <v>-0.43219999999999997</v>
      </c>
      <c r="ER170" s="231">
        <v>117080</v>
      </c>
      <c r="ES170" s="231">
        <v>66367</v>
      </c>
      <c r="ET170" s="231">
        <v>241280</v>
      </c>
      <c r="EU170" s="231">
        <v>91953095</v>
      </c>
      <c r="EV170" s="231">
        <v>424727</v>
      </c>
      <c r="EW170" s="231">
        <v>437521</v>
      </c>
      <c r="EX170" s="231">
        <v>-12794</v>
      </c>
      <c r="EY170" s="229">
        <v>-2.92E-2</v>
      </c>
      <c r="EZ170" s="229">
        <v>1.5257000000000001</v>
      </c>
      <c r="FA170" s="227" t="s">
        <v>568</v>
      </c>
      <c r="FB170" s="161">
        <f t="shared" si="4"/>
        <v>0</v>
      </c>
    </row>
    <row r="171" spans="1:158" ht="17.25" thickBot="1" x14ac:dyDescent="0.3">
      <c r="A171" s="226">
        <v>46044</v>
      </c>
      <c r="B171" s="227" t="s">
        <v>175</v>
      </c>
      <c r="C171" s="227" t="s">
        <v>280</v>
      </c>
      <c r="D171" s="228">
        <v>1400</v>
      </c>
      <c r="E171" s="228">
        <v>366</v>
      </c>
      <c r="F171" s="228">
        <v>355.5</v>
      </c>
      <c r="G171" s="228">
        <v>10.5</v>
      </c>
      <c r="H171" s="229">
        <v>2.9499999999999998E-2</v>
      </c>
      <c r="I171" s="228">
        <v>366.2</v>
      </c>
      <c r="J171" s="228">
        <v>355.8</v>
      </c>
      <c r="K171" s="228">
        <v>10.4</v>
      </c>
      <c r="L171" s="229">
        <v>2.92E-2</v>
      </c>
      <c r="M171" s="228">
        <v>366</v>
      </c>
      <c r="N171" s="228">
        <v>355.5</v>
      </c>
      <c r="O171" s="228">
        <v>10.5</v>
      </c>
      <c r="P171" s="229">
        <v>2.9499999999999998E-2</v>
      </c>
      <c r="Q171" s="228">
        <v>365.35</v>
      </c>
      <c r="R171" s="228">
        <v>354.7</v>
      </c>
      <c r="S171" s="228">
        <v>10.65</v>
      </c>
      <c r="T171" s="229">
        <v>0.03</v>
      </c>
      <c r="U171" s="228">
        <v>366.4</v>
      </c>
      <c r="V171" s="228">
        <v>355.25</v>
      </c>
      <c r="W171" s="228">
        <v>11.15</v>
      </c>
      <c r="X171" s="229">
        <v>3.1399999999999997E-2</v>
      </c>
      <c r="Y171" s="228">
        <v>-0.2</v>
      </c>
      <c r="Z171" s="228">
        <v>-0.3</v>
      </c>
      <c r="AA171" s="228">
        <v>0.1</v>
      </c>
      <c r="AB171" s="229">
        <v>-5.0000000000000001E-4</v>
      </c>
      <c r="AC171" s="228">
        <v>-0.2</v>
      </c>
      <c r="AD171" s="228">
        <v>-0.3</v>
      </c>
      <c r="AE171" s="228">
        <v>0.1</v>
      </c>
      <c r="AF171" s="229">
        <v>-5.0000000000000001E-4</v>
      </c>
      <c r="AG171" s="228">
        <v>-0.85</v>
      </c>
      <c r="AH171" s="228">
        <v>-1.1000000000000001</v>
      </c>
      <c r="AI171" s="228">
        <v>0.25</v>
      </c>
      <c r="AJ171" s="229">
        <v>-2.3E-3</v>
      </c>
      <c r="AK171" s="228">
        <v>0.2</v>
      </c>
      <c r="AL171" s="228">
        <v>-0.55000000000000004</v>
      </c>
      <c r="AM171" s="228">
        <v>0.75</v>
      </c>
      <c r="AN171" s="229">
        <v>5.0000000000000001E-4</v>
      </c>
      <c r="AO171" s="228">
        <v>365.18</v>
      </c>
      <c r="AP171" s="228">
        <v>364.5</v>
      </c>
      <c r="AQ171" s="228">
        <v>0</v>
      </c>
      <c r="AR171" s="230">
        <v>41034000</v>
      </c>
      <c r="AS171" s="230">
        <v>44609600</v>
      </c>
      <c r="AT171" s="230">
        <v>-3575600</v>
      </c>
      <c r="AU171" s="229">
        <v>-8.0199999999999994E-2</v>
      </c>
      <c r="AV171" s="230">
        <v>21327600</v>
      </c>
      <c r="AW171" s="230">
        <v>24101000</v>
      </c>
      <c r="AX171" s="230">
        <v>-2773400</v>
      </c>
      <c r="AY171" s="229">
        <v>-0.11509999999999999</v>
      </c>
      <c r="AZ171" s="230">
        <v>19237400</v>
      </c>
      <c r="BA171" s="230">
        <v>19749800</v>
      </c>
      <c r="BB171" s="230">
        <v>-512400</v>
      </c>
      <c r="BC171" s="229">
        <v>-2.5899999999999999E-2</v>
      </c>
      <c r="BD171" s="230">
        <v>469000</v>
      </c>
      <c r="BE171" s="230">
        <v>758800</v>
      </c>
      <c r="BF171" s="230">
        <v>-289800</v>
      </c>
      <c r="BG171" s="229">
        <v>-0.38190000000000002</v>
      </c>
      <c r="BH171" s="230">
        <v>56116200</v>
      </c>
      <c r="BI171" s="230">
        <v>62168400</v>
      </c>
      <c r="BJ171" s="230">
        <v>-6052200</v>
      </c>
      <c r="BK171" s="229">
        <v>-9.74E-2</v>
      </c>
      <c r="BL171" s="230">
        <v>44409400</v>
      </c>
      <c r="BM171" s="230">
        <v>44683800</v>
      </c>
      <c r="BN171" s="230">
        <v>-274400</v>
      </c>
      <c r="BO171" s="229">
        <v>-6.1000000000000004E-3</v>
      </c>
      <c r="BP171" s="230">
        <v>141559600</v>
      </c>
      <c r="BQ171" s="230">
        <v>151461800</v>
      </c>
      <c r="BR171" s="230">
        <v>-9902200</v>
      </c>
      <c r="BS171" s="229">
        <v>-6.54E-2</v>
      </c>
      <c r="BT171" s="230">
        <v>9864968</v>
      </c>
      <c r="BU171" s="230">
        <v>13799508</v>
      </c>
      <c r="BV171" s="230">
        <v>-3934540</v>
      </c>
      <c r="BW171" s="229">
        <v>-0.28510000000000002</v>
      </c>
      <c r="BX171" s="230">
        <v>89171600</v>
      </c>
      <c r="BY171" s="230">
        <v>92751400</v>
      </c>
      <c r="BZ171" s="230">
        <v>-3579800</v>
      </c>
      <c r="CA171" s="229">
        <v>-3.8600000000000002E-2</v>
      </c>
      <c r="CB171" s="230">
        <v>46320400</v>
      </c>
      <c r="CC171" s="230">
        <v>60113200</v>
      </c>
      <c r="CD171" s="230">
        <v>-13792800</v>
      </c>
      <c r="CE171" s="229">
        <v>-0.22939999999999999</v>
      </c>
      <c r="CF171" s="230">
        <v>40566400</v>
      </c>
      <c r="CG171" s="230">
        <v>30328200</v>
      </c>
      <c r="CH171" s="230">
        <v>10238200</v>
      </c>
      <c r="CI171" s="229">
        <v>0.33760000000000001</v>
      </c>
      <c r="CJ171" s="230">
        <v>2284800</v>
      </c>
      <c r="CK171" s="230">
        <v>2310000</v>
      </c>
      <c r="CL171" s="230">
        <v>-25200</v>
      </c>
      <c r="CM171" s="229">
        <v>-1.09E-2</v>
      </c>
      <c r="CN171" s="230">
        <v>40605600</v>
      </c>
      <c r="CO171" s="230">
        <v>43692600</v>
      </c>
      <c r="CP171" s="230">
        <v>-3087000</v>
      </c>
      <c r="CQ171" s="229">
        <v>-7.0699999999999999E-2</v>
      </c>
      <c r="CR171" s="230">
        <v>29855000</v>
      </c>
      <c r="CS171" s="230">
        <v>32208400</v>
      </c>
      <c r="CT171" s="230">
        <v>-2353400</v>
      </c>
      <c r="CU171" s="229">
        <v>-7.3099999999999998E-2</v>
      </c>
      <c r="CV171" s="230">
        <v>159632200</v>
      </c>
      <c r="CW171" s="230">
        <v>168652400</v>
      </c>
      <c r="CX171" s="230">
        <v>-9020200</v>
      </c>
      <c r="CY171" s="229">
        <v>-5.3499999999999999E-2</v>
      </c>
      <c r="CZ171" s="228">
        <v>32.54</v>
      </c>
      <c r="DA171" s="228">
        <v>31.44</v>
      </c>
      <c r="DB171" s="228">
        <v>1.1000000000000001</v>
      </c>
      <c r="DC171" s="228">
        <v>1.1000000000000001</v>
      </c>
      <c r="DD171" s="228">
        <v>41.36</v>
      </c>
      <c r="DE171" s="228">
        <v>41.28</v>
      </c>
      <c r="DF171" s="228">
        <v>-8.82</v>
      </c>
      <c r="DG171" s="228">
        <v>0.08</v>
      </c>
      <c r="DH171" s="228">
        <v>32.19</v>
      </c>
      <c r="DI171" s="228">
        <v>31.81</v>
      </c>
      <c r="DJ171" s="228">
        <v>0.38</v>
      </c>
      <c r="DK171" s="228">
        <v>0.38</v>
      </c>
      <c r="DL171" s="228">
        <v>32.99</v>
      </c>
      <c r="DM171" s="228">
        <v>30.92</v>
      </c>
      <c r="DN171" s="228">
        <v>2.0699999999999998</v>
      </c>
      <c r="DO171" s="228">
        <v>2.0699999999999998</v>
      </c>
      <c r="DP171" s="228">
        <v>0.74</v>
      </c>
      <c r="DQ171" s="228">
        <v>0.74</v>
      </c>
      <c r="DR171" s="228">
        <v>0</v>
      </c>
      <c r="DS171" s="229">
        <v>0</v>
      </c>
      <c r="DT171" s="228">
        <v>400</v>
      </c>
      <c r="DU171" s="228">
        <v>350</v>
      </c>
      <c r="DV171" s="228">
        <v>0.79</v>
      </c>
      <c r="DW171" s="228">
        <v>0.72</v>
      </c>
      <c r="DX171" s="228">
        <v>7.0000000000000007E-2</v>
      </c>
      <c r="DY171" s="229">
        <v>9.7199999999999995E-2</v>
      </c>
      <c r="DZ171" s="229">
        <v>0.48049999999999998</v>
      </c>
      <c r="EA171" s="230">
        <v>32638200</v>
      </c>
      <c r="EB171" s="229">
        <v>-1.8E-3</v>
      </c>
      <c r="EC171" s="229">
        <v>0.48049999999999998</v>
      </c>
      <c r="ED171" s="228">
        <v>-0.68</v>
      </c>
      <c r="EE171" s="229">
        <v>-1.9E-3</v>
      </c>
      <c r="EF171" s="230">
        <v>5532846</v>
      </c>
      <c r="EG171" s="230">
        <v>7066324</v>
      </c>
      <c r="EH171" s="229">
        <v>-0.217</v>
      </c>
      <c r="EI171" s="229">
        <v>0.56089999999999995</v>
      </c>
      <c r="EJ171" s="231">
        <v>211779.08</v>
      </c>
      <c r="EK171" s="231">
        <v>161548.37</v>
      </c>
      <c r="EL171" s="231">
        <v>149712.57999999999</v>
      </c>
      <c r="EM171" s="231">
        <v>16602</v>
      </c>
      <c r="EN171" s="231">
        <v>523040.03</v>
      </c>
      <c r="EO171" s="231">
        <v>550718.9</v>
      </c>
      <c r="EP171" s="231">
        <v>-27678.87</v>
      </c>
      <c r="EQ171" s="229">
        <v>-5.0299999999999997E-2</v>
      </c>
      <c r="ER171" s="231">
        <v>155533</v>
      </c>
      <c r="ES171" s="231">
        <v>107706</v>
      </c>
      <c r="ET171" s="231">
        <v>326114</v>
      </c>
      <c r="EU171" s="231">
        <v>187084550</v>
      </c>
      <c r="EV171" s="231">
        <v>589352</v>
      </c>
      <c r="EW171" s="231">
        <v>612618</v>
      </c>
      <c r="EX171" s="231">
        <v>-23266</v>
      </c>
      <c r="EY171" s="229">
        <v>-3.7999999999999999E-2</v>
      </c>
      <c r="EZ171" s="229">
        <v>0.85329999999999995</v>
      </c>
      <c r="FA171" s="227" t="s">
        <v>556</v>
      </c>
      <c r="FB171" s="161">
        <f t="shared" si="4"/>
        <v>0</v>
      </c>
    </row>
    <row r="172" spans="1:158" ht="17.25" thickBot="1" x14ac:dyDescent="0.3">
      <c r="A172" s="226">
        <v>46044</v>
      </c>
      <c r="B172" s="227" t="s">
        <v>193</v>
      </c>
      <c r="C172" s="227" t="s">
        <v>281</v>
      </c>
      <c r="D172" s="228">
        <v>500</v>
      </c>
      <c r="E172" s="231">
        <v>1405.4</v>
      </c>
      <c r="F172" s="231">
        <v>1405.3</v>
      </c>
      <c r="G172" s="228">
        <v>0.1</v>
      </c>
      <c r="H172" s="229">
        <v>1E-4</v>
      </c>
      <c r="I172" s="231">
        <v>1402.5</v>
      </c>
      <c r="J172" s="231">
        <v>1404.6</v>
      </c>
      <c r="K172" s="228">
        <v>-2.1</v>
      </c>
      <c r="L172" s="229">
        <v>-1.5E-3</v>
      </c>
      <c r="M172" s="231">
        <v>1405.4</v>
      </c>
      <c r="N172" s="231">
        <v>1405.3</v>
      </c>
      <c r="O172" s="228">
        <v>0.1</v>
      </c>
      <c r="P172" s="229">
        <v>1E-4</v>
      </c>
      <c r="Q172" s="231">
        <v>1412.8</v>
      </c>
      <c r="R172" s="231">
        <v>1412.8</v>
      </c>
      <c r="S172" s="228">
        <v>0</v>
      </c>
      <c r="T172" s="229">
        <v>0</v>
      </c>
      <c r="U172" s="231">
        <v>1421.8</v>
      </c>
      <c r="V172" s="231">
        <v>1421.6</v>
      </c>
      <c r="W172" s="228">
        <v>0.2</v>
      </c>
      <c r="X172" s="229">
        <v>1E-4</v>
      </c>
      <c r="Y172" s="228">
        <v>2.9</v>
      </c>
      <c r="Z172" s="228">
        <v>0.7</v>
      </c>
      <c r="AA172" s="228">
        <v>2.2000000000000002</v>
      </c>
      <c r="AB172" s="229">
        <v>2.0999999999999999E-3</v>
      </c>
      <c r="AC172" s="228">
        <v>2.9</v>
      </c>
      <c r="AD172" s="228">
        <v>0.7</v>
      </c>
      <c r="AE172" s="228">
        <v>2.2000000000000002</v>
      </c>
      <c r="AF172" s="229">
        <v>2.0999999999999999E-3</v>
      </c>
      <c r="AG172" s="228">
        <v>10.3</v>
      </c>
      <c r="AH172" s="228">
        <v>8.1999999999999993</v>
      </c>
      <c r="AI172" s="228">
        <v>2.1</v>
      </c>
      <c r="AJ172" s="229">
        <v>7.3000000000000001E-3</v>
      </c>
      <c r="AK172" s="228">
        <v>19.3</v>
      </c>
      <c r="AL172" s="228">
        <v>17</v>
      </c>
      <c r="AM172" s="228">
        <v>2.2999999999999998</v>
      </c>
      <c r="AN172" s="229">
        <v>1.38E-2</v>
      </c>
      <c r="AO172" s="231">
        <v>1405.97</v>
      </c>
      <c r="AP172" s="231">
        <v>1413.1</v>
      </c>
      <c r="AQ172" s="228">
        <v>0</v>
      </c>
      <c r="AR172" s="230">
        <v>65788500</v>
      </c>
      <c r="AS172" s="230">
        <v>47500000</v>
      </c>
      <c r="AT172" s="230">
        <v>18288500</v>
      </c>
      <c r="AU172" s="229">
        <v>0.38500000000000001</v>
      </c>
      <c r="AV172" s="230">
        <v>33395500</v>
      </c>
      <c r="AW172" s="230">
        <v>26660000</v>
      </c>
      <c r="AX172" s="230">
        <v>6735500</v>
      </c>
      <c r="AY172" s="229">
        <v>0.25259999999999999</v>
      </c>
      <c r="AZ172" s="230">
        <v>29646000</v>
      </c>
      <c r="BA172" s="230">
        <v>20189500</v>
      </c>
      <c r="BB172" s="230">
        <v>9456500</v>
      </c>
      <c r="BC172" s="229">
        <v>0.46839999999999998</v>
      </c>
      <c r="BD172" s="230">
        <v>2747000</v>
      </c>
      <c r="BE172" s="230">
        <v>650500</v>
      </c>
      <c r="BF172" s="230">
        <v>2096500</v>
      </c>
      <c r="BG172" s="229">
        <v>3.2229000000000001</v>
      </c>
      <c r="BH172" s="230">
        <v>154975500</v>
      </c>
      <c r="BI172" s="230">
        <v>229470500</v>
      </c>
      <c r="BJ172" s="230">
        <v>-74495000</v>
      </c>
      <c r="BK172" s="229">
        <v>-0.3246</v>
      </c>
      <c r="BL172" s="230">
        <v>81938000</v>
      </c>
      <c r="BM172" s="230">
        <v>114201500</v>
      </c>
      <c r="BN172" s="230">
        <v>-32263500</v>
      </c>
      <c r="BO172" s="229">
        <v>-0.28249999999999997</v>
      </c>
      <c r="BP172" s="230">
        <v>302702000</v>
      </c>
      <c r="BQ172" s="230">
        <v>391172000</v>
      </c>
      <c r="BR172" s="230">
        <v>-88470000</v>
      </c>
      <c r="BS172" s="229">
        <v>-0.22620000000000001</v>
      </c>
      <c r="BT172" s="230">
        <v>16434686</v>
      </c>
      <c r="BU172" s="230">
        <v>17769693</v>
      </c>
      <c r="BV172" s="230">
        <v>-1335007</v>
      </c>
      <c r="BW172" s="229">
        <v>-7.51E-2</v>
      </c>
      <c r="BX172" s="230">
        <v>120031000</v>
      </c>
      <c r="BY172" s="230">
        <v>119163500</v>
      </c>
      <c r="BZ172" s="230">
        <v>867500</v>
      </c>
      <c r="CA172" s="229">
        <v>7.3000000000000001E-3</v>
      </c>
      <c r="CB172" s="230">
        <v>53269500</v>
      </c>
      <c r="CC172" s="230">
        <v>78153500</v>
      </c>
      <c r="CD172" s="230">
        <v>-24884000</v>
      </c>
      <c r="CE172" s="229">
        <v>-0.31840000000000002</v>
      </c>
      <c r="CF172" s="230">
        <v>56572000</v>
      </c>
      <c r="CG172" s="230">
        <v>32755000</v>
      </c>
      <c r="CH172" s="230">
        <v>23817000</v>
      </c>
      <c r="CI172" s="229">
        <v>0.72709999999999997</v>
      </c>
      <c r="CJ172" s="230">
        <v>10189500</v>
      </c>
      <c r="CK172" s="230">
        <v>8255000</v>
      </c>
      <c r="CL172" s="230">
        <v>1934500</v>
      </c>
      <c r="CM172" s="229">
        <v>0.23430000000000001</v>
      </c>
      <c r="CN172" s="230">
        <v>108273000</v>
      </c>
      <c r="CO172" s="230">
        <v>112125000</v>
      </c>
      <c r="CP172" s="230">
        <v>-3852000</v>
      </c>
      <c r="CQ172" s="229">
        <v>-3.44E-2</v>
      </c>
      <c r="CR172" s="230">
        <v>45902000</v>
      </c>
      <c r="CS172" s="230">
        <v>46532000</v>
      </c>
      <c r="CT172" s="230">
        <v>-630000</v>
      </c>
      <c r="CU172" s="229">
        <v>-1.35E-2</v>
      </c>
      <c r="CV172" s="230">
        <v>274206000</v>
      </c>
      <c r="CW172" s="230">
        <v>277820500</v>
      </c>
      <c r="CX172" s="230">
        <v>-3614500</v>
      </c>
      <c r="CY172" s="229">
        <v>-1.2999999999999999E-2</v>
      </c>
      <c r="CZ172" s="228">
        <v>23.24</v>
      </c>
      <c r="DA172" s="228">
        <v>21.21</v>
      </c>
      <c r="DB172" s="228">
        <v>2.0299999999999998</v>
      </c>
      <c r="DC172" s="228">
        <v>2.0299999999999998</v>
      </c>
      <c r="DD172" s="228">
        <v>23.97</v>
      </c>
      <c r="DE172" s="228">
        <v>24.03</v>
      </c>
      <c r="DF172" s="228">
        <v>-0.73</v>
      </c>
      <c r="DG172" s="228">
        <v>-0.06</v>
      </c>
      <c r="DH172" s="228">
        <v>23.23</v>
      </c>
      <c r="DI172" s="228">
        <v>21.36</v>
      </c>
      <c r="DJ172" s="228">
        <v>1.87</v>
      </c>
      <c r="DK172" s="228">
        <v>1.87</v>
      </c>
      <c r="DL172" s="228">
        <v>23.26</v>
      </c>
      <c r="DM172" s="228">
        <v>20.92</v>
      </c>
      <c r="DN172" s="228">
        <v>2.34</v>
      </c>
      <c r="DO172" s="228">
        <v>2.34</v>
      </c>
      <c r="DP172" s="228">
        <v>0.42</v>
      </c>
      <c r="DQ172" s="228">
        <v>0.42</v>
      </c>
      <c r="DR172" s="228">
        <v>0</v>
      </c>
      <c r="DS172" s="229">
        <v>0</v>
      </c>
      <c r="DT172" s="231">
        <v>1600</v>
      </c>
      <c r="DU172" s="231">
        <v>1380</v>
      </c>
      <c r="DV172" s="228">
        <v>0.53</v>
      </c>
      <c r="DW172" s="228">
        <v>0.5</v>
      </c>
      <c r="DX172" s="228">
        <v>0.03</v>
      </c>
      <c r="DY172" s="229">
        <v>0.06</v>
      </c>
      <c r="DZ172" s="229">
        <v>0.55620000000000003</v>
      </c>
      <c r="EA172" s="230">
        <v>41010000</v>
      </c>
      <c r="EB172" s="229">
        <v>5.3E-3</v>
      </c>
      <c r="EC172" s="229">
        <v>0.55620000000000003</v>
      </c>
      <c r="ED172" s="228">
        <v>7.13</v>
      </c>
      <c r="EE172" s="229">
        <v>5.1000000000000004E-3</v>
      </c>
      <c r="EF172" s="230">
        <v>7352714</v>
      </c>
      <c r="EG172" s="230">
        <v>8567877</v>
      </c>
      <c r="EH172" s="229">
        <v>-0.14180000000000001</v>
      </c>
      <c r="EI172" s="229">
        <v>0.44740000000000002</v>
      </c>
      <c r="EJ172" s="231">
        <v>2266180.48</v>
      </c>
      <c r="EK172" s="231">
        <v>1153908.17</v>
      </c>
      <c r="EL172" s="231">
        <v>927438.42</v>
      </c>
      <c r="EM172" s="231">
        <v>61503</v>
      </c>
      <c r="EN172" s="231">
        <v>4347527.07</v>
      </c>
      <c r="EO172" s="231">
        <v>5609696.8099999996</v>
      </c>
      <c r="EP172" s="231">
        <v>-1262169.74</v>
      </c>
      <c r="EQ172" s="229">
        <v>-0.22500000000000001</v>
      </c>
      <c r="ER172" s="231">
        <v>1644667</v>
      </c>
      <c r="ES172" s="231">
        <v>662875</v>
      </c>
      <c r="ET172" s="231">
        <v>1692773</v>
      </c>
      <c r="EU172" s="231">
        <v>664266681</v>
      </c>
      <c r="EV172" s="231">
        <v>4000315</v>
      </c>
      <c r="EW172" s="231">
        <v>4058495</v>
      </c>
      <c r="EX172" s="231">
        <v>-58180</v>
      </c>
      <c r="EY172" s="229">
        <v>-1.43E-2</v>
      </c>
      <c r="EZ172" s="229">
        <v>0.4128</v>
      </c>
      <c r="FA172" s="227" t="s">
        <v>555</v>
      </c>
      <c r="FB172" s="161">
        <f t="shared" si="4"/>
        <v>0</v>
      </c>
    </row>
    <row r="173" spans="1:158" ht="17.25" thickBot="1" x14ac:dyDescent="0.3">
      <c r="A173" s="226">
        <v>46044</v>
      </c>
      <c r="B173" s="227" t="s">
        <v>215</v>
      </c>
      <c r="C173" s="227" t="s">
        <v>675</v>
      </c>
      <c r="D173" s="228">
        <v>1525</v>
      </c>
      <c r="E173" s="228">
        <v>329.75</v>
      </c>
      <c r="F173" s="228">
        <v>317.10000000000002</v>
      </c>
      <c r="G173" s="228">
        <v>12.65</v>
      </c>
      <c r="H173" s="229">
        <v>3.9899999999999998E-2</v>
      </c>
      <c r="I173" s="228">
        <v>329</v>
      </c>
      <c r="J173" s="228">
        <v>317.10000000000002</v>
      </c>
      <c r="K173" s="228">
        <v>11.9</v>
      </c>
      <c r="L173" s="229">
        <v>3.7499999999999999E-2</v>
      </c>
      <c r="M173" s="228">
        <v>329.75</v>
      </c>
      <c r="N173" s="228">
        <v>317.10000000000002</v>
      </c>
      <c r="O173" s="228">
        <v>12.65</v>
      </c>
      <c r="P173" s="229">
        <v>3.9899999999999998E-2</v>
      </c>
      <c r="Q173" s="228">
        <v>312.3</v>
      </c>
      <c r="R173" s="228">
        <v>305.95</v>
      </c>
      <c r="S173" s="228">
        <v>6.35</v>
      </c>
      <c r="T173" s="229">
        <v>2.0799999999999999E-2</v>
      </c>
      <c r="U173" s="228">
        <v>305.45</v>
      </c>
      <c r="V173" s="228">
        <v>300.35000000000002</v>
      </c>
      <c r="W173" s="228">
        <v>5.0999999999999996</v>
      </c>
      <c r="X173" s="229">
        <v>1.7000000000000001E-2</v>
      </c>
      <c r="Y173" s="228">
        <v>0.75</v>
      </c>
      <c r="Z173" s="228">
        <v>0</v>
      </c>
      <c r="AA173" s="228">
        <v>0.75</v>
      </c>
      <c r="AB173" s="229">
        <v>2.3E-3</v>
      </c>
      <c r="AC173" s="228">
        <v>0.75</v>
      </c>
      <c r="AD173" s="228">
        <v>0</v>
      </c>
      <c r="AE173" s="228">
        <v>0.75</v>
      </c>
      <c r="AF173" s="229">
        <v>2.3E-3</v>
      </c>
      <c r="AG173" s="228">
        <v>-16.7</v>
      </c>
      <c r="AH173" s="228">
        <v>-11.15</v>
      </c>
      <c r="AI173" s="228">
        <v>-5.55</v>
      </c>
      <c r="AJ173" s="229">
        <v>-5.0799999999999998E-2</v>
      </c>
      <c r="AK173" s="228">
        <v>-23.55</v>
      </c>
      <c r="AL173" s="228">
        <v>-16.75</v>
      </c>
      <c r="AM173" s="228">
        <v>-6.8</v>
      </c>
      <c r="AN173" s="229">
        <v>-7.1599999999999997E-2</v>
      </c>
      <c r="AO173" s="228">
        <v>323.20999999999998</v>
      </c>
      <c r="AP173" s="228">
        <v>308.55</v>
      </c>
      <c r="AQ173" s="228">
        <v>0</v>
      </c>
      <c r="AR173" s="230">
        <v>54486725</v>
      </c>
      <c r="AS173" s="230">
        <v>40639725</v>
      </c>
      <c r="AT173" s="230">
        <v>13847000</v>
      </c>
      <c r="AU173" s="229">
        <v>0.3407</v>
      </c>
      <c r="AV173" s="230">
        <v>26548725</v>
      </c>
      <c r="AW173" s="230">
        <v>20421275</v>
      </c>
      <c r="AX173" s="230">
        <v>6127450</v>
      </c>
      <c r="AY173" s="229">
        <v>0.30009999999999998</v>
      </c>
      <c r="AZ173" s="230">
        <v>27186175</v>
      </c>
      <c r="BA173" s="230">
        <v>19565750</v>
      </c>
      <c r="BB173" s="230">
        <v>7620425</v>
      </c>
      <c r="BC173" s="229">
        <v>0.38950000000000001</v>
      </c>
      <c r="BD173" s="230">
        <v>751825</v>
      </c>
      <c r="BE173" s="230">
        <v>652700</v>
      </c>
      <c r="BF173" s="230">
        <v>99125</v>
      </c>
      <c r="BG173" s="229">
        <v>0.15190000000000001</v>
      </c>
      <c r="BH173" s="230">
        <v>66242950</v>
      </c>
      <c r="BI173" s="230">
        <v>52925125</v>
      </c>
      <c r="BJ173" s="230">
        <v>13317825</v>
      </c>
      <c r="BK173" s="229">
        <v>0.25159999999999999</v>
      </c>
      <c r="BL173" s="230">
        <v>15394875</v>
      </c>
      <c r="BM173" s="230">
        <v>22019475</v>
      </c>
      <c r="BN173" s="230">
        <v>-6624600</v>
      </c>
      <c r="BO173" s="229">
        <v>-0.3009</v>
      </c>
      <c r="BP173" s="230">
        <v>136124550</v>
      </c>
      <c r="BQ173" s="230">
        <v>115584325</v>
      </c>
      <c r="BR173" s="230">
        <v>20540225</v>
      </c>
      <c r="BS173" s="229">
        <v>0.1777</v>
      </c>
      <c r="BT173" s="230">
        <v>8319580</v>
      </c>
      <c r="BU173" s="230">
        <v>9107037</v>
      </c>
      <c r="BV173" s="230">
        <v>-787457</v>
      </c>
      <c r="BW173" s="229">
        <v>-8.6499999999999994E-2</v>
      </c>
      <c r="BX173" s="230">
        <v>51508400</v>
      </c>
      <c r="BY173" s="230">
        <v>53403975</v>
      </c>
      <c r="BZ173" s="230">
        <v>-1895575</v>
      </c>
      <c r="CA173" s="229">
        <v>-3.5499999999999997E-2</v>
      </c>
      <c r="CB173" s="230">
        <v>12622425</v>
      </c>
      <c r="CC173" s="230">
        <v>29906775</v>
      </c>
      <c r="CD173" s="230">
        <v>-17284350</v>
      </c>
      <c r="CE173" s="229">
        <v>-0.57789999999999997</v>
      </c>
      <c r="CF173" s="230">
        <v>36693025</v>
      </c>
      <c r="CG173" s="230">
        <v>21578750</v>
      </c>
      <c r="CH173" s="230">
        <v>15114275</v>
      </c>
      <c r="CI173" s="229">
        <v>0.70040000000000002</v>
      </c>
      <c r="CJ173" s="230">
        <v>2192950</v>
      </c>
      <c r="CK173" s="230">
        <v>1918450</v>
      </c>
      <c r="CL173" s="230">
        <v>274500</v>
      </c>
      <c r="CM173" s="229">
        <v>0.1431</v>
      </c>
      <c r="CN173" s="230">
        <v>56208450</v>
      </c>
      <c r="CO173" s="230">
        <v>58672850</v>
      </c>
      <c r="CP173" s="230">
        <v>-2464400</v>
      </c>
      <c r="CQ173" s="229">
        <v>-4.2000000000000003E-2</v>
      </c>
      <c r="CR173" s="230">
        <v>17735750</v>
      </c>
      <c r="CS173" s="230">
        <v>17385000</v>
      </c>
      <c r="CT173" s="230">
        <v>350750</v>
      </c>
      <c r="CU173" s="229">
        <v>2.0199999999999999E-2</v>
      </c>
      <c r="CV173" s="230">
        <v>125452600</v>
      </c>
      <c r="CW173" s="230">
        <v>129461825</v>
      </c>
      <c r="CX173" s="230">
        <v>-4009225</v>
      </c>
      <c r="CY173" s="229">
        <v>-3.1E-2</v>
      </c>
      <c r="CZ173" s="228">
        <v>56.92</v>
      </c>
      <c r="DA173" s="228">
        <v>44.05</v>
      </c>
      <c r="DB173" s="228">
        <v>12.87</v>
      </c>
      <c r="DC173" s="228">
        <v>12.87</v>
      </c>
      <c r="DD173" s="228">
        <v>55.6</v>
      </c>
      <c r="DE173" s="228">
        <v>55.49</v>
      </c>
      <c r="DF173" s="228">
        <v>1.32</v>
      </c>
      <c r="DG173" s="228">
        <v>0.11</v>
      </c>
      <c r="DH173" s="228">
        <v>57.49</v>
      </c>
      <c r="DI173" s="228">
        <v>46.63</v>
      </c>
      <c r="DJ173" s="228">
        <v>10.86</v>
      </c>
      <c r="DK173" s="228">
        <v>10.86</v>
      </c>
      <c r="DL173" s="228">
        <v>54.84</v>
      </c>
      <c r="DM173" s="228">
        <v>37.869999999999997</v>
      </c>
      <c r="DN173" s="228">
        <v>16.97</v>
      </c>
      <c r="DO173" s="228">
        <v>16.97</v>
      </c>
      <c r="DP173" s="228">
        <v>0.32</v>
      </c>
      <c r="DQ173" s="228">
        <v>0.3</v>
      </c>
      <c r="DR173" s="228">
        <v>0.02</v>
      </c>
      <c r="DS173" s="229">
        <v>6.6699999999999995E-2</v>
      </c>
      <c r="DT173" s="228">
        <v>400</v>
      </c>
      <c r="DU173" s="228">
        <v>320</v>
      </c>
      <c r="DV173" s="228">
        <v>0.23</v>
      </c>
      <c r="DW173" s="228">
        <v>0.42</v>
      </c>
      <c r="DX173" s="228">
        <v>-0.19</v>
      </c>
      <c r="DY173" s="229">
        <v>-0.45240000000000002</v>
      </c>
      <c r="DZ173" s="229">
        <v>0.75490000000000002</v>
      </c>
      <c r="EA173" s="230">
        <v>23497200</v>
      </c>
      <c r="EB173" s="229">
        <v>-5.2900000000000003E-2</v>
      </c>
      <c r="EC173" s="229">
        <v>0.75490000000000002</v>
      </c>
      <c r="ED173" s="228">
        <v>-14.66</v>
      </c>
      <c r="EE173" s="229">
        <v>-4.5400000000000003E-2</v>
      </c>
      <c r="EF173" s="230">
        <v>2174108</v>
      </c>
      <c r="EG173" s="230">
        <v>2285124</v>
      </c>
      <c r="EH173" s="229">
        <v>-4.8599999999999997E-2</v>
      </c>
      <c r="EI173" s="229">
        <v>0.26129999999999998</v>
      </c>
      <c r="EJ173" s="231">
        <v>231120.37</v>
      </c>
      <c r="EK173" s="231">
        <v>49507.08</v>
      </c>
      <c r="EL173" s="231">
        <v>171966.62</v>
      </c>
      <c r="EM173" s="231">
        <v>12896</v>
      </c>
      <c r="EN173" s="231">
        <v>452594.07</v>
      </c>
      <c r="EO173" s="231">
        <v>379961.78</v>
      </c>
      <c r="EP173" s="231">
        <v>72632.289999999994</v>
      </c>
      <c r="EQ173" s="229">
        <v>0.19120000000000001</v>
      </c>
      <c r="ER173" s="231">
        <v>208692</v>
      </c>
      <c r="ES173" s="231">
        <v>57736</v>
      </c>
      <c r="ET173" s="231">
        <v>162913</v>
      </c>
      <c r="EU173" s="231">
        <v>84941460</v>
      </c>
      <c r="EV173" s="231">
        <v>429341</v>
      </c>
      <c r="EW173" s="231">
        <v>441958</v>
      </c>
      <c r="EX173" s="231">
        <v>-12617</v>
      </c>
      <c r="EY173" s="229">
        <v>-2.8500000000000001E-2</v>
      </c>
      <c r="EZ173" s="229">
        <v>1.4769000000000001</v>
      </c>
      <c r="FA173" s="227" t="s">
        <v>556</v>
      </c>
      <c r="FB173" s="161">
        <f t="shared" si="4"/>
        <v>0</v>
      </c>
    </row>
    <row r="174" spans="1:158" ht="17.25" thickBot="1" x14ac:dyDescent="0.3">
      <c r="A174" s="226">
        <v>46044</v>
      </c>
      <c r="B174" s="227" t="s">
        <v>227</v>
      </c>
      <c r="C174" s="227" t="s">
        <v>282</v>
      </c>
      <c r="D174" s="228">
        <v>4700</v>
      </c>
      <c r="E174" s="228">
        <v>152.09</v>
      </c>
      <c r="F174" s="228">
        <v>146.38999999999999</v>
      </c>
      <c r="G174" s="228">
        <v>5.7</v>
      </c>
      <c r="H174" s="229">
        <v>3.8899999999999997E-2</v>
      </c>
      <c r="I174" s="228">
        <v>151.65</v>
      </c>
      <c r="J174" s="228">
        <v>146.44999999999999</v>
      </c>
      <c r="K174" s="228">
        <v>5.2</v>
      </c>
      <c r="L174" s="229">
        <v>3.5499999999999997E-2</v>
      </c>
      <c r="M174" s="228">
        <v>152.09</v>
      </c>
      <c r="N174" s="228">
        <v>146.38999999999999</v>
      </c>
      <c r="O174" s="228">
        <v>5.7</v>
      </c>
      <c r="P174" s="229">
        <v>3.8899999999999997E-2</v>
      </c>
      <c r="Q174" s="228">
        <v>152.69999999999999</v>
      </c>
      <c r="R174" s="228">
        <v>146.46</v>
      </c>
      <c r="S174" s="228">
        <v>6.24</v>
      </c>
      <c r="T174" s="229">
        <v>4.2599999999999999E-2</v>
      </c>
      <c r="U174" s="228">
        <v>153.32</v>
      </c>
      <c r="V174" s="228">
        <v>145.68</v>
      </c>
      <c r="W174" s="228">
        <v>7.64</v>
      </c>
      <c r="X174" s="229">
        <v>5.2400000000000002E-2</v>
      </c>
      <c r="Y174" s="228">
        <v>0.44</v>
      </c>
      <c r="Z174" s="228">
        <v>-0.06</v>
      </c>
      <c r="AA174" s="228">
        <v>0.5</v>
      </c>
      <c r="AB174" s="229">
        <v>2.8999999999999998E-3</v>
      </c>
      <c r="AC174" s="228">
        <v>0.44</v>
      </c>
      <c r="AD174" s="228">
        <v>-0.06</v>
      </c>
      <c r="AE174" s="228">
        <v>0.5</v>
      </c>
      <c r="AF174" s="229">
        <v>2.8999999999999998E-3</v>
      </c>
      <c r="AG174" s="228">
        <v>1.05</v>
      </c>
      <c r="AH174" s="228">
        <v>0.01</v>
      </c>
      <c r="AI174" s="228">
        <v>1.04</v>
      </c>
      <c r="AJ174" s="229">
        <v>6.8999999999999999E-3</v>
      </c>
      <c r="AK174" s="228">
        <v>1.67</v>
      </c>
      <c r="AL174" s="228">
        <v>-0.77</v>
      </c>
      <c r="AM174" s="228">
        <v>2.44</v>
      </c>
      <c r="AN174" s="229">
        <v>1.0999999999999999E-2</v>
      </c>
      <c r="AO174" s="228">
        <v>151.35</v>
      </c>
      <c r="AP174" s="228">
        <v>152.11000000000001</v>
      </c>
      <c r="AQ174" s="228">
        <v>0</v>
      </c>
      <c r="AR174" s="230">
        <v>312080000</v>
      </c>
      <c r="AS174" s="230">
        <v>14292700</v>
      </c>
      <c r="AT174" s="230">
        <v>297787300</v>
      </c>
      <c r="AU174" s="229">
        <v>20.834900000000001</v>
      </c>
      <c r="AV174" s="230">
        <v>153107200</v>
      </c>
      <c r="AW174" s="230">
        <v>9169700</v>
      </c>
      <c r="AX174" s="230">
        <v>143937500</v>
      </c>
      <c r="AY174" s="229">
        <v>15.697100000000001</v>
      </c>
      <c r="AZ174" s="230">
        <v>157304300</v>
      </c>
      <c r="BA174" s="230">
        <v>5123000</v>
      </c>
      <c r="BB174" s="230">
        <v>152181300</v>
      </c>
      <c r="BC174" s="229">
        <v>29.705500000000001</v>
      </c>
      <c r="BD174" s="230">
        <v>1668500</v>
      </c>
      <c r="BE174" s="228">
        <v>0</v>
      </c>
      <c r="BF174" s="230">
        <v>1668500</v>
      </c>
      <c r="BG174" s="229">
        <v>0</v>
      </c>
      <c r="BH174" s="230">
        <v>113406300</v>
      </c>
      <c r="BI174" s="230">
        <v>3167800</v>
      </c>
      <c r="BJ174" s="230">
        <v>110238500</v>
      </c>
      <c r="BK174" s="229">
        <v>34.799700000000001</v>
      </c>
      <c r="BL174" s="230">
        <v>60442000</v>
      </c>
      <c r="BM174" s="230">
        <v>2566200</v>
      </c>
      <c r="BN174" s="230">
        <v>57875800</v>
      </c>
      <c r="BO174" s="229">
        <v>22.553100000000001</v>
      </c>
      <c r="BP174" s="230">
        <v>485928300</v>
      </c>
      <c r="BQ174" s="230">
        <v>20026700</v>
      </c>
      <c r="BR174" s="230">
        <v>465901600</v>
      </c>
      <c r="BS174" s="229">
        <v>23.263999999999999</v>
      </c>
      <c r="BT174" s="230">
        <v>46952474</v>
      </c>
      <c r="BU174" s="230">
        <v>21952464</v>
      </c>
      <c r="BV174" s="230">
        <v>25000010</v>
      </c>
      <c r="BW174" s="229">
        <v>1.1388</v>
      </c>
      <c r="BX174" s="230">
        <v>193719900</v>
      </c>
      <c r="BY174" s="230">
        <v>175389900</v>
      </c>
      <c r="BZ174" s="230">
        <v>18330000</v>
      </c>
      <c r="CA174" s="229">
        <v>0.1045</v>
      </c>
      <c r="CB174" s="230">
        <v>52950200</v>
      </c>
      <c r="CC174" s="230">
        <v>165590400</v>
      </c>
      <c r="CD174" s="230">
        <v>-112640200</v>
      </c>
      <c r="CE174" s="229">
        <v>-0.68020000000000003</v>
      </c>
      <c r="CF174" s="230">
        <v>139279800</v>
      </c>
      <c r="CG174" s="230">
        <v>9235500</v>
      </c>
      <c r="CH174" s="230">
        <v>130044300</v>
      </c>
      <c r="CI174" s="229">
        <v>14.0809</v>
      </c>
      <c r="CJ174" s="230">
        <v>1489900</v>
      </c>
      <c r="CK174" s="230">
        <v>564000</v>
      </c>
      <c r="CL174" s="230">
        <v>925900</v>
      </c>
      <c r="CM174" s="229">
        <v>1.6416999999999999</v>
      </c>
      <c r="CN174" s="230">
        <v>38023000</v>
      </c>
      <c r="CO174" s="230">
        <v>41303600</v>
      </c>
      <c r="CP174" s="230">
        <v>-3280600</v>
      </c>
      <c r="CQ174" s="229">
        <v>-7.9399999999999998E-2</v>
      </c>
      <c r="CR174" s="230">
        <v>29680500</v>
      </c>
      <c r="CS174" s="230">
        <v>32669700</v>
      </c>
      <c r="CT174" s="230">
        <v>-2989200</v>
      </c>
      <c r="CU174" s="229">
        <v>-9.1499999999999998E-2</v>
      </c>
      <c r="CV174" s="230">
        <v>261423400</v>
      </c>
      <c r="CW174" s="230">
        <v>249363200</v>
      </c>
      <c r="CX174" s="230">
        <v>12060200</v>
      </c>
      <c r="CY174" s="229">
        <v>4.8399999999999999E-2</v>
      </c>
      <c r="CZ174" s="228">
        <v>41.52</v>
      </c>
      <c r="DA174" s="228">
        <v>42.79</v>
      </c>
      <c r="DB174" s="228">
        <v>-1.27</v>
      </c>
      <c r="DC174" s="228">
        <v>-1.27</v>
      </c>
      <c r="DD174" s="228">
        <v>43.53</v>
      </c>
      <c r="DE174" s="228">
        <v>43.33</v>
      </c>
      <c r="DF174" s="228">
        <v>-2.0099999999999998</v>
      </c>
      <c r="DG174" s="228">
        <v>0.2</v>
      </c>
      <c r="DH174" s="228">
        <v>40.58</v>
      </c>
      <c r="DI174" s="228">
        <v>42.99</v>
      </c>
      <c r="DJ174" s="228">
        <v>-2.41</v>
      </c>
      <c r="DK174" s="228">
        <v>-2.41</v>
      </c>
      <c r="DL174" s="228">
        <v>42.95</v>
      </c>
      <c r="DM174" s="228">
        <v>42.54</v>
      </c>
      <c r="DN174" s="228">
        <v>0.41</v>
      </c>
      <c r="DO174" s="228">
        <v>0.41</v>
      </c>
      <c r="DP174" s="228">
        <v>0.78</v>
      </c>
      <c r="DQ174" s="228">
        <v>0.79</v>
      </c>
      <c r="DR174" s="228">
        <v>-0.01</v>
      </c>
      <c r="DS174" s="229">
        <v>-1.2699999999999999E-2</v>
      </c>
      <c r="DT174" s="228">
        <v>160</v>
      </c>
      <c r="DU174" s="228">
        <v>140</v>
      </c>
      <c r="DV174" s="228">
        <v>0.53</v>
      </c>
      <c r="DW174" s="228">
        <v>0.81</v>
      </c>
      <c r="DX174" s="228">
        <v>-0.28000000000000003</v>
      </c>
      <c r="DY174" s="229">
        <v>-0.34570000000000001</v>
      </c>
      <c r="DZ174" s="229">
        <v>0.72670000000000001</v>
      </c>
      <c r="EA174" s="230">
        <v>9799500</v>
      </c>
      <c r="EB174" s="229">
        <v>4.0000000000000001E-3</v>
      </c>
      <c r="EC174" s="229">
        <v>0.72670000000000001</v>
      </c>
      <c r="ED174" s="228">
        <v>0.76</v>
      </c>
      <c r="EE174" s="229">
        <v>5.0000000000000001E-3</v>
      </c>
      <c r="EF174" s="230">
        <v>21581856</v>
      </c>
      <c r="EG174" s="230">
        <v>7977942</v>
      </c>
      <c r="EH174" s="229">
        <v>1.7052</v>
      </c>
      <c r="EI174" s="229">
        <v>0.4597</v>
      </c>
      <c r="EJ174" s="231">
        <v>178424.28</v>
      </c>
      <c r="EK174" s="231">
        <v>86802.19</v>
      </c>
      <c r="EL174" s="231">
        <v>473552.06</v>
      </c>
      <c r="EM174" s="231">
        <v>1156</v>
      </c>
      <c r="EN174" s="231">
        <v>738778.53</v>
      </c>
      <c r="EO174" s="231">
        <v>29244.54</v>
      </c>
      <c r="EP174" s="231">
        <v>709533.99</v>
      </c>
      <c r="EQ174" s="229">
        <v>24.2621</v>
      </c>
      <c r="ER174" s="231">
        <v>57065</v>
      </c>
      <c r="ES174" s="231">
        <v>40663</v>
      </c>
      <c r="ET174" s="231">
        <v>295497</v>
      </c>
      <c r="EU174" s="231">
        <v>216861410</v>
      </c>
      <c r="EV174" s="231">
        <v>393225</v>
      </c>
      <c r="EW174" s="231">
        <v>362122</v>
      </c>
      <c r="EX174" s="231">
        <v>31103</v>
      </c>
      <c r="EY174" s="229">
        <v>8.5900000000000004E-2</v>
      </c>
      <c r="EZ174" s="229">
        <v>1.2055</v>
      </c>
      <c r="FA174" s="227" t="s">
        <v>555</v>
      </c>
      <c r="FB174" s="161">
        <f t="shared" si="4"/>
        <v>0</v>
      </c>
    </row>
    <row r="175" spans="1:158" ht="17.25" thickBot="1" x14ac:dyDescent="0.3">
      <c r="A175" s="226">
        <v>46044</v>
      </c>
      <c r="B175" s="227" t="s">
        <v>175</v>
      </c>
      <c r="C175" s="227" t="s">
        <v>686</v>
      </c>
      <c r="D175" s="228">
        <v>4300</v>
      </c>
      <c r="E175" s="228">
        <v>140.81</v>
      </c>
      <c r="F175" s="228">
        <v>137.94999999999999</v>
      </c>
      <c r="G175" s="228">
        <v>2.86</v>
      </c>
      <c r="H175" s="229">
        <v>2.07E-2</v>
      </c>
      <c r="I175" s="228">
        <v>139.97</v>
      </c>
      <c r="J175" s="228">
        <v>138.08000000000001</v>
      </c>
      <c r="K175" s="228">
        <v>1.89</v>
      </c>
      <c r="L175" s="229">
        <v>1.37E-2</v>
      </c>
      <c r="M175" s="228">
        <v>140.81</v>
      </c>
      <c r="N175" s="228">
        <v>137.94999999999999</v>
      </c>
      <c r="O175" s="228">
        <v>2.86</v>
      </c>
      <c r="P175" s="229">
        <v>2.07E-2</v>
      </c>
      <c r="Q175" s="228">
        <v>141.59</v>
      </c>
      <c r="R175" s="228">
        <v>138.54</v>
      </c>
      <c r="S175" s="228">
        <v>3.05</v>
      </c>
      <c r="T175" s="229">
        <v>2.1999999999999999E-2</v>
      </c>
      <c r="U175" s="228">
        <v>141.44</v>
      </c>
      <c r="V175" s="228">
        <v>140</v>
      </c>
      <c r="W175" s="228">
        <v>1.44</v>
      </c>
      <c r="X175" s="229">
        <v>1.03E-2</v>
      </c>
      <c r="Y175" s="228">
        <v>0.84</v>
      </c>
      <c r="Z175" s="228">
        <v>-0.13</v>
      </c>
      <c r="AA175" s="228">
        <v>0.97</v>
      </c>
      <c r="AB175" s="229">
        <v>6.0000000000000001E-3</v>
      </c>
      <c r="AC175" s="228">
        <v>0.84</v>
      </c>
      <c r="AD175" s="228">
        <v>-0.13</v>
      </c>
      <c r="AE175" s="228">
        <v>0.97</v>
      </c>
      <c r="AF175" s="229">
        <v>6.0000000000000001E-3</v>
      </c>
      <c r="AG175" s="228">
        <v>1.62</v>
      </c>
      <c r="AH175" s="228">
        <v>0.46</v>
      </c>
      <c r="AI175" s="228">
        <v>1.1599999999999999</v>
      </c>
      <c r="AJ175" s="229">
        <v>1.1599999999999999E-2</v>
      </c>
      <c r="AK175" s="228">
        <v>1.47</v>
      </c>
      <c r="AL175" s="228">
        <v>1.92</v>
      </c>
      <c r="AM175" s="228">
        <v>-0.45</v>
      </c>
      <c r="AN175" s="229">
        <v>1.0500000000000001E-2</v>
      </c>
      <c r="AO175" s="228">
        <v>139.69999999999999</v>
      </c>
      <c r="AP175" s="228">
        <v>140.11000000000001</v>
      </c>
      <c r="AQ175" s="228">
        <v>0</v>
      </c>
      <c r="AR175" s="230">
        <v>10393100</v>
      </c>
      <c r="AS175" s="230">
        <v>6308100</v>
      </c>
      <c r="AT175" s="230">
        <v>4085000</v>
      </c>
      <c r="AU175" s="229">
        <v>0.64759999999999995</v>
      </c>
      <c r="AV175" s="230">
        <v>6484400</v>
      </c>
      <c r="AW175" s="230">
        <v>4480600</v>
      </c>
      <c r="AX175" s="230">
        <v>2003800</v>
      </c>
      <c r="AY175" s="229">
        <v>0.44719999999999999</v>
      </c>
      <c r="AZ175" s="230">
        <v>3900100</v>
      </c>
      <c r="BA175" s="230">
        <v>1827500</v>
      </c>
      <c r="BB175" s="230">
        <v>2072600</v>
      </c>
      <c r="BC175" s="229">
        <v>1.1341000000000001</v>
      </c>
      <c r="BD175" s="230">
        <v>8600</v>
      </c>
      <c r="BE175" s="228">
        <v>0</v>
      </c>
      <c r="BF175" s="230">
        <v>8600</v>
      </c>
      <c r="BG175" s="229">
        <v>0</v>
      </c>
      <c r="BH175" s="230">
        <v>786900</v>
      </c>
      <c r="BI175" s="230">
        <v>946000</v>
      </c>
      <c r="BJ175" s="230">
        <v>-159100</v>
      </c>
      <c r="BK175" s="229">
        <v>-0.16819999999999999</v>
      </c>
      <c r="BL175" s="230">
        <v>391300</v>
      </c>
      <c r="BM175" s="230">
        <v>584800</v>
      </c>
      <c r="BN175" s="230">
        <v>-193500</v>
      </c>
      <c r="BO175" s="229">
        <v>-0.33090000000000003</v>
      </c>
      <c r="BP175" s="230">
        <v>11571300</v>
      </c>
      <c r="BQ175" s="230">
        <v>7838900</v>
      </c>
      <c r="BR175" s="230">
        <v>3732400</v>
      </c>
      <c r="BS175" s="229">
        <v>0.47610000000000002</v>
      </c>
      <c r="BT175" s="230">
        <v>6712020</v>
      </c>
      <c r="BU175" s="230">
        <v>8995590</v>
      </c>
      <c r="BV175" s="230">
        <v>-2283570</v>
      </c>
      <c r="BW175" s="229">
        <v>-0.25390000000000001</v>
      </c>
      <c r="BX175" s="230">
        <v>107663400</v>
      </c>
      <c r="BY175" s="230">
        <v>110914200</v>
      </c>
      <c r="BZ175" s="230">
        <v>-3250800</v>
      </c>
      <c r="CA175" s="229">
        <v>-2.93E-2</v>
      </c>
      <c r="CB175" s="230">
        <v>97493900</v>
      </c>
      <c r="CC175" s="230">
        <v>102817300</v>
      </c>
      <c r="CD175" s="230">
        <v>-5323400</v>
      </c>
      <c r="CE175" s="229">
        <v>-5.1799999999999999E-2</v>
      </c>
      <c r="CF175" s="230">
        <v>9752400</v>
      </c>
      <c r="CG175" s="230">
        <v>7679800</v>
      </c>
      <c r="CH175" s="230">
        <v>2072600</v>
      </c>
      <c r="CI175" s="229">
        <v>0.26989999999999997</v>
      </c>
      <c r="CJ175" s="230">
        <v>417100</v>
      </c>
      <c r="CK175" s="230">
        <v>417100</v>
      </c>
      <c r="CL175" s="228">
        <v>0</v>
      </c>
      <c r="CM175" s="229">
        <v>0</v>
      </c>
      <c r="CN175" s="230">
        <v>29713000</v>
      </c>
      <c r="CO175" s="230">
        <v>29945200</v>
      </c>
      <c r="CP175" s="230">
        <v>-232200</v>
      </c>
      <c r="CQ175" s="229">
        <v>-7.7999999999999996E-3</v>
      </c>
      <c r="CR175" s="230">
        <v>22600800</v>
      </c>
      <c r="CS175" s="230">
        <v>22686800</v>
      </c>
      <c r="CT175" s="230">
        <v>-86000</v>
      </c>
      <c r="CU175" s="229">
        <v>-3.8E-3</v>
      </c>
      <c r="CV175" s="230">
        <v>159977200</v>
      </c>
      <c r="CW175" s="230">
        <v>163546200</v>
      </c>
      <c r="CX175" s="230">
        <v>-3569000</v>
      </c>
      <c r="CY175" s="229">
        <v>-2.18E-2</v>
      </c>
      <c r="CZ175" s="228">
        <v>55.13</v>
      </c>
      <c r="DA175" s="228">
        <v>43.91</v>
      </c>
      <c r="DB175" s="228">
        <v>11.22</v>
      </c>
      <c r="DC175" s="228">
        <v>11.22</v>
      </c>
      <c r="DD175" s="228">
        <v>55.13</v>
      </c>
      <c r="DE175" s="228">
        <v>55.2</v>
      </c>
      <c r="DF175" s="228">
        <v>0</v>
      </c>
      <c r="DG175" s="228">
        <v>-7.0000000000000007E-2</v>
      </c>
      <c r="DH175" s="228">
        <v>55.13</v>
      </c>
      <c r="DI175" s="228">
        <v>42.71</v>
      </c>
      <c r="DJ175" s="228">
        <v>12.42</v>
      </c>
      <c r="DK175" s="228">
        <v>12.42</v>
      </c>
      <c r="DL175" s="228">
        <v>55.13</v>
      </c>
      <c r="DM175" s="228">
        <v>45.85</v>
      </c>
      <c r="DN175" s="228">
        <v>9.2799999999999994</v>
      </c>
      <c r="DO175" s="228">
        <v>9.2799999999999994</v>
      </c>
      <c r="DP175" s="228">
        <v>0.76</v>
      </c>
      <c r="DQ175" s="228">
        <v>0.76</v>
      </c>
      <c r="DR175" s="228">
        <v>0</v>
      </c>
      <c r="DS175" s="229">
        <v>0</v>
      </c>
      <c r="DT175" s="228">
        <v>160</v>
      </c>
      <c r="DU175" s="228">
        <v>140</v>
      </c>
      <c r="DV175" s="228">
        <v>0.5</v>
      </c>
      <c r="DW175" s="228">
        <v>0.62</v>
      </c>
      <c r="DX175" s="228">
        <v>-0.12</v>
      </c>
      <c r="DY175" s="229">
        <v>-0.19350000000000001</v>
      </c>
      <c r="DZ175" s="229">
        <v>9.4500000000000001E-2</v>
      </c>
      <c r="EA175" s="230">
        <v>8096900</v>
      </c>
      <c r="EB175" s="229">
        <v>5.4999999999999997E-3</v>
      </c>
      <c r="EC175" s="229">
        <v>9.4500000000000001E-2</v>
      </c>
      <c r="ED175" s="228">
        <v>0.41</v>
      </c>
      <c r="EE175" s="229">
        <v>2.8999999999999998E-3</v>
      </c>
      <c r="EF175" s="230">
        <v>2511527</v>
      </c>
      <c r="EG175" s="230">
        <v>4495770</v>
      </c>
      <c r="EH175" s="229">
        <v>-0.44140000000000001</v>
      </c>
      <c r="EI175" s="229">
        <v>0.37419999999999998</v>
      </c>
      <c r="EJ175" s="231">
        <v>1189.3800000000001</v>
      </c>
      <c r="EK175" s="228">
        <v>574.24</v>
      </c>
      <c r="EL175" s="231">
        <v>14535.37</v>
      </c>
      <c r="EM175" s="228">
        <v>670</v>
      </c>
      <c r="EN175" s="231">
        <v>16298.99</v>
      </c>
      <c r="EO175" s="231">
        <v>11029.02</v>
      </c>
      <c r="EP175" s="231">
        <v>5269.97</v>
      </c>
      <c r="EQ175" s="229">
        <v>0.4778</v>
      </c>
      <c r="ER175" s="231">
        <v>46610</v>
      </c>
      <c r="ES175" s="231">
        <v>32387</v>
      </c>
      <c r="ET175" s="231">
        <v>151680</v>
      </c>
      <c r="EU175" s="231">
        <v>122326971</v>
      </c>
      <c r="EV175" s="231">
        <v>230676</v>
      </c>
      <c r="EW175" s="231">
        <v>232575</v>
      </c>
      <c r="EX175" s="231">
        <v>-1899</v>
      </c>
      <c r="EY175" s="229">
        <v>-8.2000000000000007E-3</v>
      </c>
      <c r="EZ175" s="229">
        <v>1.3078000000000001</v>
      </c>
      <c r="FA175" s="227" t="s">
        <v>556</v>
      </c>
      <c r="FB175" s="161">
        <f t="shared" si="4"/>
        <v>0</v>
      </c>
    </row>
    <row r="176" spans="1:158" ht="17.25" thickBot="1" x14ac:dyDescent="0.3">
      <c r="A176" s="226">
        <v>46044</v>
      </c>
      <c r="B176" s="227" t="s">
        <v>175</v>
      </c>
      <c r="C176" s="227" t="s">
        <v>536</v>
      </c>
      <c r="D176" s="228">
        <v>800</v>
      </c>
      <c r="E176" s="228">
        <v>792.05</v>
      </c>
      <c r="F176" s="228">
        <v>786.6</v>
      </c>
      <c r="G176" s="228">
        <v>5.45</v>
      </c>
      <c r="H176" s="229">
        <v>6.8999999999999999E-3</v>
      </c>
      <c r="I176" s="228">
        <v>789.1</v>
      </c>
      <c r="J176" s="228">
        <v>783.7</v>
      </c>
      <c r="K176" s="228">
        <v>5.4</v>
      </c>
      <c r="L176" s="229">
        <v>6.8999999999999999E-3</v>
      </c>
      <c r="M176" s="228">
        <v>792.05</v>
      </c>
      <c r="N176" s="228">
        <v>786.6</v>
      </c>
      <c r="O176" s="228">
        <v>5.45</v>
      </c>
      <c r="P176" s="229">
        <v>6.8999999999999999E-3</v>
      </c>
      <c r="Q176" s="228">
        <v>788.1</v>
      </c>
      <c r="R176" s="228">
        <v>777.85</v>
      </c>
      <c r="S176" s="228">
        <v>10.25</v>
      </c>
      <c r="T176" s="229">
        <v>1.32E-2</v>
      </c>
      <c r="U176" s="228">
        <v>785.7</v>
      </c>
      <c r="V176" s="228">
        <v>774.7</v>
      </c>
      <c r="W176" s="228">
        <v>11</v>
      </c>
      <c r="X176" s="229">
        <v>1.4200000000000001E-2</v>
      </c>
      <c r="Y176" s="228">
        <v>2.95</v>
      </c>
      <c r="Z176" s="228">
        <v>2.9</v>
      </c>
      <c r="AA176" s="228">
        <v>0.05</v>
      </c>
      <c r="AB176" s="229">
        <v>3.7000000000000002E-3</v>
      </c>
      <c r="AC176" s="228">
        <v>2.95</v>
      </c>
      <c r="AD176" s="228">
        <v>2.9</v>
      </c>
      <c r="AE176" s="228">
        <v>0.05</v>
      </c>
      <c r="AF176" s="229">
        <v>3.7000000000000002E-3</v>
      </c>
      <c r="AG176" s="228">
        <v>-1</v>
      </c>
      <c r="AH176" s="228">
        <v>-5.85</v>
      </c>
      <c r="AI176" s="228">
        <v>4.8499999999999996</v>
      </c>
      <c r="AJ176" s="229">
        <v>-1.2999999999999999E-3</v>
      </c>
      <c r="AK176" s="228">
        <v>-3.4</v>
      </c>
      <c r="AL176" s="228">
        <v>-9</v>
      </c>
      <c r="AM176" s="228">
        <v>5.6</v>
      </c>
      <c r="AN176" s="229">
        <v>-4.3E-3</v>
      </c>
      <c r="AO176" s="228">
        <v>790.11</v>
      </c>
      <c r="AP176" s="228">
        <v>785.55</v>
      </c>
      <c r="AQ176" s="228">
        <v>0</v>
      </c>
      <c r="AR176" s="230">
        <v>19937600</v>
      </c>
      <c r="AS176" s="230">
        <v>15837600</v>
      </c>
      <c r="AT176" s="230">
        <v>4100000</v>
      </c>
      <c r="AU176" s="229">
        <v>0.25890000000000002</v>
      </c>
      <c r="AV176" s="230">
        <v>9937600</v>
      </c>
      <c r="AW176" s="230">
        <v>9060800</v>
      </c>
      <c r="AX176" s="230">
        <v>876800</v>
      </c>
      <c r="AY176" s="229">
        <v>9.6799999999999997E-2</v>
      </c>
      <c r="AZ176" s="230">
        <v>9937600</v>
      </c>
      <c r="BA176" s="230">
        <v>6735200</v>
      </c>
      <c r="BB176" s="230">
        <v>3202400</v>
      </c>
      <c r="BC176" s="229">
        <v>0.47549999999999998</v>
      </c>
      <c r="BD176" s="230">
        <v>62400</v>
      </c>
      <c r="BE176" s="230">
        <v>41600</v>
      </c>
      <c r="BF176" s="230">
        <v>20800</v>
      </c>
      <c r="BG176" s="229">
        <v>0.5</v>
      </c>
      <c r="BH176" s="230">
        <v>7607200</v>
      </c>
      <c r="BI176" s="230">
        <v>11755200</v>
      </c>
      <c r="BJ176" s="230">
        <v>-4148000</v>
      </c>
      <c r="BK176" s="229">
        <v>-0.35289999999999999</v>
      </c>
      <c r="BL176" s="230">
        <v>5265600</v>
      </c>
      <c r="BM176" s="230">
        <v>8966400</v>
      </c>
      <c r="BN176" s="230">
        <v>-3700800</v>
      </c>
      <c r="BO176" s="229">
        <v>-0.41270000000000001</v>
      </c>
      <c r="BP176" s="230">
        <v>32810400</v>
      </c>
      <c r="BQ176" s="230">
        <v>36559200</v>
      </c>
      <c r="BR176" s="230">
        <v>-3748800</v>
      </c>
      <c r="BS176" s="229">
        <v>-0.10249999999999999</v>
      </c>
      <c r="BT176" s="230">
        <v>1744820</v>
      </c>
      <c r="BU176" s="230">
        <v>1589730</v>
      </c>
      <c r="BV176" s="230">
        <v>155090</v>
      </c>
      <c r="BW176" s="229">
        <v>9.7600000000000006E-2</v>
      </c>
      <c r="BX176" s="230">
        <v>18280800</v>
      </c>
      <c r="BY176" s="230">
        <v>18624800</v>
      </c>
      <c r="BZ176" s="230">
        <v>-344000</v>
      </c>
      <c r="CA176" s="229">
        <v>-1.8499999999999999E-2</v>
      </c>
      <c r="CB176" s="230">
        <v>6931200</v>
      </c>
      <c r="CC176" s="230">
        <v>12973600</v>
      </c>
      <c r="CD176" s="230">
        <v>-6042400</v>
      </c>
      <c r="CE176" s="229">
        <v>-0.4657</v>
      </c>
      <c r="CF176" s="230">
        <v>11112000</v>
      </c>
      <c r="CG176" s="230">
        <v>5444000</v>
      </c>
      <c r="CH176" s="230">
        <v>5668000</v>
      </c>
      <c r="CI176" s="229">
        <v>1.0410999999999999</v>
      </c>
      <c r="CJ176" s="230">
        <v>237600</v>
      </c>
      <c r="CK176" s="230">
        <v>207200</v>
      </c>
      <c r="CL176" s="230">
        <v>30400</v>
      </c>
      <c r="CM176" s="229">
        <v>0.1467</v>
      </c>
      <c r="CN176" s="230">
        <v>7461600</v>
      </c>
      <c r="CO176" s="230">
        <v>8242400</v>
      </c>
      <c r="CP176" s="230">
        <v>-780800</v>
      </c>
      <c r="CQ176" s="229">
        <v>-9.4700000000000006E-2</v>
      </c>
      <c r="CR176" s="230">
        <v>5242400</v>
      </c>
      <c r="CS176" s="230">
        <v>5161600</v>
      </c>
      <c r="CT176" s="230">
        <v>80800</v>
      </c>
      <c r="CU176" s="229">
        <v>1.5699999999999999E-2</v>
      </c>
      <c r="CV176" s="230">
        <v>30984800</v>
      </c>
      <c r="CW176" s="230">
        <v>32028800</v>
      </c>
      <c r="CX176" s="230">
        <v>-1044000</v>
      </c>
      <c r="CY176" s="229">
        <v>-3.2599999999999997E-2</v>
      </c>
      <c r="CZ176" s="228">
        <v>29.82</v>
      </c>
      <c r="DA176" s="228">
        <v>28.87</v>
      </c>
      <c r="DB176" s="228">
        <v>0.95</v>
      </c>
      <c r="DC176" s="228">
        <v>0.95</v>
      </c>
      <c r="DD176" s="228">
        <v>29.57</v>
      </c>
      <c r="DE176" s="228">
        <v>29.62</v>
      </c>
      <c r="DF176" s="228">
        <v>0.25</v>
      </c>
      <c r="DG176" s="228">
        <v>-0.05</v>
      </c>
      <c r="DH176" s="228">
        <v>30.45</v>
      </c>
      <c r="DI176" s="228">
        <v>31.45</v>
      </c>
      <c r="DJ176" s="228">
        <v>-1</v>
      </c>
      <c r="DK176" s="228">
        <v>-1</v>
      </c>
      <c r="DL176" s="228">
        <v>28.91</v>
      </c>
      <c r="DM176" s="228">
        <v>25.49</v>
      </c>
      <c r="DN176" s="228">
        <v>3.42</v>
      </c>
      <c r="DO176" s="228">
        <v>3.42</v>
      </c>
      <c r="DP176" s="228">
        <v>0.7</v>
      </c>
      <c r="DQ176" s="228">
        <v>0.63</v>
      </c>
      <c r="DR176" s="228">
        <v>7.0000000000000007E-2</v>
      </c>
      <c r="DS176" s="229">
        <v>0.1111</v>
      </c>
      <c r="DT176" s="228">
        <v>850</v>
      </c>
      <c r="DU176" s="228">
        <v>770</v>
      </c>
      <c r="DV176" s="228">
        <v>0.69</v>
      </c>
      <c r="DW176" s="228">
        <v>0.76</v>
      </c>
      <c r="DX176" s="228">
        <v>-7.0000000000000007E-2</v>
      </c>
      <c r="DY176" s="229">
        <v>-9.2100000000000001E-2</v>
      </c>
      <c r="DZ176" s="229">
        <v>0.62080000000000002</v>
      </c>
      <c r="EA176" s="230">
        <v>5651200</v>
      </c>
      <c r="EB176" s="229">
        <v>-5.0000000000000001E-3</v>
      </c>
      <c r="EC176" s="229">
        <v>0.62080000000000002</v>
      </c>
      <c r="ED176" s="228">
        <v>-4.5599999999999996</v>
      </c>
      <c r="EE176" s="229">
        <v>-5.7999999999999996E-3</v>
      </c>
      <c r="EF176" s="230">
        <v>1119827</v>
      </c>
      <c r="EG176" s="230">
        <v>728178</v>
      </c>
      <c r="EH176" s="229">
        <v>0.53779999999999994</v>
      </c>
      <c r="EI176" s="229">
        <v>0.64180000000000004</v>
      </c>
      <c r="EJ176" s="231">
        <v>63951.96</v>
      </c>
      <c r="EK176" s="231">
        <v>42326.23</v>
      </c>
      <c r="EL176" s="231">
        <v>157071.82</v>
      </c>
      <c r="EM176" s="231">
        <v>8474</v>
      </c>
      <c r="EN176" s="231">
        <v>263350.01</v>
      </c>
      <c r="EO176" s="231">
        <v>297273.83</v>
      </c>
      <c r="EP176" s="231">
        <v>-33923.82</v>
      </c>
      <c r="EQ176" s="229">
        <v>-0.11409999999999999</v>
      </c>
      <c r="ER176" s="231">
        <v>66044</v>
      </c>
      <c r="ES176" s="231">
        <v>42525</v>
      </c>
      <c r="ET176" s="231">
        <v>144339</v>
      </c>
      <c r="EU176" s="231">
        <v>44836888</v>
      </c>
      <c r="EV176" s="231">
        <v>252908</v>
      </c>
      <c r="EW176" s="231">
        <v>261089</v>
      </c>
      <c r="EX176" s="231">
        <v>-8181</v>
      </c>
      <c r="EY176" s="229">
        <v>-3.1300000000000001E-2</v>
      </c>
      <c r="EZ176" s="229">
        <v>0.69110000000000005</v>
      </c>
      <c r="FA176" s="227" t="s">
        <v>556</v>
      </c>
      <c r="FB176" s="161">
        <f t="shared" si="4"/>
        <v>0</v>
      </c>
    </row>
    <row r="177" spans="1:158" ht="17.25" thickBot="1" x14ac:dyDescent="0.3">
      <c r="A177" s="226">
        <v>46044</v>
      </c>
      <c r="B177" s="227" t="s">
        <v>175</v>
      </c>
      <c r="C177" s="227" t="s">
        <v>462</v>
      </c>
      <c r="D177" s="228">
        <v>375</v>
      </c>
      <c r="E177" s="231">
        <v>2027.2</v>
      </c>
      <c r="F177" s="231">
        <v>2053.1</v>
      </c>
      <c r="G177" s="228">
        <v>-25.9</v>
      </c>
      <c r="H177" s="229">
        <v>-1.26E-2</v>
      </c>
      <c r="I177" s="231">
        <v>2022</v>
      </c>
      <c r="J177" s="231">
        <v>2055.4</v>
      </c>
      <c r="K177" s="228">
        <v>-33.4</v>
      </c>
      <c r="L177" s="229">
        <v>-1.6199999999999999E-2</v>
      </c>
      <c r="M177" s="231">
        <v>2027.2</v>
      </c>
      <c r="N177" s="231">
        <v>2053.1</v>
      </c>
      <c r="O177" s="228">
        <v>-25.9</v>
      </c>
      <c r="P177" s="229">
        <v>-1.26E-2</v>
      </c>
      <c r="Q177" s="231">
        <v>2037.6</v>
      </c>
      <c r="R177" s="231">
        <v>2064.1999999999998</v>
      </c>
      <c r="S177" s="228">
        <v>-26.6</v>
      </c>
      <c r="T177" s="229">
        <v>-1.29E-2</v>
      </c>
      <c r="U177" s="231">
        <v>2046.1</v>
      </c>
      <c r="V177" s="231">
        <v>2076.5</v>
      </c>
      <c r="W177" s="228">
        <v>-30.4</v>
      </c>
      <c r="X177" s="229">
        <v>-1.46E-2</v>
      </c>
      <c r="Y177" s="228">
        <v>5.2</v>
      </c>
      <c r="Z177" s="228">
        <v>-2.2999999999999998</v>
      </c>
      <c r="AA177" s="228">
        <v>7.5</v>
      </c>
      <c r="AB177" s="229">
        <v>2.5999999999999999E-3</v>
      </c>
      <c r="AC177" s="228">
        <v>5.2</v>
      </c>
      <c r="AD177" s="228">
        <v>-2.2999999999999998</v>
      </c>
      <c r="AE177" s="228">
        <v>7.5</v>
      </c>
      <c r="AF177" s="229">
        <v>2.5999999999999999E-3</v>
      </c>
      <c r="AG177" s="228">
        <v>15.6</v>
      </c>
      <c r="AH177" s="228">
        <v>8.8000000000000007</v>
      </c>
      <c r="AI177" s="228">
        <v>6.8</v>
      </c>
      <c r="AJ177" s="229">
        <v>7.7000000000000002E-3</v>
      </c>
      <c r="AK177" s="228">
        <v>24.1</v>
      </c>
      <c r="AL177" s="228">
        <v>21.1</v>
      </c>
      <c r="AM177" s="228">
        <v>3</v>
      </c>
      <c r="AN177" s="229">
        <v>1.1900000000000001E-2</v>
      </c>
      <c r="AO177" s="231">
        <v>2030.29</v>
      </c>
      <c r="AP177" s="231">
        <v>2040.24</v>
      </c>
      <c r="AQ177" s="228">
        <v>0</v>
      </c>
      <c r="AR177" s="230">
        <v>9991875</v>
      </c>
      <c r="AS177" s="230">
        <v>5063250</v>
      </c>
      <c r="AT177" s="230">
        <v>4928625</v>
      </c>
      <c r="AU177" s="229">
        <v>0.97340000000000004</v>
      </c>
      <c r="AV177" s="230">
        <v>4925625</v>
      </c>
      <c r="AW177" s="230">
        <v>2841000</v>
      </c>
      <c r="AX177" s="230">
        <v>2084625</v>
      </c>
      <c r="AY177" s="229">
        <v>0.73380000000000001</v>
      </c>
      <c r="AZ177" s="230">
        <v>5044500</v>
      </c>
      <c r="BA177" s="230">
        <v>2199375</v>
      </c>
      <c r="BB177" s="230">
        <v>2845125</v>
      </c>
      <c r="BC177" s="229">
        <v>1.2936000000000001</v>
      </c>
      <c r="BD177" s="230">
        <v>21750</v>
      </c>
      <c r="BE177" s="230">
        <v>22875</v>
      </c>
      <c r="BF177" s="230">
        <v>-1125</v>
      </c>
      <c r="BG177" s="229">
        <v>-4.9200000000000001E-2</v>
      </c>
      <c r="BH177" s="230">
        <v>9151500</v>
      </c>
      <c r="BI177" s="230">
        <v>9697500</v>
      </c>
      <c r="BJ177" s="230">
        <v>-546000</v>
      </c>
      <c r="BK177" s="229">
        <v>-5.6300000000000003E-2</v>
      </c>
      <c r="BL177" s="230">
        <v>8274000</v>
      </c>
      <c r="BM177" s="230">
        <v>4908000</v>
      </c>
      <c r="BN177" s="230">
        <v>3366000</v>
      </c>
      <c r="BO177" s="229">
        <v>0.68579999999999997</v>
      </c>
      <c r="BP177" s="230">
        <v>27417375</v>
      </c>
      <c r="BQ177" s="230">
        <v>19668750</v>
      </c>
      <c r="BR177" s="230">
        <v>7748625</v>
      </c>
      <c r="BS177" s="229">
        <v>0.39400000000000002</v>
      </c>
      <c r="BT177" s="230">
        <v>1998008</v>
      </c>
      <c r="BU177" s="230">
        <v>1184261</v>
      </c>
      <c r="BV177" s="230">
        <v>813747</v>
      </c>
      <c r="BW177" s="229">
        <v>0.68710000000000004</v>
      </c>
      <c r="BX177" s="230">
        <v>10221000</v>
      </c>
      <c r="BY177" s="230">
        <v>9694125</v>
      </c>
      <c r="BZ177" s="230">
        <v>526875</v>
      </c>
      <c r="CA177" s="229">
        <v>5.4300000000000001E-2</v>
      </c>
      <c r="CB177" s="230">
        <v>3919875</v>
      </c>
      <c r="CC177" s="230">
        <v>7225500</v>
      </c>
      <c r="CD177" s="230">
        <v>-3305625</v>
      </c>
      <c r="CE177" s="229">
        <v>-0.45750000000000002</v>
      </c>
      <c r="CF177" s="230">
        <v>6178125</v>
      </c>
      <c r="CG177" s="230">
        <v>2353125</v>
      </c>
      <c r="CH177" s="230">
        <v>3825000</v>
      </c>
      <c r="CI177" s="229">
        <v>1.6254999999999999</v>
      </c>
      <c r="CJ177" s="230">
        <v>123000</v>
      </c>
      <c r="CK177" s="230">
        <v>115500</v>
      </c>
      <c r="CL177" s="230">
        <v>7500</v>
      </c>
      <c r="CM177" s="229">
        <v>6.4899999999999999E-2</v>
      </c>
      <c r="CN177" s="230">
        <v>7708875</v>
      </c>
      <c r="CO177" s="230">
        <v>7721625</v>
      </c>
      <c r="CP177" s="230">
        <v>-12750</v>
      </c>
      <c r="CQ177" s="229">
        <v>-1.6999999999999999E-3</v>
      </c>
      <c r="CR177" s="230">
        <v>2352375</v>
      </c>
      <c r="CS177" s="230">
        <v>2194500</v>
      </c>
      <c r="CT177" s="230">
        <v>157875</v>
      </c>
      <c r="CU177" s="229">
        <v>7.1900000000000006E-2</v>
      </c>
      <c r="CV177" s="230">
        <v>20282250</v>
      </c>
      <c r="CW177" s="230">
        <v>19610250</v>
      </c>
      <c r="CX177" s="230">
        <v>672000</v>
      </c>
      <c r="CY177" s="229">
        <v>3.4299999999999997E-2</v>
      </c>
      <c r="CZ177" s="228">
        <v>22.8</v>
      </c>
      <c r="DA177" s="228">
        <v>16.05</v>
      </c>
      <c r="DB177" s="228">
        <v>6.75</v>
      </c>
      <c r="DC177" s="228">
        <v>6.75</v>
      </c>
      <c r="DD177" s="228">
        <v>23.62</v>
      </c>
      <c r="DE177" s="228">
        <v>23.58</v>
      </c>
      <c r="DF177" s="228">
        <v>-0.82</v>
      </c>
      <c r="DG177" s="228">
        <v>0.04</v>
      </c>
      <c r="DH177" s="228">
        <v>22.49</v>
      </c>
      <c r="DI177" s="228">
        <v>15.29</v>
      </c>
      <c r="DJ177" s="228">
        <v>7.2</v>
      </c>
      <c r="DK177" s="228">
        <v>7.2</v>
      </c>
      <c r="DL177" s="228">
        <v>23.11</v>
      </c>
      <c r="DM177" s="228">
        <v>17.57</v>
      </c>
      <c r="DN177" s="228">
        <v>5.54</v>
      </c>
      <c r="DO177" s="228">
        <v>5.54</v>
      </c>
      <c r="DP177" s="228">
        <v>0.31</v>
      </c>
      <c r="DQ177" s="228">
        <v>0.28000000000000003</v>
      </c>
      <c r="DR177" s="228">
        <v>0.03</v>
      </c>
      <c r="DS177" s="229">
        <v>0.1071</v>
      </c>
      <c r="DT177" s="231">
        <v>2140</v>
      </c>
      <c r="DU177" s="231">
        <v>2020</v>
      </c>
      <c r="DV177" s="228">
        <v>0.9</v>
      </c>
      <c r="DW177" s="228">
        <v>0.51</v>
      </c>
      <c r="DX177" s="228">
        <v>0.39</v>
      </c>
      <c r="DY177" s="229">
        <v>0.76470000000000005</v>
      </c>
      <c r="DZ177" s="229">
        <v>0.61650000000000005</v>
      </c>
      <c r="EA177" s="230">
        <v>2468625</v>
      </c>
      <c r="EB177" s="229">
        <v>5.1000000000000004E-3</v>
      </c>
      <c r="EC177" s="229">
        <v>0.61650000000000005</v>
      </c>
      <c r="ED177" s="228">
        <v>9.9499999999999993</v>
      </c>
      <c r="EE177" s="229">
        <v>4.8999999999999998E-3</v>
      </c>
      <c r="EF177" s="230">
        <v>1327692</v>
      </c>
      <c r="EG177" s="230">
        <v>833052</v>
      </c>
      <c r="EH177" s="229">
        <v>0.59379999999999999</v>
      </c>
      <c r="EI177" s="229">
        <v>0.66449999999999998</v>
      </c>
      <c r="EJ177" s="231">
        <v>190945.8</v>
      </c>
      <c r="EK177" s="231">
        <v>167318.96</v>
      </c>
      <c r="EL177" s="231">
        <v>203370.89</v>
      </c>
      <c r="EM177" s="231">
        <v>6034</v>
      </c>
      <c r="EN177" s="231">
        <v>561635.65</v>
      </c>
      <c r="EO177" s="231">
        <v>409150.11</v>
      </c>
      <c r="EP177" s="231">
        <v>152485.54</v>
      </c>
      <c r="EQ177" s="229">
        <v>0.37269999999999998</v>
      </c>
      <c r="ER177" s="231">
        <v>164552</v>
      </c>
      <c r="ES177" s="231">
        <v>46912</v>
      </c>
      <c r="ET177" s="231">
        <v>207866</v>
      </c>
      <c r="EU177" s="231">
        <v>44756800</v>
      </c>
      <c r="EV177" s="231">
        <v>419329</v>
      </c>
      <c r="EW177" s="231">
        <v>408143</v>
      </c>
      <c r="EX177" s="231">
        <v>11186</v>
      </c>
      <c r="EY177" s="229">
        <v>2.7400000000000001E-2</v>
      </c>
      <c r="EZ177" s="229">
        <v>0.45319999999999999</v>
      </c>
      <c r="FA177" s="227" t="s">
        <v>567</v>
      </c>
      <c r="FB177" s="161">
        <f t="shared" si="4"/>
        <v>0</v>
      </c>
    </row>
    <row r="178" spans="1:158" ht="17.25" thickBot="1" x14ac:dyDescent="0.3">
      <c r="A178" s="226">
        <v>46044</v>
      </c>
      <c r="B178" s="227" t="s">
        <v>172</v>
      </c>
      <c r="C178" s="227" t="s">
        <v>283</v>
      </c>
      <c r="D178" s="228">
        <v>750</v>
      </c>
      <c r="E178" s="231">
        <v>1047.25</v>
      </c>
      <c r="F178" s="231">
        <v>1030.25</v>
      </c>
      <c r="G178" s="228">
        <v>17</v>
      </c>
      <c r="H178" s="229">
        <v>1.6500000000000001E-2</v>
      </c>
      <c r="I178" s="231">
        <v>1048.3499999999999</v>
      </c>
      <c r="J178" s="231">
        <v>1028.6500000000001</v>
      </c>
      <c r="K178" s="228">
        <v>19.7</v>
      </c>
      <c r="L178" s="229">
        <v>1.9199999999999998E-2</v>
      </c>
      <c r="M178" s="231">
        <v>1047.25</v>
      </c>
      <c r="N178" s="231">
        <v>1030.25</v>
      </c>
      <c r="O178" s="228">
        <v>17</v>
      </c>
      <c r="P178" s="229">
        <v>1.6500000000000001E-2</v>
      </c>
      <c r="Q178" s="231">
        <v>1053.1500000000001</v>
      </c>
      <c r="R178" s="231">
        <v>1036.05</v>
      </c>
      <c r="S178" s="228">
        <v>17.100000000000001</v>
      </c>
      <c r="T178" s="229">
        <v>1.6500000000000001E-2</v>
      </c>
      <c r="U178" s="231">
        <v>1060.4000000000001</v>
      </c>
      <c r="V178" s="231">
        <v>1042.7</v>
      </c>
      <c r="W178" s="228">
        <v>17.7</v>
      </c>
      <c r="X178" s="229">
        <v>1.7000000000000001E-2</v>
      </c>
      <c r="Y178" s="228">
        <v>-1.1000000000000001</v>
      </c>
      <c r="Z178" s="228">
        <v>1.6</v>
      </c>
      <c r="AA178" s="228">
        <v>-2.7</v>
      </c>
      <c r="AB178" s="229">
        <v>-1E-3</v>
      </c>
      <c r="AC178" s="228">
        <v>-1.1000000000000001</v>
      </c>
      <c r="AD178" s="228">
        <v>1.6</v>
      </c>
      <c r="AE178" s="228">
        <v>-2.7</v>
      </c>
      <c r="AF178" s="229">
        <v>-1E-3</v>
      </c>
      <c r="AG178" s="228">
        <v>4.8</v>
      </c>
      <c r="AH178" s="228">
        <v>7.4</v>
      </c>
      <c r="AI178" s="228">
        <v>-2.6</v>
      </c>
      <c r="AJ178" s="229">
        <v>4.5999999999999999E-3</v>
      </c>
      <c r="AK178" s="228">
        <v>12.05</v>
      </c>
      <c r="AL178" s="228">
        <v>14.05</v>
      </c>
      <c r="AM178" s="228">
        <v>-2</v>
      </c>
      <c r="AN178" s="229">
        <v>1.15E-2</v>
      </c>
      <c r="AO178" s="231">
        <v>1045.78</v>
      </c>
      <c r="AP178" s="231">
        <v>1051.27</v>
      </c>
      <c r="AQ178" s="228">
        <v>0</v>
      </c>
      <c r="AR178" s="230">
        <v>56434500</v>
      </c>
      <c r="AS178" s="230">
        <v>47331750</v>
      </c>
      <c r="AT178" s="230">
        <v>9102750</v>
      </c>
      <c r="AU178" s="229">
        <v>0.1923</v>
      </c>
      <c r="AV178" s="230">
        <v>29712000</v>
      </c>
      <c r="AW178" s="230">
        <v>26130750</v>
      </c>
      <c r="AX178" s="230">
        <v>3581250</v>
      </c>
      <c r="AY178" s="229">
        <v>0.1371</v>
      </c>
      <c r="AZ178" s="230">
        <v>26370000</v>
      </c>
      <c r="BA178" s="230">
        <v>20790750</v>
      </c>
      <c r="BB178" s="230">
        <v>5579250</v>
      </c>
      <c r="BC178" s="229">
        <v>0.26840000000000003</v>
      </c>
      <c r="BD178" s="230">
        <v>352500</v>
      </c>
      <c r="BE178" s="230">
        <v>410250</v>
      </c>
      <c r="BF178" s="230">
        <v>-57750</v>
      </c>
      <c r="BG178" s="229">
        <v>-0.14080000000000001</v>
      </c>
      <c r="BH178" s="230">
        <v>145829250</v>
      </c>
      <c r="BI178" s="230">
        <v>135624750</v>
      </c>
      <c r="BJ178" s="230">
        <v>10204500</v>
      </c>
      <c r="BK178" s="229">
        <v>7.5200000000000003E-2</v>
      </c>
      <c r="BL178" s="230">
        <v>101703750</v>
      </c>
      <c r="BM178" s="230">
        <v>112866750</v>
      </c>
      <c r="BN178" s="230">
        <v>-11163000</v>
      </c>
      <c r="BO178" s="229">
        <v>-9.8900000000000002E-2</v>
      </c>
      <c r="BP178" s="230">
        <v>303967500</v>
      </c>
      <c r="BQ178" s="230">
        <v>295823250</v>
      </c>
      <c r="BR178" s="230">
        <v>8144250</v>
      </c>
      <c r="BS178" s="229">
        <v>2.75E-2</v>
      </c>
      <c r="BT178" s="230">
        <v>12764251</v>
      </c>
      <c r="BU178" s="230">
        <v>7955233</v>
      </c>
      <c r="BV178" s="230">
        <v>4809018</v>
      </c>
      <c r="BW178" s="229">
        <v>0.60450000000000004</v>
      </c>
      <c r="BX178" s="230">
        <v>74453250</v>
      </c>
      <c r="BY178" s="230">
        <v>73707750</v>
      </c>
      <c r="BZ178" s="230">
        <v>745500</v>
      </c>
      <c r="CA178" s="229">
        <v>1.01E-2</v>
      </c>
      <c r="CB178" s="230">
        <v>29038500</v>
      </c>
      <c r="CC178" s="230">
        <v>47583750</v>
      </c>
      <c r="CD178" s="230">
        <v>-18545250</v>
      </c>
      <c r="CE178" s="229">
        <v>-0.38969999999999999</v>
      </c>
      <c r="CF178" s="230">
        <v>43095000</v>
      </c>
      <c r="CG178" s="230">
        <v>23932500</v>
      </c>
      <c r="CH178" s="230">
        <v>19162500</v>
      </c>
      <c r="CI178" s="229">
        <v>0.80069999999999997</v>
      </c>
      <c r="CJ178" s="230">
        <v>2319750</v>
      </c>
      <c r="CK178" s="230">
        <v>2191500</v>
      </c>
      <c r="CL178" s="230">
        <v>128250</v>
      </c>
      <c r="CM178" s="229">
        <v>5.8500000000000003E-2</v>
      </c>
      <c r="CN178" s="230">
        <v>44706000</v>
      </c>
      <c r="CO178" s="230">
        <v>47189250</v>
      </c>
      <c r="CP178" s="230">
        <v>-2483250</v>
      </c>
      <c r="CQ178" s="229">
        <v>-5.2600000000000001E-2</v>
      </c>
      <c r="CR178" s="230">
        <v>42789000</v>
      </c>
      <c r="CS178" s="230">
        <v>41243250</v>
      </c>
      <c r="CT178" s="230">
        <v>1545750</v>
      </c>
      <c r="CU178" s="229">
        <v>3.7499999999999999E-2</v>
      </c>
      <c r="CV178" s="230">
        <v>161948250</v>
      </c>
      <c r="CW178" s="230">
        <v>162140250</v>
      </c>
      <c r="CX178" s="230">
        <v>-192000</v>
      </c>
      <c r="CY178" s="229">
        <v>-1.1999999999999999E-3</v>
      </c>
      <c r="CZ178" s="228">
        <v>23.83</v>
      </c>
      <c r="DA178" s="228">
        <v>16.84</v>
      </c>
      <c r="DB178" s="228">
        <v>6.99</v>
      </c>
      <c r="DC178" s="228">
        <v>6.99</v>
      </c>
      <c r="DD178" s="228">
        <v>24.07</v>
      </c>
      <c r="DE178" s="228">
        <v>23.99</v>
      </c>
      <c r="DF178" s="228">
        <v>-0.24</v>
      </c>
      <c r="DG178" s="228">
        <v>0.08</v>
      </c>
      <c r="DH178" s="228">
        <v>23.57</v>
      </c>
      <c r="DI178" s="228">
        <v>15.92</v>
      </c>
      <c r="DJ178" s="228">
        <v>7.65</v>
      </c>
      <c r="DK178" s="228">
        <v>7.65</v>
      </c>
      <c r="DL178" s="228">
        <v>24.12</v>
      </c>
      <c r="DM178" s="228">
        <v>17.95</v>
      </c>
      <c r="DN178" s="228">
        <v>6.17</v>
      </c>
      <c r="DO178" s="228">
        <v>6.17</v>
      </c>
      <c r="DP178" s="228">
        <v>0.96</v>
      </c>
      <c r="DQ178" s="228">
        <v>0.87</v>
      </c>
      <c r="DR178" s="228">
        <v>0.09</v>
      </c>
      <c r="DS178" s="229">
        <v>0.10340000000000001</v>
      </c>
      <c r="DT178" s="231">
        <v>1030</v>
      </c>
      <c r="DU178" s="231">
        <v>1000</v>
      </c>
      <c r="DV178" s="228">
        <v>0.7</v>
      </c>
      <c r="DW178" s="228">
        <v>0.83</v>
      </c>
      <c r="DX178" s="228">
        <v>-0.13</v>
      </c>
      <c r="DY178" s="229">
        <v>-0.15659999999999999</v>
      </c>
      <c r="DZ178" s="229">
        <v>0.61</v>
      </c>
      <c r="EA178" s="230">
        <v>26124000</v>
      </c>
      <c r="EB178" s="229">
        <v>5.5999999999999999E-3</v>
      </c>
      <c r="EC178" s="229">
        <v>0.61</v>
      </c>
      <c r="ED178" s="228">
        <v>5.49</v>
      </c>
      <c r="EE178" s="229">
        <v>5.1999999999999998E-3</v>
      </c>
      <c r="EF178" s="230">
        <v>7639683</v>
      </c>
      <c r="EG178" s="230">
        <v>4685742</v>
      </c>
      <c r="EH178" s="229">
        <v>0.63039999999999996</v>
      </c>
      <c r="EI178" s="229">
        <v>0.59850000000000003</v>
      </c>
      <c r="EJ178" s="231">
        <v>1551149.58</v>
      </c>
      <c r="EK178" s="231">
        <v>1050855.18</v>
      </c>
      <c r="EL178" s="231">
        <v>591675.39</v>
      </c>
      <c r="EM178" s="231">
        <v>32405</v>
      </c>
      <c r="EN178" s="231">
        <v>3193680.15</v>
      </c>
      <c r="EO178" s="231">
        <v>3067809.24</v>
      </c>
      <c r="EP178" s="231">
        <v>125870.91</v>
      </c>
      <c r="EQ178" s="229">
        <v>4.1000000000000002E-2</v>
      </c>
      <c r="ER178" s="231">
        <v>465082</v>
      </c>
      <c r="ES178" s="231">
        <v>426736</v>
      </c>
      <c r="ET178" s="231">
        <v>782559</v>
      </c>
      <c r="EU178" s="231">
        <v>436949195</v>
      </c>
      <c r="EV178" s="231">
        <v>1674377</v>
      </c>
      <c r="EW178" s="231">
        <v>1661271</v>
      </c>
      <c r="EX178" s="231">
        <v>13106</v>
      </c>
      <c r="EY178" s="229">
        <v>7.9000000000000008E-3</v>
      </c>
      <c r="EZ178" s="229">
        <v>0.37059999999999998</v>
      </c>
      <c r="FA178" s="227" t="s">
        <v>555</v>
      </c>
      <c r="FB178" s="161">
        <f t="shared" si="4"/>
        <v>0</v>
      </c>
    </row>
    <row r="179" spans="1:158" ht="17.25" thickBot="1" x14ac:dyDescent="0.3">
      <c r="A179" s="226">
        <v>46044</v>
      </c>
      <c r="B179" s="227" t="s">
        <v>157</v>
      </c>
      <c r="C179" s="227" t="s">
        <v>284</v>
      </c>
      <c r="D179" s="228">
        <v>25</v>
      </c>
      <c r="E179" s="231">
        <v>27525</v>
      </c>
      <c r="F179" s="231">
        <v>27440</v>
      </c>
      <c r="G179" s="228">
        <v>85</v>
      </c>
      <c r="H179" s="229">
        <v>3.0999999999999999E-3</v>
      </c>
      <c r="I179" s="231">
        <v>27430</v>
      </c>
      <c r="J179" s="231">
        <v>27370</v>
      </c>
      <c r="K179" s="228">
        <v>60</v>
      </c>
      <c r="L179" s="229">
        <v>2.2000000000000001E-3</v>
      </c>
      <c r="M179" s="231">
        <v>27525</v>
      </c>
      <c r="N179" s="231">
        <v>27440</v>
      </c>
      <c r="O179" s="228">
        <v>85</v>
      </c>
      <c r="P179" s="229">
        <v>3.0999999999999999E-3</v>
      </c>
      <c r="Q179" s="231">
        <v>27560</v>
      </c>
      <c r="R179" s="231">
        <v>27460</v>
      </c>
      <c r="S179" s="228">
        <v>100</v>
      </c>
      <c r="T179" s="229">
        <v>3.5999999999999999E-3</v>
      </c>
      <c r="U179" s="231">
        <v>27630</v>
      </c>
      <c r="V179" s="231">
        <v>27610</v>
      </c>
      <c r="W179" s="228">
        <v>20</v>
      </c>
      <c r="X179" s="229">
        <v>6.9999999999999999E-4</v>
      </c>
      <c r="Y179" s="228">
        <v>95</v>
      </c>
      <c r="Z179" s="228">
        <v>70</v>
      </c>
      <c r="AA179" s="228">
        <v>25</v>
      </c>
      <c r="AB179" s="229">
        <v>3.5000000000000001E-3</v>
      </c>
      <c r="AC179" s="228">
        <v>95</v>
      </c>
      <c r="AD179" s="228">
        <v>70</v>
      </c>
      <c r="AE179" s="228">
        <v>25</v>
      </c>
      <c r="AF179" s="229">
        <v>3.5000000000000001E-3</v>
      </c>
      <c r="AG179" s="228">
        <v>130</v>
      </c>
      <c r="AH179" s="228">
        <v>90</v>
      </c>
      <c r="AI179" s="228">
        <v>40</v>
      </c>
      <c r="AJ179" s="229">
        <v>4.7000000000000002E-3</v>
      </c>
      <c r="AK179" s="228">
        <v>200</v>
      </c>
      <c r="AL179" s="228">
        <v>240</v>
      </c>
      <c r="AM179" s="228">
        <v>-40</v>
      </c>
      <c r="AN179" s="229">
        <v>7.3000000000000001E-3</v>
      </c>
      <c r="AO179" s="231">
        <v>27520.71</v>
      </c>
      <c r="AP179" s="231">
        <v>27572.41</v>
      </c>
      <c r="AQ179" s="228">
        <v>0</v>
      </c>
      <c r="AR179" s="230">
        <v>227575</v>
      </c>
      <c r="AS179" s="230">
        <v>189800</v>
      </c>
      <c r="AT179" s="230">
        <v>37775</v>
      </c>
      <c r="AU179" s="229">
        <v>0.19900000000000001</v>
      </c>
      <c r="AV179" s="230">
        <v>116400</v>
      </c>
      <c r="AW179" s="230">
        <v>101850</v>
      </c>
      <c r="AX179" s="230">
        <v>14550</v>
      </c>
      <c r="AY179" s="229">
        <v>0.1429</v>
      </c>
      <c r="AZ179" s="230">
        <v>111000</v>
      </c>
      <c r="BA179" s="230">
        <v>87775</v>
      </c>
      <c r="BB179" s="230">
        <v>23225</v>
      </c>
      <c r="BC179" s="229">
        <v>0.2646</v>
      </c>
      <c r="BD179" s="228">
        <v>175</v>
      </c>
      <c r="BE179" s="228">
        <v>175</v>
      </c>
      <c r="BF179" s="228">
        <v>0</v>
      </c>
      <c r="BG179" s="229">
        <v>0</v>
      </c>
      <c r="BH179" s="230">
        <v>104875</v>
      </c>
      <c r="BI179" s="230">
        <v>179200</v>
      </c>
      <c r="BJ179" s="230">
        <v>-74325</v>
      </c>
      <c r="BK179" s="229">
        <v>-0.4148</v>
      </c>
      <c r="BL179" s="230">
        <v>56550</v>
      </c>
      <c r="BM179" s="230">
        <v>92600</v>
      </c>
      <c r="BN179" s="230">
        <v>-36050</v>
      </c>
      <c r="BO179" s="229">
        <v>-0.38929999999999998</v>
      </c>
      <c r="BP179" s="230">
        <v>389000</v>
      </c>
      <c r="BQ179" s="230">
        <v>461600</v>
      </c>
      <c r="BR179" s="230">
        <v>-72600</v>
      </c>
      <c r="BS179" s="229">
        <v>-0.1573</v>
      </c>
      <c r="BT179" s="230">
        <v>14891</v>
      </c>
      <c r="BU179" s="230">
        <v>25324</v>
      </c>
      <c r="BV179" s="230">
        <v>-10433</v>
      </c>
      <c r="BW179" s="229">
        <v>-0.41199999999999998</v>
      </c>
      <c r="BX179" s="230">
        <v>260600</v>
      </c>
      <c r="BY179" s="230">
        <v>257625</v>
      </c>
      <c r="BZ179" s="230">
        <v>2975</v>
      </c>
      <c r="CA179" s="229">
        <v>1.15E-2</v>
      </c>
      <c r="CB179" s="230">
        <v>104825</v>
      </c>
      <c r="CC179" s="230">
        <v>189975</v>
      </c>
      <c r="CD179" s="230">
        <v>-85150</v>
      </c>
      <c r="CE179" s="229">
        <v>-0.44819999999999999</v>
      </c>
      <c r="CF179" s="230">
        <v>155125</v>
      </c>
      <c r="CG179" s="230">
        <v>66900</v>
      </c>
      <c r="CH179" s="230">
        <v>88225</v>
      </c>
      <c r="CI179" s="229">
        <v>1.3188</v>
      </c>
      <c r="CJ179" s="228">
        <v>650</v>
      </c>
      <c r="CK179" s="228">
        <v>750</v>
      </c>
      <c r="CL179" s="228">
        <v>-100</v>
      </c>
      <c r="CM179" s="229">
        <v>-0.1333</v>
      </c>
      <c r="CN179" s="230">
        <v>66225</v>
      </c>
      <c r="CO179" s="230">
        <v>76325</v>
      </c>
      <c r="CP179" s="230">
        <v>-10100</v>
      </c>
      <c r="CQ179" s="229">
        <v>-0.1323</v>
      </c>
      <c r="CR179" s="230">
        <v>48575</v>
      </c>
      <c r="CS179" s="230">
        <v>57675</v>
      </c>
      <c r="CT179" s="230">
        <v>-9100</v>
      </c>
      <c r="CU179" s="229">
        <v>-0.1578</v>
      </c>
      <c r="CV179" s="230">
        <v>375400</v>
      </c>
      <c r="CW179" s="230">
        <v>391625</v>
      </c>
      <c r="CX179" s="230">
        <v>-16225</v>
      </c>
      <c r="CY179" s="229">
        <v>-4.1399999999999999E-2</v>
      </c>
      <c r="CZ179" s="228">
        <v>25.45</v>
      </c>
      <c r="DA179" s="228">
        <v>25.17</v>
      </c>
      <c r="DB179" s="228">
        <v>0.28000000000000003</v>
      </c>
      <c r="DC179" s="228">
        <v>0.28000000000000003</v>
      </c>
      <c r="DD179" s="228">
        <v>24.11</v>
      </c>
      <c r="DE179" s="228">
        <v>24.17</v>
      </c>
      <c r="DF179" s="228">
        <v>1.34</v>
      </c>
      <c r="DG179" s="228">
        <v>-0.06</v>
      </c>
      <c r="DH179" s="228">
        <v>25.15</v>
      </c>
      <c r="DI179" s="228">
        <v>23.97</v>
      </c>
      <c r="DJ179" s="228">
        <v>1.18</v>
      </c>
      <c r="DK179" s="228">
        <v>1.18</v>
      </c>
      <c r="DL179" s="228">
        <v>25.74</v>
      </c>
      <c r="DM179" s="228">
        <v>27.51</v>
      </c>
      <c r="DN179" s="228">
        <v>-1.77</v>
      </c>
      <c r="DO179" s="228">
        <v>-1.77</v>
      </c>
      <c r="DP179" s="228">
        <v>0.73</v>
      </c>
      <c r="DQ179" s="228">
        <v>0.76</v>
      </c>
      <c r="DR179" s="228">
        <v>-0.03</v>
      </c>
      <c r="DS179" s="229">
        <v>-3.95E-2</v>
      </c>
      <c r="DT179" s="231">
        <v>28000</v>
      </c>
      <c r="DU179" s="231">
        <v>26500</v>
      </c>
      <c r="DV179" s="228">
        <v>0.54</v>
      </c>
      <c r="DW179" s="228">
        <v>0.52</v>
      </c>
      <c r="DX179" s="228">
        <v>0.02</v>
      </c>
      <c r="DY179" s="229">
        <v>3.85E-2</v>
      </c>
      <c r="DZ179" s="229">
        <v>0.5978</v>
      </c>
      <c r="EA179" s="230">
        <v>67650</v>
      </c>
      <c r="EB179" s="229">
        <v>1.2999999999999999E-3</v>
      </c>
      <c r="EC179" s="229">
        <v>0.5978</v>
      </c>
      <c r="ED179" s="228">
        <v>51.7</v>
      </c>
      <c r="EE179" s="229">
        <v>1.9E-3</v>
      </c>
      <c r="EF179" s="230">
        <v>9380</v>
      </c>
      <c r="EG179" s="230">
        <v>13209</v>
      </c>
      <c r="EH179" s="229">
        <v>-0.28989999999999999</v>
      </c>
      <c r="EI179" s="229">
        <v>0.62990000000000002</v>
      </c>
      <c r="EJ179" s="231">
        <v>30205.65</v>
      </c>
      <c r="EK179" s="231">
        <v>14630.99</v>
      </c>
      <c r="EL179" s="231">
        <v>62687.86</v>
      </c>
      <c r="EM179" s="231">
        <v>3188</v>
      </c>
      <c r="EN179" s="231">
        <v>107524.5</v>
      </c>
      <c r="EO179" s="231">
        <v>127113.37</v>
      </c>
      <c r="EP179" s="231">
        <v>-19588.87</v>
      </c>
      <c r="EQ179" s="229">
        <v>-0.15409999999999999</v>
      </c>
      <c r="ER179" s="231">
        <v>18923</v>
      </c>
      <c r="ES179" s="231">
        <v>12840</v>
      </c>
      <c r="ET179" s="231">
        <v>71785</v>
      </c>
      <c r="EU179" s="231">
        <v>1568093</v>
      </c>
      <c r="EV179" s="231">
        <v>103547</v>
      </c>
      <c r="EW179" s="231">
        <v>107747</v>
      </c>
      <c r="EX179" s="231">
        <v>-4200</v>
      </c>
      <c r="EY179" s="229">
        <v>-3.9E-2</v>
      </c>
      <c r="EZ179" s="229">
        <v>0.2394</v>
      </c>
      <c r="FA179" s="227" t="s">
        <v>555</v>
      </c>
      <c r="FB179" s="161">
        <f t="shared" si="4"/>
        <v>0</v>
      </c>
    </row>
    <row r="180" spans="1:158" ht="17.25" thickBot="1" x14ac:dyDescent="0.3">
      <c r="A180" s="226">
        <v>46044</v>
      </c>
      <c r="B180" s="227" t="s">
        <v>175</v>
      </c>
      <c r="C180" s="227" t="s">
        <v>562</v>
      </c>
      <c r="D180" s="228">
        <v>825</v>
      </c>
      <c r="E180" s="231">
        <v>1005.15</v>
      </c>
      <c r="F180" s="228">
        <v>985.7</v>
      </c>
      <c r="G180" s="228">
        <v>19.45</v>
      </c>
      <c r="H180" s="229">
        <v>1.9699999999999999E-2</v>
      </c>
      <c r="I180" s="231">
        <v>1005.5</v>
      </c>
      <c r="J180" s="228">
        <v>986</v>
      </c>
      <c r="K180" s="228">
        <v>19.5</v>
      </c>
      <c r="L180" s="229">
        <v>1.9800000000000002E-2</v>
      </c>
      <c r="M180" s="231">
        <v>1005.15</v>
      </c>
      <c r="N180" s="228">
        <v>985.7</v>
      </c>
      <c r="O180" s="228">
        <v>19.45</v>
      </c>
      <c r="P180" s="229">
        <v>1.9699999999999999E-2</v>
      </c>
      <c r="Q180" s="231">
        <v>1010.05</v>
      </c>
      <c r="R180" s="228">
        <v>990.6</v>
      </c>
      <c r="S180" s="228">
        <v>19.45</v>
      </c>
      <c r="T180" s="229">
        <v>1.9599999999999999E-2</v>
      </c>
      <c r="U180" s="231">
        <v>1018.35</v>
      </c>
      <c r="V180" s="228">
        <v>997.8</v>
      </c>
      <c r="W180" s="228">
        <v>20.55</v>
      </c>
      <c r="X180" s="229">
        <v>2.06E-2</v>
      </c>
      <c r="Y180" s="228">
        <v>-0.35</v>
      </c>
      <c r="Z180" s="228">
        <v>-0.3</v>
      </c>
      <c r="AA180" s="228">
        <v>-0.05</v>
      </c>
      <c r="AB180" s="229">
        <v>-2.9999999999999997E-4</v>
      </c>
      <c r="AC180" s="228">
        <v>-0.35</v>
      </c>
      <c r="AD180" s="228">
        <v>-0.3</v>
      </c>
      <c r="AE180" s="228">
        <v>-0.05</v>
      </c>
      <c r="AF180" s="229">
        <v>-2.9999999999999997E-4</v>
      </c>
      <c r="AG180" s="228">
        <v>4.55</v>
      </c>
      <c r="AH180" s="228">
        <v>4.5999999999999996</v>
      </c>
      <c r="AI180" s="228">
        <v>-0.05</v>
      </c>
      <c r="AJ180" s="229">
        <v>4.4999999999999997E-3</v>
      </c>
      <c r="AK180" s="228">
        <v>12.85</v>
      </c>
      <c r="AL180" s="228">
        <v>11.8</v>
      </c>
      <c r="AM180" s="228">
        <v>1.05</v>
      </c>
      <c r="AN180" s="229">
        <v>1.2800000000000001E-2</v>
      </c>
      <c r="AO180" s="228">
        <v>998.8</v>
      </c>
      <c r="AP180" s="231">
        <v>1003.47</v>
      </c>
      <c r="AQ180" s="228">
        <v>0</v>
      </c>
      <c r="AR180" s="230">
        <v>34454475</v>
      </c>
      <c r="AS180" s="230">
        <v>22591800</v>
      </c>
      <c r="AT180" s="230">
        <v>11862675</v>
      </c>
      <c r="AU180" s="229">
        <v>0.52510000000000001</v>
      </c>
      <c r="AV180" s="230">
        <v>17890125</v>
      </c>
      <c r="AW180" s="230">
        <v>12426150</v>
      </c>
      <c r="AX180" s="230">
        <v>5463975</v>
      </c>
      <c r="AY180" s="229">
        <v>0.43969999999999998</v>
      </c>
      <c r="AZ180" s="230">
        <v>16481850</v>
      </c>
      <c r="BA180" s="230">
        <v>10077375</v>
      </c>
      <c r="BB180" s="230">
        <v>6404475</v>
      </c>
      <c r="BC180" s="229">
        <v>0.63549999999999995</v>
      </c>
      <c r="BD180" s="230">
        <v>82500</v>
      </c>
      <c r="BE180" s="230">
        <v>88275</v>
      </c>
      <c r="BF180" s="230">
        <v>-5775</v>
      </c>
      <c r="BG180" s="229">
        <v>-6.54E-2</v>
      </c>
      <c r="BH180" s="230">
        <v>29006175</v>
      </c>
      <c r="BI180" s="230">
        <v>22279125</v>
      </c>
      <c r="BJ180" s="230">
        <v>6727050</v>
      </c>
      <c r="BK180" s="229">
        <v>0.3019</v>
      </c>
      <c r="BL180" s="230">
        <v>13666125</v>
      </c>
      <c r="BM180" s="230">
        <v>12035100</v>
      </c>
      <c r="BN180" s="230">
        <v>1631025</v>
      </c>
      <c r="BO180" s="229">
        <v>0.13550000000000001</v>
      </c>
      <c r="BP180" s="230">
        <v>77126775</v>
      </c>
      <c r="BQ180" s="230">
        <v>56906025</v>
      </c>
      <c r="BR180" s="230">
        <v>20220750</v>
      </c>
      <c r="BS180" s="229">
        <v>0.3553</v>
      </c>
      <c r="BT180" s="230">
        <v>7357990</v>
      </c>
      <c r="BU180" s="230">
        <v>7591774</v>
      </c>
      <c r="BV180" s="230">
        <v>-233784</v>
      </c>
      <c r="BW180" s="229">
        <v>-3.0800000000000001E-2</v>
      </c>
      <c r="BX180" s="230">
        <v>46496175</v>
      </c>
      <c r="BY180" s="230">
        <v>47004375</v>
      </c>
      <c r="BZ180" s="230">
        <v>-508200</v>
      </c>
      <c r="CA180" s="229">
        <v>-1.0800000000000001E-2</v>
      </c>
      <c r="CB180" s="230">
        <v>18880950</v>
      </c>
      <c r="CC180" s="230">
        <v>32835000</v>
      </c>
      <c r="CD180" s="230">
        <v>-13954050</v>
      </c>
      <c r="CE180" s="229">
        <v>-0.42499999999999999</v>
      </c>
      <c r="CF180" s="230">
        <v>27170550</v>
      </c>
      <c r="CG180" s="230">
        <v>13733775</v>
      </c>
      <c r="CH180" s="230">
        <v>13436775</v>
      </c>
      <c r="CI180" s="229">
        <v>0.97840000000000005</v>
      </c>
      <c r="CJ180" s="230">
        <v>444675</v>
      </c>
      <c r="CK180" s="230">
        <v>435600</v>
      </c>
      <c r="CL180" s="230">
        <v>9075</v>
      </c>
      <c r="CM180" s="229">
        <v>2.0799999999999999E-2</v>
      </c>
      <c r="CN180" s="230">
        <v>14635500</v>
      </c>
      <c r="CO180" s="230">
        <v>15599100</v>
      </c>
      <c r="CP180" s="230">
        <v>-963600</v>
      </c>
      <c r="CQ180" s="229">
        <v>-6.1800000000000001E-2</v>
      </c>
      <c r="CR180" s="230">
        <v>11931975</v>
      </c>
      <c r="CS180" s="230">
        <v>11432025</v>
      </c>
      <c r="CT180" s="230">
        <v>499950</v>
      </c>
      <c r="CU180" s="229">
        <v>4.3700000000000003E-2</v>
      </c>
      <c r="CV180" s="230">
        <v>73063650</v>
      </c>
      <c r="CW180" s="230">
        <v>74035500</v>
      </c>
      <c r="CX180" s="230">
        <v>-971850</v>
      </c>
      <c r="CY180" s="229">
        <v>-1.3100000000000001E-2</v>
      </c>
      <c r="CZ180" s="228">
        <v>36.35</v>
      </c>
      <c r="DA180" s="228">
        <v>39.76</v>
      </c>
      <c r="DB180" s="228">
        <v>-3.41</v>
      </c>
      <c r="DC180" s="228">
        <v>-3.41</v>
      </c>
      <c r="DD180" s="228">
        <v>38.44</v>
      </c>
      <c r="DE180" s="228">
        <v>38.450000000000003</v>
      </c>
      <c r="DF180" s="228">
        <v>-2.09</v>
      </c>
      <c r="DG180" s="228">
        <v>-0.01</v>
      </c>
      <c r="DH180" s="228">
        <v>36.33</v>
      </c>
      <c r="DI180" s="228">
        <v>39.78</v>
      </c>
      <c r="DJ180" s="228">
        <v>-3.45</v>
      </c>
      <c r="DK180" s="228">
        <v>-3.45</v>
      </c>
      <c r="DL180" s="228">
        <v>36.39</v>
      </c>
      <c r="DM180" s="228">
        <v>39.72</v>
      </c>
      <c r="DN180" s="228">
        <v>-3.33</v>
      </c>
      <c r="DO180" s="228">
        <v>-3.33</v>
      </c>
      <c r="DP180" s="228">
        <v>0.82</v>
      </c>
      <c r="DQ180" s="228">
        <v>0.73</v>
      </c>
      <c r="DR180" s="228">
        <v>0.09</v>
      </c>
      <c r="DS180" s="229">
        <v>0.12330000000000001</v>
      </c>
      <c r="DT180" s="231">
        <v>1000</v>
      </c>
      <c r="DU180" s="228">
        <v>980</v>
      </c>
      <c r="DV180" s="228">
        <v>0.47</v>
      </c>
      <c r="DW180" s="228">
        <v>0.54</v>
      </c>
      <c r="DX180" s="228">
        <v>-7.0000000000000007E-2</v>
      </c>
      <c r="DY180" s="229">
        <v>-0.12959999999999999</v>
      </c>
      <c r="DZ180" s="229">
        <v>0.59389999999999998</v>
      </c>
      <c r="EA180" s="230">
        <v>14169375</v>
      </c>
      <c r="EB180" s="229">
        <v>4.8999999999999998E-3</v>
      </c>
      <c r="EC180" s="229">
        <v>0.59389999999999998</v>
      </c>
      <c r="ED180" s="228">
        <v>4.67</v>
      </c>
      <c r="EE180" s="229">
        <v>4.7000000000000002E-3</v>
      </c>
      <c r="EF180" s="230">
        <v>4791353</v>
      </c>
      <c r="EG180" s="230">
        <v>4340332</v>
      </c>
      <c r="EH180" s="229">
        <v>0.10390000000000001</v>
      </c>
      <c r="EI180" s="229">
        <v>0.6512</v>
      </c>
      <c r="EJ180" s="231">
        <v>301428.01</v>
      </c>
      <c r="EK180" s="231">
        <v>134361.63</v>
      </c>
      <c r="EL180" s="231">
        <v>344909.66</v>
      </c>
      <c r="EM180" s="231">
        <v>15358</v>
      </c>
      <c r="EN180" s="231">
        <v>780699.3</v>
      </c>
      <c r="EO180" s="231">
        <v>569885.28</v>
      </c>
      <c r="EP180" s="231">
        <v>210814.02</v>
      </c>
      <c r="EQ180" s="229">
        <v>0.36990000000000001</v>
      </c>
      <c r="ER180" s="231">
        <v>149285</v>
      </c>
      <c r="ES180" s="231">
        <v>112918</v>
      </c>
      <c r="ET180" s="231">
        <v>468746</v>
      </c>
      <c r="EU180" s="231">
        <v>210513975</v>
      </c>
      <c r="EV180" s="231">
        <v>730949</v>
      </c>
      <c r="EW180" s="231">
        <v>730760</v>
      </c>
      <c r="EX180" s="228">
        <v>189</v>
      </c>
      <c r="EY180" s="229">
        <v>2.9999999999999997E-4</v>
      </c>
      <c r="EZ180" s="229">
        <v>0.34710000000000002</v>
      </c>
      <c r="FA180" s="227" t="s">
        <v>556</v>
      </c>
      <c r="FB180" s="161">
        <f t="shared" si="4"/>
        <v>0</v>
      </c>
    </row>
    <row r="181" spans="1:158" ht="17.25" thickBot="1" x14ac:dyDescent="0.3">
      <c r="A181" s="226">
        <v>46044</v>
      </c>
      <c r="B181" s="227" t="s">
        <v>184</v>
      </c>
      <c r="C181" s="227" t="s">
        <v>285</v>
      </c>
      <c r="D181" s="228">
        <v>175</v>
      </c>
      <c r="E181" s="231">
        <v>2931.2</v>
      </c>
      <c r="F181" s="231">
        <v>2885</v>
      </c>
      <c r="G181" s="228">
        <v>46.2</v>
      </c>
      <c r="H181" s="229">
        <v>1.6E-2</v>
      </c>
      <c r="I181" s="231">
        <v>2928.2</v>
      </c>
      <c r="J181" s="231">
        <v>2884.5</v>
      </c>
      <c r="K181" s="228">
        <v>43.7</v>
      </c>
      <c r="L181" s="229">
        <v>1.5100000000000001E-2</v>
      </c>
      <c r="M181" s="231">
        <v>2931.2</v>
      </c>
      <c r="N181" s="231">
        <v>2885</v>
      </c>
      <c r="O181" s="228">
        <v>46.2</v>
      </c>
      <c r="P181" s="229">
        <v>1.6E-2</v>
      </c>
      <c r="Q181" s="231">
        <v>2936.2</v>
      </c>
      <c r="R181" s="231">
        <v>2881.8</v>
      </c>
      <c r="S181" s="228">
        <v>54.4</v>
      </c>
      <c r="T181" s="229">
        <v>1.89E-2</v>
      </c>
      <c r="U181" s="231">
        <v>2944</v>
      </c>
      <c r="V181" s="231">
        <v>2898.2</v>
      </c>
      <c r="W181" s="228">
        <v>45.8</v>
      </c>
      <c r="X181" s="229">
        <v>1.5800000000000002E-2</v>
      </c>
      <c r="Y181" s="228">
        <v>3</v>
      </c>
      <c r="Z181" s="228">
        <v>0.5</v>
      </c>
      <c r="AA181" s="228">
        <v>2.5</v>
      </c>
      <c r="AB181" s="229">
        <v>1E-3</v>
      </c>
      <c r="AC181" s="228">
        <v>3</v>
      </c>
      <c r="AD181" s="228">
        <v>0.5</v>
      </c>
      <c r="AE181" s="228">
        <v>2.5</v>
      </c>
      <c r="AF181" s="229">
        <v>1E-3</v>
      </c>
      <c r="AG181" s="228">
        <v>8</v>
      </c>
      <c r="AH181" s="228">
        <v>-2.7</v>
      </c>
      <c r="AI181" s="228">
        <v>10.7</v>
      </c>
      <c r="AJ181" s="229">
        <v>2.7000000000000001E-3</v>
      </c>
      <c r="AK181" s="228">
        <v>15.8</v>
      </c>
      <c r="AL181" s="228">
        <v>13.7</v>
      </c>
      <c r="AM181" s="228">
        <v>2.1</v>
      </c>
      <c r="AN181" s="229">
        <v>5.4000000000000003E-3</v>
      </c>
      <c r="AO181" s="231">
        <v>2905.02</v>
      </c>
      <c r="AP181" s="231">
        <v>2908.27</v>
      </c>
      <c r="AQ181" s="228">
        <v>0</v>
      </c>
      <c r="AR181" s="230">
        <v>1402975</v>
      </c>
      <c r="AS181" s="230">
        <v>2207275</v>
      </c>
      <c r="AT181" s="230">
        <v>-804300</v>
      </c>
      <c r="AU181" s="229">
        <v>-0.3644</v>
      </c>
      <c r="AV181" s="230">
        <v>719250</v>
      </c>
      <c r="AW181" s="230">
        <v>1196125</v>
      </c>
      <c r="AX181" s="230">
        <v>-476875</v>
      </c>
      <c r="AY181" s="229">
        <v>-0.3987</v>
      </c>
      <c r="AZ181" s="230">
        <v>679700</v>
      </c>
      <c r="BA181" s="230">
        <v>1003450</v>
      </c>
      <c r="BB181" s="230">
        <v>-323750</v>
      </c>
      <c r="BC181" s="229">
        <v>-0.3226</v>
      </c>
      <c r="BD181" s="230">
        <v>4025</v>
      </c>
      <c r="BE181" s="230">
        <v>7700</v>
      </c>
      <c r="BF181" s="230">
        <v>-3675</v>
      </c>
      <c r="BG181" s="229">
        <v>-0.4773</v>
      </c>
      <c r="BH181" s="230">
        <v>2135175</v>
      </c>
      <c r="BI181" s="230">
        <v>2033675</v>
      </c>
      <c r="BJ181" s="230">
        <v>101500</v>
      </c>
      <c r="BK181" s="229">
        <v>4.99E-2</v>
      </c>
      <c r="BL181" s="230">
        <v>844725</v>
      </c>
      <c r="BM181" s="230">
        <v>887950</v>
      </c>
      <c r="BN181" s="230">
        <v>-43225</v>
      </c>
      <c r="BO181" s="229">
        <v>-4.87E-2</v>
      </c>
      <c r="BP181" s="230">
        <v>4382875</v>
      </c>
      <c r="BQ181" s="230">
        <v>5128900</v>
      </c>
      <c r="BR181" s="230">
        <v>-746025</v>
      </c>
      <c r="BS181" s="229">
        <v>-0.14549999999999999</v>
      </c>
      <c r="BT181" s="230">
        <v>250862</v>
      </c>
      <c r="BU181" s="230">
        <v>308342</v>
      </c>
      <c r="BV181" s="230">
        <v>-57480</v>
      </c>
      <c r="BW181" s="229">
        <v>-0.18640000000000001</v>
      </c>
      <c r="BX181" s="230">
        <v>2503200</v>
      </c>
      <c r="BY181" s="230">
        <v>2559900</v>
      </c>
      <c r="BZ181" s="230">
        <v>-56700</v>
      </c>
      <c r="CA181" s="229">
        <v>-2.2100000000000002E-2</v>
      </c>
      <c r="CB181" s="230">
        <v>1295175</v>
      </c>
      <c r="CC181" s="230">
        <v>1720775</v>
      </c>
      <c r="CD181" s="230">
        <v>-425600</v>
      </c>
      <c r="CE181" s="229">
        <v>-0.24729999999999999</v>
      </c>
      <c r="CF181" s="230">
        <v>1185100</v>
      </c>
      <c r="CG181" s="230">
        <v>817250</v>
      </c>
      <c r="CH181" s="230">
        <v>367850</v>
      </c>
      <c r="CI181" s="229">
        <v>0.4501</v>
      </c>
      <c r="CJ181" s="230">
        <v>22925</v>
      </c>
      <c r="CK181" s="230">
        <v>21875</v>
      </c>
      <c r="CL181" s="230">
        <v>1050</v>
      </c>
      <c r="CM181" s="229">
        <v>4.8000000000000001E-2</v>
      </c>
      <c r="CN181" s="230">
        <v>1333675</v>
      </c>
      <c r="CO181" s="230">
        <v>1445675</v>
      </c>
      <c r="CP181" s="230">
        <v>-112000</v>
      </c>
      <c r="CQ181" s="229">
        <v>-7.7499999999999999E-2</v>
      </c>
      <c r="CR181" s="230">
        <v>740075</v>
      </c>
      <c r="CS181" s="230">
        <v>829500</v>
      </c>
      <c r="CT181" s="230">
        <v>-89425</v>
      </c>
      <c r="CU181" s="229">
        <v>-0.10780000000000001</v>
      </c>
      <c r="CV181" s="230">
        <v>4576950</v>
      </c>
      <c r="CW181" s="230">
        <v>4835075</v>
      </c>
      <c r="CX181" s="230">
        <v>-258125</v>
      </c>
      <c r="CY181" s="229">
        <v>-5.3400000000000003E-2</v>
      </c>
      <c r="CZ181" s="228">
        <v>31.28</v>
      </c>
      <c r="DA181" s="228">
        <v>29.14</v>
      </c>
      <c r="DB181" s="228">
        <v>2.14</v>
      </c>
      <c r="DC181" s="228">
        <v>2.14</v>
      </c>
      <c r="DD181" s="228">
        <v>37.04</v>
      </c>
      <c r="DE181" s="228">
        <v>37.07</v>
      </c>
      <c r="DF181" s="228">
        <v>-5.76</v>
      </c>
      <c r="DG181" s="228">
        <v>-0.03</v>
      </c>
      <c r="DH181" s="228">
        <v>30.65</v>
      </c>
      <c r="DI181" s="228">
        <v>29.57</v>
      </c>
      <c r="DJ181" s="228">
        <v>1.08</v>
      </c>
      <c r="DK181" s="228">
        <v>1.08</v>
      </c>
      <c r="DL181" s="228">
        <v>33.06</v>
      </c>
      <c r="DM181" s="228">
        <v>28.16</v>
      </c>
      <c r="DN181" s="228">
        <v>4.9000000000000004</v>
      </c>
      <c r="DO181" s="228">
        <v>4.9000000000000004</v>
      </c>
      <c r="DP181" s="228">
        <v>0.55000000000000004</v>
      </c>
      <c r="DQ181" s="228">
        <v>0.56999999999999995</v>
      </c>
      <c r="DR181" s="228">
        <v>-0.02</v>
      </c>
      <c r="DS181" s="229">
        <v>-3.5099999999999999E-2</v>
      </c>
      <c r="DT181" s="231">
        <v>3100</v>
      </c>
      <c r="DU181" s="231">
        <v>2800</v>
      </c>
      <c r="DV181" s="228">
        <v>0.4</v>
      </c>
      <c r="DW181" s="228">
        <v>0.44</v>
      </c>
      <c r="DX181" s="228">
        <v>-0.04</v>
      </c>
      <c r="DY181" s="229">
        <v>-9.0899999999999995E-2</v>
      </c>
      <c r="DZ181" s="229">
        <v>0.48259999999999997</v>
      </c>
      <c r="EA181" s="230">
        <v>839125</v>
      </c>
      <c r="EB181" s="229">
        <v>1.6999999999999999E-3</v>
      </c>
      <c r="EC181" s="229">
        <v>0.48259999999999997</v>
      </c>
      <c r="ED181" s="228">
        <v>3.25</v>
      </c>
      <c r="EE181" s="229">
        <v>1.1000000000000001E-3</v>
      </c>
      <c r="EF181" s="230">
        <v>129585</v>
      </c>
      <c r="EG181" s="230">
        <v>127724</v>
      </c>
      <c r="EH181" s="229">
        <v>1.46E-2</v>
      </c>
      <c r="EI181" s="229">
        <v>0.51659999999999995</v>
      </c>
      <c r="EJ181" s="231">
        <v>65184.17</v>
      </c>
      <c r="EK181" s="231">
        <v>24392.62</v>
      </c>
      <c r="EL181" s="231">
        <v>40779.89</v>
      </c>
      <c r="EM181" s="231">
        <v>5358</v>
      </c>
      <c r="EN181" s="231">
        <v>130356.68</v>
      </c>
      <c r="EO181" s="231">
        <v>150189.26</v>
      </c>
      <c r="EP181" s="231">
        <v>-19832.580000000002</v>
      </c>
      <c r="EQ181" s="229">
        <v>-0.1321</v>
      </c>
      <c r="ER181" s="231">
        <v>42061</v>
      </c>
      <c r="ES181" s="231">
        <v>21563</v>
      </c>
      <c r="ET181" s="231">
        <v>73436</v>
      </c>
      <c r="EU181" s="231">
        <v>13354588</v>
      </c>
      <c r="EV181" s="231">
        <v>137060</v>
      </c>
      <c r="EW181" s="231">
        <v>143462</v>
      </c>
      <c r="EX181" s="231">
        <v>-6402</v>
      </c>
      <c r="EY181" s="229">
        <v>-4.4600000000000001E-2</v>
      </c>
      <c r="EZ181" s="229">
        <v>0.3427</v>
      </c>
      <c r="FA181" s="227" t="s">
        <v>556</v>
      </c>
      <c r="FB181" s="161">
        <f t="shared" si="4"/>
        <v>0</v>
      </c>
    </row>
    <row r="182" spans="1:158" ht="17.25" thickBot="1" x14ac:dyDescent="0.3">
      <c r="A182" s="226">
        <v>46044</v>
      </c>
      <c r="B182" s="227" t="s">
        <v>498</v>
      </c>
      <c r="C182" s="227" t="s">
        <v>646</v>
      </c>
      <c r="D182" s="228">
        <v>50</v>
      </c>
      <c r="E182" s="231">
        <v>12886</v>
      </c>
      <c r="F182" s="231">
        <v>12532</v>
      </c>
      <c r="G182" s="228">
        <v>354</v>
      </c>
      <c r="H182" s="229">
        <v>2.8199999999999999E-2</v>
      </c>
      <c r="I182" s="231">
        <v>12901</v>
      </c>
      <c r="J182" s="231">
        <v>12539</v>
      </c>
      <c r="K182" s="228">
        <v>362</v>
      </c>
      <c r="L182" s="229">
        <v>2.8899999999999999E-2</v>
      </c>
      <c r="M182" s="231">
        <v>12886</v>
      </c>
      <c r="N182" s="231">
        <v>12532</v>
      </c>
      <c r="O182" s="228">
        <v>354</v>
      </c>
      <c r="P182" s="229">
        <v>2.8199999999999999E-2</v>
      </c>
      <c r="Q182" s="231">
        <v>12942</v>
      </c>
      <c r="R182" s="231">
        <v>12601</v>
      </c>
      <c r="S182" s="228">
        <v>341</v>
      </c>
      <c r="T182" s="229">
        <v>2.7099999999999999E-2</v>
      </c>
      <c r="U182" s="231">
        <v>13014</v>
      </c>
      <c r="V182" s="231">
        <v>12687</v>
      </c>
      <c r="W182" s="228">
        <v>327</v>
      </c>
      <c r="X182" s="229">
        <v>2.58E-2</v>
      </c>
      <c r="Y182" s="228">
        <v>-15</v>
      </c>
      <c r="Z182" s="228">
        <v>-7</v>
      </c>
      <c r="AA182" s="228">
        <v>-8</v>
      </c>
      <c r="AB182" s="229">
        <v>-1.1999999999999999E-3</v>
      </c>
      <c r="AC182" s="228">
        <v>-15</v>
      </c>
      <c r="AD182" s="228">
        <v>-7</v>
      </c>
      <c r="AE182" s="228">
        <v>-8</v>
      </c>
      <c r="AF182" s="229">
        <v>-1.1999999999999999E-3</v>
      </c>
      <c r="AG182" s="228">
        <v>41</v>
      </c>
      <c r="AH182" s="228">
        <v>62</v>
      </c>
      <c r="AI182" s="228">
        <v>-21</v>
      </c>
      <c r="AJ182" s="229">
        <v>3.2000000000000002E-3</v>
      </c>
      <c r="AK182" s="228">
        <v>113</v>
      </c>
      <c r="AL182" s="228">
        <v>148</v>
      </c>
      <c r="AM182" s="228">
        <v>-35</v>
      </c>
      <c r="AN182" s="229">
        <v>8.8000000000000005E-3</v>
      </c>
      <c r="AO182" s="231">
        <v>12765.31</v>
      </c>
      <c r="AP182" s="231">
        <v>12828.44</v>
      </c>
      <c r="AQ182" s="228">
        <v>0</v>
      </c>
      <c r="AR182" s="230">
        <v>568550</v>
      </c>
      <c r="AS182" s="230">
        <v>387100</v>
      </c>
      <c r="AT182" s="230">
        <v>181450</v>
      </c>
      <c r="AU182" s="229">
        <v>0.46870000000000001</v>
      </c>
      <c r="AV182" s="230">
        <v>306650</v>
      </c>
      <c r="AW182" s="230">
        <v>206700</v>
      </c>
      <c r="AX182" s="230">
        <v>99950</v>
      </c>
      <c r="AY182" s="229">
        <v>0.48359999999999997</v>
      </c>
      <c r="AZ182" s="230">
        <v>258550</v>
      </c>
      <c r="BA182" s="230">
        <v>176000</v>
      </c>
      <c r="BB182" s="230">
        <v>82550</v>
      </c>
      <c r="BC182" s="229">
        <v>0.46899999999999997</v>
      </c>
      <c r="BD182" s="230">
        <v>3350</v>
      </c>
      <c r="BE182" s="230">
        <v>4400</v>
      </c>
      <c r="BF182" s="230">
        <v>-1050</v>
      </c>
      <c r="BG182" s="229">
        <v>-0.23860000000000001</v>
      </c>
      <c r="BH182" s="230">
        <v>657900</v>
      </c>
      <c r="BI182" s="230">
        <v>523850</v>
      </c>
      <c r="BJ182" s="230">
        <v>134050</v>
      </c>
      <c r="BK182" s="229">
        <v>0.25590000000000002</v>
      </c>
      <c r="BL182" s="230">
        <v>304800</v>
      </c>
      <c r="BM182" s="230">
        <v>169600</v>
      </c>
      <c r="BN182" s="230">
        <v>135200</v>
      </c>
      <c r="BO182" s="229">
        <v>0.79720000000000002</v>
      </c>
      <c r="BP182" s="230">
        <v>1531250</v>
      </c>
      <c r="BQ182" s="230">
        <v>1080550</v>
      </c>
      <c r="BR182" s="230">
        <v>450700</v>
      </c>
      <c r="BS182" s="229">
        <v>0.41710000000000003</v>
      </c>
      <c r="BT182" s="230">
        <v>139835</v>
      </c>
      <c r="BU182" s="230">
        <v>106626</v>
      </c>
      <c r="BV182" s="230">
        <v>33209</v>
      </c>
      <c r="BW182" s="229">
        <v>0.3115</v>
      </c>
      <c r="BX182" s="230">
        <v>1052050</v>
      </c>
      <c r="BY182" s="230">
        <v>1094850</v>
      </c>
      <c r="BZ182" s="230">
        <v>-42800</v>
      </c>
      <c r="CA182" s="229">
        <v>-3.9100000000000003E-2</v>
      </c>
      <c r="CB182" s="230">
        <v>598350</v>
      </c>
      <c r="CC182" s="230">
        <v>835950</v>
      </c>
      <c r="CD182" s="230">
        <v>-237600</v>
      </c>
      <c r="CE182" s="229">
        <v>-0.28420000000000001</v>
      </c>
      <c r="CF182" s="230">
        <v>422300</v>
      </c>
      <c r="CG182" s="230">
        <v>228050</v>
      </c>
      <c r="CH182" s="230">
        <v>194250</v>
      </c>
      <c r="CI182" s="229">
        <v>0.8518</v>
      </c>
      <c r="CJ182" s="230">
        <v>31400</v>
      </c>
      <c r="CK182" s="230">
        <v>30850</v>
      </c>
      <c r="CL182" s="228">
        <v>550</v>
      </c>
      <c r="CM182" s="229">
        <v>1.78E-2</v>
      </c>
      <c r="CN182" s="230">
        <v>447600</v>
      </c>
      <c r="CO182" s="230">
        <v>513950</v>
      </c>
      <c r="CP182" s="230">
        <v>-66350</v>
      </c>
      <c r="CQ182" s="229">
        <v>-0.12909999999999999</v>
      </c>
      <c r="CR182" s="230">
        <v>311400</v>
      </c>
      <c r="CS182" s="230">
        <v>325650</v>
      </c>
      <c r="CT182" s="230">
        <v>-14250</v>
      </c>
      <c r="CU182" s="229">
        <v>-4.3799999999999999E-2</v>
      </c>
      <c r="CV182" s="230">
        <v>1811050</v>
      </c>
      <c r="CW182" s="230">
        <v>1934450</v>
      </c>
      <c r="CX182" s="230">
        <v>-123400</v>
      </c>
      <c r="CY182" s="229">
        <v>-6.3799999999999996E-2</v>
      </c>
      <c r="CZ182" s="228">
        <v>35.869999999999997</v>
      </c>
      <c r="DA182" s="228">
        <v>35.65</v>
      </c>
      <c r="DB182" s="228">
        <v>0.22</v>
      </c>
      <c r="DC182" s="228">
        <v>0.22</v>
      </c>
      <c r="DD182" s="228">
        <v>39.340000000000003</v>
      </c>
      <c r="DE182" s="228">
        <v>39.26</v>
      </c>
      <c r="DF182" s="228">
        <v>-3.47</v>
      </c>
      <c r="DG182" s="228">
        <v>0.08</v>
      </c>
      <c r="DH182" s="228">
        <v>35.729999999999997</v>
      </c>
      <c r="DI182" s="228">
        <v>35.6</v>
      </c>
      <c r="DJ182" s="228">
        <v>0.13</v>
      </c>
      <c r="DK182" s="228">
        <v>0.13</v>
      </c>
      <c r="DL182" s="228">
        <v>36.06</v>
      </c>
      <c r="DM182" s="228">
        <v>35.79</v>
      </c>
      <c r="DN182" s="228">
        <v>0.27</v>
      </c>
      <c r="DO182" s="228">
        <v>0.27</v>
      </c>
      <c r="DP182" s="228">
        <v>0.7</v>
      </c>
      <c r="DQ182" s="228">
        <v>0.63</v>
      </c>
      <c r="DR182" s="228">
        <v>7.0000000000000007E-2</v>
      </c>
      <c r="DS182" s="229">
        <v>0.1111</v>
      </c>
      <c r="DT182" s="231">
        <v>13500</v>
      </c>
      <c r="DU182" s="231">
        <v>12000</v>
      </c>
      <c r="DV182" s="228">
        <v>0.46</v>
      </c>
      <c r="DW182" s="228">
        <v>0.32</v>
      </c>
      <c r="DX182" s="228">
        <v>0.14000000000000001</v>
      </c>
      <c r="DY182" s="229">
        <v>0.4375</v>
      </c>
      <c r="DZ182" s="229">
        <v>0.43130000000000002</v>
      </c>
      <c r="EA182" s="230">
        <v>258900</v>
      </c>
      <c r="EB182" s="229">
        <v>4.3E-3</v>
      </c>
      <c r="EC182" s="229">
        <v>0.43130000000000002</v>
      </c>
      <c r="ED182" s="228">
        <v>63.13</v>
      </c>
      <c r="EE182" s="229">
        <v>4.8999999999999998E-3</v>
      </c>
      <c r="EF182" s="230">
        <v>73452</v>
      </c>
      <c r="EG182" s="230">
        <v>38136</v>
      </c>
      <c r="EH182" s="229">
        <v>0.92610000000000003</v>
      </c>
      <c r="EI182" s="229">
        <v>0.52529999999999999</v>
      </c>
      <c r="EJ182" s="231">
        <v>87930.89</v>
      </c>
      <c r="EK182" s="231">
        <v>37448.06</v>
      </c>
      <c r="EL182" s="231">
        <v>72746.61</v>
      </c>
      <c r="EM182" s="231">
        <v>4545</v>
      </c>
      <c r="EN182" s="231">
        <v>198125.56</v>
      </c>
      <c r="EO182" s="231">
        <v>139464.32000000001</v>
      </c>
      <c r="EP182" s="231">
        <v>58661.24</v>
      </c>
      <c r="EQ182" s="229">
        <v>0.42059999999999997</v>
      </c>
      <c r="ER182" s="231">
        <v>60761</v>
      </c>
      <c r="ES182" s="231">
        <v>39093</v>
      </c>
      <c r="ET182" s="231">
        <v>135844</v>
      </c>
      <c r="EU182" s="231">
        <v>3644817</v>
      </c>
      <c r="EV182" s="231">
        <v>235698</v>
      </c>
      <c r="EW182" s="231">
        <v>247927</v>
      </c>
      <c r="EX182" s="231">
        <v>-12229</v>
      </c>
      <c r="EY182" s="229">
        <v>-4.9299999999999997E-2</v>
      </c>
      <c r="EZ182" s="229">
        <v>0.49690000000000001</v>
      </c>
      <c r="FA182" s="227" t="s">
        <v>556</v>
      </c>
      <c r="FB182" s="161">
        <f t="shared" si="4"/>
        <v>0</v>
      </c>
    </row>
    <row r="183" spans="1:158" ht="17.25" thickBot="1" x14ac:dyDescent="0.3">
      <c r="A183" s="226">
        <v>46044</v>
      </c>
      <c r="B183" s="227" t="s">
        <v>162</v>
      </c>
      <c r="C183" s="227" t="s">
        <v>614</v>
      </c>
      <c r="D183" s="228">
        <v>1225</v>
      </c>
      <c r="E183" s="228">
        <v>469.75</v>
      </c>
      <c r="F183" s="228">
        <v>443.95</v>
      </c>
      <c r="G183" s="228">
        <v>25.8</v>
      </c>
      <c r="H183" s="229">
        <v>5.8099999999999999E-2</v>
      </c>
      <c r="I183" s="228">
        <v>469.1</v>
      </c>
      <c r="J183" s="228">
        <v>444.45</v>
      </c>
      <c r="K183" s="228">
        <v>24.65</v>
      </c>
      <c r="L183" s="229">
        <v>5.5500000000000001E-2</v>
      </c>
      <c r="M183" s="228">
        <v>469.75</v>
      </c>
      <c r="N183" s="228">
        <v>443.95</v>
      </c>
      <c r="O183" s="228">
        <v>25.8</v>
      </c>
      <c r="P183" s="229">
        <v>5.8099999999999999E-2</v>
      </c>
      <c r="Q183" s="228">
        <v>470.75</v>
      </c>
      <c r="R183" s="228">
        <v>444.8</v>
      </c>
      <c r="S183" s="228">
        <v>25.95</v>
      </c>
      <c r="T183" s="229">
        <v>5.8299999999999998E-2</v>
      </c>
      <c r="U183" s="228">
        <v>472.6</v>
      </c>
      <c r="V183" s="228">
        <v>447</v>
      </c>
      <c r="W183" s="228">
        <v>25.6</v>
      </c>
      <c r="X183" s="229">
        <v>5.7299999999999997E-2</v>
      </c>
      <c r="Y183" s="228">
        <v>0.65</v>
      </c>
      <c r="Z183" s="228">
        <v>-0.5</v>
      </c>
      <c r="AA183" s="228">
        <v>1.1499999999999999</v>
      </c>
      <c r="AB183" s="229">
        <v>1.4E-3</v>
      </c>
      <c r="AC183" s="228">
        <v>0.65</v>
      </c>
      <c r="AD183" s="228">
        <v>-0.5</v>
      </c>
      <c r="AE183" s="228">
        <v>1.1499999999999999</v>
      </c>
      <c r="AF183" s="229">
        <v>1.4E-3</v>
      </c>
      <c r="AG183" s="228">
        <v>1.65</v>
      </c>
      <c r="AH183" s="228">
        <v>0.35</v>
      </c>
      <c r="AI183" s="228">
        <v>1.3</v>
      </c>
      <c r="AJ183" s="229">
        <v>3.5000000000000001E-3</v>
      </c>
      <c r="AK183" s="228">
        <v>3.5</v>
      </c>
      <c r="AL183" s="228">
        <v>2.5499999999999998</v>
      </c>
      <c r="AM183" s="228">
        <v>0.95</v>
      </c>
      <c r="AN183" s="229">
        <v>7.4999999999999997E-3</v>
      </c>
      <c r="AO183" s="228">
        <v>461.43</v>
      </c>
      <c r="AP183" s="228">
        <v>462.77</v>
      </c>
      <c r="AQ183" s="228">
        <v>0</v>
      </c>
      <c r="AR183" s="230">
        <v>15586900</v>
      </c>
      <c r="AS183" s="230">
        <v>10354925</v>
      </c>
      <c r="AT183" s="230">
        <v>5231975</v>
      </c>
      <c r="AU183" s="229">
        <v>0.50529999999999997</v>
      </c>
      <c r="AV183" s="230">
        <v>7891450</v>
      </c>
      <c r="AW183" s="230">
        <v>5484325</v>
      </c>
      <c r="AX183" s="230">
        <v>2407125</v>
      </c>
      <c r="AY183" s="229">
        <v>0.43890000000000001</v>
      </c>
      <c r="AZ183" s="230">
        <v>7648900</v>
      </c>
      <c r="BA183" s="230">
        <v>4817925</v>
      </c>
      <c r="BB183" s="230">
        <v>2830975</v>
      </c>
      <c r="BC183" s="229">
        <v>0.58760000000000001</v>
      </c>
      <c r="BD183" s="230">
        <v>46550</v>
      </c>
      <c r="BE183" s="230">
        <v>52675</v>
      </c>
      <c r="BF183" s="230">
        <v>-6125</v>
      </c>
      <c r="BG183" s="229">
        <v>-0.1163</v>
      </c>
      <c r="BH183" s="230">
        <v>16595075</v>
      </c>
      <c r="BI183" s="230">
        <v>3667650</v>
      </c>
      <c r="BJ183" s="230">
        <v>12927425</v>
      </c>
      <c r="BK183" s="229">
        <v>3.5247000000000002</v>
      </c>
      <c r="BL183" s="230">
        <v>7471275</v>
      </c>
      <c r="BM183" s="230">
        <v>1830150</v>
      </c>
      <c r="BN183" s="230">
        <v>5641125</v>
      </c>
      <c r="BO183" s="229">
        <v>3.0823</v>
      </c>
      <c r="BP183" s="230">
        <v>39653250</v>
      </c>
      <c r="BQ183" s="230">
        <v>15852725</v>
      </c>
      <c r="BR183" s="230">
        <v>23800525</v>
      </c>
      <c r="BS183" s="229">
        <v>1.5014000000000001</v>
      </c>
      <c r="BT183" s="230">
        <v>2852704</v>
      </c>
      <c r="BU183" s="230">
        <v>1093489</v>
      </c>
      <c r="BV183" s="230">
        <v>1759215</v>
      </c>
      <c r="BW183" s="229">
        <v>1.6088</v>
      </c>
      <c r="BX183" s="230">
        <v>16276575</v>
      </c>
      <c r="BY183" s="230">
        <v>15561175</v>
      </c>
      <c r="BZ183" s="230">
        <v>715400</v>
      </c>
      <c r="CA183" s="229">
        <v>4.5999999999999999E-2</v>
      </c>
      <c r="CB183" s="230">
        <v>7022925</v>
      </c>
      <c r="CC183" s="230">
        <v>11398625</v>
      </c>
      <c r="CD183" s="230">
        <v>-4375700</v>
      </c>
      <c r="CE183" s="229">
        <v>-0.38390000000000002</v>
      </c>
      <c r="CF183" s="230">
        <v>9174025</v>
      </c>
      <c r="CG183" s="230">
        <v>4071900</v>
      </c>
      <c r="CH183" s="230">
        <v>5102125</v>
      </c>
      <c r="CI183" s="229">
        <v>1.2529999999999999</v>
      </c>
      <c r="CJ183" s="230">
        <v>79625</v>
      </c>
      <c r="CK183" s="230">
        <v>90650</v>
      </c>
      <c r="CL183" s="230">
        <v>-11025</v>
      </c>
      <c r="CM183" s="229">
        <v>-0.1216</v>
      </c>
      <c r="CN183" s="230">
        <v>5954725</v>
      </c>
      <c r="CO183" s="230">
        <v>6916350</v>
      </c>
      <c r="CP183" s="230">
        <v>-961625</v>
      </c>
      <c r="CQ183" s="229">
        <v>-0.13900000000000001</v>
      </c>
      <c r="CR183" s="230">
        <v>4058425</v>
      </c>
      <c r="CS183" s="230">
        <v>4006975</v>
      </c>
      <c r="CT183" s="230">
        <v>51450</v>
      </c>
      <c r="CU183" s="229">
        <v>1.2800000000000001E-2</v>
      </c>
      <c r="CV183" s="230">
        <v>26289725</v>
      </c>
      <c r="CW183" s="230">
        <v>26484500</v>
      </c>
      <c r="CX183" s="230">
        <v>-194775</v>
      </c>
      <c r="CY183" s="229">
        <v>-7.4000000000000003E-3</v>
      </c>
      <c r="CZ183" s="228">
        <v>37.19</v>
      </c>
      <c r="DA183" s="228">
        <v>39.159999999999997</v>
      </c>
      <c r="DB183" s="228">
        <v>-1.97</v>
      </c>
      <c r="DC183" s="228">
        <v>-1.97</v>
      </c>
      <c r="DD183" s="228">
        <v>38.24</v>
      </c>
      <c r="DE183" s="228">
        <v>37.61</v>
      </c>
      <c r="DF183" s="228">
        <v>-1.05</v>
      </c>
      <c r="DG183" s="228">
        <v>0.63</v>
      </c>
      <c r="DH183" s="228">
        <v>36.32</v>
      </c>
      <c r="DI183" s="228">
        <v>39.57</v>
      </c>
      <c r="DJ183" s="228">
        <v>-3.25</v>
      </c>
      <c r="DK183" s="228">
        <v>-3.25</v>
      </c>
      <c r="DL183" s="228">
        <v>38.19</v>
      </c>
      <c r="DM183" s="228">
        <v>38.33</v>
      </c>
      <c r="DN183" s="228">
        <v>-0.14000000000000001</v>
      </c>
      <c r="DO183" s="228">
        <v>-0.14000000000000001</v>
      </c>
      <c r="DP183" s="228">
        <v>0.68</v>
      </c>
      <c r="DQ183" s="228">
        <v>0.57999999999999996</v>
      </c>
      <c r="DR183" s="228">
        <v>0.1</v>
      </c>
      <c r="DS183" s="229">
        <v>0.1724</v>
      </c>
      <c r="DT183" s="228">
        <v>460</v>
      </c>
      <c r="DU183" s="228">
        <v>460</v>
      </c>
      <c r="DV183" s="228">
        <v>0.45</v>
      </c>
      <c r="DW183" s="228">
        <v>0.5</v>
      </c>
      <c r="DX183" s="228">
        <v>-0.05</v>
      </c>
      <c r="DY183" s="229">
        <v>-0.1</v>
      </c>
      <c r="DZ183" s="229">
        <v>0.56850000000000001</v>
      </c>
      <c r="EA183" s="230">
        <v>4162550</v>
      </c>
      <c r="EB183" s="229">
        <v>2.0999999999999999E-3</v>
      </c>
      <c r="EC183" s="229">
        <v>0.56850000000000001</v>
      </c>
      <c r="ED183" s="228">
        <v>1.34</v>
      </c>
      <c r="EE183" s="229">
        <v>2.8999999999999998E-3</v>
      </c>
      <c r="EF183" s="230">
        <v>1285102</v>
      </c>
      <c r="EG183" s="230">
        <v>579682</v>
      </c>
      <c r="EH183" s="229">
        <v>1.2169000000000001</v>
      </c>
      <c r="EI183" s="229">
        <v>0.45050000000000001</v>
      </c>
      <c r="EJ183" s="231">
        <v>80364.789999999994</v>
      </c>
      <c r="EK183" s="231">
        <v>34031.620000000003</v>
      </c>
      <c r="EL183" s="231">
        <v>72027.03</v>
      </c>
      <c r="EM183" s="231">
        <v>3630</v>
      </c>
      <c r="EN183" s="231">
        <v>186423.44</v>
      </c>
      <c r="EO183" s="231">
        <v>71356.13</v>
      </c>
      <c r="EP183" s="231">
        <v>115067.31</v>
      </c>
      <c r="EQ183" s="229">
        <v>1.6126</v>
      </c>
      <c r="ER183" s="231">
        <v>28967</v>
      </c>
      <c r="ES183" s="231">
        <v>18249</v>
      </c>
      <c r="ET183" s="231">
        <v>76553</v>
      </c>
      <c r="EU183" s="231">
        <v>67126548</v>
      </c>
      <c r="EV183" s="231">
        <v>123769</v>
      </c>
      <c r="EW183" s="231">
        <v>120534</v>
      </c>
      <c r="EX183" s="231">
        <v>3235</v>
      </c>
      <c r="EY183" s="229">
        <v>2.6800000000000001E-2</v>
      </c>
      <c r="EZ183" s="229">
        <v>0.3916</v>
      </c>
      <c r="FA183" s="227" t="s">
        <v>555</v>
      </c>
      <c r="FB183" s="161">
        <f t="shared" si="4"/>
        <v>0</v>
      </c>
    </row>
    <row r="184" spans="1:158" ht="17.25" thickBot="1" x14ac:dyDescent="0.3">
      <c r="A184" s="226">
        <v>46044</v>
      </c>
      <c r="B184" s="227" t="s">
        <v>197</v>
      </c>
      <c r="C184" s="227" t="s">
        <v>286</v>
      </c>
      <c r="D184" s="228">
        <v>200</v>
      </c>
      <c r="E184" s="231">
        <v>2729.6</v>
      </c>
      <c r="F184" s="231">
        <v>2680.3</v>
      </c>
      <c r="G184" s="228">
        <v>49.3</v>
      </c>
      <c r="H184" s="229">
        <v>1.84E-2</v>
      </c>
      <c r="I184" s="231">
        <v>2735.9</v>
      </c>
      <c r="J184" s="231">
        <v>2676.9</v>
      </c>
      <c r="K184" s="228">
        <v>59</v>
      </c>
      <c r="L184" s="229">
        <v>2.1999999999999999E-2</v>
      </c>
      <c r="M184" s="231">
        <v>2729.6</v>
      </c>
      <c r="N184" s="231">
        <v>2680.3</v>
      </c>
      <c r="O184" s="228">
        <v>49.3</v>
      </c>
      <c r="P184" s="229">
        <v>1.84E-2</v>
      </c>
      <c r="Q184" s="231">
        <v>2738.4</v>
      </c>
      <c r="R184" s="231">
        <v>2690.3</v>
      </c>
      <c r="S184" s="228">
        <v>48.1</v>
      </c>
      <c r="T184" s="229">
        <v>1.7899999999999999E-2</v>
      </c>
      <c r="U184" s="231">
        <v>2752.2</v>
      </c>
      <c r="V184" s="231">
        <v>2706.6</v>
      </c>
      <c r="W184" s="228">
        <v>45.6</v>
      </c>
      <c r="X184" s="229">
        <v>1.6799999999999999E-2</v>
      </c>
      <c r="Y184" s="228">
        <v>-6.3</v>
      </c>
      <c r="Z184" s="228">
        <v>3.4</v>
      </c>
      <c r="AA184" s="228">
        <v>-9.6999999999999993</v>
      </c>
      <c r="AB184" s="229">
        <v>-2.3E-3</v>
      </c>
      <c r="AC184" s="228">
        <v>-6.3</v>
      </c>
      <c r="AD184" s="228">
        <v>3.4</v>
      </c>
      <c r="AE184" s="228">
        <v>-9.6999999999999993</v>
      </c>
      <c r="AF184" s="229">
        <v>-2.3E-3</v>
      </c>
      <c r="AG184" s="228">
        <v>2.5</v>
      </c>
      <c r="AH184" s="228">
        <v>13.4</v>
      </c>
      <c r="AI184" s="228">
        <v>-10.9</v>
      </c>
      <c r="AJ184" s="229">
        <v>8.9999999999999998E-4</v>
      </c>
      <c r="AK184" s="228">
        <v>16.3</v>
      </c>
      <c r="AL184" s="228">
        <v>29.7</v>
      </c>
      <c r="AM184" s="228">
        <v>-13.4</v>
      </c>
      <c r="AN184" s="229">
        <v>6.0000000000000001E-3</v>
      </c>
      <c r="AO184" s="231">
        <v>2718.83</v>
      </c>
      <c r="AP184" s="231">
        <v>2728.47</v>
      </c>
      <c r="AQ184" s="228">
        <v>0</v>
      </c>
      <c r="AR184" s="230">
        <v>2797800</v>
      </c>
      <c r="AS184" s="230">
        <v>4700400</v>
      </c>
      <c r="AT184" s="230">
        <v>-1902600</v>
      </c>
      <c r="AU184" s="229">
        <v>-0.40479999999999999</v>
      </c>
      <c r="AV184" s="230">
        <v>1467000</v>
      </c>
      <c r="AW184" s="230">
        <v>2957200</v>
      </c>
      <c r="AX184" s="230">
        <v>-1490200</v>
      </c>
      <c r="AY184" s="229">
        <v>-0.50390000000000001</v>
      </c>
      <c r="AZ184" s="230">
        <v>1324600</v>
      </c>
      <c r="BA184" s="230">
        <v>1728800</v>
      </c>
      <c r="BB184" s="230">
        <v>-404200</v>
      </c>
      <c r="BC184" s="229">
        <v>-0.23380000000000001</v>
      </c>
      <c r="BD184" s="230">
        <v>6200</v>
      </c>
      <c r="BE184" s="230">
        <v>14400</v>
      </c>
      <c r="BF184" s="230">
        <v>-8200</v>
      </c>
      <c r="BG184" s="229">
        <v>-0.56940000000000002</v>
      </c>
      <c r="BH184" s="230">
        <v>6055000</v>
      </c>
      <c r="BI184" s="230">
        <v>18914200</v>
      </c>
      <c r="BJ184" s="230">
        <v>-12859200</v>
      </c>
      <c r="BK184" s="229">
        <v>-0.67989999999999995</v>
      </c>
      <c r="BL184" s="230">
        <v>3268400</v>
      </c>
      <c r="BM184" s="230">
        <v>20834400</v>
      </c>
      <c r="BN184" s="230">
        <v>-17566000</v>
      </c>
      <c r="BO184" s="229">
        <v>-0.84309999999999996</v>
      </c>
      <c r="BP184" s="230">
        <v>12121200</v>
      </c>
      <c r="BQ184" s="230">
        <v>44449000</v>
      </c>
      <c r="BR184" s="230">
        <v>-32327800</v>
      </c>
      <c r="BS184" s="229">
        <v>-0.72729999999999995</v>
      </c>
      <c r="BT184" s="230">
        <v>760865</v>
      </c>
      <c r="BU184" s="230">
        <v>2013449</v>
      </c>
      <c r="BV184" s="230">
        <v>-1252584</v>
      </c>
      <c r="BW184" s="229">
        <v>-0.62209999999999999</v>
      </c>
      <c r="BX184" s="230">
        <v>3671000</v>
      </c>
      <c r="BY184" s="230">
        <v>3776800</v>
      </c>
      <c r="BZ184" s="230">
        <v>-105800</v>
      </c>
      <c r="CA184" s="229">
        <v>-2.8000000000000001E-2</v>
      </c>
      <c r="CB184" s="230">
        <v>1954800</v>
      </c>
      <c r="CC184" s="230">
        <v>2679600</v>
      </c>
      <c r="CD184" s="230">
        <v>-724800</v>
      </c>
      <c r="CE184" s="229">
        <v>-0.27050000000000002</v>
      </c>
      <c r="CF184" s="230">
        <v>1700800</v>
      </c>
      <c r="CG184" s="230">
        <v>1083400</v>
      </c>
      <c r="CH184" s="230">
        <v>617400</v>
      </c>
      <c r="CI184" s="229">
        <v>0.56989999999999996</v>
      </c>
      <c r="CJ184" s="230">
        <v>15400</v>
      </c>
      <c r="CK184" s="230">
        <v>13800</v>
      </c>
      <c r="CL184" s="230">
        <v>1600</v>
      </c>
      <c r="CM184" s="229">
        <v>0.1159</v>
      </c>
      <c r="CN184" s="230">
        <v>2944200</v>
      </c>
      <c r="CO184" s="230">
        <v>3872600</v>
      </c>
      <c r="CP184" s="230">
        <v>-928400</v>
      </c>
      <c r="CQ184" s="229">
        <v>-0.2397</v>
      </c>
      <c r="CR184" s="230">
        <v>1484200</v>
      </c>
      <c r="CS184" s="230">
        <v>1753600</v>
      </c>
      <c r="CT184" s="230">
        <v>-269400</v>
      </c>
      <c r="CU184" s="229">
        <v>-0.15359999999999999</v>
      </c>
      <c r="CV184" s="230">
        <v>8099400</v>
      </c>
      <c r="CW184" s="230">
        <v>9403000</v>
      </c>
      <c r="CX184" s="230">
        <v>-1303600</v>
      </c>
      <c r="CY184" s="229">
        <v>-0.1386</v>
      </c>
      <c r="CZ184" s="228">
        <v>26.74</v>
      </c>
      <c r="DA184" s="228">
        <v>30.94</v>
      </c>
      <c r="DB184" s="228">
        <v>-4.2</v>
      </c>
      <c r="DC184" s="228">
        <v>-4.2</v>
      </c>
      <c r="DD184" s="228">
        <v>31.8</v>
      </c>
      <c r="DE184" s="228">
        <v>31.75</v>
      </c>
      <c r="DF184" s="228">
        <v>-5.0599999999999996</v>
      </c>
      <c r="DG184" s="228">
        <v>0.05</v>
      </c>
      <c r="DH184" s="228">
        <v>26.72</v>
      </c>
      <c r="DI184" s="228">
        <v>34.18</v>
      </c>
      <c r="DJ184" s="228">
        <v>-7.46</v>
      </c>
      <c r="DK184" s="228">
        <v>-7.46</v>
      </c>
      <c r="DL184" s="228">
        <v>26.81</v>
      </c>
      <c r="DM184" s="228">
        <v>28</v>
      </c>
      <c r="DN184" s="228">
        <v>-1.19</v>
      </c>
      <c r="DO184" s="228">
        <v>-1.19</v>
      </c>
      <c r="DP184" s="228">
        <v>0.5</v>
      </c>
      <c r="DQ184" s="228">
        <v>0.45</v>
      </c>
      <c r="DR184" s="228">
        <v>0.05</v>
      </c>
      <c r="DS184" s="229">
        <v>0.1111</v>
      </c>
      <c r="DT184" s="231">
        <v>3000</v>
      </c>
      <c r="DU184" s="231">
        <v>2700</v>
      </c>
      <c r="DV184" s="228">
        <v>0.54</v>
      </c>
      <c r="DW184" s="228">
        <v>1.1000000000000001</v>
      </c>
      <c r="DX184" s="228">
        <v>-0.56000000000000005</v>
      </c>
      <c r="DY184" s="229">
        <v>-0.5091</v>
      </c>
      <c r="DZ184" s="229">
        <v>0.46750000000000003</v>
      </c>
      <c r="EA184" s="230">
        <v>1097200</v>
      </c>
      <c r="EB184" s="229">
        <v>3.2000000000000002E-3</v>
      </c>
      <c r="EC184" s="229">
        <v>0.46750000000000003</v>
      </c>
      <c r="ED184" s="228">
        <v>9.64</v>
      </c>
      <c r="EE184" s="229">
        <v>3.5000000000000001E-3</v>
      </c>
      <c r="EF184" s="230">
        <v>398128</v>
      </c>
      <c r="EG184" s="230">
        <v>659850</v>
      </c>
      <c r="EH184" s="229">
        <v>-0.39660000000000001</v>
      </c>
      <c r="EI184" s="229">
        <v>0.52329999999999999</v>
      </c>
      <c r="EJ184" s="231">
        <v>172828.96</v>
      </c>
      <c r="EK184" s="231">
        <v>87951.95</v>
      </c>
      <c r="EL184" s="231">
        <v>76196.429999999993</v>
      </c>
      <c r="EM184" s="231">
        <v>11852</v>
      </c>
      <c r="EN184" s="231">
        <v>336977.34</v>
      </c>
      <c r="EO184" s="231">
        <v>1251369.3700000001</v>
      </c>
      <c r="EP184" s="231">
        <v>-914392.03</v>
      </c>
      <c r="EQ184" s="229">
        <v>-0.73070000000000002</v>
      </c>
      <c r="ER184" s="231">
        <v>87772</v>
      </c>
      <c r="ES184" s="231">
        <v>42192</v>
      </c>
      <c r="ET184" s="231">
        <v>100357</v>
      </c>
      <c r="EU184" s="231">
        <v>18529108</v>
      </c>
      <c r="EV184" s="231">
        <v>230321</v>
      </c>
      <c r="EW184" s="231">
        <v>265499</v>
      </c>
      <c r="EX184" s="231">
        <v>-35178</v>
      </c>
      <c r="EY184" s="229">
        <v>-0.13250000000000001</v>
      </c>
      <c r="EZ184" s="229">
        <v>0.43709999999999999</v>
      </c>
      <c r="FA184" s="227" t="s">
        <v>556</v>
      </c>
      <c r="FB184" s="161">
        <f t="shared" si="4"/>
        <v>0</v>
      </c>
    </row>
    <row r="185" spans="1:158" ht="17.25" thickBot="1" x14ac:dyDescent="0.3">
      <c r="A185" s="226">
        <v>46044</v>
      </c>
      <c r="B185" s="227" t="s">
        <v>170</v>
      </c>
      <c r="C185" s="227" t="s">
        <v>288</v>
      </c>
      <c r="D185" s="228">
        <v>350</v>
      </c>
      <c r="E185" s="231">
        <v>1635.4</v>
      </c>
      <c r="F185" s="231">
        <v>1616.4</v>
      </c>
      <c r="G185" s="228">
        <v>19</v>
      </c>
      <c r="H185" s="229">
        <v>1.18E-2</v>
      </c>
      <c r="I185" s="231">
        <v>1634.2</v>
      </c>
      <c r="J185" s="231">
        <v>1612.9</v>
      </c>
      <c r="K185" s="228">
        <v>21.3</v>
      </c>
      <c r="L185" s="229">
        <v>1.32E-2</v>
      </c>
      <c r="M185" s="231">
        <v>1635.4</v>
      </c>
      <c r="N185" s="231">
        <v>1616.4</v>
      </c>
      <c r="O185" s="228">
        <v>19</v>
      </c>
      <c r="P185" s="229">
        <v>1.18E-2</v>
      </c>
      <c r="Q185" s="231">
        <v>1633.5</v>
      </c>
      <c r="R185" s="231">
        <v>1614.3</v>
      </c>
      <c r="S185" s="228">
        <v>19.2</v>
      </c>
      <c r="T185" s="229">
        <v>1.1900000000000001E-2</v>
      </c>
      <c r="U185" s="231">
        <v>1645.2</v>
      </c>
      <c r="V185" s="231">
        <v>1625.2</v>
      </c>
      <c r="W185" s="228">
        <v>20</v>
      </c>
      <c r="X185" s="229">
        <v>1.23E-2</v>
      </c>
      <c r="Y185" s="228">
        <v>1.2</v>
      </c>
      <c r="Z185" s="228">
        <v>3.5</v>
      </c>
      <c r="AA185" s="228">
        <v>-2.2999999999999998</v>
      </c>
      <c r="AB185" s="229">
        <v>6.9999999999999999E-4</v>
      </c>
      <c r="AC185" s="228">
        <v>1.2</v>
      </c>
      <c r="AD185" s="228">
        <v>3.5</v>
      </c>
      <c r="AE185" s="228">
        <v>-2.2999999999999998</v>
      </c>
      <c r="AF185" s="229">
        <v>6.9999999999999999E-4</v>
      </c>
      <c r="AG185" s="228">
        <v>-0.7</v>
      </c>
      <c r="AH185" s="228">
        <v>1.4</v>
      </c>
      <c r="AI185" s="228">
        <v>-2.1</v>
      </c>
      <c r="AJ185" s="229">
        <v>-4.0000000000000002E-4</v>
      </c>
      <c r="AK185" s="228">
        <v>11</v>
      </c>
      <c r="AL185" s="228">
        <v>12.3</v>
      </c>
      <c r="AM185" s="228">
        <v>-1.3</v>
      </c>
      <c r="AN185" s="229">
        <v>6.7000000000000002E-3</v>
      </c>
      <c r="AO185" s="231">
        <v>1632</v>
      </c>
      <c r="AP185" s="231">
        <v>1629.56</v>
      </c>
      <c r="AQ185" s="228">
        <v>0</v>
      </c>
      <c r="AR185" s="230">
        <v>14242200</v>
      </c>
      <c r="AS185" s="230">
        <v>8869000</v>
      </c>
      <c r="AT185" s="230">
        <v>5373200</v>
      </c>
      <c r="AU185" s="229">
        <v>0.60580000000000001</v>
      </c>
      <c r="AV185" s="230">
        <v>7263550</v>
      </c>
      <c r="AW185" s="230">
        <v>4472300</v>
      </c>
      <c r="AX185" s="230">
        <v>2791250</v>
      </c>
      <c r="AY185" s="229">
        <v>0.62409999999999999</v>
      </c>
      <c r="AZ185" s="230">
        <v>6956250</v>
      </c>
      <c r="BA185" s="230">
        <v>4359950</v>
      </c>
      <c r="BB185" s="230">
        <v>2596300</v>
      </c>
      <c r="BC185" s="229">
        <v>0.59550000000000003</v>
      </c>
      <c r="BD185" s="230">
        <v>22400</v>
      </c>
      <c r="BE185" s="230">
        <v>36750</v>
      </c>
      <c r="BF185" s="230">
        <v>-14350</v>
      </c>
      <c r="BG185" s="229">
        <v>-0.39050000000000001</v>
      </c>
      <c r="BH185" s="230">
        <v>9476250</v>
      </c>
      <c r="BI185" s="230">
        <v>16022650</v>
      </c>
      <c r="BJ185" s="230">
        <v>-6546400</v>
      </c>
      <c r="BK185" s="229">
        <v>-0.40860000000000002</v>
      </c>
      <c r="BL185" s="230">
        <v>8426250</v>
      </c>
      <c r="BM185" s="230">
        <v>9000950</v>
      </c>
      <c r="BN185" s="230">
        <v>-574700</v>
      </c>
      <c r="BO185" s="229">
        <v>-6.3799999999999996E-2</v>
      </c>
      <c r="BP185" s="230">
        <v>32144700</v>
      </c>
      <c r="BQ185" s="230">
        <v>33892600</v>
      </c>
      <c r="BR185" s="230">
        <v>-1747900</v>
      </c>
      <c r="BS185" s="229">
        <v>-5.16E-2</v>
      </c>
      <c r="BT185" s="230">
        <v>2396164</v>
      </c>
      <c r="BU185" s="230">
        <v>4079568</v>
      </c>
      <c r="BV185" s="230">
        <v>-1683404</v>
      </c>
      <c r="BW185" s="229">
        <v>-0.41260000000000002</v>
      </c>
      <c r="BX185" s="230">
        <v>21303100</v>
      </c>
      <c r="BY185" s="230">
        <v>21098000</v>
      </c>
      <c r="BZ185" s="230">
        <v>205100</v>
      </c>
      <c r="CA185" s="229">
        <v>9.7000000000000003E-3</v>
      </c>
      <c r="CB185" s="230">
        <v>10281250</v>
      </c>
      <c r="CC185" s="230">
        <v>15932700</v>
      </c>
      <c r="CD185" s="230">
        <v>-5651450</v>
      </c>
      <c r="CE185" s="229">
        <v>-0.35470000000000002</v>
      </c>
      <c r="CF185" s="230">
        <v>10847900</v>
      </c>
      <c r="CG185" s="230">
        <v>4993800</v>
      </c>
      <c r="CH185" s="230">
        <v>5854100</v>
      </c>
      <c r="CI185" s="229">
        <v>1.1722999999999999</v>
      </c>
      <c r="CJ185" s="230">
        <v>173950</v>
      </c>
      <c r="CK185" s="230">
        <v>171500</v>
      </c>
      <c r="CL185" s="230">
        <v>2450</v>
      </c>
      <c r="CM185" s="229">
        <v>1.43E-2</v>
      </c>
      <c r="CN185" s="230">
        <v>11782750</v>
      </c>
      <c r="CO185" s="230">
        <v>12072900</v>
      </c>
      <c r="CP185" s="230">
        <v>-290150</v>
      </c>
      <c r="CQ185" s="229">
        <v>-2.4E-2</v>
      </c>
      <c r="CR185" s="230">
        <v>4711700</v>
      </c>
      <c r="CS185" s="230">
        <v>5148150</v>
      </c>
      <c r="CT185" s="230">
        <v>-436450</v>
      </c>
      <c r="CU185" s="229">
        <v>-8.48E-2</v>
      </c>
      <c r="CV185" s="230">
        <v>37797550</v>
      </c>
      <c r="CW185" s="230">
        <v>38319050</v>
      </c>
      <c r="CX185" s="230">
        <v>-521500</v>
      </c>
      <c r="CY185" s="229">
        <v>-1.3599999999999999E-2</v>
      </c>
      <c r="CZ185" s="228">
        <v>24.28</v>
      </c>
      <c r="DA185" s="228">
        <v>21.4</v>
      </c>
      <c r="DB185" s="228">
        <v>2.88</v>
      </c>
      <c r="DC185" s="228">
        <v>2.88</v>
      </c>
      <c r="DD185" s="228">
        <v>22.95</v>
      </c>
      <c r="DE185" s="228">
        <v>22.94</v>
      </c>
      <c r="DF185" s="228">
        <v>1.33</v>
      </c>
      <c r="DG185" s="228">
        <v>0.01</v>
      </c>
      <c r="DH185" s="228">
        <v>24.12</v>
      </c>
      <c r="DI185" s="228">
        <v>21.04</v>
      </c>
      <c r="DJ185" s="228">
        <v>3.08</v>
      </c>
      <c r="DK185" s="228">
        <v>3.08</v>
      </c>
      <c r="DL185" s="228">
        <v>24.57</v>
      </c>
      <c r="DM185" s="228">
        <v>22.04</v>
      </c>
      <c r="DN185" s="228">
        <v>2.5299999999999998</v>
      </c>
      <c r="DO185" s="228">
        <v>2.5299999999999998</v>
      </c>
      <c r="DP185" s="228">
        <v>0.4</v>
      </c>
      <c r="DQ185" s="228">
        <v>0.43</v>
      </c>
      <c r="DR185" s="228">
        <v>-0.03</v>
      </c>
      <c r="DS185" s="229">
        <v>-6.9800000000000001E-2</v>
      </c>
      <c r="DT185" s="231">
        <v>1800</v>
      </c>
      <c r="DU185" s="231">
        <v>1620</v>
      </c>
      <c r="DV185" s="228">
        <v>0.89</v>
      </c>
      <c r="DW185" s="228">
        <v>0.56000000000000005</v>
      </c>
      <c r="DX185" s="228">
        <v>0.33</v>
      </c>
      <c r="DY185" s="229">
        <v>0.58930000000000005</v>
      </c>
      <c r="DZ185" s="229">
        <v>0.51739999999999997</v>
      </c>
      <c r="EA185" s="230">
        <v>5165300</v>
      </c>
      <c r="EB185" s="229">
        <v>-1.1999999999999999E-3</v>
      </c>
      <c r="EC185" s="229">
        <v>0.51739999999999997</v>
      </c>
      <c r="ED185" s="228">
        <v>-2.44</v>
      </c>
      <c r="EE185" s="229">
        <v>-1.5E-3</v>
      </c>
      <c r="EF185" s="230">
        <v>1473571</v>
      </c>
      <c r="EG185" s="230">
        <v>2698886</v>
      </c>
      <c r="EH185" s="229">
        <v>-0.45400000000000001</v>
      </c>
      <c r="EI185" s="229">
        <v>0.61499999999999999</v>
      </c>
      <c r="EJ185" s="231">
        <v>159007.35</v>
      </c>
      <c r="EK185" s="231">
        <v>136717.53</v>
      </c>
      <c r="EL185" s="231">
        <v>232264.44</v>
      </c>
      <c r="EM185" s="231">
        <v>15850</v>
      </c>
      <c r="EN185" s="231">
        <v>527989.31999999995</v>
      </c>
      <c r="EO185" s="231">
        <v>558752.25</v>
      </c>
      <c r="EP185" s="231">
        <v>-30762.93</v>
      </c>
      <c r="EQ185" s="229">
        <v>-5.5100000000000003E-2</v>
      </c>
      <c r="ER185" s="231">
        <v>206490</v>
      </c>
      <c r="ES185" s="231">
        <v>78451</v>
      </c>
      <c r="ET185" s="231">
        <v>348202</v>
      </c>
      <c r="EU185" s="231">
        <v>109220043</v>
      </c>
      <c r="EV185" s="231">
        <v>633142</v>
      </c>
      <c r="EW185" s="231">
        <v>637945</v>
      </c>
      <c r="EX185" s="231">
        <v>-4803</v>
      </c>
      <c r="EY185" s="229">
        <v>-7.4999999999999997E-3</v>
      </c>
      <c r="EZ185" s="229">
        <v>0.34610000000000002</v>
      </c>
      <c r="FA185" s="227" t="s">
        <v>555</v>
      </c>
      <c r="FB185" s="161">
        <f t="shared" si="4"/>
        <v>0</v>
      </c>
    </row>
    <row r="186" spans="1:158" ht="17.25" thickBot="1" x14ac:dyDescent="0.3">
      <c r="A186" s="226">
        <v>46044</v>
      </c>
      <c r="B186" s="227" t="s">
        <v>184</v>
      </c>
      <c r="C186" s="227" t="s">
        <v>574</v>
      </c>
      <c r="D186" s="228">
        <v>175</v>
      </c>
      <c r="E186" s="231">
        <v>3487.1</v>
      </c>
      <c r="F186" s="231">
        <v>3349.8</v>
      </c>
      <c r="G186" s="228">
        <v>137.30000000000001</v>
      </c>
      <c r="H186" s="229">
        <v>4.1000000000000002E-2</v>
      </c>
      <c r="I186" s="231">
        <v>3487.8</v>
      </c>
      <c r="J186" s="231">
        <v>3348.7</v>
      </c>
      <c r="K186" s="228">
        <v>139.1</v>
      </c>
      <c r="L186" s="229">
        <v>4.1500000000000002E-2</v>
      </c>
      <c r="M186" s="231">
        <v>3487.1</v>
      </c>
      <c r="N186" s="231">
        <v>3349.8</v>
      </c>
      <c r="O186" s="228">
        <v>137.30000000000001</v>
      </c>
      <c r="P186" s="229">
        <v>4.1000000000000002E-2</v>
      </c>
      <c r="Q186" s="231">
        <v>3490</v>
      </c>
      <c r="R186" s="231">
        <v>3342.1</v>
      </c>
      <c r="S186" s="228">
        <v>147.9</v>
      </c>
      <c r="T186" s="229">
        <v>4.4299999999999999E-2</v>
      </c>
      <c r="U186" s="231">
        <v>3506.2</v>
      </c>
      <c r="V186" s="231">
        <v>3331.9</v>
      </c>
      <c r="W186" s="228">
        <v>174.3</v>
      </c>
      <c r="X186" s="229">
        <v>5.2299999999999999E-2</v>
      </c>
      <c r="Y186" s="228">
        <v>-0.7</v>
      </c>
      <c r="Z186" s="228">
        <v>1.1000000000000001</v>
      </c>
      <c r="AA186" s="228">
        <v>-1.8</v>
      </c>
      <c r="AB186" s="229">
        <v>-2.0000000000000001E-4</v>
      </c>
      <c r="AC186" s="228">
        <v>-0.7</v>
      </c>
      <c r="AD186" s="228">
        <v>1.1000000000000001</v>
      </c>
      <c r="AE186" s="228">
        <v>-1.8</v>
      </c>
      <c r="AF186" s="229">
        <v>-2.0000000000000001E-4</v>
      </c>
      <c r="AG186" s="228">
        <v>2.2000000000000002</v>
      </c>
      <c r="AH186" s="228">
        <v>-6.6</v>
      </c>
      <c r="AI186" s="228">
        <v>8.8000000000000007</v>
      </c>
      <c r="AJ186" s="229">
        <v>5.9999999999999995E-4</v>
      </c>
      <c r="AK186" s="228">
        <v>18.399999999999999</v>
      </c>
      <c r="AL186" s="228">
        <v>-16.8</v>
      </c>
      <c r="AM186" s="228">
        <v>35.200000000000003</v>
      </c>
      <c r="AN186" s="229">
        <v>5.3E-3</v>
      </c>
      <c r="AO186" s="231">
        <v>3461</v>
      </c>
      <c r="AP186" s="231">
        <v>3460.25</v>
      </c>
      <c r="AQ186" s="228">
        <v>0</v>
      </c>
      <c r="AR186" s="230">
        <v>2085475</v>
      </c>
      <c r="AS186" s="230">
        <v>3042200</v>
      </c>
      <c r="AT186" s="230">
        <v>-956725</v>
      </c>
      <c r="AU186" s="229">
        <v>-0.3145</v>
      </c>
      <c r="AV186" s="230">
        <v>1132425</v>
      </c>
      <c r="AW186" s="230">
        <v>1931650</v>
      </c>
      <c r="AX186" s="230">
        <v>-799225</v>
      </c>
      <c r="AY186" s="229">
        <v>-0.4138</v>
      </c>
      <c r="AZ186" s="230">
        <v>951650</v>
      </c>
      <c r="BA186" s="230">
        <v>1107050</v>
      </c>
      <c r="BB186" s="230">
        <v>-155400</v>
      </c>
      <c r="BC186" s="229">
        <v>-0.1404</v>
      </c>
      <c r="BD186" s="230">
        <v>1400</v>
      </c>
      <c r="BE186" s="230">
        <v>3500</v>
      </c>
      <c r="BF186" s="230">
        <v>-2100</v>
      </c>
      <c r="BG186" s="229">
        <v>-0.6</v>
      </c>
      <c r="BH186" s="230">
        <v>4177775</v>
      </c>
      <c r="BI186" s="230">
        <v>6278125</v>
      </c>
      <c r="BJ186" s="230">
        <v>-2100350</v>
      </c>
      <c r="BK186" s="229">
        <v>-0.33460000000000001</v>
      </c>
      <c r="BL186" s="230">
        <v>2423225</v>
      </c>
      <c r="BM186" s="230">
        <v>5090750</v>
      </c>
      <c r="BN186" s="230">
        <v>-2667525</v>
      </c>
      <c r="BO186" s="229">
        <v>-0.52400000000000002</v>
      </c>
      <c r="BP186" s="230">
        <v>8686475</v>
      </c>
      <c r="BQ186" s="230">
        <v>14411075</v>
      </c>
      <c r="BR186" s="230">
        <v>-5724600</v>
      </c>
      <c r="BS186" s="229">
        <v>-0.3972</v>
      </c>
      <c r="BT186" s="230">
        <v>547217</v>
      </c>
      <c r="BU186" s="230">
        <v>826343</v>
      </c>
      <c r="BV186" s="230">
        <v>-279126</v>
      </c>
      <c r="BW186" s="229">
        <v>-0.33779999999999999</v>
      </c>
      <c r="BX186" s="230">
        <v>2283050</v>
      </c>
      <c r="BY186" s="230">
        <v>2405550</v>
      </c>
      <c r="BZ186" s="230">
        <v>-122500</v>
      </c>
      <c r="CA186" s="229">
        <v>-5.0900000000000001E-2</v>
      </c>
      <c r="CB186" s="230">
        <v>1110725</v>
      </c>
      <c r="CC186" s="230">
        <v>1719025</v>
      </c>
      <c r="CD186" s="230">
        <v>-608300</v>
      </c>
      <c r="CE186" s="229">
        <v>-0.35389999999999999</v>
      </c>
      <c r="CF186" s="230">
        <v>1165150</v>
      </c>
      <c r="CG186" s="230">
        <v>679875</v>
      </c>
      <c r="CH186" s="230">
        <v>485275</v>
      </c>
      <c r="CI186" s="229">
        <v>0.71379999999999999</v>
      </c>
      <c r="CJ186" s="230">
        <v>7175</v>
      </c>
      <c r="CK186" s="230">
        <v>6650</v>
      </c>
      <c r="CL186" s="228">
        <v>525</v>
      </c>
      <c r="CM186" s="229">
        <v>7.8899999999999998E-2</v>
      </c>
      <c r="CN186" s="230">
        <v>740425</v>
      </c>
      <c r="CO186" s="230">
        <v>921025</v>
      </c>
      <c r="CP186" s="230">
        <v>-180600</v>
      </c>
      <c r="CQ186" s="229">
        <v>-0.1961</v>
      </c>
      <c r="CR186" s="230">
        <v>728000</v>
      </c>
      <c r="CS186" s="230">
        <v>865900</v>
      </c>
      <c r="CT186" s="230">
        <v>-137900</v>
      </c>
      <c r="CU186" s="229">
        <v>-0.1593</v>
      </c>
      <c r="CV186" s="230">
        <v>3751475</v>
      </c>
      <c r="CW186" s="230">
        <v>4192475</v>
      </c>
      <c r="CX186" s="230">
        <v>-441000</v>
      </c>
      <c r="CY186" s="229">
        <v>-0.1052</v>
      </c>
      <c r="CZ186" s="228">
        <v>31.62</v>
      </c>
      <c r="DA186" s="228">
        <v>35.78</v>
      </c>
      <c r="DB186" s="228">
        <v>-4.16</v>
      </c>
      <c r="DC186" s="228">
        <v>-4.16</v>
      </c>
      <c r="DD186" s="228">
        <v>39.020000000000003</v>
      </c>
      <c r="DE186" s="228">
        <v>38.74</v>
      </c>
      <c r="DF186" s="228">
        <v>-7.4</v>
      </c>
      <c r="DG186" s="228">
        <v>0.28000000000000003</v>
      </c>
      <c r="DH186" s="228">
        <v>30.62</v>
      </c>
      <c r="DI186" s="228">
        <v>34.24</v>
      </c>
      <c r="DJ186" s="228">
        <v>-3.62</v>
      </c>
      <c r="DK186" s="228">
        <v>-3.62</v>
      </c>
      <c r="DL186" s="228">
        <v>32.68</v>
      </c>
      <c r="DM186" s="228">
        <v>37.68</v>
      </c>
      <c r="DN186" s="228">
        <v>-5</v>
      </c>
      <c r="DO186" s="228">
        <v>-5</v>
      </c>
      <c r="DP186" s="228">
        <v>0.98</v>
      </c>
      <c r="DQ186" s="228">
        <v>0.94</v>
      </c>
      <c r="DR186" s="228">
        <v>0.04</v>
      </c>
      <c r="DS186" s="229">
        <v>4.2599999999999999E-2</v>
      </c>
      <c r="DT186" s="231">
        <v>3550</v>
      </c>
      <c r="DU186" s="231">
        <v>3300</v>
      </c>
      <c r="DV186" s="228">
        <v>0.57999999999999996</v>
      </c>
      <c r="DW186" s="228">
        <v>0.81</v>
      </c>
      <c r="DX186" s="228">
        <v>-0.23</v>
      </c>
      <c r="DY186" s="229">
        <v>-0.28399999999999997</v>
      </c>
      <c r="DZ186" s="229">
        <v>0.51349999999999996</v>
      </c>
      <c r="EA186" s="230">
        <v>686525</v>
      </c>
      <c r="EB186" s="229">
        <v>8.0000000000000004E-4</v>
      </c>
      <c r="EC186" s="229">
        <v>0.51349999999999996</v>
      </c>
      <c r="ED186" s="228">
        <v>-0.75</v>
      </c>
      <c r="EE186" s="229">
        <v>-2.0000000000000001E-4</v>
      </c>
      <c r="EF186" s="230">
        <v>262469</v>
      </c>
      <c r="EG186" s="230">
        <v>249174</v>
      </c>
      <c r="EH186" s="229">
        <v>5.3400000000000003E-2</v>
      </c>
      <c r="EI186" s="229">
        <v>0.47960000000000003</v>
      </c>
      <c r="EJ186" s="231">
        <v>149543.70000000001</v>
      </c>
      <c r="EK186" s="231">
        <v>80648.320000000007</v>
      </c>
      <c r="EL186" s="231">
        <v>72171.17</v>
      </c>
      <c r="EM186" s="231">
        <v>6468</v>
      </c>
      <c r="EN186" s="231">
        <v>302363.19</v>
      </c>
      <c r="EO186" s="231">
        <v>487648.35</v>
      </c>
      <c r="EP186" s="231">
        <v>-185285.16</v>
      </c>
      <c r="EQ186" s="229">
        <v>-0.38</v>
      </c>
      <c r="ER186" s="231">
        <v>26654</v>
      </c>
      <c r="ES186" s="231">
        <v>24145</v>
      </c>
      <c r="ET186" s="231">
        <v>79647</v>
      </c>
      <c r="EU186" s="231">
        <v>9736357</v>
      </c>
      <c r="EV186" s="231">
        <v>130447</v>
      </c>
      <c r="EW186" s="231">
        <v>141905</v>
      </c>
      <c r="EX186" s="231">
        <v>-11458</v>
      </c>
      <c r="EY186" s="229">
        <v>-8.0699999999999994E-2</v>
      </c>
      <c r="EZ186" s="229">
        <v>0.38529999999999998</v>
      </c>
      <c r="FA186" s="227" t="s">
        <v>556</v>
      </c>
      <c r="FB186" s="161">
        <f t="shared" si="4"/>
        <v>0</v>
      </c>
    </row>
    <row r="187" spans="1:158" ht="17.25" thickBot="1" x14ac:dyDescent="0.3">
      <c r="A187" s="226">
        <v>46044</v>
      </c>
      <c r="B187" s="227" t="s">
        <v>161</v>
      </c>
      <c r="C187" s="227" t="s">
        <v>684</v>
      </c>
      <c r="D187" s="228">
        <v>9025</v>
      </c>
      <c r="E187" s="228">
        <v>47.01</v>
      </c>
      <c r="F187" s="228">
        <v>45.65</v>
      </c>
      <c r="G187" s="228">
        <v>1.36</v>
      </c>
      <c r="H187" s="229">
        <v>2.98E-2</v>
      </c>
      <c r="I187" s="228">
        <v>46.99</v>
      </c>
      <c r="J187" s="228">
        <v>45.53</v>
      </c>
      <c r="K187" s="228">
        <v>1.46</v>
      </c>
      <c r="L187" s="229">
        <v>3.2099999999999997E-2</v>
      </c>
      <c r="M187" s="228">
        <v>47.01</v>
      </c>
      <c r="N187" s="228">
        <v>45.65</v>
      </c>
      <c r="O187" s="228">
        <v>1.36</v>
      </c>
      <c r="P187" s="229">
        <v>2.98E-2</v>
      </c>
      <c r="Q187" s="228">
        <v>47.21</v>
      </c>
      <c r="R187" s="228">
        <v>45.85</v>
      </c>
      <c r="S187" s="228">
        <v>1.36</v>
      </c>
      <c r="T187" s="229">
        <v>2.9700000000000001E-2</v>
      </c>
      <c r="U187" s="228">
        <v>47.57</v>
      </c>
      <c r="V187" s="228">
        <v>46.15</v>
      </c>
      <c r="W187" s="228">
        <v>1.42</v>
      </c>
      <c r="X187" s="229">
        <v>3.0800000000000001E-2</v>
      </c>
      <c r="Y187" s="228">
        <v>0.02</v>
      </c>
      <c r="Z187" s="228">
        <v>0.12</v>
      </c>
      <c r="AA187" s="228">
        <v>-0.1</v>
      </c>
      <c r="AB187" s="229">
        <v>4.0000000000000002E-4</v>
      </c>
      <c r="AC187" s="228">
        <v>0.02</v>
      </c>
      <c r="AD187" s="228">
        <v>0.12</v>
      </c>
      <c r="AE187" s="228">
        <v>-0.1</v>
      </c>
      <c r="AF187" s="229">
        <v>4.0000000000000002E-4</v>
      </c>
      <c r="AG187" s="228">
        <v>0.22</v>
      </c>
      <c r="AH187" s="228">
        <v>0.32</v>
      </c>
      <c r="AI187" s="228">
        <v>-0.1</v>
      </c>
      <c r="AJ187" s="229">
        <v>4.7000000000000002E-3</v>
      </c>
      <c r="AK187" s="228">
        <v>0.57999999999999996</v>
      </c>
      <c r="AL187" s="228">
        <v>0.62</v>
      </c>
      <c r="AM187" s="228">
        <v>-0.04</v>
      </c>
      <c r="AN187" s="229">
        <v>1.23E-2</v>
      </c>
      <c r="AO187" s="228">
        <v>46.37</v>
      </c>
      <c r="AP187" s="228">
        <v>46.56</v>
      </c>
      <c r="AQ187" s="228">
        <v>0</v>
      </c>
      <c r="AR187" s="230">
        <v>170373950</v>
      </c>
      <c r="AS187" s="230">
        <v>166023900</v>
      </c>
      <c r="AT187" s="230">
        <v>4350050</v>
      </c>
      <c r="AU187" s="229">
        <v>2.6200000000000001E-2</v>
      </c>
      <c r="AV187" s="230">
        <v>86008250</v>
      </c>
      <c r="AW187" s="230">
        <v>90033400</v>
      </c>
      <c r="AX187" s="230">
        <v>-4025150</v>
      </c>
      <c r="AY187" s="229">
        <v>-4.4699999999999997E-2</v>
      </c>
      <c r="AZ187" s="230">
        <v>82172625</v>
      </c>
      <c r="BA187" s="230">
        <v>74384050</v>
      </c>
      <c r="BB187" s="230">
        <v>7788575</v>
      </c>
      <c r="BC187" s="229">
        <v>0.1047</v>
      </c>
      <c r="BD187" s="230">
        <v>2193075</v>
      </c>
      <c r="BE187" s="230">
        <v>1606450</v>
      </c>
      <c r="BF187" s="230">
        <v>586625</v>
      </c>
      <c r="BG187" s="229">
        <v>0.36520000000000002</v>
      </c>
      <c r="BH187" s="230">
        <v>158199225</v>
      </c>
      <c r="BI187" s="230">
        <v>186402350</v>
      </c>
      <c r="BJ187" s="230">
        <v>-28203125</v>
      </c>
      <c r="BK187" s="229">
        <v>-0.15129999999999999</v>
      </c>
      <c r="BL187" s="230">
        <v>57047025</v>
      </c>
      <c r="BM187" s="230">
        <v>116404450</v>
      </c>
      <c r="BN187" s="230">
        <v>-59357425</v>
      </c>
      <c r="BO187" s="229">
        <v>-0.50990000000000002</v>
      </c>
      <c r="BP187" s="230">
        <v>385620200</v>
      </c>
      <c r="BQ187" s="230">
        <v>468830700</v>
      </c>
      <c r="BR187" s="230">
        <v>-83210500</v>
      </c>
      <c r="BS187" s="229">
        <v>-0.17749999999999999</v>
      </c>
      <c r="BT187" s="230">
        <v>64338190</v>
      </c>
      <c r="BU187" s="230">
        <v>91420171</v>
      </c>
      <c r="BV187" s="230">
        <v>-27081981</v>
      </c>
      <c r="BW187" s="229">
        <v>-0.29620000000000002</v>
      </c>
      <c r="BX187" s="230">
        <v>350973225</v>
      </c>
      <c r="BY187" s="230">
        <v>360431425</v>
      </c>
      <c r="BZ187" s="230">
        <v>-9458200</v>
      </c>
      <c r="CA187" s="229">
        <v>-2.6200000000000001E-2</v>
      </c>
      <c r="CB187" s="230">
        <v>192719850</v>
      </c>
      <c r="CC187" s="230">
        <v>245353650</v>
      </c>
      <c r="CD187" s="230">
        <v>-52633800</v>
      </c>
      <c r="CE187" s="229">
        <v>-0.2145</v>
      </c>
      <c r="CF187" s="230">
        <v>151701225</v>
      </c>
      <c r="CG187" s="230">
        <v>109888400</v>
      </c>
      <c r="CH187" s="230">
        <v>41812825</v>
      </c>
      <c r="CI187" s="229">
        <v>0.3805</v>
      </c>
      <c r="CJ187" s="230">
        <v>6552150</v>
      </c>
      <c r="CK187" s="230">
        <v>5189375</v>
      </c>
      <c r="CL187" s="230">
        <v>1362775</v>
      </c>
      <c r="CM187" s="229">
        <v>0.2626</v>
      </c>
      <c r="CN187" s="230">
        <v>217331025</v>
      </c>
      <c r="CO187" s="230">
        <v>231121225</v>
      </c>
      <c r="CP187" s="230">
        <v>-13790200</v>
      </c>
      <c r="CQ187" s="229">
        <v>-5.9700000000000003E-2</v>
      </c>
      <c r="CR187" s="230">
        <v>97063875</v>
      </c>
      <c r="CS187" s="230">
        <v>94780550</v>
      </c>
      <c r="CT187" s="230">
        <v>2283325</v>
      </c>
      <c r="CU187" s="229">
        <v>2.41E-2</v>
      </c>
      <c r="CV187" s="230">
        <v>665368125</v>
      </c>
      <c r="CW187" s="230">
        <v>686333200</v>
      </c>
      <c r="CX187" s="230">
        <v>-20965075</v>
      </c>
      <c r="CY187" s="229">
        <v>-3.0499999999999999E-2</v>
      </c>
      <c r="CZ187" s="228">
        <v>43.33</v>
      </c>
      <c r="DA187" s="228">
        <v>40.94</v>
      </c>
      <c r="DB187" s="228">
        <v>2.39</v>
      </c>
      <c r="DC187" s="228">
        <v>2.39</v>
      </c>
      <c r="DD187" s="228">
        <v>46.37</v>
      </c>
      <c r="DE187" s="228">
        <v>46.32</v>
      </c>
      <c r="DF187" s="228">
        <v>-3.04</v>
      </c>
      <c r="DG187" s="228">
        <v>0.05</v>
      </c>
      <c r="DH187" s="228">
        <v>43.43</v>
      </c>
      <c r="DI187" s="228">
        <v>42.92</v>
      </c>
      <c r="DJ187" s="228">
        <v>0.51</v>
      </c>
      <c r="DK187" s="228">
        <v>0.51</v>
      </c>
      <c r="DL187" s="228">
        <v>43.11</v>
      </c>
      <c r="DM187" s="228">
        <v>37.770000000000003</v>
      </c>
      <c r="DN187" s="228">
        <v>5.34</v>
      </c>
      <c r="DO187" s="228">
        <v>5.34</v>
      </c>
      <c r="DP187" s="228">
        <v>0.45</v>
      </c>
      <c r="DQ187" s="228">
        <v>0.41</v>
      </c>
      <c r="DR187" s="228">
        <v>0.04</v>
      </c>
      <c r="DS187" s="229">
        <v>9.7600000000000006E-2</v>
      </c>
      <c r="DT187" s="228">
        <v>54</v>
      </c>
      <c r="DU187" s="228">
        <v>54</v>
      </c>
      <c r="DV187" s="228">
        <v>0.36</v>
      </c>
      <c r="DW187" s="228">
        <v>0.62</v>
      </c>
      <c r="DX187" s="228">
        <v>-0.26</v>
      </c>
      <c r="DY187" s="229">
        <v>-0.4194</v>
      </c>
      <c r="DZ187" s="229">
        <v>0.45090000000000002</v>
      </c>
      <c r="EA187" s="230">
        <v>115077775</v>
      </c>
      <c r="EB187" s="229">
        <v>4.3E-3</v>
      </c>
      <c r="EC187" s="229">
        <v>0.45090000000000002</v>
      </c>
      <c r="ED187" s="228">
        <v>0.19</v>
      </c>
      <c r="EE187" s="229">
        <v>4.1000000000000003E-3</v>
      </c>
      <c r="EF187" s="230">
        <v>26823411</v>
      </c>
      <c r="EG187" s="230">
        <v>35456919</v>
      </c>
      <c r="EH187" s="229">
        <v>-0.24349999999999999</v>
      </c>
      <c r="EI187" s="229">
        <v>0.41689999999999999</v>
      </c>
      <c r="EJ187" s="231">
        <v>80490.87</v>
      </c>
      <c r="EK187" s="231">
        <v>27154.52</v>
      </c>
      <c r="EL187" s="231">
        <v>79173.429999999993</v>
      </c>
      <c r="EM187" s="231">
        <v>10005</v>
      </c>
      <c r="EN187" s="231">
        <v>186818.82</v>
      </c>
      <c r="EO187" s="231">
        <v>225329.57</v>
      </c>
      <c r="EP187" s="231">
        <v>-38510.75</v>
      </c>
      <c r="EQ187" s="229">
        <v>-0.1709</v>
      </c>
      <c r="ER187" s="231">
        <v>116866</v>
      </c>
      <c r="ES187" s="231">
        <v>48924</v>
      </c>
      <c r="ET187" s="231">
        <v>165333</v>
      </c>
      <c r="EU187" s="231">
        <v>1814982173</v>
      </c>
      <c r="EV187" s="231">
        <v>331123</v>
      </c>
      <c r="EW187" s="231">
        <v>337505</v>
      </c>
      <c r="EX187" s="231">
        <v>-6382</v>
      </c>
      <c r="EY187" s="229">
        <v>-1.89E-2</v>
      </c>
      <c r="EZ187" s="229">
        <v>0.36659999999999998</v>
      </c>
      <c r="FA187" s="227" t="s">
        <v>556</v>
      </c>
      <c r="FB187" s="161">
        <f t="shared" si="4"/>
        <v>0</v>
      </c>
    </row>
    <row r="188" spans="1:158" ht="17.25" thickBot="1" x14ac:dyDescent="0.3">
      <c r="A188" s="226">
        <v>46044</v>
      </c>
      <c r="B188" s="227" t="s">
        <v>615</v>
      </c>
      <c r="C188" s="227" t="s">
        <v>693</v>
      </c>
      <c r="D188" s="228">
        <v>1300</v>
      </c>
      <c r="E188" s="228">
        <v>319.8</v>
      </c>
      <c r="F188" s="228">
        <v>336.25</v>
      </c>
      <c r="G188" s="228">
        <v>-16.45</v>
      </c>
      <c r="H188" s="229">
        <v>-4.8899999999999999E-2</v>
      </c>
      <c r="I188" s="228">
        <v>320.3</v>
      </c>
      <c r="J188" s="228">
        <v>334.55</v>
      </c>
      <c r="K188" s="228">
        <v>-14.25</v>
      </c>
      <c r="L188" s="229">
        <v>-4.2599999999999999E-2</v>
      </c>
      <c r="M188" s="228">
        <v>319.8</v>
      </c>
      <c r="N188" s="228">
        <v>336.25</v>
      </c>
      <c r="O188" s="228">
        <v>-16.45</v>
      </c>
      <c r="P188" s="229">
        <v>-4.8899999999999999E-2</v>
      </c>
      <c r="Q188" s="228">
        <v>320.25</v>
      </c>
      <c r="R188" s="228">
        <v>336.1</v>
      </c>
      <c r="S188" s="228">
        <v>-15.85</v>
      </c>
      <c r="T188" s="229">
        <v>-4.7199999999999999E-2</v>
      </c>
      <c r="U188" s="228">
        <v>319.3</v>
      </c>
      <c r="V188" s="228">
        <v>336.45</v>
      </c>
      <c r="W188" s="228">
        <v>-17.149999999999999</v>
      </c>
      <c r="X188" s="229">
        <v>-5.0999999999999997E-2</v>
      </c>
      <c r="Y188" s="228">
        <v>-0.5</v>
      </c>
      <c r="Z188" s="228">
        <v>1.7</v>
      </c>
      <c r="AA188" s="228">
        <v>-2.2000000000000002</v>
      </c>
      <c r="AB188" s="229">
        <v>-1.6000000000000001E-3</v>
      </c>
      <c r="AC188" s="228">
        <v>-0.5</v>
      </c>
      <c r="AD188" s="228">
        <v>1.7</v>
      </c>
      <c r="AE188" s="228">
        <v>-2.2000000000000002</v>
      </c>
      <c r="AF188" s="229">
        <v>-1.6000000000000001E-3</v>
      </c>
      <c r="AG188" s="228">
        <v>-0.05</v>
      </c>
      <c r="AH188" s="228">
        <v>1.55</v>
      </c>
      <c r="AI188" s="228">
        <v>-1.6</v>
      </c>
      <c r="AJ188" s="229">
        <v>-2.0000000000000001E-4</v>
      </c>
      <c r="AK188" s="228">
        <v>-1</v>
      </c>
      <c r="AL188" s="228">
        <v>1.9</v>
      </c>
      <c r="AM188" s="228">
        <v>-2.9</v>
      </c>
      <c r="AN188" s="229">
        <v>-3.0999999999999999E-3</v>
      </c>
      <c r="AO188" s="228">
        <v>328.22</v>
      </c>
      <c r="AP188" s="228">
        <v>327.11</v>
      </c>
      <c r="AQ188" s="228">
        <v>0</v>
      </c>
      <c r="AR188" s="230">
        <v>52023400</v>
      </c>
      <c r="AS188" s="230">
        <v>34058700</v>
      </c>
      <c r="AT188" s="230">
        <v>17964700</v>
      </c>
      <c r="AU188" s="229">
        <v>0.52749999999999997</v>
      </c>
      <c r="AV188" s="230">
        <v>27847300</v>
      </c>
      <c r="AW188" s="230">
        <v>17730700</v>
      </c>
      <c r="AX188" s="230">
        <v>10116600</v>
      </c>
      <c r="AY188" s="229">
        <v>0.5706</v>
      </c>
      <c r="AZ188" s="230">
        <v>23975900</v>
      </c>
      <c r="BA188" s="230">
        <v>16233100</v>
      </c>
      <c r="BB188" s="230">
        <v>7742800</v>
      </c>
      <c r="BC188" s="229">
        <v>0.47699999999999998</v>
      </c>
      <c r="BD188" s="230">
        <v>200200</v>
      </c>
      <c r="BE188" s="230">
        <v>94900</v>
      </c>
      <c r="BF188" s="230">
        <v>105300</v>
      </c>
      <c r="BG188" s="229">
        <v>1.1095999999999999</v>
      </c>
      <c r="BH188" s="230">
        <v>20241000</v>
      </c>
      <c r="BI188" s="230">
        <v>19168500</v>
      </c>
      <c r="BJ188" s="230">
        <v>1072500</v>
      </c>
      <c r="BK188" s="229">
        <v>5.6000000000000001E-2</v>
      </c>
      <c r="BL188" s="230">
        <v>16035500</v>
      </c>
      <c r="BM188" s="230">
        <v>8607300</v>
      </c>
      <c r="BN188" s="230">
        <v>7428200</v>
      </c>
      <c r="BO188" s="229">
        <v>0.86299999999999999</v>
      </c>
      <c r="BP188" s="230">
        <v>88299900</v>
      </c>
      <c r="BQ188" s="230">
        <v>61834500</v>
      </c>
      <c r="BR188" s="230">
        <v>26465400</v>
      </c>
      <c r="BS188" s="229">
        <v>0.42799999999999999</v>
      </c>
      <c r="BT188" s="230">
        <v>26797175</v>
      </c>
      <c r="BU188" s="230">
        <v>18958128</v>
      </c>
      <c r="BV188" s="230">
        <v>7839047</v>
      </c>
      <c r="BW188" s="229">
        <v>0.41349999999999998</v>
      </c>
      <c r="BX188" s="230">
        <v>34213400</v>
      </c>
      <c r="BY188" s="230">
        <v>36080200</v>
      </c>
      <c r="BZ188" s="230">
        <v>-1866800</v>
      </c>
      <c r="CA188" s="229">
        <v>-5.1700000000000003E-2</v>
      </c>
      <c r="CB188" s="230">
        <v>14150500</v>
      </c>
      <c r="CC188" s="230">
        <v>25649000</v>
      </c>
      <c r="CD188" s="230">
        <v>-11498500</v>
      </c>
      <c r="CE188" s="229">
        <v>-0.44829999999999998</v>
      </c>
      <c r="CF188" s="230">
        <v>19710600</v>
      </c>
      <c r="CG188" s="230">
        <v>10145200</v>
      </c>
      <c r="CH188" s="230">
        <v>9565400</v>
      </c>
      <c r="CI188" s="229">
        <v>0.94279999999999997</v>
      </c>
      <c r="CJ188" s="230">
        <v>352300</v>
      </c>
      <c r="CK188" s="230">
        <v>286000</v>
      </c>
      <c r="CL188" s="230">
        <v>66300</v>
      </c>
      <c r="CM188" s="229">
        <v>0.23180000000000001</v>
      </c>
      <c r="CN188" s="230">
        <v>8921900</v>
      </c>
      <c r="CO188" s="230">
        <v>8279700</v>
      </c>
      <c r="CP188" s="230">
        <v>642200</v>
      </c>
      <c r="CQ188" s="229">
        <v>7.7600000000000002E-2</v>
      </c>
      <c r="CR188" s="230">
        <v>5591300</v>
      </c>
      <c r="CS188" s="230">
        <v>4941300</v>
      </c>
      <c r="CT188" s="230">
        <v>650000</v>
      </c>
      <c r="CU188" s="229">
        <v>0.13150000000000001</v>
      </c>
      <c r="CV188" s="230">
        <v>48726600</v>
      </c>
      <c r="CW188" s="230">
        <v>49301200</v>
      </c>
      <c r="CX188" s="230">
        <v>-574600</v>
      </c>
      <c r="CY188" s="229">
        <v>-1.17E-2</v>
      </c>
      <c r="CZ188" s="228">
        <v>45.28</v>
      </c>
      <c r="DA188" s="228">
        <v>45.03</v>
      </c>
      <c r="DB188" s="228">
        <v>0.25</v>
      </c>
      <c r="DC188" s="228">
        <v>0.25</v>
      </c>
      <c r="DD188" s="228">
        <v>44.36</v>
      </c>
      <c r="DE188" s="228">
        <v>43.95</v>
      </c>
      <c r="DF188" s="228">
        <v>0.92</v>
      </c>
      <c r="DG188" s="228">
        <v>0.41</v>
      </c>
      <c r="DH188" s="228">
        <v>46.09</v>
      </c>
      <c r="DI188" s="228">
        <v>45.37</v>
      </c>
      <c r="DJ188" s="228">
        <v>0.72</v>
      </c>
      <c r="DK188" s="228">
        <v>0.72</v>
      </c>
      <c r="DL188" s="228">
        <v>44.45</v>
      </c>
      <c r="DM188" s="228">
        <v>44.27</v>
      </c>
      <c r="DN188" s="228">
        <v>0.18</v>
      </c>
      <c r="DO188" s="228">
        <v>0.18</v>
      </c>
      <c r="DP188" s="228">
        <v>0.63</v>
      </c>
      <c r="DQ188" s="228">
        <v>0.6</v>
      </c>
      <c r="DR188" s="228">
        <v>0.03</v>
      </c>
      <c r="DS188" s="229">
        <v>0.05</v>
      </c>
      <c r="DT188" s="228">
        <v>360</v>
      </c>
      <c r="DU188" s="228">
        <v>325</v>
      </c>
      <c r="DV188" s="228">
        <v>0.79</v>
      </c>
      <c r="DW188" s="228">
        <v>0.45</v>
      </c>
      <c r="DX188" s="228">
        <v>0.34</v>
      </c>
      <c r="DY188" s="229">
        <v>0.75560000000000005</v>
      </c>
      <c r="DZ188" s="229">
        <v>0.58640000000000003</v>
      </c>
      <c r="EA188" s="230">
        <v>10431200</v>
      </c>
      <c r="EB188" s="229">
        <v>1.4E-3</v>
      </c>
      <c r="EC188" s="229">
        <v>0.58640000000000003</v>
      </c>
      <c r="ED188" s="228">
        <v>-1.1100000000000001</v>
      </c>
      <c r="EE188" s="229">
        <v>-3.3999999999999998E-3</v>
      </c>
      <c r="EF188" s="230">
        <v>12588449</v>
      </c>
      <c r="EG188" s="230">
        <v>10028015</v>
      </c>
      <c r="EH188" s="229">
        <v>0.25530000000000003</v>
      </c>
      <c r="EI188" s="229">
        <v>0.4698</v>
      </c>
      <c r="EJ188" s="231">
        <v>70405.16</v>
      </c>
      <c r="EK188" s="231">
        <v>54099.33</v>
      </c>
      <c r="EL188" s="231">
        <v>170482.02</v>
      </c>
      <c r="EM188" s="231">
        <v>10145</v>
      </c>
      <c r="EN188" s="231">
        <v>294986.51</v>
      </c>
      <c r="EO188" s="231">
        <v>208504.05</v>
      </c>
      <c r="EP188" s="231">
        <v>86482.46</v>
      </c>
      <c r="EQ188" s="229">
        <v>0.4148</v>
      </c>
      <c r="ER188" s="231">
        <v>32591</v>
      </c>
      <c r="ES188" s="231">
        <v>18921</v>
      </c>
      <c r="ET188" s="231">
        <v>109501</v>
      </c>
      <c r="EU188" s="231">
        <v>375529891</v>
      </c>
      <c r="EV188" s="231">
        <v>161013</v>
      </c>
      <c r="EW188" s="231">
        <v>168864</v>
      </c>
      <c r="EX188" s="231">
        <v>-7851</v>
      </c>
      <c r="EY188" s="229">
        <v>-4.65E-2</v>
      </c>
      <c r="EZ188" s="229">
        <v>0.1298</v>
      </c>
      <c r="FA188" s="227" t="s">
        <v>568</v>
      </c>
      <c r="FB188" s="161">
        <f t="shared" si="4"/>
        <v>0</v>
      </c>
    </row>
    <row r="189" spans="1:158" ht="17.25" thickBot="1" x14ac:dyDescent="0.3">
      <c r="A189" s="226">
        <v>46044</v>
      </c>
      <c r="B189" s="227" t="s">
        <v>170</v>
      </c>
      <c r="C189" s="227" t="s">
        <v>520</v>
      </c>
      <c r="D189" s="228">
        <v>1000</v>
      </c>
      <c r="E189" s="228">
        <v>591.35</v>
      </c>
      <c r="F189" s="228">
        <v>601.54999999999995</v>
      </c>
      <c r="G189" s="228">
        <v>-10.199999999999999</v>
      </c>
      <c r="H189" s="229">
        <v>-1.7000000000000001E-2</v>
      </c>
      <c r="I189" s="228">
        <v>592.6</v>
      </c>
      <c r="J189" s="228">
        <v>600.85</v>
      </c>
      <c r="K189" s="228">
        <v>-8.25</v>
      </c>
      <c r="L189" s="229">
        <v>-1.37E-2</v>
      </c>
      <c r="M189" s="228">
        <v>591.35</v>
      </c>
      <c r="N189" s="228">
        <v>601.54999999999995</v>
      </c>
      <c r="O189" s="228">
        <v>-10.199999999999999</v>
      </c>
      <c r="P189" s="229">
        <v>-1.7000000000000001E-2</v>
      </c>
      <c r="Q189" s="228">
        <v>594.25</v>
      </c>
      <c r="R189" s="228">
        <v>604.75</v>
      </c>
      <c r="S189" s="228">
        <v>-10.5</v>
      </c>
      <c r="T189" s="229">
        <v>-1.7399999999999999E-2</v>
      </c>
      <c r="U189" s="228">
        <v>598.5</v>
      </c>
      <c r="V189" s="228">
        <v>608.75</v>
      </c>
      <c r="W189" s="228">
        <v>-10.25</v>
      </c>
      <c r="X189" s="229">
        <v>-1.6799999999999999E-2</v>
      </c>
      <c r="Y189" s="228">
        <v>-1.25</v>
      </c>
      <c r="Z189" s="228">
        <v>0.7</v>
      </c>
      <c r="AA189" s="228">
        <v>-1.95</v>
      </c>
      <c r="AB189" s="229">
        <v>-2.0999999999999999E-3</v>
      </c>
      <c r="AC189" s="228">
        <v>-1.25</v>
      </c>
      <c r="AD189" s="228">
        <v>0.7</v>
      </c>
      <c r="AE189" s="228">
        <v>-1.95</v>
      </c>
      <c r="AF189" s="229">
        <v>-2.0999999999999999E-3</v>
      </c>
      <c r="AG189" s="228">
        <v>1.65</v>
      </c>
      <c r="AH189" s="228">
        <v>3.9</v>
      </c>
      <c r="AI189" s="228">
        <v>-2.25</v>
      </c>
      <c r="AJ189" s="229">
        <v>2.8E-3</v>
      </c>
      <c r="AK189" s="228">
        <v>5.9</v>
      </c>
      <c r="AL189" s="228">
        <v>7.9</v>
      </c>
      <c r="AM189" s="228">
        <v>-2</v>
      </c>
      <c r="AN189" s="229">
        <v>0.01</v>
      </c>
      <c r="AO189" s="228">
        <v>597.58000000000004</v>
      </c>
      <c r="AP189" s="228">
        <v>600.73</v>
      </c>
      <c r="AQ189" s="228">
        <v>0</v>
      </c>
      <c r="AR189" s="230">
        <v>10170000</v>
      </c>
      <c r="AS189" s="230">
        <v>5039000</v>
      </c>
      <c r="AT189" s="230">
        <v>5131000</v>
      </c>
      <c r="AU189" s="229">
        <v>1.0183</v>
      </c>
      <c r="AV189" s="230">
        <v>5177000</v>
      </c>
      <c r="AW189" s="230">
        <v>2874000</v>
      </c>
      <c r="AX189" s="230">
        <v>2303000</v>
      </c>
      <c r="AY189" s="229">
        <v>0.80130000000000001</v>
      </c>
      <c r="AZ189" s="230">
        <v>4946000</v>
      </c>
      <c r="BA189" s="230">
        <v>2119000</v>
      </c>
      <c r="BB189" s="230">
        <v>2827000</v>
      </c>
      <c r="BC189" s="229">
        <v>1.3341000000000001</v>
      </c>
      <c r="BD189" s="230">
        <v>47000</v>
      </c>
      <c r="BE189" s="230">
        <v>46000</v>
      </c>
      <c r="BF189" s="230">
        <v>1000</v>
      </c>
      <c r="BG189" s="229">
        <v>2.1700000000000001E-2</v>
      </c>
      <c r="BH189" s="230">
        <v>6325000</v>
      </c>
      <c r="BI189" s="230">
        <v>4265000</v>
      </c>
      <c r="BJ189" s="230">
        <v>2060000</v>
      </c>
      <c r="BK189" s="229">
        <v>0.48299999999999998</v>
      </c>
      <c r="BL189" s="230">
        <v>7631000</v>
      </c>
      <c r="BM189" s="230">
        <v>2521000</v>
      </c>
      <c r="BN189" s="230">
        <v>5110000</v>
      </c>
      <c r="BO189" s="229">
        <v>2.0270000000000001</v>
      </c>
      <c r="BP189" s="230">
        <v>24126000</v>
      </c>
      <c r="BQ189" s="230">
        <v>11825000</v>
      </c>
      <c r="BR189" s="230">
        <v>12301000</v>
      </c>
      <c r="BS189" s="229">
        <v>1.0403</v>
      </c>
      <c r="BT189" s="230">
        <v>996391</v>
      </c>
      <c r="BU189" s="230">
        <v>597683</v>
      </c>
      <c r="BV189" s="230">
        <v>398708</v>
      </c>
      <c r="BW189" s="229">
        <v>0.66710000000000003</v>
      </c>
      <c r="BX189" s="230">
        <v>8665000</v>
      </c>
      <c r="BY189" s="230">
        <v>8231000</v>
      </c>
      <c r="BZ189" s="230">
        <v>434000</v>
      </c>
      <c r="CA189" s="229">
        <v>5.2699999999999997E-2</v>
      </c>
      <c r="CB189" s="230">
        <v>3417000</v>
      </c>
      <c r="CC189" s="230">
        <v>6130000</v>
      </c>
      <c r="CD189" s="230">
        <v>-2713000</v>
      </c>
      <c r="CE189" s="229">
        <v>-0.44259999999999999</v>
      </c>
      <c r="CF189" s="230">
        <v>5110000</v>
      </c>
      <c r="CG189" s="230">
        <v>1983000</v>
      </c>
      <c r="CH189" s="230">
        <v>3127000</v>
      </c>
      <c r="CI189" s="229">
        <v>1.5769</v>
      </c>
      <c r="CJ189" s="230">
        <v>138000</v>
      </c>
      <c r="CK189" s="230">
        <v>118000</v>
      </c>
      <c r="CL189" s="230">
        <v>20000</v>
      </c>
      <c r="CM189" s="229">
        <v>0.16950000000000001</v>
      </c>
      <c r="CN189" s="230">
        <v>5888000</v>
      </c>
      <c r="CO189" s="230">
        <v>6211000</v>
      </c>
      <c r="CP189" s="230">
        <v>-323000</v>
      </c>
      <c r="CQ189" s="229">
        <v>-5.1999999999999998E-2</v>
      </c>
      <c r="CR189" s="230">
        <v>3907000</v>
      </c>
      <c r="CS189" s="230">
        <v>3482000</v>
      </c>
      <c r="CT189" s="230">
        <v>425000</v>
      </c>
      <c r="CU189" s="229">
        <v>0.1221</v>
      </c>
      <c r="CV189" s="230">
        <v>18460000</v>
      </c>
      <c r="CW189" s="230">
        <v>17924000</v>
      </c>
      <c r="CX189" s="230">
        <v>536000</v>
      </c>
      <c r="CY189" s="229">
        <v>2.9899999999999999E-2</v>
      </c>
      <c r="CZ189" s="228">
        <v>32.75</v>
      </c>
      <c r="DA189" s="228">
        <v>40.1</v>
      </c>
      <c r="DB189" s="228">
        <v>-7.35</v>
      </c>
      <c r="DC189" s="228">
        <v>-7.35</v>
      </c>
      <c r="DD189" s="228">
        <v>31.68</v>
      </c>
      <c r="DE189" s="228">
        <v>31.68</v>
      </c>
      <c r="DF189" s="228">
        <v>1.07</v>
      </c>
      <c r="DG189" s="228">
        <v>0</v>
      </c>
      <c r="DH189" s="228">
        <v>33.93</v>
      </c>
      <c r="DI189" s="228">
        <v>41.25</v>
      </c>
      <c r="DJ189" s="228">
        <v>-7.32</v>
      </c>
      <c r="DK189" s="228">
        <v>-7.32</v>
      </c>
      <c r="DL189" s="228">
        <v>32.22</v>
      </c>
      <c r="DM189" s="228">
        <v>38.15</v>
      </c>
      <c r="DN189" s="228">
        <v>-5.93</v>
      </c>
      <c r="DO189" s="228">
        <v>-5.93</v>
      </c>
      <c r="DP189" s="228">
        <v>0.66</v>
      </c>
      <c r="DQ189" s="228">
        <v>0.56000000000000005</v>
      </c>
      <c r="DR189" s="228">
        <v>0.1</v>
      </c>
      <c r="DS189" s="229">
        <v>0.17860000000000001</v>
      </c>
      <c r="DT189" s="228">
        <v>680</v>
      </c>
      <c r="DU189" s="228">
        <v>570</v>
      </c>
      <c r="DV189" s="228">
        <v>1.21</v>
      </c>
      <c r="DW189" s="228">
        <v>0.59</v>
      </c>
      <c r="DX189" s="228">
        <v>0.62</v>
      </c>
      <c r="DY189" s="229">
        <v>1.0508</v>
      </c>
      <c r="DZ189" s="229">
        <v>0.60570000000000002</v>
      </c>
      <c r="EA189" s="230">
        <v>2101000</v>
      </c>
      <c r="EB189" s="229">
        <v>4.8999999999999998E-3</v>
      </c>
      <c r="EC189" s="229">
        <v>0.60570000000000002</v>
      </c>
      <c r="ED189" s="228">
        <v>3.15</v>
      </c>
      <c r="EE189" s="229">
        <v>5.3E-3</v>
      </c>
      <c r="EF189" s="230">
        <v>519536</v>
      </c>
      <c r="EG189" s="230">
        <v>261041</v>
      </c>
      <c r="EH189" s="229">
        <v>0.99019999999999997</v>
      </c>
      <c r="EI189" s="229">
        <v>0.52139999999999997</v>
      </c>
      <c r="EJ189" s="231">
        <v>41148.589999999997</v>
      </c>
      <c r="EK189" s="231">
        <v>45325.26</v>
      </c>
      <c r="EL189" s="231">
        <v>60933.4</v>
      </c>
      <c r="EM189" s="231">
        <v>2694</v>
      </c>
      <c r="EN189" s="231">
        <v>147407.25</v>
      </c>
      <c r="EO189" s="231">
        <v>73138.03</v>
      </c>
      <c r="EP189" s="231">
        <v>74269.22</v>
      </c>
      <c r="EQ189" s="229">
        <v>1.0155000000000001</v>
      </c>
      <c r="ER189" s="231">
        <v>39246</v>
      </c>
      <c r="ES189" s="231">
        <v>23820</v>
      </c>
      <c r="ET189" s="231">
        <v>51399</v>
      </c>
      <c r="EU189" s="231">
        <v>24733183</v>
      </c>
      <c r="EV189" s="231">
        <v>114464</v>
      </c>
      <c r="EW189" s="231">
        <v>113082</v>
      </c>
      <c r="EX189" s="231">
        <v>1382</v>
      </c>
      <c r="EY189" s="229">
        <v>1.2200000000000001E-2</v>
      </c>
      <c r="EZ189" s="229">
        <v>0.74639999999999995</v>
      </c>
      <c r="FA189" s="227" t="s">
        <v>567</v>
      </c>
      <c r="FB189" s="161">
        <f t="shared" si="4"/>
        <v>0</v>
      </c>
    </row>
    <row r="190" spans="1:158" ht="17.25" thickBot="1" x14ac:dyDescent="0.3">
      <c r="A190" s="226">
        <v>46044</v>
      </c>
      <c r="B190" s="227" t="s">
        <v>168</v>
      </c>
      <c r="C190" s="227" t="s">
        <v>291</v>
      </c>
      <c r="D190" s="228">
        <v>550</v>
      </c>
      <c r="E190" s="231">
        <v>1177.8</v>
      </c>
      <c r="F190" s="231">
        <v>1164.5999999999999</v>
      </c>
      <c r="G190" s="228">
        <v>13.2</v>
      </c>
      <c r="H190" s="229">
        <v>1.1299999999999999E-2</v>
      </c>
      <c r="I190" s="231">
        <v>1175.2</v>
      </c>
      <c r="J190" s="231">
        <v>1163.5999999999999</v>
      </c>
      <c r="K190" s="228">
        <v>11.6</v>
      </c>
      <c r="L190" s="229">
        <v>0.01</v>
      </c>
      <c r="M190" s="231">
        <v>1177.8</v>
      </c>
      <c r="N190" s="231">
        <v>1164.5999999999999</v>
      </c>
      <c r="O190" s="228">
        <v>13.2</v>
      </c>
      <c r="P190" s="229">
        <v>1.1299999999999999E-2</v>
      </c>
      <c r="Q190" s="231">
        <v>1183.8</v>
      </c>
      <c r="R190" s="231">
        <v>1170.9000000000001</v>
      </c>
      <c r="S190" s="228">
        <v>12.9</v>
      </c>
      <c r="T190" s="229">
        <v>1.0999999999999999E-2</v>
      </c>
      <c r="U190" s="231">
        <v>1194.3</v>
      </c>
      <c r="V190" s="231">
        <v>1177.5999999999999</v>
      </c>
      <c r="W190" s="228">
        <v>16.7</v>
      </c>
      <c r="X190" s="229">
        <v>1.4200000000000001E-2</v>
      </c>
      <c r="Y190" s="228">
        <v>2.6</v>
      </c>
      <c r="Z190" s="228">
        <v>1</v>
      </c>
      <c r="AA190" s="228">
        <v>1.6</v>
      </c>
      <c r="AB190" s="229">
        <v>2.2000000000000001E-3</v>
      </c>
      <c r="AC190" s="228">
        <v>2.6</v>
      </c>
      <c r="AD190" s="228">
        <v>1</v>
      </c>
      <c r="AE190" s="228">
        <v>1.6</v>
      </c>
      <c r="AF190" s="229">
        <v>2.2000000000000001E-3</v>
      </c>
      <c r="AG190" s="228">
        <v>8.6</v>
      </c>
      <c r="AH190" s="228">
        <v>7.3</v>
      </c>
      <c r="AI190" s="228">
        <v>1.3</v>
      </c>
      <c r="AJ190" s="229">
        <v>7.3000000000000001E-3</v>
      </c>
      <c r="AK190" s="228">
        <v>19.100000000000001</v>
      </c>
      <c r="AL190" s="228">
        <v>14</v>
      </c>
      <c r="AM190" s="228">
        <v>5.0999999999999996</v>
      </c>
      <c r="AN190" s="229">
        <v>1.6299999999999999E-2</v>
      </c>
      <c r="AO190" s="231">
        <v>1179.76</v>
      </c>
      <c r="AP190" s="231">
        <v>1186</v>
      </c>
      <c r="AQ190" s="228">
        <v>0</v>
      </c>
      <c r="AR190" s="230">
        <v>9967650</v>
      </c>
      <c r="AS190" s="230">
        <v>7684600</v>
      </c>
      <c r="AT190" s="230">
        <v>2283050</v>
      </c>
      <c r="AU190" s="229">
        <v>0.29709999999999998</v>
      </c>
      <c r="AV190" s="230">
        <v>4824050</v>
      </c>
      <c r="AW190" s="230">
        <v>4054050</v>
      </c>
      <c r="AX190" s="230">
        <v>770000</v>
      </c>
      <c r="AY190" s="229">
        <v>0.18990000000000001</v>
      </c>
      <c r="AZ190" s="230">
        <v>5108950</v>
      </c>
      <c r="BA190" s="230">
        <v>3609100</v>
      </c>
      <c r="BB190" s="230">
        <v>1499850</v>
      </c>
      <c r="BC190" s="229">
        <v>0.41560000000000002</v>
      </c>
      <c r="BD190" s="230">
        <v>34650</v>
      </c>
      <c r="BE190" s="230">
        <v>21450</v>
      </c>
      <c r="BF190" s="230">
        <v>13200</v>
      </c>
      <c r="BG190" s="229">
        <v>0.61539999999999995</v>
      </c>
      <c r="BH190" s="230">
        <v>5929000</v>
      </c>
      <c r="BI190" s="230">
        <v>7714850</v>
      </c>
      <c r="BJ190" s="230">
        <v>-1785850</v>
      </c>
      <c r="BK190" s="229">
        <v>-0.23150000000000001</v>
      </c>
      <c r="BL190" s="230">
        <v>3671800</v>
      </c>
      <c r="BM190" s="230">
        <v>3623950</v>
      </c>
      <c r="BN190" s="230">
        <v>47850</v>
      </c>
      <c r="BO190" s="229">
        <v>1.32E-2</v>
      </c>
      <c r="BP190" s="230">
        <v>19568450</v>
      </c>
      <c r="BQ190" s="230">
        <v>19023400</v>
      </c>
      <c r="BR190" s="230">
        <v>545050</v>
      </c>
      <c r="BS190" s="229">
        <v>2.87E-2</v>
      </c>
      <c r="BT190" s="230">
        <v>1507585</v>
      </c>
      <c r="BU190" s="230">
        <v>981893</v>
      </c>
      <c r="BV190" s="230">
        <v>525692</v>
      </c>
      <c r="BW190" s="229">
        <v>0.53539999999999999</v>
      </c>
      <c r="BX190" s="230">
        <v>11569250</v>
      </c>
      <c r="BY190" s="230">
        <v>11612150</v>
      </c>
      <c r="BZ190" s="230">
        <v>-42900</v>
      </c>
      <c r="CA190" s="229">
        <v>-3.7000000000000002E-3</v>
      </c>
      <c r="CB190" s="230">
        <v>3844500</v>
      </c>
      <c r="CC190" s="230">
        <v>7789100</v>
      </c>
      <c r="CD190" s="230">
        <v>-3944600</v>
      </c>
      <c r="CE190" s="229">
        <v>-0.50639999999999996</v>
      </c>
      <c r="CF190" s="230">
        <v>7608700</v>
      </c>
      <c r="CG190" s="230">
        <v>3727350</v>
      </c>
      <c r="CH190" s="230">
        <v>3881350</v>
      </c>
      <c r="CI190" s="229">
        <v>1.0412999999999999</v>
      </c>
      <c r="CJ190" s="230">
        <v>116050</v>
      </c>
      <c r="CK190" s="230">
        <v>95700</v>
      </c>
      <c r="CL190" s="230">
        <v>20350</v>
      </c>
      <c r="CM190" s="229">
        <v>0.21260000000000001</v>
      </c>
      <c r="CN190" s="230">
        <v>4024900</v>
      </c>
      <c r="CO190" s="230">
        <v>4484150</v>
      </c>
      <c r="CP190" s="230">
        <v>-459250</v>
      </c>
      <c r="CQ190" s="229">
        <v>-0.1024</v>
      </c>
      <c r="CR190" s="230">
        <v>2897400</v>
      </c>
      <c r="CS190" s="230">
        <v>3072300</v>
      </c>
      <c r="CT190" s="230">
        <v>-174900</v>
      </c>
      <c r="CU190" s="229">
        <v>-5.6899999999999999E-2</v>
      </c>
      <c r="CV190" s="230">
        <v>18491550</v>
      </c>
      <c r="CW190" s="230">
        <v>19168600</v>
      </c>
      <c r="CX190" s="230">
        <v>-677050</v>
      </c>
      <c r="CY190" s="229">
        <v>-3.5299999999999998E-2</v>
      </c>
      <c r="CZ190" s="228">
        <v>26.26</v>
      </c>
      <c r="DA190" s="228">
        <v>23.5</v>
      </c>
      <c r="DB190" s="228">
        <v>2.76</v>
      </c>
      <c r="DC190" s="228">
        <v>2.76</v>
      </c>
      <c r="DD190" s="228">
        <v>25.61</v>
      </c>
      <c r="DE190" s="228">
        <v>25.64</v>
      </c>
      <c r="DF190" s="228">
        <v>0.65</v>
      </c>
      <c r="DG190" s="228">
        <v>-0.03</v>
      </c>
      <c r="DH190" s="228">
        <v>26.21</v>
      </c>
      <c r="DI190" s="228">
        <v>23.83</v>
      </c>
      <c r="DJ190" s="228">
        <v>2.38</v>
      </c>
      <c r="DK190" s="228">
        <v>2.38</v>
      </c>
      <c r="DL190" s="228">
        <v>26.34</v>
      </c>
      <c r="DM190" s="228">
        <v>22.81</v>
      </c>
      <c r="DN190" s="228">
        <v>3.53</v>
      </c>
      <c r="DO190" s="228">
        <v>3.53</v>
      </c>
      <c r="DP190" s="228">
        <v>0.72</v>
      </c>
      <c r="DQ190" s="228">
        <v>0.69</v>
      </c>
      <c r="DR190" s="228">
        <v>0.03</v>
      </c>
      <c r="DS190" s="229">
        <v>4.3499999999999997E-2</v>
      </c>
      <c r="DT190" s="231">
        <v>1220</v>
      </c>
      <c r="DU190" s="231">
        <v>1080</v>
      </c>
      <c r="DV190" s="228">
        <v>0.62</v>
      </c>
      <c r="DW190" s="228">
        <v>0.47</v>
      </c>
      <c r="DX190" s="228">
        <v>0.15</v>
      </c>
      <c r="DY190" s="229">
        <v>0.31909999999999999</v>
      </c>
      <c r="DZ190" s="229">
        <v>0.66769999999999996</v>
      </c>
      <c r="EA190" s="230">
        <v>3823050</v>
      </c>
      <c r="EB190" s="229">
        <v>5.1000000000000004E-3</v>
      </c>
      <c r="EC190" s="229">
        <v>0.66769999999999996</v>
      </c>
      <c r="ED190" s="228">
        <v>6.24</v>
      </c>
      <c r="EE190" s="229">
        <v>5.3E-3</v>
      </c>
      <c r="EF190" s="230">
        <v>956398</v>
      </c>
      <c r="EG190" s="230">
        <v>456212</v>
      </c>
      <c r="EH190" s="229">
        <v>1.0964</v>
      </c>
      <c r="EI190" s="229">
        <v>0.63439999999999996</v>
      </c>
      <c r="EJ190" s="231">
        <v>72162.61</v>
      </c>
      <c r="EK190" s="231">
        <v>42863.34</v>
      </c>
      <c r="EL190" s="231">
        <v>117917.49</v>
      </c>
      <c r="EM190" s="231">
        <v>6851</v>
      </c>
      <c r="EN190" s="231">
        <v>232943.44</v>
      </c>
      <c r="EO190" s="231">
        <v>226358.53</v>
      </c>
      <c r="EP190" s="231">
        <v>6584.91</v>
      </c>
      <c r="EQ190" s="229">
        <v>2.9100000000000001E-2</v>
      </c>
      <c r="ER190" s="231">
        <v>49984</v>
      </c>
      <c r="ES190" s="231">
        <v>32427</v>
      </c>
      <c r="ET190" s="231">
        <v>136738</v>
      </c>
      <c r="EU190" s="231">
        <v>65472326</v>
      </c>
      <c r="EV190" s="231">
        <v>219149</v>
      </c>
      <c r="EW190" s="231">
        <v>225373</v>
      </c>
      <c r="EX190" s="231">
        <v>-6224</v>
      </c>
      <c r="EY190" s="229">
        <v>-2.76E-2</v>
      </c>
      <c r="EZ190" s="229">
        <v>0.28239999999999998</v>
      </c>
      <c r="FA190" s="227" t="s">
        <v>556</v>
      </c>
      <c r="FB190" s="161">
        <f t="shared" si="4"/>
        <v>0</v>
      </c>
    </row>
    <row r="191" spans="1:158" ht="17.25" thickBot="1" x14ac:dyDescent="0.3">
      <c r="A191" s="226">
        <v>46044</v>
      </c>
      <c r="B191" s="227" t="s">
        <v>221</v>
      </c>
      <c r="C191" s="227" t="s">
        <v>604</v>
      </c>
      <c r="D191" s="228">
        <v>100</v>
      </c>
      <c r="E191" s="231">
        <v>5462</v>
      </c>
      <c r="F191" s="231">
        <v>5342</v>
      </c>
      <c r="G191" s="228">
        <v>120</v>
      </c>
      <c r="H191" s="229">
        <v>2.2499999999999999E-2</v>
      </c>
      <c r="I191" s="231">
        <v>5464</v>
      </c>
      <c r="J191" s="231">
        <v>5347.5</v>
      </c>
      <c r="K191" s="228">
        <v>116.5</v>
      </c>
      <c r="L191" s="229">
        <v>2.18E-2</v>
      </c>
      <c r="M191" s="231">
        <v>5462</v>
      </c>
      <c r="N191" s="231">
        <v>5342</v>
      </c>
      <c r="O191" s="228">
        <v>120</v>
      </c>
      <c r="P191" s="229">
        <v>2.2499999999999999E-2</v>
      </c>
      <c r="Q191" s="231">
        <v>5488</v>
      </c>
      <c r="R191" s="231">
        <v>5366.5</v>
      </c>
      <c r="S191" s="228">
        <v>121.5</v>
      </c>
      <c r="T191" s="229">
        <v>2.2599999999999999E-2</v>
      </c>
      <c r="U191" s="231">
        <v>5505.5</v>
      </c>
      <c r="V191" s="231">
        <v>5383.5</v>
      </c>
      <c r="W191" s="228">
        <v>122</v>
      </c>
      <c r="X191" s="229">
        <v>2.2700000000000001E-2</v>
      </c>
      <c r="Y191" s="228">
        <v>-2</v>
      </c>
      <c r="Z191" s="228">
        <v>-5.5</v>
      </c>
      <c r="AA191" s="228">
        <v>3.5</v>
      </c>
      <c r="AB191" s="229">
        <v>-4.0000000000000002E-4</v>
      </c>
      <c r="AC191" s="228">
        <v>-2</v>
      </c>
      <c r="AD191" s="228">
        <v>-5.5</v>
      </c>
      <c r="AE191" s="228">
        <v>3.5</v>
      </c>
      <c r="AF191" s="229">
        <v>-4.0000000000000002E-4</v>
      </c>
      <c r="AG191" s="228">
        <v>24</v>
      </c>
      <c r="AH191" s="228">
        <v>19</v>
      </c>
      <c r="AI191" s="228">
        <v>5</v>
      </c>
      <c r="AJ191" s="229">
        <v>4.4000000000000003E-3</v>
      </c>
      <c r="AK191" s="228">
        <v>41.5</v>
      </c>
      <c r="AL191" s="228">
        <v>36</v>
      </c>
      <c r="AM191" s="228">
        <v>5.5</v>
      </c>
      <c r="AN191" s="229">
        <v>7.6E-3</v>
      </c>
      <c r="AO191" s="231">
        <v>5441.48</v>
      </c>
      <c r="AP191" s="231">
        <v>5463.26</v>
      </c>
      <c r="AQ191" s="228">
        <v>0</v>
      </c>
      <c r="AR191" s="230">
        <v>1553500</v>
      </c>
      <c r="AS191" s="230">
        <v>1229600</v>
      </c>
      <c r="AT191" s="230">
        <v>323900</v>
      </c>
      <c r="AU191" s="229">
        <v>0.26340000000000002</v>
      </c>
      <c r="AV191" s="230">
        <v>848500</v>
      </c>
      <c r="AW191" s="230">
        <v>731000</v>
      </c>
      <c r="AX191" s="230">
        <v>117500</v>
      </c>
      <c r="AY191" s="229">
        <v>0.16070000000000001</v>
      </c>
      <c r="AZ191" s="230">
        <v>702300</v>
      </c>
      <c r="BA191" s="230">
        <v>494700</v>
      </c>
      <c r="BB191" s="230">
        <v>207600</v>
      </c>
      <c r="BC191" s="229">
        <v>0.41959999999999997</v>
      </c>
      <c r="BD191" s="230">
        <v>2700</v>
      </c>
      <c r="BE191" s="230">
        <v>3900</v>
      </c>
      <c r="BF191" s="230">
        <v>-1200</v>
      </c>
      <c r="BG191" s="229">
        <v>-0.30769999999999997</v>
      </c>
      <c r="BH191" s="230">
        <v>4163300</v>
      </c>
      <c r="BI191" s="230">
        <v>3400800</v>
      </c>
      <c r="BJ191" s="230">
        <v>762500</v>
      </c>
      <c r="BK191" s="229">
        <v>0.22420000000000001</v>
      </c>
      <c r="BL191" s="230">
        <v>1981300</v>
      </c>
      <c r="BM191" s="230">
        <v>2047100</v>
      </c>
      <c r="BN191" s="230">
        <v>-65800</v>
      </c>
      <c r="BO191" s="229">
        <v>-3.2099999999999997E-2</v>
      </c>
      <c r="BP191" s="230">
        <v>7698100</v>
      </c>
      <c r="BQ191" s="230">
        <v>6677500</v>
      </c>
      <c r="BR191" s="230">
        <v>1020600</v>
      </c>
      <c r="BS191" s="229">
        <v>0.15279999999999999</v>
      </c>
      <c r="BT191" s="230">
        <v>387033</v>
      </c>
      <c r="BU191" s="230">
        <v>415912</v>
      </c>
      <c r="BV191" s="230">
        <v>-28879</v>
      </c>
      <c r="BW191" s="229">
        <v>-6.9400000000000003E-2</v>
      </c>
      <c r="BX191" s="230">
        <v>1425500</v>
      </c>
      <c r="BY191" s="230">
        <v>1492400</v>
      </c>
      <c r="BZ191" s="230">
        <v>-66900</v>
      </c>
      <c r="CA191" s="229">
        <v>-4.48E-2</v>
      </c>
      <c r="CB191" s="230">
        <v>600300</v>
      </c>
      <c r="CC191" s="230">
        <v>1061000</v>
      </c>
      <c r="CD191" s="230">
        <v>-460700</v>
      </c>
      <c r="CE191" s="229">
        <v>-0.43419999999999997</v>
      </c>
      <c r="CF191" s="230">
        <v>811000</v>
      </c>
      <c r="CG191" s="230">
        <v>418000</v>
      </c>
      <c r="CH191" s="230">
        <v>393000</v>
      </c>
      <c r="CI191" s="229">
        <v>0.94020000000000004</v>
      </c>
      <c r="CJ191" s="230">
        <v>14200</v>
      </c>
      <c r="CK191" s="230">
        <v>13400</v>
      </c>
      <c r="CL191" s="228">
        <v>800</v>
      </c>
      <c r="CM191" s="229">
        <v>5.9700000000000003E-2</v>
      </c>
      <c r="CN191" s="230">
        <v>1853600</v>
      </c>
      <c r="CO191" s="230">
        <v>2058600</v>
      </c>
      <c r="CP191" s="230">
        <v>-205000</v>
      </c>
      <c r="CQ191" s="229">
        <v>-9.9599999999999994E-2</v>
      </c>
      <c r="CR191" s="230">
        <v>986900</v>
      </c>
      <c r="CS191" s="230">
        <v>1114100</v>
      </c>
      <c r="CT191" s="230">
        <v>-127200</v>
      </c>
      <c r="CU191" s="229">
        <v>-0.1142</v>
      </c>
      <c r="CV191" s="230">
        <v>4266000</v>
      </c>
      <c r="CW191" s="230">
        <v>4665100</v>
      </c>
      <c r="CX191" s="230">
        <v>-399100</v>
      </c>
      <c r="CY191" s="229">
        <v>-8.5599999999999996E-2</v>
      </c>
      <c r="CZ191" s="228">
        <v>31.17</v>
      </c>
      <c r="DA191" s="228">
        <v>29.76</v>
      </c>
      <c r="DB191" s="228">
        <v>1.41</v>
      </c>
      <c r="DC191" s="228">
        <v>1.41</v>
      </c>
      <c r="DD191" s="228">
        <v>38.020000000000003</v>
      </c>
      <c r="DE191" s="228">
        <v>37.99</v>
      </c>
      <c r="DF191" s="228">
        <v>-6.85</v>
      </c>
      <c r="DG191" s="228">
        <v>0.03</v>
      </c>
      <c r="DH191" s="228">
        <v>30.7</v>
      </c>
      <c r="DI191" s="228">
        <v>31.92</v>
      </c>
      <c r="DJ191" s="228">
        <v>-1.22</v>
      </c>
      <c r="DK191" s="228">
        <v>-1.22</v>
      </c>
      <c r="DL191" s="228">
        <v>31.87</v>
      </c>
      <c r="DM191" s="228">
        <v>26.17</v>
      </c>
      <c r="DN191" s="228">
        <v>5.7</v>
      </c>
      <c r="DO191" s="228">
        <v>5.7</v>
      </c>
      <c r="DP191" s="228">
        <v>0.53</v>
      </c>
      <c r="DQ191" s="228">
        <v>0.54</v>
      </c>
      <c r="DR191" s="228">
        <v>-0.01</v>
      </c>
      <c r="DS191" s="229">
        <v>-1.8499999999999999E-2</v>
      </c>
      <c r="DT191" s="231">
        <v>5800</v>
      </c>
      <c r="DU191" s="231">
        <v>5300</v>
      </c>
      <c r="DV191" s="228">
        <v>0.48</v>
      </c>
      <c r="DW191" s="228">
        <v>0.6</v>
      </c>
      <c r="DX191" s="228">
        <v>-0.12</v>
      </c>
      <c r="DY191" s="229">
        <v>-0.2</v>
      </c>
      <c r="DZ191" s="229">
        <v>0.57889999999999997</v>
      </c>
      <c r="EA191" s="230">
        <v>431400</v>
      </c>
      <c r="EB191" s="229">
        <v>4.7999999999999996E-3</v>
      </c>
      <c r="EC191" s="229">
        <v>0.57889999999999997</v>
      </c>
      <c r="ED191" s="228">
        <v>21.78</v>
      </c>
      <c r="EE191" s="229">
        <v>4.0000000000000001E-3</v>
      </c>
      <c r="EF191" s="230">
        <v>145463</v>
      </c>
      <c r="EG191" s="230">
        <v>148745</v>
      </c>
      <c r="EH191" s="229">
        <v>-2.2100000000000002E-2</v>
      </c>
      <c r="EI191" s="229">
        <v>0.37580000000000002</v>
      </c>
      <c r="EJ191" s="231">
        <v>236790.3</v>
      </c>
      <c r="EK191" s="231">
        <v>106112.81</v>
      </c>
      <c r="EL191" s="231">
        <v>84687.88</v>
      </c>
      <c r="EM191" s="231">
        <v>7992</v>
      </c>
      <c r="EN191" s="231">
        <v>427590.99</v>
      </c>
      <c r="EO191" s="231">
        <v>367111.64</v>
      </c>
      <c r="EP191" s="231">
        <v>60479.35</v>
      </c>
      <c r="EQ191" s="229">
        <v>0.16470000000000001</v>
      </c>
      <c r="ER191" s="231">
        <v>108485</v>
      </c>
      <c r="ES191" s="231">
        <v>53160</v>
      </c>
      <c r="ET191" s="231">
        <v>78078</v>
      </c>
      <c r="EU191" s="231">
        <v>5241546</v>
      </c>
      <c r="EV191" s="231">
        <v>239723</v>
      </c>
      <c r="EW191" s="231">
        <v>259919</v>
      </c>
      <c r="EX191" s="231">
        <v>-20196</v>
      </c>
      <c r="EY191" s="229">
        <v>-7.7700000000000005E-2</v>
      </c>
      <c r="EZ191" s="229">
        <v>0.81389999999999996</v>
      </c>
      <c r="FA191" s="227" t="s">
        <v>556</v>
      </c>
      <c r="FB191" s="161">
        <f t="shared" si="4"/>
        <v>0</v>
      </c>
    </row>
    <row r="192" spans="1:158" ht="17.25" thickBot="1" x14ac:dyDescent="0.3">
      <c r="A192" s="226">
        <v>46044</v>
      </c>
      <c r="B192" s="227" t="s">
        <v>161</v>
      </c>
      <c r="C192" s="227" t="s">
        <v>293</v>
      </c>
      <c r="D192" s="228">
        <v>1450</v>
      </c>
      <c r="E192" s="228">
        <v>353.5</v>
      </c>
      <c r="F192" s="228">
        <v>350.15</v>
      </c>
      <c r="G192" s="228">
        <v>3.35</v>
      </c>
      <c r="H192" s="229">
        <v>9.5999999999999992E-3</v>
      </c>
      <c r="I192" s="228">
        <v>353.3</v>
      </c>
      <c r="J192" s="228">
        <v>349.35</v>
      </c>
      <c r="K192" s="228">
        <v>3.95</v>
      </c>
      <c r="L192" s="229">
        <v>1.1299999999999999E-2</v>
      </c>
      <c r="M192" s="228">
        <v>353.5</v>
      </c>
      <c r="N192" s="228">
        <v>350.15</v>
      </c>
      <c r="O192" s="228">
        <v>3.35</v>
      </c>
      <c r="P192" s="229">
        <v>9.5999999999999992E-3</v>
      </c>
      <c r="Q192" s="228">
        <v>355.3</v>
      </c>
      <c r="R192" s="228">
        <v>351.75</v>
      </c>
      <c r="S192" s="228">
        <v>3.55</v>
      </c>
      <c r="T192" s="229">
        <v>1.01E-2</v>
      </c>
      <c r="U192" s="228">
        <v>357.65</v>
      </c>
      <c r="V192" s="228">
        <v>354.2</v>
      </c>
      <c r="W192" s="228">
        <v>3.45</v>
      </c>
      <c r="X192" s="229">
        <v>9.7000000000000003E-3</v>
      </c>
      <c r="Y192" s="228">
        <v>0.2</v>
      </c>
      <c r="Z192" s="228">
        <v>0.8</v>
      </c>
      <c r="AA192" s="228">
        <v>-0.6</v>
      </c>
      <c r="AB192" s="229">
        <v>5.9999999999999995E-4</v>
      </c>
      <c r="AC192" s="228">
        <v>0.2</v>
      </c>
      <c r="AD192" s="228">
        <v>0.8</v>
      </c>
      <c r="AE192" s="228">
        <v>-0.6</v>
      </c>
      <c r="AF192" s="229">
        <v>5.9999999999999995E-4</v>
      </c>
      <c r="AG192" s="228">
        <v>2</v>
      </c>
      <c r="AH192" s="228">
        <v>2.4</v>
      </c>
      <c r="AI192" s="228">
        <v>-0.4</v>
      </c>
      <c r="AJ192" s="229">
        <v>5.7000000000000002E-3</v>
      </c>
      <c r="AK192" s="228">
        <v>4.3499999999999996</v>
      </c>
      <c r="AL192" s="228">
        <v>4.8499999999999996</v>
      </c>
      <c r="AM192" s="228">
        <v>-0.5</v>
      </c>
      <c r="AN192" s="229">
        <v>1.23E-2</v>
      </c>
      <c r="AO192" s="228">
        <v>352.29</v>
      </c>
      <c r="AP192" s="228">
        <v>354.01</v>
      </c>
      <c r="AQ192" s="228">
        <v>0</v>
      </c>
      <c r="AR192" s="230">
        <v>35258200</v>
      </c>
      <c r="AS192" s="230">
        <v>30766100</v>
      </c>
      <c r="AT192" s="230">
        <v>4492100</v>
      </c>
      <c r="AU192" s="229">
        <v>0.14599999999999999</v>
      </c>
      <c r="AV192" s="230">
        <v>17869800</v>
      </c>
      <c r="AW192" s="230">
        <v>16371950</v>
      </c>
      <c r="AX192" s="230">
        <v>1497850</v>
      </c>
      <c r="AY192" s="229">
        <v>9.1499999999999998E-2</v>
      </c>
      <c r="AZ192" s="230">
        <v>17178150</v>
      </c>
      <c r="BA192" s="230">
        <v>14075150</v>
      </c>
      <c r="BB192" s="230">
        <v>3103000</v>
      </c>
      <c r="BC192" s="229">
        <v>0.2205</v>
      </c>
      <c r="BD192" s="230">
        <v>210250</v>
      </c>
      <c r="BE192" s="230">
        <v>319000</v>
      </c>
      <c r="BF192" s="230">
        <v>-108750</v>
      </c>
      <c r="BG192" s="229">
        <v>-0.34089999999999998</v>
      </c>
      <c r="BH192" s="230">
        <v>35794700</v>
      </c>
      <c r="BI192" s="230">
        <v>43736350</v>
      </c>
      <c r="BJ192" s="230">
        <v>-7941650</v>
      </c>
      <c r="BK192" s="229">
        <v>-0.18160000000000001</v>
      </c>
      <c r="BL192" s="230">
        <v>20218800</v>
      </c>
      <c r="BM192" s="230">
        <v>25299600</v>
      </c>
      <c r="BN192" s="230">
        <v>-5080800</v>
      </c>
      <c r="BO192" s="229">
        <v>-0.20080000000000001</v>
      </c>
      <c r="BP192" s="230">
        <v>91271700</v>
      </c>
      <c r="BQ192" s="230">
        <v>99802050</v>
      </c>
      <c r="BR192" s="230">
        <v>-8530350</v>
      </c>
      <c r="BS192" s="229">
        <v>-8.5500000000000007E-2</v>
      </c>
      <c r="BT192" s="230">
        <v>4102043</v>
      </c>
      <c r="BU192" s="230">
        <v>4727012</v>
      </c>
      <c r="BV192" s="230">
        <v>-624969</v>
      </c>
      <c r="BW192" s="229">
        <v>-0.13220000000000001</v>
      </c>
      <c r="BX192" s="230">
        <v>61321950</v>
      </c>
      <c r="BY192" s="230">
        <v>59033850</v>
      </c>
      <c r="BZ192" s="230">
        <v>2288100</v>
      </c>
      <c r="CA192" s="229">
        <v>3.8800000000000001E-2</v>
      </c>
      <c r="CB192" s="230">
        <v>32829450</v>
      </c>
      <c r="CC192" s="230">
        <v>42624200</v>
      </c>
      <c r="CD192" s="230">
        <v>-9794750</v>
      </c>
      <c r="CE192" s="229">
        <v>-0.2298</v>
      </c>
      <c r="CF192" s="230">
        <v>27494900</v>
      </c>
      <c r="CG192" s="230">
        <v>15529500</v>
      </c>
      <c r="CH192" s="230">
        <v>11965400</v>
      </c>
      <c r="CI192" s="229">
        <v>0.77049999999999996</v>
      </c>
      <c r="CJ192" s="230">
        <v>997600</v>
      </c>
      <c r="CK192" s="230">
        <v>880150</v>
      </c>
      <c r="CL192" s="230">
        <v>117450</v>
      </c>
      <c r="CM192" s="229">
        <v>0.13339999999999999</v>
      </c>
      <c r="CN192" s="230">
        <v>40378150</v>
      </c>
      <c r="CO192" s="230">
        <v>40502850</v>
      </c>
      <c r="CP192" s="230">
        <v>-124700</v>
      </c>
      <c r="CQ192" s="229">
        <v>-3.0999999999999999E-3</v>
      </c>
      <c r="CR192" s="230">
        <v>32458250</v>
      </c>
      <c r="CS192" s="230">
        <v>30725500</v>
      </c>
      <c r="CT192" s="230">
        <v>1732750</v>
      </c>
      <c r="CU192" s="229">
        <v>5.6399999999999999E-2</v>
      </c>
      <c r="CV192" s="230">
        <v>134158350</v>
      </c>
      <c r="CW192" s="230">
        <v>130262200</v>
      </c>
      <c r="CX192" s="230">
        <v>3896150</v>
      </c>
      <c r="CY192" s="229">
        <v>2.9899999999999999E-2</v>
      </c>
      <c r="CZ192" s="228">
        <v>26.44</v>
      </c>
      <c r="DA192" s="228">
        <v>25.25</v>
      </c>
      <c r="DB192" s="228">
        <v>1.19</v>
      </c>
      <c r="DC192" s="228">
        <v>1.19</v>
      </c>
      <c r="DD192" s="228">
        <v>30.88</v>
      </c>
      <c r="DE192" s="228">
        <v>30.93</v>
      </c>
      <c r="DF192" s="228">
        <v>-4.4400000000000004</v>
      </c>
      <c r="DG192" s="228">
        <v>-0.05</v>
      </c>
      <c r="DH192" s="228">
        <v>26.4</v>
      </c>
      <c r="DI192" s="228">
        <v>26.06</v>
      </c>
      <c r="DJ192" s="228">
        <v>0.34</v>
      </c>
      <c r="DK192" s="228">
        <v>0.34</v>
      </c>
      <c r="DL192" s="228">
        <v>26.48</v>
      </c>
      <c r="DM192" s="228">
        <v>23.87</v>
      </c>
      <c r="DN192" s="228">
        <v>2.61</v>
      </c>
      <c r="DO192" s="228">
        <v>2.61</v>
      </c>
      <c r="DP192" s="228">
        <v>0.8</v>
      </c>
      <c r="DQ192" s="228">
        <v>0.76</v>
      </c>
      <c r="DR192" s="228">
        <v>0.04</v>
      </c>
      <c r="DS192" s="229">
        <v>5.2600000000000001E-2</v>
      </c>
      <c r="DT192" s="228">
        <v>400</v>
      </c>
      <c r="DU192" s="228">
        <v>380</v>
      </c>
      <c r="DV192" s="228">
        <v>0.56000000000000005</v>
      </c>
      <c r="DW192" s="228">
        <v>0.57999999999999996</v>
      </c>
      <c r="DX192" s="228">
        <v>-0.02</v>
      </c>
      <c r="DY192" s="229">
        <v>-3.4500000000000003E-2</v>
      </c>
      <c r="DZ192" s="229">
        <v>0.46460000000000001</v>
      </c>
      <c r="EA192" s="230">
        <v>16409650</v>
      </c>
      <c r="EB192" s="229">
        <v>5.1000000000000004E-3</v>
      </c>
      <c r="EC192" s="229">
        <v>0.46460000000000001</v>
      </c>
      <c r="ED192" s="228">
        <v>1.72</v>
      </c>
      <c r="EE192" s="229">
        <v>4.8999999999999998E-3</v>
      </c>
      <c r="EF192" s="230">
        <v>2116307</v>
      </c>
      <c r="EG192" s="230">
        <v>1871217</v>
      </c>
      <c r="EH192" s="229">
        <v>0.13100000000000001</v>
      </c>
      <c r="EI192" s="229">
        <v>0.51590000000000003</v>
      </c>
      <c r="EJ192" s="231">
        <v>133403.23000000001</v>
      </c>
      <c r="EK192" s="231">
        <v>77894.259999999995</v>
      </c>
      <c r="EL192" s="231">
        <v>124515.99</v>
      </c>
      <c r="EM192" s="231">
        <v>9304</v>
      </c>
      <c r="EN192" s="231">
        <v>335813.48</v>
      </c>
      <c r="EO192" s="231">
        <v>362994.16</v>
      </c>
      <c r="EP192" s="231">
        <v>-27180.68</v>
      </c>
      <c r="EQ192" s="229">
        <v>-7.4899999999999994E-2</v>
      </c>
      <c r="ER192" s="231">
        <v>154902</v>
      </c>
      <c r="ES192" s="231">
        <v>123078</v>
      </c>
      <c r="ET192" s="231">
        <v>217309</v>
      </c>
      <c r="EU192" s="231">
        <v>202215001</v>
      </c>
      <c r="EV192" s="231">
        <v>495290</v>
      </c>
      <c r="EW192" s="231">
        <v>479839</v>
      </c>
      <c r="EX192" s="231">
        <v>15451</v>
      </c>
      <c r="EY192" s="229">
        <v>3.2199999999999999E-2</v>
      </c>
      <c r="EZ192" s="229">
        <v>0.66339999999999999</v>
      </c>
      <c r="FA192" s="227" t="s">
        <v>555</v>
      </c>
      <c r="FB192" s="161">
        <f t="shared" si="4"/>
        <v>0</v>
      </c>
    </row>
    <row r="193" spans="1:158" ht="17.25" thickBot="1" x14ac:dyDescent="0.3">
      <c r="A193" s="226">
        <v>46044</v>
      </c>
      <c r="B193" s="227" t="s">
        <v>227</v>
      </c>
      <c r="C193" s="227" t="s">
        <v>294</v>
      </c>
      <c r="D193" s="228">
        <v>5500</v>
      </c>
      <c r="E193" s="228">
        <v>189.15</v>
      </c>
      <c r="F193" s="228">
        <v>184.56</v>
      </c>
      <c r="G193" s="228">
        <v>4.59</v>
      </c>
      <c r="H193" s="229">
        <v>2.4899999999999999E-2</v>
      </c>
      <c r="I193" s="228">
        <v>189.1</v>
      </c>
      <c r="J193" s="228">
        <v>184.41</v>
      </c>
      <c r="K193" s="228">
        <v>4.6900000000000004</v>
      </c>
      <c r="L193" s="229">
        <v>2.5399999999999999E-2</v>
      </c>
      <c r="M193" s="228">
        <v>189.15</v>
      </c>
      <c r="N193" s="228">
        <v>184.56</v>
      </c>
      <c r="O193" s="228">
        <v>4.59</v>
      </c>
      <c r="P193" s="229">
        <v>2.4899999999999999E-2</v>
      </c>
      <c r="Q193" s="228">
        <v>190.16</v>
      </c>
      <c r="R193" s="228">
        <v>185.57</v>
      </c>
      <c r="S193" s="228">
        <v>4.59</v>
      </c>
      <c r="T193" s="229">
        <v>2.47E-2</v>
      </c>
      <c r="U193" s="228">
        <v>191.44</v>
      </c>
      <c r="V193" s="228">
        <v>186.85</v>
      </c>
      <c r="W193" s="228">
        <v>4.59</v>
      </c>
      <c r="X193" s="229">
        <v>2.46E-2</v>
      </c>
      <c r="Y193" s="228">
        <v>0.05</v>
      </c>
      <c r="Z193" s="228">
        <v>0.15</v>
      </c>
      <c r="AA193" s="228">
        <v>-0.1</v>
      </c>
      <c r="AB193" s="229">
        <v>2.9999999999999997E-4</v>
      </c>
      <c r="AC193" s="228">
        <v>0.05</v>
      </c>
      <c r="AD193" s="228">
        <v>0.15</v>
      </c>
      <c r="AE193" s="228">
        <v>-0.1</v>
      </c>
      <c r="AF193" s="229">
        <v>2.9999999999999997E-4</v>
      </c>
      <c r="AG193" s="228">
        <v>1.06</v>
      </c>
      <c r="AH193" s="228">
        <v>1.1599999999999999</v>
      </c>
      <c r="AI193" s="228">
        <v>-0.1</v>
      </c>
      <c r="AJ193" s="229">
        <v>5.5999999999999999E-3</v>
      </c>
      <c r="AK193" s="228">
        <v>2.34</v>
      </c>
      <c r="AL193" s="228">
        <v>2.44</v>
      </c>
      <c r="AM193" s="228">
        <v>-0.1</v>
      </c>
      <c r="AN193" s="229">
        <v>1.24E-2</v>
      </c>
      <c r="AO193" s="228">
        <v>188.26</v>
      </c>
      <c r="AP193" s="228">
        <v>189.25</v>
      </c>
      <c r="AQ193" s="228">
        <v>0</v>
      </c>
      <c r="AR193" s="230">
        <v>200579500</v>
      </c>
      <c r="AS193" s="230">
        <v>141977000</v>
      </c>
      <c r="AT193" s="230">
        <v>58602500</v>
      </c>
      <c r="AU193" s="229">
        <v>0.4128</v>
      </c>
      <c r="AV193" s="230">
        <v>104296500</v>
      </c>
      <c r="AW193" s="230">
        <v>77280500</v>
      </c>
      <c r="AX193" s="230">
        <v>27016000</v>
      </c>
      <c r="AY193" s="229">
        <v>0.34960000000000002</v>
      </c>
      <c r="AZ193" s="230">
        <v>94583500</v>
      </c>
      <c r="BA193" s="230">
        <v>63624000</v>
      </c>
      <c r="BB193" s="230">
        <v>30959500</v>
      </c>
      <c r="BC193" s="229">
        <v>0.48659999999999998</v>
      </c>
      <c r="BD193" s="230">
        <v>1699500</v>
      </c>
      <c r="BE193" s="230">
        <v>1072500</v>
      </c>
      <c r="BF193" s="230">
        <v>627000</v>
      </c>
      <c r="BG193" s="229">
        <v>0.58460000000000001</v>
      </c>
      <c r="BH193" s="230">
        <v>336396500</v>
      </c>
      <c r="BI193" s="230">
        <v>246009500</v>
      </c>
      <c r="BJ193" s="230">
        <v>90387000</v>
      </c>
      <c r="BK193" s="229">
        <v>0.3674</v>
      </c>
      <c r="BL193" s="230">
        <v>191719000</v>
      </c>
      <c r="BM193" s="230">
        <v>139997000</v>
      </c>
      <c r="BN193" s="230">
        <v>51722000</v>
      </c>
      <c r="BO193" s="229">
        <v>0.3695</v>
      </c>
      <c r="BP193" s="230">
        <v>728695000</v>
      </c>
      <c r="BQ193" s="230">
        <v>527983500</v>
      </c>
      <c r="BR193" s="230">
        <v>200711500</v>
      </c>
      <c r="BS193" s="229">
        <v>0.38009999999999999</v>
      </c>
      <c r="BT193" s="230">
        <v>38505626</v>
      </c>
      <c r="BU193" s="230">
        <v>36158045</v>
      </c>
      <c r="BV193" s="230">
        <v>2347581</v>
      </c>
      <c r="BW193" s="229">
        <v>6.4899999999999999E-2</v>
      </c>
      <c r="BX193" s="230">
        <v>268499000</v>
      </c>
      <c r="BY193" s="230">
        <v>261453500</v>
      </c>
      <c r="BZ193" s="230">
        <v>7045500</v>
      </c>
      <c r="CA193" s="229">
        <v>2.69E-2</v>
      </c>
      <c r="CB193" s="230">
        <v>111760000</v>
      </c>
      <c r="CC193" s="230">
        <v>177655500</v>
      </c>
      <c r="CD193" s="230">
        <v>-65895500</v>
      </c>
      <c r="CE193" s="229">
        <v>-0.37090000000000001</v>
      </c>
      <c r="CF193" s="230">
        <v>144490500</v>
      </c>
      <c r="CG193" s="230">
        <v>72187500</v>
      </c>
      <c r="CH193" s="230">
        <v>72303000</v>
      </c>
      <c r="CI193" s="229">
        <v>1.0016</v>
      </c>
      <c r="CJ193" s="230">
        <v>12248500</v>
      </c>
      <c r="CK193" s="230">
        <v>11610500</v>
      </c>
      <c r="CL193" s="230">
        <v>638000</v>
      </c>
      <c r="CM193" s="229">
        <v>5.5E-2</v>
      </c>
      <c r="CN193" s="230">
        <v>135905000</v>
      </c>
      <c r="CO193" s="230">
        <v>145238500</v>
      </c>
      <c r="CP193" s="230">
        <v>-9333500</v>
      </c>
      <c r="CQ193" s="229">
        <v>-6.4299999999999996E-2</v>
      </c>
      <c r="CR193" s="230">
        <v>111974500</v>
      </c>
      <c r="CS193" s="230">
        <v>101590500</v>
      </c>
      <c r="CT193" s="230">
        <v>10384000</v>
      </c>
      <c r="CU193" s="229">
        <v>0.1022</v>
      </c>
      <c r="CV193" s="230">
        <v>516378500</v>
      </c>
      <c r="CW193" s="230">
        <v>508282500</v>
      </c>
      <c r="CX193" s="230">
        <v>8096000</v>
      </c>
      <c r="CY193" s="229">
        <v>1.5900000000000001E-2</v>
      </c>
      <c r="CZ193" s="228">
        <v>28.83</v>
      </c>
      <c r="DA193" s="228">
        <v>26.8</v>
      </c>
      <c r="DB193" s="228">
        <v>2.0299999999999998</v>
      </c>
      <c r="DC193" s="228">
        <v>2.0299999999999998</v>
      </c>
      <c r="DD193" s="228">
        <v>32.590000000000003</v>
      </c>
      <c r="DE193" s="228">
        <v>32.5</v>
      </c>
      <c r="DF193" s="228">
        <v>-3.76</v>
      </c>
      <c r="DG193" s="228">
        <v>0.09</v>
      </c>
      <c r="DH193" s="228">
        <v>28.82</v>
      </c>
      <c r="DI193" s="228">
        <v>26.92</v>
      </c>
      <c r="DJ193" s="228">
        <v>1.9</v>
      </c>
      <c r="DK193" s="228">
        <v>1.9</v>
      </c>
      <c r="DL193" s="228">
        <v>28.85</v>
      </c>
      <c r="DM193" s="228">
        <v>26.59</v>
      </c>
      <c r="DN193" s="228">
        <v>2.2599999999999998</v>
      </c>
      <c r="DO193" s="228">
        <v>2.2599999999999998</v>
      </c>
      <c r="DP193" s="228">
        <v>0.82</v>
      </c>
      <c r="DQ193" s="228">
        <v>0.7</v>
      </c>
      <c r="DR193" s="228">
        <v>0.12</v>
      </c>
      <c r="DS193" s="229">
        <v>0.1714</v>
      </c>
      <c r="DT193" s="228">
        <v>200</v>
      </c>
      <c r="DU193" s="228">
        <v>180</v>
      </c>
      <c r="DV193" s="228">
        <v>0.56999999999999995</v>
      </c>
      <c r="DW193" s="228">
        <v>0.56999999999999995</v>
      </c>
      <c r="DX193" s="228">
        <v>0</v>
      </c>
      <c r="DY193" s="229">
        <v>0</v>
      </c>
      <c r="DZ193" s="229">
        <v>0.58379999999999999</v>
      </c>
      <c r="EA193" s="230">
        <v>83798000</v>
      </c>
      <c r="EB193" s="229">
        <v>5.3E-3</v>
      </c>
      <c r="EC193" s="229">
        <v>0.58379999999999999</v>
      </c>
      <c r="ED193" s="228">
        <v>0.99</v>
      </c>
      <c r="EE193" s="229">
        <v>5.3E-3</v>
      </c>
      <c r="EF193" s="230">
        <v>17511982</v>
      </c>
      <c r="EG193" s="230">
        <v>16826677</v>
      </c>
      <c r="EH193" s="229">
        <v>4.07E-2</v>
      </c>
      <c r="EI193" s="229">
        <v>0.45479999999999998</v>
      </c>
      <c r="EJ193" s="231">
        <v>650487.35</v>
      </c>
      <c r="EK193" s="231">
        <v>354133.1</v>
      </c>
      <c r="EL193" s="231">
        <v>378586.08</v>
      </c>
      <c r="EM193" s="231">
        <v>13212</v>
      </c>
      <c r="EN193" s="231">
        <v>1383206.53</v>
      </c>
      <c r="EO193" s="231">
        <v>985160.8</v>
      </c>
      <c r="EP193" s="231">
        <v>398045.73</v>
      </c>
      <c r="EQ193" s="229">
        <v>0.40400000000000003</v>
      </c>
      <c r="ER193" s="231">
        <v>260086</v>
      </c>
      <c r="ES193" s="231">
        <v>199479</v>
      </c>
      <c r="ET193" s="231">
        <v>509606</v>
      </c>
      <c r="EU193" s="231">
        <v>872935214</v>
      </c>
      <c r="EV193" s="231">
        <v>969171</v>
      </c>
      <c r="EW193" s="231">
        <v>940436</v>
      </c>
      <c r="EX193" s="231">
        <v>28735</v>
      </c>
      <c r="EY193" s="229">
        <v>3.0599999999999999E-2</v>
      </c>
      <c r="EZ193" s="229">
        <v>0.59150000000000003</v>
      </c>
      <c r="FA193" s="227" t="s">
        <v>555</v>
      </c>
      <c r="FB193" s="161">
        <f t="shared" si="4"/>
        <v>0</v>
      </c>
    </row>
    <row r="194" spans="1:158" ht="17.25" thickBot="1" x14ac:dyDescent="0.3">
      <c r="A194" s="226">
        <v>46044</v>
      </c>
      <c r="B194" s="227" t="s">
        <v>221</v>
      </c>
      <c r="C194" s="227" t="s">
        <v>663</v>
      </c>
      <c r="D194" s="228">
        <v>800</v>
      </c>
      <c r="E194" s="228">
        <v>654.20000000000005</v>
      </c>
      <c r="F194" s="228">
        <v>646</v>
      </c>
      <c r="G194" s="228">
        <v>8.1999999999999993</v>
      </c>
      <c r="H194" s="229">
        <v>1.2699999999999999E-2</v>
      </c>
      <c r="I194" s="228">
        <v>652.15</v>
      </c>
      <c r="J194" s="228">
        <v>643.75</v>
      </c>
      <c r="K194" s="228">
        <v>8.4</v>
      </c>
      <c r="L194" s="229">
        <v>1.2999999999999999E-2</v>
      </c>
      <c r="M194" s="228">
        <v>654.20000000000005</v>
      </c>
      <c r="N194" s="228">
        <v>646</v>
      </c>
      <c r="O194" s="228">
        <v>8.1999999999999993</v>
      </c>
      <c r="P194" s="229">
        <v>1.2699999999999999E-2</v>
      </c>
      <c r="Q194" s="228">
        <v>655.15</v>
      </c>
      <c r="R194" s="228">
        <v>647.45000000000005</v>
      </c>
      <c r="S194" s="228">
        <v>7.7</v>
      </c>
      <c r="T194" s="229">
        <v>1.1900000000000001E-2</v>
      </c>
      <c r="U194" s="228">
        <v>658.65</v>
      </c>
      <c r="V194" s="228">
        <v>646</v>
      </c>
      <c r="W194" s="228">
        <v>12.65</v>
      </c>
      <c r="X194" s="229">
        <v>1.9599999999999999E-2</v>
      </c>
      <c r="Y194" s="228">
        <v>2.0499999999999998</v>
      </c>
      <c r="Z194" s="228">
        <v>2.25</v>
      </c>
      <c r="AA194" s="228">
        <v>-0.2</v>
      </c>
      <c r="AB194" s="229">
        <v>3.0999999999999999E-3</v>
      </c>
      <c r="AC194" s="228">
        <v>2.0499999999999998</v>
      </c>
      <c r="AD194" s="228">
        <v>2.25</v>
      </c>
      <c r="AE194" s="228">
        <v>-0.2</v>
      </c>
      <c r="AF194" s="229">
        <v>3.0999999999999999E-3</v>
      </c>
      <c r="AG194" s="228">
        <v>3</v>
      </c>
      <c r="AH194" s="228">
        <v>3.7</v>
      </c>
      <c r="AI194" s="228">
        <v>-0.7</v>
      </c>
      <c r="AJ194" s="229">
        <v>4.5999999999999999E-3</v>
      </c>
      <c r="AK194" s="228">
        <v>6.5</v>
      </c>
      <c r="AL194" s="228">
        <v>2.25</v>
      </c>
      <c r="AM194" s="228">
        <v>4.25</v>
      </c>
      <c r="AN194" s="229">
        <v>0.01</v>
      </c>
      <c r="AO194" s="228">
        <v>658.29</v>
      </c>
      <c r="AP194" s="228">
        <v>659.25</v>
      </c>
      <c r="AQ194" s="228">
        <v>0</v>
      </c>
      <c r="AR194" s="230">
        <v>10064800</v>
      </c>
      <c r="AS194" s="230">
        <v>5125600</v>
      </c>
      <c r="AT194" s="230">
        <v>4939200</v>
      </c>
      <c r="AU194" s="229">
        <v>0.96360000000000001</v>
      </c>
      <c r="AV194" s="230">
        <v>4888000</v>
      </c>
      <c r="AW194" s="230">
        <v>2786400</v>
      </c>
      <c r="AX194" s="230">
        <v>2101600</v>
      </c>
      <c r="AY194" s="229">
        <v>0.75419999999999998</v>
      </c>
      <c r="AZ194" s="230">
        <v>5124800</v>
      </c>
      <c r="BA194" s="230">
        <v>2280800</v>
      </c>
      <c r="BB194" s="230">
        <v>2844000</v>
      </c>
      <c r="BC194" s="229">
        <v>1.2468999999999999</v>
      </c>
      <c r="BD194" s="230">
        <v>52000</v>
      </c>
      <c r="BE194" s="230">
        <v>58400</v>
      </c>
      <c r="BF194" s="230">
        <v>-6400</v>
      </c>
      <c r="BG194" s="229">
        <v>-0.1096</v>
      </c>
      <c r="BH194" s="230">
        <v>7144000</v>
      </c>
      <c r="BI194" s="230">
        <v>12056000</v>
      </c>
      <c r="BJ194" s="230">
        <v>-4912000</v>
      </c>
      <c r="BK194" s="229">
        <v>-0.40739999999999998</v>
      </c>
      <c r="BL194" s="230">
        <v>4644000</v>
      </c>
      <c r="BM194" s="230">
        <v>8926400</v>
      </c>
      <c r="BN194" s="230">
        <v>-4282400</v>
      </c>
      <c r="BO194" s="229">
        <v>-0.47970000000000002</v>
      </c>
      <c r="BP194" s="230">
        <v>21852800</v>
      </c>
      <c r="BQ194" s="230">
        <v>26108000</v>
      </c>
      <c r="BR194" s="230">
        <v>-4255200</v>
      </c>
      <c r="BS194" s="229">
        <v>-0.16300000000000001</v>
      </c>
      <c r="BT194" s="230">
        <v>878239</v>
      </c>
      <c r="BU194" s="230">
        <v>1354001</v>
      </c>
      <c r="BV194" s="230">
        <v>-475762</v>
      </c>
      <c r="BW194" s="229">
        <v>-0.35139999999999999</v>
      </c>
      <c r="BX194" s="230">
        <v>11474400</v>
      </c>
      <c r="BY194" s="230">
        <v>11704000</v>
      </c>
      <c r="BZ194" s="230">
        <v>-229600</v>
      </c>
      <c r="CA194" s="229">
        <v>-1.9599999999999999E-2</v>
      </c>
      <c r="CB194" s="230">
        <v>5371200</v>
      </c>
      <c r="CC194" s="230">
        <v>8141600</v>
      </c>
      <c r="CD194" s="230">
        <v>-2770400</v>
      </c>
      <c r="CE194" s="229">
        <v>-0.34029999999999999</v>
      </c>
      <c r="CF194" s="230">
        <v>5903200</v>
      </c>
      <c r="CG194" s="230">
        <v>3383200</v>
      </c>
      <c r="CH194" s="230">
        <v>2520000</v>
      </c>
      <c r="CI194" s="229">
        <v>0.74490000000000001</v>
      </c>
      <c r="CJ194" s="230">
        <v>200000</v>
      </c>
      <c r="CK194" s="230">
        <v>179200</v>
      </c>
      <c r="CL194" s="230">
        <v>20800</v>
      </c>
      <c r="CM194" s="229">
        <v>0.11609999999999999</v>
      </c>
      <c r="CN194" s="230">
        <v>7818400</v>
      </c>
      <c r="CO194" s="230">
        <v>7809600</v>
      </c>
      <c r="CP194" s="230">
        <v>8800</v>
      </c>
      <c r="CQ194" s="229">
        <v>1.1000000000000001E-3</v>
      </c>
      <c r="CR194" s="230">
        <v>4814400</v>
      </c>
      <c r="CS194" s="230">
        <v>5024000</v>
      </c>
      <c r="CT194" s="230">
        <v>-209600</v>
      </c>
      <c r="CU194" s="229">
        <v>-4.1700000000000001E-2</v>
      </c>
      <c r="CV194" s="230">
        <v>24107200</v>
      </c>
      <c r="CW194" s="230">
        <v>24537600</v>
      </c>
      <c r="CX194" s="230">
        <v>-430400</v>
      </c>
      <c r="CY194" s="229">
        <v>-1.7500000000000002E-2</v>
      </c>
      <c r="CZ194" s="228">
        <v>25.29</v>
      </c>
      <c r="DA194" s="228">
        <v>24.1</v>
      </c>
      <c r="DB194" s="228">
        <v>1.19</v>
      </c>
      <c r="DC194" s="228">
        <v>1.19</v>
      </c>
      <c r="DD194" s="228">
        <v>30.53</v>
      </c>
      <c r="DE194" s="228">
        <v>30.56</v>
      </c>
      <c r="DF194" s="228">
        <v>-5.24</v>
      </c>
      <c r="DG194" s="228">
        <v>-0.03</v>
      </c>
      <c r="DH194" s="228">
        <v>25.7</v>
      </c>
      <c r="DI194" s="228">
        <v>26.05</v>
      </c>
      <c r="DJ194" s="228">
        <v>-0.35</v>
      </c>
      <c r="DK194" s="228">
        <v>-0.35</v>
      </c>
      <c r="DL194" s="228">
        <v>24.76</v>
      </c>
      <c r="DM194" s="228">
        <v>21.46</v>
      </c>
      <c r="DN194" s="228">
        <v>3.3</v>
      </c>
      <c r="DO194" s="228">
        <v>3.3</v>
      </c>
      <c r="DP194" s="228">
        <v>0.62</v>
      </c>
      <c r="DQ194" s="228">
        <v>0.64</v>
      </c>
      <c r="DR194" s="228">
        <v>-0.02</v>
      </c>
      <c r="DS194" s="229">
        <v>-3.1300000000000001E-2</v>
      </c>
      <c r="DT194" s="228">
        <v>700</v>
      </c>
      <c r="DU194" s="228">
        <v>620</v>
      </c>
      <c r="DV194" s="228">
        <v>0.65</v>
      </c>
      <c r="DW194" s="228">
        <v>0.74</v>
      </c>
      <c r="DX194" s="228">
        <v>-0.09</v>
      </c>
      <c r="DY194" s="229">
        <v>-0.1216</v>
      </c>
      <c r="DZ194" s="229">
        <v>0.53190000000000004</v>
      </c>
      <c r="EA194" s="230">
        <v>3562400</v>
      </c>
      <c r="EB194" s="229">
        <v>1.5E-3</v>
      </c>
      <c r="EC194" s="229">
        <v>0.53190000000000004</v>
      </c>
      <c r="ED194" s="228">
        <v>0.96</v>
      </c>
      <c r="EE194" s="229">
        <v>1.5E-3</v>
      </c>
      <c r="EF194" s="230">
        <v>376301</v>
      </c>
      <c r="EG194" s="230">
        <v>462963</v>
      </c>
      <c r="EH194" s="229">
        <v>-0.18720000000000001</v>
      </c>
      <c r="EI194" s="229">
        <v>0.42849999999999999</v>
      </c>
      <c r="EJ194" s="231">
        <v>48832.59</v>
      </c>
      <c r="EK194" s="231">
        <v>30238.76</v>
      </c>
      <c r="EL194" s="231">
        <v>66306.55</v>
      </c>
      <c r="EM194" s="231">
        <v>7248</v>
      </c>
      <c r="EN194" s="231">
        <v>145377.9</v>
      </c>
      <c r="EO194" s="231">
        <v>171058.5</v>
      </c>
      <c r="EP194" s="231">
        <v>-25680.6</v>
      </c>
      <c r="EQ194" s="229">
        <v>-0.15010000000000001</v>
      </c>
      <c r="ER194" s="231">
        <v>54577</v>
      </c>
      <c r="ES194" s="231">
        <v>31139</v>
      </c>
      <c r="ET194" s="231">
        <v>75131</v>
      </c>
      <c r="EU194" s="231">
        <v>25116370</v>
      </c>
      <c r="EV194" s="231">
        <v>160847</v>
      </c>
      <c r="EW194" s="231">
        <v>162616</v>
      </c>
      <c r="EX194" s="231">
        <v>-1769</v>
      </c>
      <c r="EY194" s="229">
        <v>-1.09E-2</v>
      </c>
      <c r="EZ194" s="229">
        <v>0.95979999999999999</v>
      </c>
      <c r="FA194" s="227" t="s">
        <v>556</v>
      </c>
      <c r="FB194" s="161">
        <f t="shared" si="4"/>
        <v>0</v>
      </c>
    </row>
    <row r="195" spans="1:158" ht="17.25" thickBot="1" x14ac:dyDescent="0.3">
      <c r="A195" s="226">
        <v>46044</v>
      </c>
      <c r="B195" s="227" t="s">
        <v>221</v>
      </c>
      <c r="C195" s="227" t="s">
        <v>295</v>
      </c>
      <c r="D195" s="228">
        <v>175</v>
      </c>
      <c r="E195" s="231">
        <v>3152.7</v>
      </c>
      <c r="F195" s="231">
        <v>3125.2</v>
      </c>
      <c r="G195" s="228">
        <v>27.5</v>
      </c>
      <c r="H195" s="229">
        <v>8.8000000000000005E-3</v>
      </c>
      <c r="I195" s="231">
        <v>3150.4</v>
      </c>
      <c r="J195" s="231">
        <v>3122.6</v>
      </c>
      <c r="K195" s="228">
        <v>27.8</v>
      </c>
      <c r="L195" s="229">
        <v>8.8999999999999999E-3</v>
      </c>
      <c r="M195" s="231">
        <v>3152.7</v>
      </c>
      <c r="N195" s="231">
        <v>3125.2</v>
      </c>
      <c r="O195" s="228">
        <v>27.5</v>
      </c>
      <c r="P195" s="229">
        <v>8.8000000000000005E-3</v>
      </c>
      <c r="Q195" s="231">
        <v>3161.8</v>
      </c>
      <c r="R195" s="231">
        <v>3134.8</v>
      </c>
      <c r="S195" s="228">
        <v>27</v>
      </c>
      <c r="T195" s="229">
        <v>8.6E-3</v>
      </c>
      <c r="U195" s="231">
        <v>3188.8</v>
      </c>
      <c r="V195" s="231">
        <v>3155.5</v>
      </c>
      <c r="W195" s="228">
        <v>33.299999999999997</v>
      </c>
      <c r="X195" s="229">
        <v>1.06E-2</v>
      </c>
      <c r="Y195" s="228">
        <v>2.2999999999999998</v>
      </c>
      <c r="Z195" s="228">
        <v>2.6</v>
      </c>
      <c r="AA195" s="228">
        <v>-0.3</v>
      </c>
      <c r="AB195" s="229">
        <v>6.9999999999999999E-4</v>
      </c>
      <c r="AC195" s="228">
        <v>2.2999999999999998</v>
      </c>
      <c r="AD195" s="228">
        <v>2.6</v>
      </c>
      <c r="AE195" s="228">
        <v>-0.3</v>
      </c>
      <c r="AF195" s="229">
        <v>6.9999999999999999E-4</v>
      </c>
      <c r="AG195" s="228">
        <v>11.4</v>
      </c>
      <c r="AH195" s="228">
        <v>12.2</v>
      </c>
      <c r="AI195" s="228">
        <v>-0.8</v>
      </c>
      <c r="AJ195" s="229">
        <v>3.5999999999999999E-3</v>
      </c>
      <c r="AK195" s="228">
        <v>38.4</v>
      </c>
      <c r="AL195" s="228">
        <v>32.9</v>
      </c>
      <c r="AM195" s="228">
        <v>5.5</v>
      </c>
      <c r="AN195" s="229">
        <v>1.2200000000000001E-2</v>
      </c>
      <c r="AO195" s="231">
        <v>3147.75</v>
      </c>
      <c r="AP195" s="231">
        <v>3156.26</v>
      </c>
      <c r="AQ195" s="228">
        <v>0</v>
      </c>
      <c r="AR195" s="230">
        <v>11853975</v>
      </c>
      <c r="AS195" s="230">
        <v>20502125</v>
      </c>
      <c r="AT195" s="230">
        <v>-8648150</v>
      </c>
      <c r="AU195" s="229">
        <v>-0.42180000000000001</v>
      </c>
      <c r="AV195" s="230">
        <v>5893300</v>
      </c>
      <c r="AW195" s="230">
        <v>10740975</v>
      </c>
      <c r="AX195" s="230">
        <v>-4847675</v>
      </c>
      <c r="AY195" s="229">
        <v>-0.45129999999999998</v>
      </c>
      <c r="AZ195" s="230">
        <v>5856725</v>
      </c>
      <c r="BA195" s="230">
        <v>9683975</v>
      </c>
      <c r="BB195" s="230">
        <v>-3827250</v>
      </c>
      <c r="BC195" s="229">
        <v>-0.3952</v>
      </c>
      <c r="BD195" s="230">
        <v>103950</v>
      </c>
      <c r="BE195" s="230">
        <v>77175</v>
      </c>
      <c r="BF195" s="230">
        <v>26775</v>
      </c>
      <c r="BG195" s="229">
        <v>0.34689999999999999</v>
      </c>
      <c r="BH195" s="230">
        <v>18113900</v>
      </c>
      <c r="BI195" s="230">
        <v>23171925</v>
      </c>
      <c r="BJ195" s="230">
        <v>-5058025</v>
      </c>
      <c r="BK195" s="229">
        <v>-0.21829999999999999</v>
      </c>
      <c r="BL195" s="230">
        <v>10795050</v>
      </c>
      <c r="BM195" s="230">
        <v>15124025</v>
      </c>
      <c r="BN195" s="230">
        <v>-4328975</v>
      </c>
      <c r="BO195" s="229">
        <v>-0.28620000000000001</v>
      </c>
      <c r="BP195" s="230">
        <v>40762925</v>
      </c>
      <c r="BQ195" s="230">
        <v>58798075</v>
      </c>
      <c r="BR195" s="230">
        <v>-18035150</v>
      </c>
      <c r="BS195" s="229">
        <v>-0.30669999999999997</v>
      </c>
      <c r="BT195" s="230">
        <v>2420453</v>
      </c>
      <c r="BU195" s="230">
        <v>2198590</v>
      </c>
      <c r="BV195" s="230">
        <v>221863</v>
      </c>
      <c r="BW195" s="229">
        <v>0.1009</v>
      </c>
      <c r="BX195" s="230">
        <v>21913150</v>
      </c>
      <c r="BY195" s="230">
        <v>22356250</v>
      </c>
      <c r="BZ195" s="230">
        <v>-443100</v>
      </c>
      <c r="CA195" s="229">
        <v>-1.9800000000000002E-2</v>
      </c>
      <c r="CB195" s="230">
        <v>6781600</v>
      </c>
      <c r="CC195" s="230">
        <v>10907225</v>
      </c>
      <c r="CD195" s="230">
        <v>-4125625</v>
      </c>
      <c r="CE195" s="229">
        <v>-0.37819999999999998</v>
      </c>
      <c r="CF195" s="230">
        <v>14495775</v>
      </c>
      <c r="CG195" s="230">
        <v>10844575</v>
      </c>
      <c r="CH195" s="230">
        <v>3651200</v>
      </c>
      <c r="CI195" s="229">
        <v>0.3367</v>
      </c>
      <c r="CJ195" s="230">
        <v>635775</v>
      </c>
      <c r="CK195" s="230">
        <v>604450</v>
      </c>
      <c r="CL195" s="230">
        <v>31325</v>
      </c>
      <c r="CM195" s="229">
        <v>5.1799999999999999E-2</v>
      </c>
      <c r="CN195" s="230">
        <v>14317975</v>
      </c>
      <c r="CO195" s="230">
        <v>15183525</v>
      </c>
      <c r="CP195" s="230">
        <v>-865550</v>
      </c>
      <c r="CQ195" s="229">
        <v>-5.7000000000000002E-2</v>
      </c>
      <c r="CR195" s="230">
        <v>7422275</v>
      </c>
      <c r="CS195" s="230">
        <v>7580475</v>
      </c>
      <c r="CT195" s="230">
        <v>-158200</v>
      </c>
      <c r="CU195" s="229">
        <v>-2.0899999999999998E-2</v>
      </c>
      <c r="CV195" s="230">
        <v>43653400</v>
      </c>
      <c r="CW195" s="230">
        <v>45120250</v>
      </c>
      <c r="CX195" s="230">
        <v>-1466850</v>
      </c>
      <c r="CY195" s="229">
        <v>-3.2500000000000001E-2</v>
      </c>
      <c r="CZ195" s="228">
        <v>19.190000000000001</v>
      </c>
      <c r="DA195" s="228">
        <v>18.309999999999999</v>
      </c>
      <c r="DB195" s="228">
        <v>0.88</v>
      </c>
      <c r="DC195" s="228">
        <v>0.88</v>
      </c>
      <c r="DD195" s="228">
        <v>23.66</v>
      </c>
      <c r="DE195" s="228">
        <v>23.69</v>
      </c>
      <c r="DF195" s="228">
        <v>-4.47</v>
      </c>
      <c r="DG195" s="228">
        <v>-0.03</v>
      </c>
      <c r="DH195" s="228">
        <v>19.29</v>
      </c>
      <c r="DI195" s="228">
        <v>17.71</v>
      </c>
      <c r="DJ195" s="228">
        <v>1.58</v>
      </c>
      <c r="DK195" s="228">
        <v>1.58</v>
      </c>
      <c r="DL195" s="228">
        <v>19.059999999999999</v>
      </c>
      <c r="DM195" s="228">
        <v>19.239999999999998</v>
      </c>
      <c r="DN195" s="228">
        <v>-0.18</v>
      </c>
      <c r="DO195" s="228">
        <v>-0.18</v>
      </c>
      <c r="DP195" s="228">
        <v>0.52</v>
      </c>
      <c r="DQ195" s="228">
        <v>0.5</v>
      </c>
      <c r="DR195" s="228">
        <v>0.02</v>
      </c>
      <c r="DS195" s="229">
        <v>0.04</v>
      </c>
      <c r="DT195" s="231">
        <v>3300</v>
      </c>
      <c r="DU195" s="231">
        <v>3000</v>
      </c>
      <c r="DV195" s="228">
        <v>0.6</v>
      </c>
      <c r="DW195" s="228">
        <v>0.65</v>
      </c>
      <c r="DX195" s="228">
        <v>-0.05</v>
      </c>
      <c r="DY195" s="229">
        <v>-7.6899999999999996E-2</v>
      </c>
      <c r="DZ195" s="229">
        <v>0.6905</v>
      </c>
      <c r="EA195" s="230">
        <v>11449025</v>
      </c>
      <c r="EB195" s="229">
        <v>2.8999999999999998E-3</v>
      </c>
      <c r="EC195" s="229">
        <v>0.6905</v>
      </c>
      <c r="ED195" s="228">
        <v>8.51</v>
      </c>
      <c r="EE195" s="229">
        <v>2.7000000000000001E-3</v>
      </c>
      <c r="EF195" s="230">
        <v>1257331</v>
      </c>
      <c r="EG195" s="230">
        <v>1129510</v>
      </c>
      <c r="EH195" s="229">
        <v>0.1132</v>
      </c>
      <c r="EI195" s="229">
        <v>0.51949999999999996</v>
      </c>
      <c r="EJ195" s="231">
        <v>585893.68000000005</v>
      </c>
      <c r="EK195" s="231">
        <v>339392.3</v>
      </c>
      <c r="EL195" s="231">
        <v>373660.87</v>
      </c>
      <c r="EM195" s="231">
        <v>47029</v>
      </c>
      <c r="EN195" s="231">
        <v>1298946.8500000001</v>
      </c>
      <c r="EO195" s="231">
        <v>1852176.51</v>
      </c>
      <c r="EP195" s="231">
        <v>-553229.66</v>
      </c>
      <c r="EQ195" s="229">
        <v>-0.29870000000000002</v>
      </c>
      <c r="ER195" s="231">
        <v>473675</v>
      </c>
      <c r="ES195" s="231">
        <v>233975</v>
      </c>
      <c r="ET195" s="231">
        <v>692405</v>
      </c>
      <c r="EU195" s="231">
        <v>126444612</v>
      </c>
      <c r="EV195" s="231">
        <v>1400054</v>
      </c>
      <c r="EW195" s="231">
        <v>1440659</v>
      </c>
      <c r="EX195" s="231">
        <v>-40605</v>
      </c>
      <c r="EY195" s="229">
        <v>-2.8199999999999999E-2</v>
      </c>
      <c r="EZ195" s="229">
        <v>0.34520000000000001</v>
      </c>
      <c r="FA195" s="227" t="s">
        <v>556</v>
      </c>
      <c r="FB195" s="161">
        <f t="shared" ref="FB195:FB258" si="5">BX261-CB261</f>
        <v>0</v>
      </c>
    </row>
    <row r="196" spans="1:158" ht="17.25" thickBot="1" x14ac:dyDescent="0.3">
      <c r="A196" s="226">
        <v>46044</v>
      </c>
      <c r="B196" s="227" t="s">
        <v>221</v>
      </c>
      <c r="C196" s="227" t="s">
        <v>296</v>
      </c>
      <c r="D196" s="228">
        <v>600</v>
      </c>
      <c r="E196" s="231">
        <v>1690.4</v>
      </c>
      <c r="F196" s="231">
        <v>1687.7</v>
      </c>
      <c r="G196" s="228">
        <v>2.7</v>
      </c>
      <c r="H196" s="229">
        <v>1.6000000000000001E-3</v>
      </c>
      <c r="I196" s="231">
        <v>1687.4</v>
      </c>
      <c r="J196" s="231">
        <v>1686.7</v>
      </c>
      <c r="K196" s="228">
        <v>0.7</v>
      </c>
      <c r="L196" s="229">
        <v>4.0000000000000002E-4</v>
      </c>
      <c r="M196" s="231">
        <v>1690.4</v>
      </c>
      <c r="N196" s="231">
        <v>1687.7</v>
      </c>
      <c r="O196" s="228">
        <v>2.7</v>
      </c>
      <c r="P196" s="229">
        <v>1.6000000000000001E-3</v>
      </c>
      <c r="Q196" s="231">
        <v>1699.5</v>
      </c>
      <c r="R196" s="231">
        <v>1696.8</v>
      </c>
      <c r="S196" s="228">
        <v>2.7</v>
      </c>
      <c r="T196" s="229">
        <v>1.6000000000000001E-3</v>
      </c>
      <c r="U196" s="231">
        <v>1712.9</v>
      </c>
      <c r="V196" s="231">
        <v>1707.1</v>
      </c>
      <c r="W196" s="228">
        <v>5.8</v>
      </c>
      <c r="X196" s="229">
        <v>3.3999999999999998E-3</v>
      </c>
      <c r="Y196" s="228">
        <v>3</v>
      </c>
      <c r="Z196" s="228">
        <v>1</v>
      </c>
      <c r="AA196" s="228">
        <v>2</v>
      </c>
      <c r="AB196" s="229">
        <v>1.8E-3</v>
      </c>
      <c r="AC196" s="228">
        <v>3</v>
      </c>
      <c r="AD196" s="228">
        <v>1</v>
      </c>
      <c r="AE196" s="228">
        <v>2</v>
      </c>
      <c r="AF196" s="229">
        <v>1.8E-3</v>
      </c>
      <c r="AG196" s="228">
        <v>12.1</v>
      </c>
      <c r="AH196" s="228">
        <v>10.1</v>
      </c>
      <c r="AI196" s="228">
        <v>2</v>
      </c>
      <c r="AJ196" s="229">
        <v>7.1999999999999998E-3</v>
      </c>
      <c r="AK196" s="228">
        <v>25.5</v>
      </c>
      <c r="AL196" s="228">
        <v>20.399999999999999</v>
      </c>
      <c r="AM196" s="228">
        <v>5.0999999999999996</v>
      </c>
      <c r="AN196" s="229">
        <v>1.5100000000000001E-2</v>
      </c>
      <c r="AO196" s="231">
        <v>1698.25</v>
      </c>
      <c r="AP196" s="231">
        <v>1706.43</v>
      </c>
      <c r="AQ196" s="228">
        <v>0</v>
      </c>
      <c r="AR196" s="230">
        <v>18345000</v>
      </c>
      <c r="AS196" s="230">
        <v>10161000</v>
      </c>
      <c r="AT196" s="230">
        <v>8184000</v>
      </c>
      <c r="AU196" s="229">
        <v>0.8054</v>
      </c>
      <c r="AV196" s="230">
        <v>9340200</v>
      </c>
      <c r="AW196" s="230">
        <v>5847600</v>
      </c>
      <c r="AX196" s="230">
        <v>3492600</v>
      </c>
      <c r="AY196" s="229">
        <v>0.59730000000000005</v>
      </c>
      <c r="AZ196" s="230">
        <v>8910600</v>
      </c>
      <c r="BA196" s="230">
        <v>4281000</v>
      </c>
      <c r="BB196" s="230">
        <v>4629600</v>
      </c>
      <c r="BC196" s="229">
        <v>1.0813999999999999</v>
      </c>
      <c r="BD196" s="230">
        <v>94200</v>
      </c>
      <c r="BE196" s="230">
        <v>32400</v>
      </c>
      <c r="BF196" s="230">
        <v>61800</v>
      </c>
      <c r="BG196" s="229">
        <v>1.9074</v>
      </c>
      <c r="BH196" s="230">
        <v>16974000</v>
      </c>
      <c r="BI196" s="230">
        <v>11722800</v>
      </c>
      <c r="BJ196" s="230">
        <v>5251200</v>
      </c>
      <c r="BK196" s="229">
        <v>0.44790000000000002</v>
      </c>
      <c r="BL196" s="230">
        <v>8895000</v>
      </c>
      <c r="BM196" s="230">
        <v>8703600</v>
      </c>
      <c r="BN196" s="230">
        <v>191400</v>
      </c>
      <c r="BO196" s="229">
        <v>2.1999999999999999E-2</v>
      </c>
      <c r="BP196" s="230">
        <v>44214000</v>
      </c>
      <c r="BQ196" s="230">
        <v>30587400</v>
      </c>
      <c r="BR196" s="230">
        <v>13626600</v>
      </c>
      <c r="BS196" s="229">
        <v>0.44550000000000001</v>
      </c>
      <c r="BT196" s="230">
        <v>3206122</v>
      </c>
      <c r="BU196" s="230">
        <v>1816019</v>
      </c>
      <c r="BV196" s="230">
        <v>1390103</v>
      </c>
      <c r="BW196" s="229">
        <v>0.76549999999999996</v>
      </c>
      <c r="BX196" s="230">
        <v>20840400</v>
      </c>
      <c r="BY196" s="230">
        <v>20215800</v>
      </c>
      <c r="BZ196" s="230">
        <v>624600</v>
      </c>
      <c r="CA196" s="229">
        <v>3.09E-2</v>
      </c>
      <c r="CB196" s="230">
        <v>8623800</v>
      </c>
      <c r="CC196" s="230">
        <v>15327600</v>
      </c>
      <c r="CD196" s="230">
        <v>-6703800</v>
      </c>
      <c r="CE196" s="229">
        <v>-0.43740000000000001</v>
      </c>
      <c r="CF196" s="230">
        <v>12040800</v>
      </c>
      <c r="CG196" s="230">
        <v>4750800</v>
      </c>
      <c r="CH196" s="230">
        <v>7290000</v>
      </c>
      <c r="CI196" s="229">
        <v>1.5345</v>
      </c>
      <c r="CJ196" s="230">
        <v>175800</v>
      </c>
      <c r="CK196" s="230">
        <v>137400</v>
      </c>
      <c r="CL196" s="230">
        <v>38400</v>
      </c>
      <c r="CM196" s="229">
        <v>0.27950000000000003</v>
      </c>
      <c r="CN196" s="230">
        <v>6342000</v>
      </c>
      <c r="CO196" s="230">
        <v>6578400</v>
      </c>
      <c r="CP196" s="230">
        <v>-236400</v>
      </c>
      <c r="CQ196" s="229">
        <v>-3.5900000000000001E-2</v>
      </c>
      <c r="CR196" s="230">
        <v>4641000</v>
      </c>
      <c r="CS196" s="230">
        <v>4988400</v>
      </c>
      <c r="CT196" s="230">
        <v>-347400</v>
      </c>
      <c r="CU196" s="229">
        <v>-6.9599999999999995E-2</v>
      </c>
      <c r="CV196" s="230">
        <v>31823400</v>
      </c>
      <c r="CW196" s="230">
        <v>31782600</v>
      </c>
      <c r="CX196" s="230">
        <v>40800</v>
      </c>
      <c r="CY196" s="229">
        <v>1.2999999999999999E-3</v>
      </c>
      <c r="CZ196" s="228">
        <v>24.35</v>
      </c>
      <c r="DA196" s="228">
        <v>21.31</v>
      </c>
      <c r="DB196" s="228">
        <v>3.04</v>
      </c>
      <c r="DC196" s="228">
        <v>3.04</v>
      </c>
      <c r="DD196" s="228">
        <v>29.02</v>
      </c>
      <c r="DE196" s="228">
        <v>29.1</v>
      </c>
      <c r="DF196" s="228">
        <v>-4.67</v>
      </c>
      <c r="DG196" s="228">
        <v>-0.08</v>
      </c>
      <c r="DH196" s="228">
        <v>24.44</v>
      </c>
      <c r="DI196" s="228">
        <v>20.65</v>
      </c>
      <c r="DJ196" s="228">
        <v>3.79</v>
      </c>
      <c r="DK196" s="228">
        <v>3.79</v>
      </c>
      <c r="DL196" s="228">
        <v>24.16</v>
      </c>
      <c r="DM196" s="228">
        <v>22.19</v>
      </c>
      <c r="DN196" s="228">
        <v>1.97</v>
      </c>
      <c r="DO196" s="228">
        <v>1.97</v>
      </c>
      <c r="DP196" s="228">
        <v>0.73</v>
      </c>
      <c r="DQ196" s="228">
        <v>0.76</v>
      </c>
      <c r="DR196" s="228">
        <v>-0.03</v>
      </c>
      <c r="DS196" s="229">
        <v>-3.95E-2</v>
      </c>
      <c r="DT196" s="231">
        <v>1740</v>
      </c>
      <c r="DU196" s="231">
        <v>1640</v>
      </c>
      <c r="DV196" s="228">
        <v>0.52</v>
      </c>
      <c r="DW196" s="228">
        <v>0.74</v>
      </c>
      <c r="DX196" s="228">
        <v>-0.22</v>
      </c>
      <c r="DY196" s="229">
        <v>-0.29730000000000001</v>
      </c>
      <c r="DZ196" s="229">
        <v>0.58620000000000005</v>
      </c>
      <c r="EA196" s="230">
        <v>4888200</v>
      </c>
      <c r="EB196" s="229">
        <v>5.4000000000000003E-3</v>
      </c>
      <c r="EC196" s="229">
        <v>0.58620000000000005</v>
      </c>
      <c r="ED196" s="228">
        <v>8.18</v>
      </c>
      <c r="EE196" s="229">
        <v>4.7999999999999996E-3</v>
      </c>
      <c r="EF196" s="230">
        <v>1927373</v>
      </c>
      <c r="EG196" s="230">
        <v>898115</v>
      </c>
      <c r="EH196" s="229">
        <v>1.1459999999999999</v>
      </c>
      <c r="EI196" s="229">
        <v>0.60119999999999996</v>
      </c>
      <c r="EJ196" s="231">
        <v>295210.46999999997</v>
      </c>
      <c r="EK196" s="231">
        <v>149847.41</v>
      </c>
      <c r="EL196" s="231">
        <v>312292.59000000003</v>
      </c>
      <c r="EM196" s="231">
        <v>13541</v>
      </c>
      <c r="EN196" s="231">
        <v>757350.47</v>
      </c>
      <c r="EO196" s="231">
        <v>517646.52</v>
      </c>
      <c r="EP196" s="231">
        <v>239703.95</v>
      </c>
      <c r="EQ196" s="229">
        <v>0.46310000000000001</v>
      </c>
      <c r="ER196" s="231">
        <v>109362</v>
      </c>
      <c r="ES196" s="231">
        <v>73977</v>
      </c>
      <c r="ET196" s="231">
        <v>353421</v>
      </c>
      <c r="EU196" s="231">
        <v>80031540</v>
      </c>
      <c r="EV196" s="231">
        <v>536760</v>
      </c>
      <c r="EW196" s="231">
        <v>534613</v>
      </c>
      <c r="EX196" s="231">
        <v>2147</v>
      </c>
      <c r="EY196" s="229">
        <v>4.0000000000000001E-3</v>
      </c>
      <c r="EZ196" s="229">
        <v>0.39760000000000001</v>
      </c>
      <c r="FA196" s="227" t="s">
        <v>555</v>
      </c>
      <c r="FB196" s="161">
        <f t="shared" si="5"/>
        <v>0</v>
      </c>
    </row>
    <row r="197" spans="1:158" ht="17.25" thickBot="1" x14ac:dyDescent="0.3">
      <c r="A197" s="226">
        <v>46044</v>
      </c>
      <c r="B197" s="227" t="s">
        <v>184</v>
      </c>
      <c r="C197" s="227" t="s">
        <v>595</v>
      </c>
      <c r="D197" s="228">
        <v>200</v>
      </c>
      <c r="E197" s="231">
        <v>2302.1999999999998</v>
      </c>
      <c r="F197" s="231">
        <v>2274</v>
      </c>
      <c r="G197" s="228">
        <v>28.2</v>
      </c>
      <c r="H197" s="229">
        <v>1.24E-2</v>
      </c>
      <c r="I197" s="231">
        <v>2296.8000000000002</v>
      </c>
      <c r="J197" s="231">
        <v>2272.9</v>
      </c>
      <c r="K197" s="228">
        <v>23.9</v>
      </c>
      <c r="L197" s="229">
        <v>1.0500000000000001E-2</v>
      </c>
      <c r="M197" s="231">
        <v>2302.1999999999998</v>
      </c>
      <c r="N197" s="231">
        <v>2274</v>
      </c>
      <c r="O197" s="228">
        <v>28.2</v>
      </c>
      <c r="P197" s="229">
        <v>1.24E-2</v>
      </c>
      <c r="Q197" s="231">
        <v>2313.8000000000002</v>
      </c>
      <c r="R197" s="231">
        <v>2286</v>
      </c>
      <c r="S197" s="228">
        <v>27.8</v>
      </c>
      <c r="T197" s="229">
        <v>1.2200000000000001E-2</v>
      </c>
      <c r="U197" s="231">
        <v>2326.4</v>
      </c>
      <c r="V197" s="231">
        <v>2302</v>
      </c>
      <c r="W197" s="228">
        <v>24.4</v>
      </c>
      <c r="X197" s="229">
        <v>1.06E-2</v>
      </c>
      <c r="Y197" s="228">
        <v>5.4</v>
      </c>
      <c r="Z197" s="228">
        <v>1.1000000000000001</v>
      </c>
      <c r="AA197" s="228">
        <v>4.3</v>
      </c>
      <c r="AB197" s="229">
        <v>2.3999999999999998E-3</v>
      </c>
      <c r="AC197" s="228">
        <v>5.4</v>
      </c>
      <c r="AD197" s="228">
        <v>1.1000000000000001</v>
      </c>
      <c r="AE197" s="228">
        <v>4.3</v>
      </c>
      <c r="AF197" s="229">
        <v>2.3999999999999998E-3</v>
      </c>
      <c r="AG197" s="228">
        <v>17</v>
      </c>
      <c r="AH197" s="228">
        <v>13.1</v>
      </c>
      <c r="AI197" s="228">
        <v>3.9</v>
      </c>
      <c r="AJ197" s="229">
        <v>7.4000000000000003E-3</v>
      </c>
      <c r="AK197" s="228">
        <v>29.6</v>
      </c>
      <c r="AL197" s="228">
        <v>29.1</v>
      </c>
      <c r="AM197" s="228">
        <v>0.5</v>
      </c>
      <c r="AN197" s="229">
        <v>1.29E-2</v>
      </c>
      <c r="AO197" s="231">
        <v>2285.63</v>
      </c>
      <c r="AP197" s="231">
        <v>2296.7800000000002</v>
      </c>
      <c r="AQ197" s="228">
        <v>0</v>
      </c>
      <c r="AR197" s="230">
        <v>2655600</v>
      </c>
      <c r="AS197" s="230">
        <v>2107200</v>
      </c>
      <c r="AT197" s="230">
        <v>548400</v>
      </c>
      <c r="AU197" s="229">
        <v>0.26029999999999998</v>
      </c>
      <c r="AV197" s="230">
        <v>1285600</v>
      </c>
      <c r="AW197" s="230">
        <v>1109000</v>
      </c>
      <c r="AX197" s="230">
        <v>176600</v>
      </c>
      <c r="AY197" s="229">
        <v>0.15920000000000001</v>
      </c>
      <c r="AZ197" s="230">
        <v>1362200</v>
      </c>
      <c r="BA197" s="230">
        <v>989200</v>
      </c>
      <c r="BB197" s="230">
        <v>373000</v>
      </c>
      <c r="BC197" s="229">
        <v>0.37709999999999999</v>
      </c>
      <c r="BD197" s="230">
        <v>7800</v>
      </c>
      <c r="BE197" s="230">
        <v>9000</v>
      </c>
      <c r="BF197" s="230">
        <v>-1200</v>
      </c>
      <c r="BG197" s="229">
        <v>-0.1333</v>
      </c>
      <c r="BH197" s="230">
        <v>783000</v>
      </c>
      <c r="BI197" s="230">
        <v>1195200</v>
      </c>
      <c r="BJ197" s="230">
        <v>-412200</v>
      </c>
      <c r="BK197" s="229">
        <v>-0.34489999999999998</v>
      </c>
      <c r="BL197" s="230">
        <v>387400</v>
      </c>
      <c r="BM197" s="230">
        <v>788000</v>
      </c>
      <c r="BN197" s="230">
        <v>-400600</v>
      </c>
      <c r="BO197" s="229">
        <v>-0.50839999999999996</v>
      </c>
      <c r="BP197" s="230">
        <v>3826000</v>
      </c>
      <c r="BQ197" s="230">
        <v>4090400</v>
      </c>
      <c r="BR197" s="230">
        <v>-264400</v>
      </c>
      <c r="BS197" s="229">
        <v>-6.4600000000000005E-2</v>
      </c>
      <c r="BT197" s="230">
        <v>295215</v>
      </c>
      <c r="BU197" s="230">
        <v>478908</v>
      </c>
      <c r="BV197" s="230">
        <v>-183693</v>
      </c>
      <c r="BW197" s="229">
        <v>-0.3836</v>
      </c>
      <c r="BX197" s="230">
        <v>3846600</v>
      </c>
      <c r="BY197" s="230">
        <v>3799800</v>
      </c>
      <c r="BZ197" s="230">
        <v>46800</v>
      </c>
      <c r="CA197" s="229">
        <v>1.23E-2</v>
      </c>
      <c r="CB197" s="230">
        <v>1761400</v>
      </c>
      <c r="CC197" s="230">
        <v>2859200</v>
      </c>
      <c r="CD197" s="230">
        <v>-1097800</v>
      </c>
      <c r="CE197" s="229">
        <v>-0.38400000000000001</v>
      </c>
      <c r="CF197" s="230">
        <v>2065200</v>
      </c>
      <c r="CG197" s="230">
        <v>923000</v>
      </c>
      <c r="CH197" s="230">
        <v>1142200</v>
      </c>
      <c r="CI197" s="229">
        <v>1.2375</v>
      </c>
      <c r="CJ197" s="230">
        <v>20000</v>
      </c>
      <c r="CK197" s="230">
        <v>17600</v>
      </c>
      <c r="CL197" s="230">
        <v>2400</v>
      </c>
      <c r="CM197" s="229">
        <v>0.13639999999999999</v>
      </c>
      <c r="CN197" s="230">
        <v>1045200</v>
      </c>
      <c r="CO197" s="230">
        <v>1150200</v>
      </c>
      <c r="CP197" s="230">
        <v>-105000</v>
      </c>
      <c r="CQ197" s="229">
        <v>-9.1300000000000006E-2</v>
      </c>
      <c r="CR197" s="230">
        <v>867200</v>
      </c>
      <c r="CS197" s="230">
        <v>906400</v>
      </c>
      <c r="CT197" s="230">
        <v>-39200</v>
      </c>
      <c r="CU197" s="229">
        <v>-4.3200000000000002E-2</v>
      </c>
      <c r="CV197" s="230">
        <v>5759000</v>
      </c>
      <c r="CW197" s="230">
        <v>5856400</v>
      </c>
      <c r="CX197" s="230">
        <v>-97400</v>
      </c>
      <c r="CY197" s="229">
        <v>-1.66E-2</v>
      </c>
      <c r="CZ197" s="228">
        <v>33.619999999999997</v>
      </c>
      <c r="DA197" s="228">
        <v>33.590000000000003</v>
      </c>
      <c r="DB197" s="228">
        <v>0.03</v>
      </c>
      <c r="DC197" s="228">
        <v>0.03</v>
      </c>
      <c r="DD197" s="228">
        <v>39.5</v>
      </c>
      <c r="DE197" s="228">
        <v>39.57</v>
      </c>
      <c r="DF197" s="228">
        <v>-5.88</v>
      </c>
      <c r="DG197" s="228">
        <v>-7.0000000000000007E-2</v>
      </c>
      <c r="DH197" s="228">
        <v>33</v>
      </c>
      <c r="DI197" s="228">
        <v>35.549999999999997</v>
      </c>
      <c r="DJ197" s="228">
        <v>-2.5499999999999998</v>
      </c>
      <c r="DK197" s="228">
        <v>-2.5499999999999998</v>
      </c>
      <c r="DL197" s="228">
        <v>34.270000000000003</v>
      </c>
      <c r="DM197" s="228">
        <v>30.61</v>
      </c>
      <c r="DN197" s="228">
        <v>3.66</v>
      </c>
      <c r="DO197" s="228">
        <v>3.66</v>
      </c>
      <c r="DP197" s="228">
        <v>0.83</v>
      </c>
      <c r="DQ197" s="228">
        <v>0.79</v>
      </c>
      <c r="DR197" s="228">
        <v>0.04</v>
      </c>
      <c r="DS197" s="229">
        <v>5.0599999999999999E-2</v>
      </c>
      <c r="DT197" s="231">
        <v>2600</v>
      </c>
      <c r="DU197" s="231">
        <v>2400</v>
      </c>
      <c r="DV197" s="228">
        <v>0.49</v>
      </c>
      <c r="DW197" s="228">
        <v>0.66</v>
      </c>
      <c r="DX197" s="228">
        <v>-0.17</v>
      </c>
      <c r="DY197" s="229">
        <v>-0.2576</v>
      </c>
      <c r="DZ197" s="229">
        <v>0.54210000000000003</v>
      </c>
      <c r="EA197" s="230">
        <v>940600</v>
      </c>
      <c r="EB197" s="229">
        <v>5.0000000000000001E-3</v>
      </c>
      <c r="EC197" s="229">
        <v>0.54210000000000003</v>
      </c>
      <c r="ED197" s="228">
        <v>11.15</v>
      </c>
      <c r="EE197" s="229">
        <v>4.8999999999999998E-3</v>
      </c>
      <c r="EF197" s="230">
        <v>155602</v>
      </c>
      <c r="EG197" s="230">
        <v>250358</v>
      </c>
      <c r="EH197" s="229">
        <v>-0.3785</v>
      </c>
      <c r="EI197" s="229">
        <v>0.52710000000000001</v>
      </c>
      <c r="EJ197" s="231">
        <v>19043.689999999999</v>
      </c>
      <c r="EK197" s="231">
        <v>9178.7199999999993</v>
      </c>
      <c r="EL197" s="231">
        <v>60851.12</v>
      </c>
      <c r="EM197" s="231">
        <v>4452</v>
      </c>
      <c r="EN197" s="231">
        <v>89073.53</v>
      </c>
      <c r="EO197" s="231">
        <v>95628.49</v>
      </c>
      <c r="EP197" s="231">
        <v>-6554.96</v>
      </c>
      <c r="EQ197" s="229">
        <v>-6.8500000000000005E-2</v>
      </c>
      <c r="ER197" s="231">
        <v>26744</v>
      </c>
      <c r="ES197" s="231">
        <v>21081</v>
      </c>
      <c r="ET197" s="231">
        <v>88801</v>
      </c>
      <c r="EU197" s="231">
        <v>15879795</v>
      </c>
      <c r="EV197" s="231">
        <v>136627</v>
      </c>
      <c r="EW197" s="231">
        <v>138032</v>
      </c>
      <c r="EX197" s="231">
        <v>-1405</v>
      </c>
      <c r="EY197" s="229">
        <v>-1.0200000000000001E-2</v>
      </c>
      <c r="EZ197" s="229">
        <v>0.36270000000000002</v>
      </c>
      <c r="FA197" s="227" t="s">
        <v>555</v>
      </c>
      <c r="FB197" s="161">
        <f t="shared" si="5"/>
        <v>0</v>
      </c>
    </row>
    <row r="198" spans="1:158" ht="17.25" thickBot="1" x14ac:dyDescent="0.3">
      <c r="A198" s="226">
        <v>46044</v>
      </c>
      <c r="B198" s="227" t="s">
        <v>168</v>
      </c>
      <c r="C198" s="227" t="s">
        <v>297</v>
      </c>
      <c r="D198" s="228">
        <v>175</v>
      </c>
      <c r="E198" s="231">
        <v>4015.9</v>
      </c>
      <c r="F198" s="231">
        <v>4076</v>
      </c>
      <c r="G198" s="228">
        <v>-60.1</v>
      </c>
      <c r="H198" s="229">
        <v>-1.47E-2</v>
      </c>
      <c r="I198" s="231">
        <v>4018.6</v>
      </c>
      <c r="J198" s="231">
        <v>4079.2</v>
      </c>
      <c r="K198" s="228">
        <v>-60.6</v>
      </c>
      <c r="L198" s="229">
        <v>-1.49E-2</v>
      </c>
      <c r="M198" s="231">
        <v>4015.9</v>
      </c>
      <c r="N198" s="231">
        <v>4076</v>
      </c>
      <c r="O198" s="228">
        <v>-60.1</v>
      </c>
      <c r="P198" s="229">
        <v>-1.47E-2</v>
      </c>
      <c r="Q198" s="231">
        <v>4038.4</v>
      </c>
      <c r="R198" s="231">
        <v>4098</v>
      </c>
      <c r="S198" s="228">
        <v>-59.6</v>
      </c>
      <c r="T198" s="229">
        <v>-1.4500000000000001E-2</v>
      </c>
      <c r="U198" s="231">
        <v>4071</v>
      </c>
      <c r="V198" s="231">
        <v>4127.3999999999996</v>
      </c>
      <c r="W198" s="228">
        <v>-56.4</v>
      </c>
      <c r="X198" s="229">
        <v>-1.37E-2</v>
      </c>
      <c r="Y198" s="228">
        <v>-2.7</v>
      </c>
      <c r="Z198" s="228">
        <v>-3.2</v>
      </c>
      <c r="AA198" s="228">
        <v>0.5</v>
      </c>
      <c r="AB198" s="229">
        <v>-6.9999999999999999E-4</v>
      </c>
      <c r="AC198" s="228">
        <v>-2.7</v>
      </c>
      <c r="AD198" s="228">
        <v>-3.2</v>
      </c>
      <c r="AE198" s="228">
        <v>0.5</v>
      </c>
      <c r="AF198" s="229">
        <v>-6.9999999999999999E-4</v>
      </c>
      <c r="AG198" s="228">
        <v>19.8</v>
      </c>
      <c r="AH198" s="228">
        <v>18.8</v>
      </c>
      <c r="AI198" s="228">
        <v>1</v>
      </c>
      <c r="AJ198" s="229">
        <v>4.8999999999999998E-3</v>
      </c>
      <c r="AK198" s="228">
        <v>52.4</v>
      </c>
      <c r="AL198" s="228">
        <v>48.2</v>
      </c>
      <c r="AM198" s="228">
        <v>4.2</v>
      </c>
      <c r="AN198" s="229">
        <v>1.2999999999999999E-2</v>
      </c>
      <c r="AO198" s="231">
        <v>4038.54</v>
      </c>
      <c r="AP198" s="231">
        <v>4061.42</v>
      </c>
      <c r="AQ198" s="228">
        <v>0</v>
      </c>
      <c r="AR198" s="230">
        <v>6704950</v>
      </c>
      <c r="AS198" s="230">
        <v>4863425</v>
      </c>
      <c r="AT198" s="230">
        <v>1841525</v>
      </c>
      <c r="AU198" s="229">
        <v>0.37859999999999999</v>
      </c>
      <c r="AV198" s="230">
        <v>3564400</v>
      </c>
      <c r="AW198" s="230">
        <v>2637950</v>
      </c>
      <c r="AX198" s="230">
        <v>926450</v>
      </c>
      <c r="AY198" s="229">
        <v>0.35120000000000001</v>
      </c>
      <c r="AZ198" s="230">
        <v>3124625</v>
      </c>
      <c r="BA198" s="230">
        <v>2212875</v>
      </c>
      <c r="BB198" s="230">
        <v>911750</v>
      </c>
      <c r="BC198" s="229">
        <v>0.41199999999999998</v>
      </c>
      <c r="BD198" s="230">
        <v>15925</v>
      </c>
      <c r="BE198" s="230">
        <v>12600</v>
      </c>
      <c r="BF198" s="230">
        <v>3325</v>
      </c>
      <c r="BG198" s="229">
        <v>0.26390000000000002</v>
      </c>
      <c r="BH198" s="230">
        <v>11252325</v>
      </c>
      <c r="BI198" s="230">
        <v>5818225</v>
      </c>
      <c r="BJ198" s="230">
        <v>5434100</v>
      </c>
      <c r="BK198" s="229">
        <v>0.93400000000000005</v>
      </c>
      <c r="BL198" s="230">
        <v>8379175</v>
      </c>
      <c r="BM198" s="230">
        <v>4556300</v>
      </c>
      <c r="BN198" s="230">
        <v>3822875</v>
      </c>
      <c r="BO198" s="229">
        <v>0.83899999999999997</v>
      </c>
      <c r="BP198" s="230">
        <v>26336450</v>
      </c>
      <c r="BQ198" s="230">
        <v>15237950</v>
      </c>
      <c r="BR198" s="230">
        <v>11098500</v>
      </c>
      <c r="BS198" s="229">
        <v>0.72829999999999995</v>
      </c>
      <c r="BT198" s="230">
        <v>837055</v>
      </c>
      <c r="BU198" s="230">
        <v>563189</v>
      </c>
      <c r="BV198" s="230">
        <v>273866</v>
      </c>
      <c r="BW198" s="229">
        <v>0.48630000000000001</v>
      </c>
      <c r="BX198" s="230">
        <v>9016000</v>
      </c>
      <c r="BY198" s="230">
        <v>9139375</v>
      </c>
      <c r="BZ198" s="230">
        <v>-123375</v>
      </c>
      <c r="CA198" s="229">
        <v>-1.35E-2</v>
      </c>
      <c r="CB198" s="230">
        <v>3785950</v>
      </c>
      <c r="CC198" s="230">
        <v>6295450</v>
      </c>
      <c r="CD198" s="230">
        <v>-2509500</v>
      </c>
      <c r="CE198" s="229">
        <v>-0.39860000000000001</v>
      </c>
      <c r="CF198" s="230">
        <v>4897200</v>
      </c>
      <c r="CG198" s="230">
        <v>2513350</v>
      </c>
      <c r="CH198" s="230">
        <v>2383850</v>
      </c>
      <c r="CI198" s="229">
        <v>0.94850000000000001</v>
      </c>
      <c r="CJ198" s="230">
        <v>332850</v>
      </c>
      <c r="CK198" s="230">
        <v>330575</v>
      </c>
      <c r="CL198" s="230">
        <v>2275</v>
      </c>
      <c r="CM198" s="229">
        <v>6.8999999999999999E-3</v>
      </c>
      <c r="CN198" s="230">
        <v>5790575</v>
      </c>
      <c r="CO198" s="230">
        <v>5221300</v>
      </c>
      <c r="CP198" s="230">
        <v>569275</v>
      </c>
      <c r="CQ198" s="229">
        <v>0.109</v>
      </c>
      <c r="CR198" s="230">
        <v>3278975</v>
      </c>
      <c r="CS198" s="230">
        <v>3276525</v>
      </c>
      <c r="CT198" s="230">
        <v>2450</v>
      </c>
      <c r="CU198" s="229">
        <v>6.9999999999999999E-4</v>
      </c>
      <c r="CV198" s="230">
        <v>18085550</v>
      </c>
      <c r="CW198" s="230">
        <v>17637200</v>
      </c>
      <c r="CX198" s="230">
        <v>448350</v>
      </c>
      <c r="CY198" s="229">
        <v>2.5399999999999999E-2</v>
      </c>
      <c r="CZ198" s="228">
        <v>26.26</v>
      </c>
      <c r="DA198" s="228">
        <v>17.82</v>
      </c>
      <c r="DB198" s="228">
        <v>8.44</v>
      </c>
      <c r="DC198" s="228">
        <v>8.44</v>
      </c>
      <c r="DD198" s="228">
        <v>24.58</v>
      </c>
      <c r="DE198" s="228">
        <v>24.56</v>
      </c>
      <c r="DF198" s="228">
        <v>1.68</v>
      </c>
      <c r="DG198" s="228">
        <v>0.02</v>
      </c>
      <c r="DH198" s="228">
        <v>25.21</v>
      </c>
      <c r="DI198" s="228">
        <v>18.64</v>
      </c>
      <c r="DJ198" s="228">
        <v>6.57</v>
      </c>
      <c r="DK198" s="228">
        <v>6.57</v>
      </c>
      <c r="DL198" s="228">
        <v>27.72</v>
      </c>
      <c r="DM198" s="228">
        <v>16.78</v>
      </c>
      <c r="DN198" s="228">
        <v>10.94</v>
      </c>
      <c r="DO198" s="228">
        <v>10.94</v>
      </c>
      <c r="DP198" s="228">
        <v>0.56999999999999995</v>
      </c>
      <c r="DQ198" s="228">
        <v>0.63</v>
      </c>
      <c r="DR198" s="228">
        <v>-0.06</v>
      </c>
      <c r="DS198" s="229">
        <v>-9.5200000000000007E-2</v>
      </c>
      <c r="DT198" s="231">
        <v>4200</v>
      </c>
      <c r="DU198" s="231">
        <v>4000</v>
      </c>
      <c r="DV198" s="228">
        <v>0.74</v>
      </c>
      <c r="DW198" s="228">
        <v>0.78</v>
      </c>
      <c r="DX198" s="228">
        <v>-0.04</v>
      </c>
      <c r="DY198" s="229">
        <v>-5.1299999999999998E-2</v>
      </c>
      <c r="DZ198" s="229">
        <v>0.58009999999999995</v>
      </c>
      <c r="EA198" s="230">
        <v>2843925</v>
      </c>
      <c r="EB198" s="229">
        <v>5.5999999999999999E-3</v>
      </c>
      <c r="EC198" s="229">
        <v>0.58009999999999995</v>
      </c>
      <c r="ED198" s="228">
        <v>22.88</v>
      </c>
      <c r="EE198" s="229">
        <v>5.7000000000000002E-3</v>
      </c>
      <c r="EF198" s="230">
        <v>488617</v>
      </c>
      <c r="EG198" s="230">
        <v>306515</v>
      </c>
      <c r="EH198" s="229">
        <v>0.59409999999999996</v>
      </c>
      <c r="EI198" s="229">
        <v>0.5837</v>
      </c>
      <c r="EJ198" s="231">
        <v>468522.09</v>
      </c>
      <c r="EK198" s="231">
        <v>336690.76</v>
      </c>
      <c r="EL198" s="231">
        <v>271503.53999999998</v>
      </c>
      <c r="EM198" s="231">
        <v>11434</v>
      </c>
      <c r="EN198" s="231">
        <v>1076716.3899999999</v>
      </c>
      <c r="EO198" s="231">
        <v>628196.97</v>
      </c>
      <c r="EP198" s="231">
        <v>448519.42</v>
      </c>
      <c r="EQ198" s="229">
        <v>0.71399999999999997</v>
      </c>
      <c r="ER198" s="231">
        <v>245531</v>
      </c>
      <c r="ES198" s="231">
        <v>131588</v>
      </c>
      <c r="ET198" s="231">
        <v>363359</v>
      </c>
      <c r="EU198" s="231">
        <v>45680146</v>
      </c>
      <c r="EV198" s="231">
        <v>740478</v>
      </c>
      <c r="EW198" s="231">
        <v>727282</v>
      </c>
      <c r="EX198" s="231">
        <v>13196</v>
      </c>
      <c r="EY198" s="229">
        <v>1.8100000000000002E-2</v>
      </c>
      <c r="EZ198" s="229">
        <v>0.39589999999999997</v>
      </c>
      <c r="FA198" s="227" t="s">
        <v>568</v>
      </c>
      <c r="FB198" s="161">
        <f t="shared" si="5"/>
        <v>0</v>
      </c>
    </row>
    <row r="199" spans="1:158" ht="17.25" thickBot="1" x14ac:dyDescent="0.3">
      <c r="A199" s="226">
        <v>46044</v>
      </c>
      <c r="B199" s="227" t="s">
        <v>162</v>
      </c>
      <c r="C199" s="227" t="s">
        <v>689</v>
      </c>
      <c r="D199" s="228">
        <v>800</v>
      </c>
      <c r="E199" s="228">
        <v>348.3</v>
      </c>
      <c r="F199" s="228">
        <v>339.1</v>
      </c>
      <c r="G199" s="228">
        <v>9.1999999999999993</v>
      </c>
      <c r="H199" s="229">
        <v>2.7099999999999999E-2</v>
      </c>
      <c r="I199" s="228">
        <v>347.3</v>
      </c>
      <c r="J199" s="228">
        <v>339.25</v>
      </c>
      <c r="K199" s="228">
        <v>8.0500000000000007</v>
      </c>
      <c r="L199" s="229">
        <v>2.3699999999999999E-2</v>
      </c>
      <c r="M199" s="228">
        <v>348.3</v>
      </c>
      <c r="N199" s="228">
        <v>339.1</v>
      </c>
      <c r="O199" s="228">
        <v>9.1999999999999993</v>
      </c>
      <c r="P199" s="229">
        <v>2.7099999999999999E-2</v>
      </c>
      <c r="Q199" s="228">
        <v>349.15</v>
      </c>
      <c r="R199" s="228">
        <v>340.45</v>
      </c>
      <c r="S199" s="228">
        <v>8.6999999999999993</v>
      </c>
      <c r="T199" s="229">
        <v>2.5600000000000001E-2</v>
      </c>
      <c r="U199" s="228">
        <v>351.35</v>
      </c>
      <c r="V199" s="228">
        <v>342.7</v>
      </c>
      <c r="W199" s="228">
        <v>8.65</v>
      </c>
      <c r="X199" s="229">
        <v>2.52E-2</v>
      </c>
      <c r="Y199" s="228">
        <v>1</v>
      </c>
      <c r="Z199" s="228">
        <v>-0.15</v>
      </c>
      <c r="AA199" s="228">
        <v>1.1499999999999999</v>
      </c>
      <c r="AB199" s="229">
        <v>2.8999999999999998E-3</v>
      </c>
      <c r="AC199" s="228">
        <v>1</v>
      </c>
      <c r="AD199" s="228">
        <v>-0.15</v>
      </c>
      <c r="AE199" s="228">
        <v>1.1499999999999999</v>
      </c>
      <c r="AF199" s="229">
        <v>2.8999999999999998E-3</v>
      </c>
      <c r="AG199" s="228">
        <v>1.85</v>
      </c>
      <c r="AH199" s="228">
        <v>1.2</v>
      </c>
      <c r="AI199" s="228">
        <v>0.65</v>
      </c>
      <c r="AJ199" s="229">
        <v>5.3E-3</v>
      </c>
      <c r="AK199" s="228">
        <v>4.05</v>
      </c>
      <c r="AL199" s="228">
        <v>3.45</v>
      </c>
      <c r="AM199" s="228">
        <v>0.6</v>
      </c>
      <c r="AN199" s="229">
        <v>1.17E-2</v>
      </c>
      <c r="AO199" s="228">
        <v>348.32</v>
      </c>
      <c r="AP199" s="228">
        <v>349.47</v>
      </c>
      <c r="AQ199" s="228">
        <v>0</v>
      </c>
      <c r="AR199" s="230">
        <v>74836800</v>
      </c>
      <c r="AS199" s="230">
        <v>60676800</v>
      </c>
      <c r="AT199" s="230">
        <v>14160000</v>
      </c>
      <c r="AU199" s="229">
        <v>0.2334</v>
      </c>
      <c r="AV199" s="230">
        <v>38541600</v>
      </c>
      <c r="AW199" s="230">
        <v>33391200</v>
      </c>
      <c r="AX199" s="230">
        <v>5150400</v>
      </c>
      <c r="AY199" s="229">
        <v>0.1542</v>
      </c>
      <c r="AZ199" s="230">
        <v>35664800</v>
      </c>
      <c r="BA199" s="230">
        <v>26745600</v>
      </c>
      <c r="BB199" s="230">
        <v>8919200</v>
      </c>
      <c r="BC199" s="229">
        <v>0.33350000000000002</v>
      </c>
      <c r="BD199" s="230">
        <v>630400</v>
      </c>
      <c r="BE199" s="230">
        <v>540000</v>
      </c>
      <c r="BF199" s="230">
        <v>90400</v>
      </c>
      <c r="BG199" s="229">
        <v>0.16739999999999999</v>
      </c>
      <c r="BH199" s="230">
        <v>97452800</v>
      </c>
      <c r="BI199" s="230">
        <v>70716000</v>
      </c>
      <c r="BJ199" s="230">
        <v>26736800</v>
      </c>
      <c r="BK199" s="229">
        <v>0.37809999999999999</v>
      </c>
      <c r="BL199" s="230">
        <v>46225600</v>
      </c>
      <c r="BM199" s="230">
        <v>43052800</v>
      </c>
      <c r="BN199" s="230">
        <v>3172800</v>
      </c>
      <c r="BO199" s="229">
        <v>7.3700000000000002E-2</v>
      </c>
      <c r="BP199" s="230">
        <v>218515200</v>
      </c>
      <c r="BQ199" s="230">
        <v>174445600</v>
      </c>
      <c r="BR199" s="230">
        <v>44069600</v>
      </c>
      <c r="BS199" s="229">
        <v>0.25259999999999999</v>
      </c>
      <c r="BT199" s="230">
        <v>10714263</v>
      </c>
      <c r="BU199" s="230">
        <v>9873473</v>
      </c>
      <c r="BV199" s="230">
        <v>840790</v>
      </c>
      <c r="BW199" s="229">
        <v>8.5199999999999998E-2</v>
      </c>
      <c r="BX199" s="230">
        <v>85706400</v>
      </c>
      <c r="BY199" s="230">
        <v>88496000</v>
      </c>
      <c r="BZ199" s="230">
        <v>-2789600</v>
      </c>
      <c r="CA199" s="229">
        <v>-3.15E-2</v>
      </c>
      <c r="CB199" s="230">
        <v>30078400</v>
      </c>
      <c r="CC199" s="230">
        <v>55964800</v>
      </c>
      <c r="CD199" s="230">
        <v>-25886400</v>
      </c>
      <c r="CE199" s="229">
        <v>-0.46250000000000002</v>
      </c>
      <c r="CF199" s="230">
        <v>52928000</v>
      </c>
      <c r="CG199" s="230">
        <v>29912000</v>
      </c>
      <c r="CH199" s="230">
        <v>23016000</v>
      </c>
      <c r="CI199" s="229">
        <v>0.76949999999999996</v>
      </c>
      <c r="CJ199" s="230">
        <v>2700000</v>
      </c>
      <c r="CK199" s="230">
        <v>2619200</v>
      </c>
      <c r="CL199" s="230">
        <v>80800</v>
      </c>
      <c r="CM199" s="229">
        <v>3.0800000000000001E-2</v>
      </c>
      <c r="CN199" s="230">
        <v>53499200</v>
      </c>
      <c r="CO199" s="230">
        <v>56156000</v>
      </c>
      <c r="CP199" s="230">
        <v>-2656800</v>
      </c>
      <c r="CQ199" s="229">
        <v>-4.7300000000000002E-2</v>
      </c>
      <c r="CR199" s="230">
        <v>30056800</v>
      </c>
      <c r="CS199" s="230">
        <v>28896000</v>
      </c>
      <c r="CT199" s="230">
        <v>1160800</v>
      </c>
      <c r="CU199" s="229">
        <v>4.02E-2</v>
      </c>
      <c r="CV199" s="230">
        <v>169262400</v>
      </c>
      <c r="CW199" s="230">
        <v>173548000</v>
      </c>
      <c r="CX199" s="230">
        <v>-4285600</v>
      </c>
      <c r="CY199" s="229">
        <v>-2.47E-2</v>
      </c>
      <c r="CZ199" s="228">
        <v>33.880000000000003</v>
      </c>
      <c r="DA199" s="228">
        <v>28.99</v>
      </c>
      <c r="DB199" s="228">
        <v>4.8899999999999997</v>
      </c>
      <c r="DC199" s="228">
        <v>4.8899999999999997</v>
      </c>
      <c r="DD199" s="228">
        <v>33.28</v>
      </c>
      <c r="DE199" s="228">
        <v>33.17</v>
      </c>
      <c r="DF199" s="228">
        <v>0.6</v>
      </c>
      <c r="DG199" s="228">
        <v>0.11</v>
      </c>
      <c r="DH199" s="228">
        <v>34</v>
      </c>
      <c r="DI199" s="228">
        <v>29.79</v>
      </c>
      <c r="DJ199" s="228">
        <v>4.21</v>
      </c>
      <c r="DK199" s="228">
        <v>4.21</v>
      </c>
      <c r="DL199" s="228">
        <v>33.69</v>
      </c>
      <c r="DM199" s="228">
        <v>27.68</v>
      </c>
      <c r="DN199" s="228">
        <v>6.01</v>
      </c>
      <c r="DO199" s="228">
        <v>6.01</v>
      </c>
      <c r="DP199" s="228">
        <v>0.56000000000000005</v>
      </c>
      <c r="DQ199" s="228">
        <v>0.51</v>
      </c>
      <c r="DR199" s="228">
        <v>0.05</v>
      </c>
      <c r="DS199" s="229">
        <v>9.8000000000000004E-2</v>
      </c>
      <c r="DT199" s="228">
        <v>370</v>
      </c>
      <c r="DU199" s="228">
        <v>340</v>
      </c>
      <c r="DV199" s="228">
        <v>0.47</v>
      </c>
      <c r="DW199" s="228">
        <v>0.61</v>
      </c>
      <c r="DX199" s="228">
        <v>-0.14000000000000001</v>
      </c>
      <c r="DY199" s="229">
        <v>-0.22950000000000001</v>
      </c>
      <c r="DZ199" s="229">
        <v>0.64910000000000001</v>
      </c>
      <c r="EA199" s="230">
        <v>32531200</v>
      </c>
      <c r="EB199" s="229">
        <v>2.3999999999999998E-3</v>
      </c>
      <c r="EC199" s="229">
        <v>0.64910000000000001</v>
      </c>
      <c r="ED199" s="228">
        <v>1.1499999999999999</v>
      </c>
      <c r="EE199" s="229">
        <v>3.3E-3</v>
      </c>
      <c r="EF199" s="230">
        <v>5412045</v>
      </c>
      <c r="EG199" s="230">
        <v>5202593</v>
      </c>
      <c r="EH199" s="229">
        <v>4.0300000000000002E-2</v>
      </c>
      <c r="EI199" s="229">
        <v>0.50509999999999999</v>
      </c>
      <c r="EJ199" s="231">
        <v>355032.04</v>
      </c>
      <c r="EK199" s="231">
        <v>160488.94</v>
      </c>
      <c r="EL199" s="231">
        <v>261102.12</v>
      </c>
      <c r="EM199" s="231">
        <v>40641</v>
      </c>
      <c r="EN199" s="231">
        <v>776623.1</v>
      </c>
      <c r="EO199" s="231">
        <v>605958.64</v>
      </c>
      <c r="EP199" s="231">
        <v>170664.46</v>
      </c>
      <c r="EQ199" s="229">
        <v>0.28160000000000002</v>
      </c>
      <c r="ER199" s="231">
        <v>201397</v>
      </c>
      <c r="ES199" s="231">
        <v>105322</v>
      </c>
      <c r="ET199" s="231">
        <v>299048</v>
      </c>
      <c r="EU199" s="231">
        <v>317235726</v>
      </c>
      <c r="EV199" s="231">
        <v>605766</v>
      </c>
      <c r="EW199" s="231">
        <v>612787</v>
      </c>
      <c r="EX199" s="231">
        <v>-7021</v>
      </c>
      <c r="EY199" s="229">
        <v>-1.15E-2</v>
      </c>
      <c r="EZ199" s="229">
        <v>0.53359999999999996</v>
      </c>
      <c r="FA199" s="227" t="s">
        <v>556</v>
      </c>
      <c r="FB199" s="161">
        <f t="shared" si="5"/>
        <v>0</v>
      </c>
    </row>
    <row r="200" spans="1:158" ht="17.25" thickBot="1" x14ac:dyDescent="0.3">
      <c r="A200" s="226">
        <v>46044</v>
      </c>
      <c r="B200" s="227" t="s">
        <v>170</v>
      </c>
      <c r="C200" s="227" t="s">
        <v>298</v>
      </c>
      <c r="D200" s="228">
        <v>250</v>
      </c>
      <c r="E200" s="231">
        <v>4019.7</v>
      </c>
      <c r="F200" s="231">
        <v>3977.3</v>
      </c>
      <c r="G200" s="228">
        <v>42.4</v>
      </c>
      <c r="H200" s="229">
        <v>1.0699999999999999E-2</v>
      </c>
      <c r="I200" s="231">
        <v>4020.5</v>
      </c>
      <c r="J200" s="231">
        <v>3981.8</v>
      </c>
      <c r="K200" s="228">
        <v>38.700000000000003</v>
      </c>
      <c r="L200" s="229">
        <v>9.7000000000000003E-3</v>
      </c>
      <c r="M200" s="231">
        <v>4019.7</v>
      </c>
      <c r="N200" s="231">
        <v>3977.3</v>
      </c>
      <c r="O200" s="228">
        <v>42.4</v>
      </c>
      <c r="P200" s="229">
        <v>1.0699999999999999E-2</v>
      </c>
      <c r="Q200" s="231">
        <v>4015.8</v>
      </c>
      <c r="R200" s="231">
        <v>3963.6</v>
      </c>
      <c r="S200" s="228">
        <v>52.2</v>
      </c>
      <c r="T200" s="229">
        <v>1.32E-2</v>
      </c>
      <c r="U200" s="231">
        <v>4027.2</v>
      </c>
      <c r="V200" s="231">
        <v>3958.4</v>
      </c>
      <c r="W200" s="228">
        <v>68.8</v>
      </c>
      <c r="X200" s="229">
        <v>1.7399999999999999E-2</v>
      </c>
      <c r="Y200" s="228">
        <v>-0.8</v>
      </c>
      <c r="Z200" s="228">
        <v>-4.5</v>
      </c>
      <c r="AA200" s="228">
        <v>3.7</v>
      </c>
      <c r="AB200" s="229">
        <v>-2.0000000000000001E-4</v>
      </c>
      <c r="AC200" s="228">
        <v>-0.8</v>
      </c>
      <c r="AD200" s="228">
        <v>-4.5</v>
      </c>
      <c r="AE200" s="228">
        <v>3.7</v>
      </c>
      <c r="AF200" s="229">
        <v>-2.0000000000000001E-4</v>
      </c>
      <c r="AG200" s="228">
        <v>-4.7</v>
      </c>
      <c r="AH200" s="228">
        <v>-18.2</v>
      </c>
      <c r="AI200" s="228">
        <v>13.5</v>
      </c>
      <c r="AJ200" s="229">
        <v>-1.1999999999999999E-3</v>
      </c>
      <c r="AK200" s="228">
        <v>6.7</v>
      </c>
      <c r="AL200" s="228">
        <v>-23.4</v>
      </c>
      <c r="AM200" s="228">
        <v>30.1</v>
      </c>
      <c r="AN200" s="229">
        <v>1.6999999999999999E-3</v>
      </c>
      <c r="AO200" s="231">
        <v>4008.47</v>
      </c>
      <c r="AP200" s="231">
        <v>4002.67</v>
      </c>
      <c r="AQ200" s="228">
        <v>0</v>
      </c>
      <c r="AR200" s="230">
        <v>1827500</v>
      </c>
      <c r="AS200" s="230">
        <v>1915000</v>
      </c>
      <c r="AT200" s="230">
        <v>-87500</v>
      </c>
      <c r="AU200" s="229">
        <v>-4.5699999999999998E-2</v>
      </c>
      <c r="AV200" s="230">
        <v>940750</v>
      </c>
      <c r="AW200" s="230">
        <v>1017750</v>
      </c>
      <c r="AX200" s="230">
        <v>-77000</v>
      </c>
      <c r="AY200" s="229">
        <v>-7.5700000000000003E-2</v>
      </c>
      <c r="AZ200" s="230">
        <v>884000</v>
      </c>
      <c r="BA200" s="230">
        <v>894000</v>
      </c>
      <c r="BB200" s="230">
        <v>-10000</v>
      </c>
      <c r="BC200" s="229">
        <v>-1.12E-2</v>
      </c>
      <c r="BD200" s="230">
        <v>2750</v>
      </c>
      <c r="BE200" s="230">
        <v>3250</v>
      </c>
      <c r="BF200" s="228">
        <v>-500</v>
      </c>
      <c r="BG200" s="229">
        <v>-0.15379999999999999</v>
      </c>
      <c r="BH200" s="230">
        <v>572500</v>
      </c>
      <c r="BI200" s="230">
        <v>804250</v>
      </c>
      <c r="BJ200" s="230">
        <v>-231750</v>
      </c>
      <c r="BK200" s="229">
        <v>-0.28820000000000001</v>
      </c>
      <c r="BL200" s="230">
        <v>440750</v>
      </c>
      <c r="BM200" s="230">
        <v>450000</v>
      </c>
      <c r="BN200" s="230">
        <v>-9250</v>
      </c>
      <c r="BO200" s="229">
        <v>-2.06E-2</v>
      </c>
      <c r="BP200" s="230">
        <v>2840750</v>
      </c>
      <c r="BQ200" s="230">
        <v>3169250</v>
      </c>
      <c r="BR200" s="230">
        <v>-328500</v>
      </c>
      <c r="BS200" s="229">
        <v>-0.1037</v>
      </c>
      <c r="BT200" s="230">
        <v>169107</v>
      </c>
      <c r="BU200" s="230">
        <v>369460</v>
      </c>
      <c r="BV200" s="230">
        <v>-200353</v>
      </c>
      <c r="BW200" s="229">
        <v>-0.5423</v>
      </c>
      <c r="BX200" s="230">
        <v>2553250</v>
      </c>
      <c r="BY200" s="230">
        <v>2434750</v>
      </c>
      <c r="BZ200" s="230">
        <v>118500</v>
      </c>
      <c r="CA200" s="229">
        <v>4.87E-2</v>
      </c>
      <c r="CB200" s="230">
        <v>1107000</v>
      </c>
      <c r="CC200" s="230">
        <v>1605250</v>
      </c>
      <c r="CD200" s="230">
        <v>-498250</v>
      </c>
      <c r="CE200" s="229">
        <v>-0.31040000000000001</v>
      </c>
      <c r="CF200" s="230">
        <v>1440750</v>
      </c>
      <c r="CG200" s="230">
        <v>825750</v>
      </c>
      <c r="CH200" s="230">
        <v>615000</v>
      </c>
      <c r="CI200" s="229">
        <v>0.74480000000000002</v>
      </c>
      <c r="CJ200" s="230">
        <v>5500</v>
      </c>
      <c r="CK200" s="230">
        <v>3750</v>
      </c>
      <c r="CL200" s="230">
        <v>1750</v>
      </c>
      <c r="CM200" s="229">
        <v>0.4667</v>
      </c>
      <c r="CN200" s="230">
        <v>536750</v>
      </c>
      <c r="CO200" s="230">
        <v>590750</v>
      </c>
      <c r="CP200" s="230">
        <v>-54000</v>
      </c>
      <c r="CQ200" s="229">
        <v>-9.1399999999999995E-2</v>
      </c>
      <c r="CR200" s="230">
        <v>450750</v>
      </c>
      <c r="CS200" s="230">
        <v>447750</v>
      </c>
      <c r="CT200" s="230">
        <v>3000</v>
      </c>
      <c r="CU200" s="229">
        <v>6.7000000000000002E-3</v>
      </c>
      <c r="CV200" s="230">
        <v>3540750</v>
      </c>
      <c r="CW200" s="230">
        <v>3473250</v>
      </c>
      <c r="CX200" s="230">
        <v>67500</v>
      </c>
      <c r="CY200" s="229">
        <v>1.9400000000000001E-2</v>
      </c>
      <c r="CZ200" s="228">
        <v>25.48</v>
      </c>
      <c r="DA200" s="228">
        <v>23.29</v>
      </c>
      <c r="DB200" s="228">
        <v>2.19</v>
      </c>
      <c r="DC200" s="228">
        <v>2.19</v>
      </c>
      <c r="DD200" s="228">
        <v>25.34</v>
      </c>
      <c r="DE200" s="228">
        <v>25.37</v>
      </c>
      <c r="DF200" s="228">
        <v>0.14000000000000001</v>
      </c>
      <c r="DG200" s="228">
        <v>-0.03</v>
      </c>
      <c r="DH200" s="228">
        <v>22.77</v>
      </c>
      <c r="DI200" s="228">
        <v>22.33</v>
      </c>
      <c r="DJ200" s="228">
        <v>0.44</v>
      </c>
      <c r="DK200" s="228">
        <v>0.44</v>
      </c>
      <c r="DL200" s="228">
        <v>29.1</v>
      </c>
      <c r="DM200" s="228">
        <v>25.01</v>
      </c>
      <c r="DN200" s="228">
        <v>4.09</v>
      </c>
      <c r="DO200" s="228">
        <v>4.09</v>
      </c>
      <c r="DP200" s="228">
        <v>0.84</v>
      </c>
      <c r="DQ200" s="228">
        <v>0.76</v>
      </c>
      <c r="DR200" s="228">
        <v>0.08</v>
      </c>
      <c r="DS200" s="229">
        <v>0.1053</v>
      </c>
      <c r="DT200" s="231">
        <v>4200</v>
      </c>
      <c r="DU200" s="231">
        <v>3800</v>
      </c>
      <c r="DV200" s="228">
        <v>0.77</v>
      </c>
      <c r="DW200" s="228">
        <v>0.56000000000000005</v>
      </c>
      <c r="DX200" s="228">
        <v>0.21</v>
      </c>
      <c r="DY200" s="229">
        <v>0.375</v>
      </c>
      <c r="DZ200" s="229">
        <v>0.56640000000000001</v>
      </c>
      <c r="EA200" s="230">
        <v>829500</v>
      </c>
      <c r="EB200" s="229">
        <v>-1E-3</v>
      </c>
      <c r="EC200" s="229">
        <v>0.56640000000000001</v>
      </c>
      <c r="ED200" s="228">
        <v>-5.8</v>
      </c>
      <c r="EE200" s="229">
        <v>-1.4E-3</v>
      </c>
      <c r="EF200" s="230">
        <v>88786</v>
      </c>
      <c r="EG200" s="230">
        <v>218927</v>
      </c>
      <c r="EH200" s="229">
        <v>-0.59440000000000004</v>
      </c>
      <c r="EI200" s="229">
        <v>0.52500000000000002</v>
      </c>
      <c r="EJ200" s="231">
        <v>23467.18</v>
      </c>
      <c r="EK200" s="231">
        <v>16987.189999999999</v>
      </c>
      <c r="EL200" s="231">
        <v>73203.5</v>
      </c>
      <c r="EM200" s="231">
        <v>3501</v>
      </c>
      <c r="EN200" s="231">
        <v>113657.87</v>
      </c>
      <c r="EO200" s="231">
        <v>126289.62</v>
      </c>
      <c r="EP200" s="231">
        <v>-12631.75</v>
      </c>
      <c r="EQ200" s="229">
        <v>-0.1</v>
      </c>
      <c r="ER200" s="231">
        <v>21929</v>
      </c>
      <c r="ES200" s="231">
        <v>17358</v>
      </c>
      <c r="ET200" s="231">
        <v>102577</v>
      </c>
      <c r="EU200" s="231">
        <v>10726004</v>
      </c>
      <c r="EV200" s="231">
        <v>141865</v>
      </c>
      <c r="EW200" s="231">
        <v>138161</v>
      </c>
      <c r="EX200" s="231">
        <v>3704</v>
      </c>
      <c r="EY200" s="229">
        <v>2.6800000000000001E-2</v>
      </c>
      <c r="EZ200" s="229">
        <v>0.3301</v>
      </c>
      <c r="FA200" s="227" t="s">
        <v>555</v>
      </c>
      <c r="FB200" s="161">
        <f t="shared" si="5"/>
        <v>0</v>
      </c>
    </row>
    <row r="201" spans="1:158" ht="17.25" thickBot="1" x14ac:dyDescent="0.3">
      <c r="A201" s="226">
        <v>46044</v>
      </c>
      <c r="B201" s="227" t="s">
        <v>161</v>
      </c>
      <c r="C201" s="227" t="s">
        <v>299</v>
      </c>
      <c r="D201" s="228">
        <v>425</v>
      </c>
      <c r="E201" s="231">
        <v>1322.1</v>
      </c>
      <c r="F201" s="231">
        <v>1303.3</v>
      </c>
      <c r="G201" s="228">
        <v>18.8</v>
      </c>
      <c r="H201" s="229">
        <v>1.44E-2</v>
      </c>
      <c r="I201" s="231">
        <v>1321.4</v>
      </c>
      <c r="J201" s="231">
        <v>1300.2</v>
      </c>
      <c r="K201" s="228">
        <v>21.2</v>
      </c>
      <c r="L201" s="229">
        <v>1.6299999999999999E-2</v>
      </c>
      <c r="M201" s="231">
        <v>1322.1</v>
      </c>
      <c r="N201" s="231">
        <v>1303.3</v>
      </c>
      <c r="O201" s="228">
        <v>18.8</v>
      </c>
      <c r="P201" s="229">
        <v>1.44E-2</v>
      </c>
      <c r="Q201" s="231">
        <v>1314.7</v>
      </c>
      <c r="R201" s="231">
        <v>1293.5</v>
      </c>
      <c r="S201" s="228">
        <v>21.2</v>
      </c>
      <c r="T201" s="229">
        <v>1.6400000000000001E-2</v>
      </c>
      <c r="U201" s="231">
        <v>1313.9</v>
      </c>
      <c r="V201" s="231">
        <v>1303</v>
      </c>
      <c r="W201" s="228">
        <v>10.9</v>
      </c>
      <c r="X201" s="229">
        <v>8.3999999999999995E-3</v>
      </c>
      <c r="Y201" s="228">
        <v>0.7</v>
      </c>
      <c r="Z201" s="228">
        <v>3.1</v>
      </c>
      <c r="AA201" s="228">
        <v>-2.4</v>
      </c>
      <c r="AB201" s="229">
        <v>5.0000000000000001E-4</v>
      </c>
      <c r="AC201" s="228">
        <v>0.7</v>
      </c>
      <c r="AD201" s="228">
        <v>3.1</v>
      </c>
      <c r="AE201" s="228">
        <v>-2.4</v>
      </c>
      <c r="AF201" s="229">
        <v>5.0000000000000001E-4</v>
      </c>
      <c r="AG201" s="228">
        <v>-6.7</v>
      </c>
      <c r="AH201" s="228">
        <v>-6.7</v>
      </c>
      <c r="AI201" s="228">
        <v>0</v>
      </c>
      <c r="AJ201" s="229">
        <v>-5.1000000000000004E-3</v>
      </c>
      <c r="AK201" s="228">
        <v>-7.5</v>
      </c>
      <c r="AL201" s="228">
        <v>2.8</v>
      </c>
      <c r="AM201" s="228">
        <v>-10.3</v>
      </c>
      <c r="AN201" s="229">
        <v>-5.7000000000000002E-3</v>
      </c>
      <c r="AO201" s="231">
        <v>1312.89</v>
      </c>
      <c r="AP201" s="231">
        <v>1305.94</v>
      </c>
      <c r="AQ201" s="228">
        <v>0</v>
      </c>
      <c r="AR201" s="230">
        <v>2957575</v>
      </c>
      <c r="AS201" s="230">
        <v>3224900</v>
      </c>
      <c r="AT201" s="230">
        <v>-267325</v>
      </c>
      <c r="AU201" s="229">
        <v>-8.2900000000000001E-2</v>
      </c>
      <c r="AV201" s="230">
        <v>1420350</v>
      </c>
      <c r="AW201" s="230">
        <v>1626050</v>
      </c>
      <c r="AX201" s="230">
        <v>-205700</v>
      </c>
      <c r="AY201" s="229">
        <v>-0.1265</v>
      </c>
      <c r="AZ201" s="230">
        <v>1532975</v>
      </c>
      <c r="BA201" s="230">
        <v>1581000</v>
      </c>
      <c r="BB201" s="230">
        <v>-48025</v>
      </c>
      <c r="BC201" s="229">
        <v>-3.04E-2</v>
      </c>
      <c r="BD201" s="230">
        <v>4250</v>
      </c>
      <c r="BE201" s="230">
        <v>17850</v>
      </c>
      <c r="BF201" s="230">
        <v>-13600</v>
      </c>
      <c r="BG201" s="229">
        <v>-0.76190000000000002</v>
      </c>
      <c r="BH201" s="230">
        <v>807500</v>
      </c>
      <c r="BI201" s="230">
        <v>1252050</v>
      </c>
      <c r="BJ201" s="230">
        <v>-444550</v>
      </c>
      <c r="BK201" s="229">
        <v>-0.35510000000000003</v>
      </c>
      <c r="BL201" s="230">
        <v>314500</v>
      </c>
      <c r="BM201" s="230">
        <v>1101175</v>
      </c>
      <c r="BN201" s="230">
        <v>-786675</v>
      </c>
      <c r="BO201" s="229">
        <v>-0.71440000000000003</v>
      </c>
      <c r="BP201" s="230">
        <v>4079575</v>
      </c>
      <c r="BQ201" s="230">
        <v>5578125</v>
      </c>
      <c r="BR201" s="230">
        <v>-1498550</v>
      </c>
      <c r="BS201" s="229">
        <v>-0.26860000000000001</v>
      </c>
      <c r="BT201" s="230">
        <v>164589</v>
      </c>
      <c r="BU201" s="230">
        <v>352827</v>
      </c>
      <c r="BV201" s="230">
        <v>-188238</v>
      </c>
      <c r="BW201" s="229">
        <v>-0.53349999999999997</v>
      </c>
      <c r="BX201" s="230">
        <v>3096125</v>
      </c>
      <c r="BY201" s="230">
        <v>3063825</v>
      </c>
      <c r="BZ201" s="230">
        <v>32300</v>
      </c>
      <c r="CA201" s="229">
        <v>1.0500000000000001E-2</v>
      </c>
      <c r="CB201" s="230">
        <v>1149625</v>
      </c>
      <c r="CC201" s="230">
        <v>2054025</v>
      </c>
      <c r="CD201" s="230">
        <v>-904400</v>
      </c>
      <c r="CE201" s="229">
        <v>-0.44030000000000002</v>
      </c>
      <c r="CF201" s="230">
        <v>1924825</v>
      </c>
      <c r="CG201" s="230">
        <v>988975</v>
      </c>
      <c r="CH201" s="230">
        <v>935850</v>
      </c>
      <c r="CI201" s="229">
        <v>0.94630000000000003</v>
      </c>
      <c r="CJ201" s="230">
        <v>21675</v>
      </c>
      <c r="CK201" s="230">
        <v>20825</v>
      </c>
      <c r="CL201" s="228">
        <v>850</v>
      </c>
      <c r="CM201" s="229">
        <v>4.0800000000000003E-2</v>
      </c>
      <c r="CN201" s="230">
        <v>1475175</v>
      </c>
      <c r="CO201" s="230">
        <v>1633700</v>
      </c>
      <c r="CP201" s="230">
        <v>-158525</v>
      </c>
      <c r="CQ201" s="229">
        <v>-9.7000000000000003E-2</v>
      </c>
      <c r="CR201" s="230">
        <v>1083325</v>
      </c>
      <c r="CS201" s="230">
        <v>1131775</v>
      </c>
      <c r="CT201" s="230">
        <v>-48450</v>
      </c>
      <c r="CU201" s="229">
        <v>-4.2799999999999998E-2</v>
      </c>
      <c r="CV201" s="230">
        <v>5654625</v>
      </c>
      <c r="CW201" s="230">
        <v>5829300</v>
      </c>
      <c r="CX201" s="230">
        <v>-174675</v>
      </c>
      <c r="CY201" s="229">
        <v>-0.03</v>
      </c>
      <c r="CZ201" s="228">
        <v>29.72</v>
      </c>
      <c r="DA201" s="228">
        <v>28.8</v>
      </c>
      <c r="DB201" s="228">
        <v>0.92</v>
      </c>
      <c r="DC201" s="228">
        <v>0.92</v>
      </c>
      <c r="DD201" s="228">
        <v>39.340000000000003</v>
      </c>
      <c r="DE201" s="228">
        <v>39.380000000000003</v>
      </c>
      <c r="DF201" s="228">
        <v>-9.6199999999999992</v>
      </c>
      <c r="DG201" s="228">
        <v>-0.04</v>
      </c>
      <c r="DH201" s="228">
        <v>28.28</v>
      </c>
      <c r="DI201" s="228">
        <v>29.81</v>
      </c>
      <c r="DJ201" s="228">
        <v>-1.53</v>
      </c>
      <c r="DK201" s="228">
        <v>-1.53</v>
      </c>
      <c r="DL201" s="228">
        <v>31.45</v>
      </c>
      <c r="DM201" s="228">
        <v>27.65</v>
      </c>
      <c r="DN201" s="228">
        <v>3.8</v>
      </c>
      <c r="DO201" s="228">
        <v>3.8</v>
      </c>
      <c r="DP201" s="228">
        <v>0.73</v>
      </c>
      <c r="DQ201" s="228">
        <v>0.69</v>
      </c>
      <c r="DR201" s="228">
        <v>0.04</v>
      </c>
      <c r="DS201" s="229">
        <v>5.8000000000000003E-2</v>
      </c>
      <c r="DT201" s="231">
        <v>1400</v>
      </c>
      <c r="DU201" s="231">
        <v>1260</v>
      </c>
      <c r="DV201" s="228">
        <v>0.39</v>
      </c>
      <c r="DW201" s="228">
        <v>0.88</v>
      </c>
      <c r="DX201" s="228">
        <v>-0.49</v>
      </c>
      <c r="DY201" s="229">
        <v>-0.55679999999999996</v>
      </c>
      <c r="DZ201" s="229">
        <v>0.62870000000000004</v>
      </c>
      <c r="EA201" s="230">
        <v>1009800</v>
      </c>
      <c r="EB201" s="229">
        <v>-5.5999999999999999E-3</v>
      </c>
      <c r="EC201" s="229">
        <v>0.62870000000000004</v>
      </c>
      <c r="ED201" s="228">
        <v>-6.95</v>
      </c>
      <c r="EE201" s="229">
        <v>-5.3E-3</v>
      </c>
      <c r="EF201" s="230">
        <v>70424</v>
      </c>
      <c r="EG201" s="230">
        <v>152755</v>
      </c>
      <c r="EH201" s="229">
        <v>-0.53900000000000003</v>
      </c>
      <c r="EI201" s="229">
        <v>0.4279</v>
      </c>
      <c r="EJ201" s="231">
        <v>11182.53</v>
      </c>
      <c r="EK201" s="231">
        <v>4100.84</v>
      </c>
      <c r="EL201" s="231">
        <v>38723.21</v>
      </c>
      <c r="EM201" s="231">
        <v>2921</v>
      </c>
      <c r="EN201" s="231">
        <v>54006.58</v>
      </c>
      <c r="EO201" s="231">
        <v>73519.929999999993</v>
      </c>
      <c r="EP201" s="231">
        <v>-19513.349999999999</v>
      </c>
      <c r="EQ201" s="229">
        <v>-0.26540000000000002</v>
      </c>
      <c r="ER201" s="231">
        <v>20891</v>
      </c>
      <c r="ES201" s="231">
        <v>14098</v>
      </c>
      <c r="ET201" s="231">
        <v>40790</v>
      </c>
      <c r="EU201" s="231">
        <v>24646022</v>
      </c>
      <c r="EV201" s="231">
        <v>75779</v>
      </c>
      <c r="EW201" s="231">
        <v>77698</v>
      </c>
      <c r="EX201" s="231">
        <v>-1919</v>
      </c>
      <c r="EY201" s="229">
        <v>-2.47E-2</v>
      </c>
      <c r="EZ201" s="229">
        <v>0.22939999999999999</v>
      </c>
      <c r="FA201" s="227" t="s">
        <v>555</v>
      </c>
      <c r="FB201" s="161">
        <f t="shared" si="5"/>
        <v>0</v>
      </c>
    </row>
    <row r="202" spans="1:158" ht="17.25" thickBot="1" x14ac:dyDescent="0.3">
      <c r="A202" s="226">
        <v>46044</v>
      </c>
      <c r="B202" s="227" t="s">
        <v>197</v>
      </c>
      <c r="C202" s="227" t="s">
        <v>482</v>
      </c>
      <c r="D202" s="228">
        <v>100</v>
      </c>
      <c r="E202" s="231">
        <v>3810.1</v>
      </c>
      <c r="F202" s="231">
        <v>3768.8</v>
      </c>
      <c r="G202" s="228">
        <v>41.3</v>
      </c>
      <c r="H202" s="229">
        <v>1.0999999999999999E-2</v>
      </c>
      <c r="I202" s="231">
        <v>3803.8</v>
      </c>
      <c r="J202" s="231">
        <v>3764.4</v>
      </c>
      <c r="K202" s="228">
        <v>39.4</v>
      </c>
      <c r="L202" s="229">
        <v>1.0500000000000001E-2</v>
      </c>
      <c r="M202" s="231">
        <v>3810.1</v>
      </c>
      <c r="N202" s="231">
        <v>3768.8</v>
      </c>
      <c r="O202" s="228">
        <v>41.3</v>
      </c>
      <c r="P202" s="229">
        <v>1.0999999999999999E-2</v>
      </c>
      <c r="Q202" s="231">
        <v>3828.6</v>
      </c>
      <c r="R202" s="231">
        <v>3789.4</v>
      </c>
      <c r="S202" s="228">
        <v>39.200000000000003</v>
      </c>
      <c r="T202" s="229">
        <v>1.03E-2</v>
      </c>
      <c r="U202" s="231">
        <v>3856.5</v>
      </c>
      <c r="V202" s="231">
        <v>3812</v>
      </c>
      <c r="W202" s="228">
        <v>44.5</v>
      </c>
      <c r="X202" s="229">
        <v>1.17E-2</v>
      </c>
      <c r="Y202" s="228">
        <v>6.3</v>
      </c>
      <c r="Z202" s="228">
        <v>4.4000000000000004</v>
      </c>
      <c r="AA202" s="228">
        <v>1.9</v>
      </c>
      <c r="AB202" s="229">
        <v>1.6999999999999999E-3</v>
      </c>
      <c r="AC202" s="228">
        <v>6.3</v>
      </c>
      <c r="AD202" s="228">
        <v>4.4000000000000004</v>
      </c>
      <c r="AE202" s="228">
        <v>1.9</v>
      </c>
      <c r="AF202" s="229">
        <v>1.6999999999999999E-3</v>
      </c>
      <c r="AG202" s="228">
        <v>24.8</v>
      </c>
      <c r="AH202" s="228">
        <v>25</v>
      </c>
      <c r="AI202" s="228">
        <v>-0.2</v>
      </c>
      <c r="AJ202" s="229">
        <v>6.4999999999999997E-3</v>
      </c>
      <c r="AK202" s="228">
        <v>52.7</v>
      </c>
      <c r="AL202" s="228">
        <v>47.6</v>
      </c>
      <c r="AM202" s="228">
        <v>5.0999999999999996</v>
      </c>
      <c r="AN202" s="229">
        <v>1.3899999999999999E-2</v>
      </c>
      <c r="AO202" s="231">
        <v>3800.73</v>
      </c>
      <c r="AP202" s="231">
        <v>3819.27</v>
      </c>
      <c r="AQ202" s="228">
        <v>0</v>
      </c>
      <c r="AR202" s="230">
        <v>5751000</v>
      </c>
      <c r="AS202" s="230">
        <v>4552900</v>
      </c>
      <c r="AT202" s="230">
        <v>1198100</v>
      </c>
      <c r="AU202" s="229">
        <v>0.26319999999999999</v>
      </c>
      <c r="AV202" s="230">
        <v>2887200</v>
      </c>
      <c r="AW202" s="230">
        <v>2588900</v>
      </c>
      <c r="AX202" s="230">
        <v>298300</v>
      </c>
      <c r="AY202" s="229">
        <v>0.1152</v>
      </c>
      <c r="AZ202" s="230">
        <v>2822200</v>
      </c>
      <c r="BA202" s="230">
        <v>1901000</v>
      </c>
      <c r="BB202" s="230">
        <v>921200</v>
      </c>
      <c r="BC202" s="229">
        <v>0.48459999999999998</v>
      </c>
      <c r="BD202" s="230">
        <v>41600</v>
      </c>
      <c r="BE202" s="230">
        <v>63000</v>
      </c>
      <c r="BF202" s="230">
        <v>-21400</v>
      </c>
      <c r="BG202" s="229">
        <v>-0.3397</v>
      </c>
      <c r="BH202" s="230">
        <v>9458400</v>
      </c>
      <c r="BI202" s="230">
        <v>11240100</v>
      </c>
      <c r="BJ202" s="230">
        <v>-1781700</v>
      </c>
      <c r="BK202" s="229">
        <v>-0.1585</v>
      </c>
      <c r="BL202" s="230">
        <v>4149000</v>
      </c>
      <c r="BM202" s="230">
        <v>7224500</v>
      </c>
      <c r="BN202" s="230">
        <v>-3075500</v>
      </c>
      <c r="BO202" s="229">
        <v>-0.42570000000000002</v>
      </c>
      <c r="BP202" s="230">
        <v>19358400</v>
      </c>
      <c r="BQ202" s="230">
        <v>23017500</v>
      </c>
      <c r="BR202" s="230">
        <v>-3659100</v>
      </c>
      <c r="BS202" s="229">
        <v>-0.159</v>
      </c>
      <c r="BT202" s="230">
        <v>1196663</v>
      </c>
      <c r="BU202" s="230">
        <v>1471863</v>
      </c>
      <c r="BV202" s="230">
        <v>-275200</v>
      </c>
      <c r="BW202" s="229">
        <v>-0.187</v>
      </c>
      <c r="BX202" s="230">
        <v>8976300</v>
      </c>
      <c r="BY202" s="230">
        <v>8914200</v>
      </c>
      <c r="BZ202" s="230">
        <v>62100</v>
      </c>
      <c r="CA202" s="229">
        <v>7.0000000000000001E-3</v>
      </c>
      <c r="CB202" s="230">
        <v>4223000</v>
      </c>
      <c r="CC202" s="230">
        <v>6282500</v>
      </c>
      <c r="CD202" s="230">
        <v>-2059500</v>
      </c>
      <c r="CE202" s="229">
        <v>-0.32779999999999998</v>
      </c>
      <c r="CF202" s="230">
        <v>4506500</v>
      </c>
      <c r="CG202" s="230">
        <v>2394400</v>
      </c>
      <c r="CH202" s="230">
        <v>2112100</v>
      </c>
      <c r="CI202" s="229">
        <v>0.8821</v>
      </c>
      <c r="CJ202" s="230">
        <v>246800</v>
      </c>
      <c r="CK202" s="230">
        <v>237300</v>
      </c>
      <c r="CL202" s="230">
        <v>9500</v>
      </c>
      <c r="CM202" s="229">
        <v>0.04</v>
      </c>
      <c r="CN202" s="230">
        <v>6771100</v>
      </c>
      <c r="CO202" s="230">
        <v>6914000</v>
      </c>
      <c r="CP202" s="230">
        <v>-142900</v>
      </c>
      <c r="CQ202" s="229">
        <v>-2.07E-2</v>
      </c>
      <c r="CR202" s="230">
        <v>3750100</v>
      </c>
      <c r="CS202" s="230">
        <v>3782100</v>
      </c>
      <c r="CT202" s="230">
        <v>-32000</v>
      </c>
      <c r="CU202" s="229">
        <v>-8.5000000000000006E-3</v>
      </c>
      <c r="CV202" s="230">
        <v>19497500</v>
      </c>
      <c r="CW202" s="230">
        <v>19610300</v>
      </c>
      <c r="CX202" s="230">
        <v>-112800</v>
      </c>
      <c r="CY202" s="229">
        <v>-5.7999999999999996E-3</v>
      </c>
      <c r="CZ202" s="228">
        <v>38.130000000000003</v>
      </c>
      <c r="DA202" s="228">
        <v>33.6</v>
      </c>
      <c r="DB202" s="228">
        <v>4.53</v>
      </c>
      <c r="DC202" s="228">
        <v>4.53</v>
      </c>
      <c r="DD202" s="228">
        <v>42.98</v>
      </c>
      <c r="DE202" s="228">
        <v>43.07</v>
      </c>
      <c r="DF202" s="228">
        <v>-4.8499999999999996</v>
      </c>
      <c r="DG202" s="228">
        <v>-0.09</v>
      </c>
      <c r="DH202" s="228">
        <v>37.97</v>
      </c>
      <c r="DI202" s="228">
        <v>35</v>
      </c>
      <c r="DJ202" s="228">
        <v>2.97</v>
      </c>
      <c r="DK202" s="228">
        <v>2.97</v>
      </c>
      <c r="DL202" s="228">
        <v>38.299999999999997</v>
      </c>
      <c r="DM202" s="228">
        <v>31.42</v>
      </c>
      <c r="DN202" s="228">
        <v>6.88</v>
      </c>
      <c r="DO202" s="228">
        <v>6.88</v>
      </c>
      <c r="DP202" s="228">
        <v>0.55000000000000004</v>
      </c>
      <c r="DQ202" s="228">
        <v>0.55000000000000004</v>
      </c>
      <c r="DR202" s="228">
        <v>0</v>
      </c>
      <c r="DS202" s="229">
        <v>0</v>
      </c>
      <c r="DT202" s="231">
        <v>4200</v>
      </c>
      <c r="DU202" s="231">
        <v>3900</v>
      </c>
      <c r="DV202" s="228">
        <v>0.44</v>
      </c>
      <c r="DW202" s="228">
        <v>0.64</v>
      </c>
      <c r="DX202" s="228">
        <v>-0.2</v>
      </c>
      <c r="DY202" s="229">
        <v>-0.3125</v>
      </c>
      <c r="DZ202" s="229">
        <v>0.52949999999999997</v>
      </c>
      <c r="EA202" s="230">
        <v>2631700</v>
      </c>
      <c r="EB202" s="229">
        <v>4.8999999999999998E-3</v>
      </c>
      <c r="EC202" s="229">
        <v>0.52949999999999997</v>
      </c>
      <c r="ED202" s="228">
        <v>18.54</v>
      </c>
      <c r="EE202" s="229">
        <v>4.8999999999999998E-3</v>
      </c>
      <c r="EF202" s="230">
        <v>647589</v>
      </c>
      <c r="EG202" s="230">
        <v>660640</v>
      </c>
      <c r="EH202" s="229">
        <v>-1.9800000000000002E-2</v>
      </c>
      <c r="EI202" s="229">
        <v>0.54120000000000001</v>
      </c>
      <c r="EJ202" s="231">
        <v>378674.57</v>
      </c>
      <c r="EK202" s="231">
        <v>156758.43</v>
      </c>
      <c r="EL202" s="231">
        <v>219123.18</v>
      </c>
      <c r="EM202" s="231">
        <v>20863</v>
      </c>
      <c r="EN202" s="231">
        <v>754556.18</v>
      </c>
      <c r="EO202" s="231">
        <v>895949.04</v>
      </c>
      <c r="EP202" s="231">
        <v>-141392.85999999999</v>
      </c>
      <c r="EQ202" s="229">
        <v>-0.1578</v>
      </c>
      <c r="ER202" s="231">
        <v>286216</v>
      </c>
      <c r="ES202" s="231">
        <v>149516</v>
      </c>
      <c r="ET202" s="231">
        <v>342954</v>
      </c>
      <c r="EU202" s="231">
        <v>33590487</v>
      </c>
      <c r="EV202" s="231">
        <v>778686</v>
      </c>
      <c r="EW202" s="231">
        <v>780136</v>
      </c>
      <c r="EX202" s="231">
        <v>-1450</v>
      </c>
      <c r="EY202" s="229">
        <v>-1.9E-3</v>
      </c>
      <c r="EZ202" s="229">
        <v>0.58040000000000003</v>
      </c>
      <c r="FA202" s="227" t="s">
        <v>555</v>
      </c>
      <c r="FB202" s="161">
        <f t="shared" si="5"/>
        <v>0</v>
      </c>
    </row>
    <row r="203" spans="1:158" ht="17.25" thickBot="1" x14ac:dyDescent="0.3">
      <c r="A203" s="226">
        <v>46044</v>
      </c>
      <c r="B203" s="227" t="s">
        <v>162</v>
      </c>
      <c r="C203" s="227" t="s">
        <v>300</v>
      </c>
      <c r="D203" s="228">
        <v>175</v>
      </c>
      <c r="E203" s="231">
        <v>3567.8</v>
      </c>
      <c r="F203" s="231">
        <v>3602.4</v>
      </c>
      <c r="G203" s="228">
        <v>-34.6</v>
      </c>
      <c r="H203" s="229">
        <v>-9.5999999999999992E-3</v>
      </c>
      <c r="I203" s="231">
        <v>3570.1</v>
      </c>
      <c r="J203" s="231">
        <v>3602</v>
      </c>
      <c r="K203" s="228">
        <v>-31.9</v>
      </c>
      <c r="L203" s="229">
        <v>-8.8999999999999999E-3</v>
      </c>
      <c r="M203" s="231">
        <v>3567.8</v>
      </c>
      <c r="N203" s="231">
        <v>3602.4</v>
      </c>
      <c r="O203" s="228">
        <v>-34.6</v>
      </c>
      <c r="P203" s="229">
        <v>-9.5999999999999992E-3</v>
      </c>
      <c r="Q203" s="231">
        <v>3589</v>
      </c>
      <c r="R203" s="231">
        <v>3622.7</v>
      </c>
      <c r="S203" s="228">
        <v>-33.700000000000003</v>
      </c>
      <c r="T203" s="229">
        <v>-9.2999999999999992E-3</v>
      </c>
      <c r="U203" s="231">
        <v>3599.7</v>
      </c>
      <c r="V203" s="231">
        <v>3638.1</v>
      </c>
      <c r="W203" s="228">
        <v>-38.4</v>
      </c>
      <c r="X203" s="229">
        <v>-1.06E-2</v>
      </c>
      <c r="Y203" s="228">
        <v>-2.2999999999999998</v>
      </c>
      <c r="Z203" s="228">
        <v>0.4</v>
      </c>
      <c r="AA203" s="228">
        <v>-2.7</v>
      </c>
      <c r="AB203" s="229">
        <v>-5.9999999999999995E-4</v>
      </c>
      <c r="AC203" s="228">
        <v>-2.2999999999999998</v>
      </c>
      <c r="AD203" s="228">
        <v>0.4</v>
      </c>
      <c r="AE203" s="228">
        <v>-2.7</v>
      </c>
      <c r="AF203" s="229">
        <v>-5.9999999999999995E-4</v>
      </c>
      <c r="AG203" s="228">
        <v>18.899999999999999</v>
      </c>
      <c r="AH203" s="228">
        <v>20.7</v>
      </c>
      <c r="AI203" s="228">
        <v>-1.8</v>
      </c>
      <c r="AJ203" s="229">
        <v>5.3E-3</v>
      </c>
      <c r="AK203" s="228">
        <v>29.6</v>
      </c>
      <c r="AL203" s="228">
        <v>36.1</v>
      </c>
      <c r="AM203" s="228">
        <v>-6.5</v>
      </c>
      <c r="AN203" s="229">
        <v>8.3000000000000001E-3</v>
      </c>
      <c r="AO203" s="231">
        <v>3598.69</v>
      </c>
      <c r="AP203" s="231">
        <v>3619.33</v>
      </c>
      <c r="AQ203" s="228">
        <v>0</v>
      </c>
      <c r="AR203" s="230">
        <v>6833400</v>
      </c>
      <c r="AS203" s="230">
        <v>5335750</v>
      </c>
      <c r="AT203" s="230">
        <v>1497650</v>
      </c>
      <c r="AU203" s="229">
        <v>0.28070000000000001</v>
      </c>
      <c r="AV203" s="230">
        <v>3513650</v>
      </c>
      <c r="AW203" s="230">
        <v>2640050</v>
      </c>
      <c r="AX203" s="230">
        <v>873600</v>
      </c>
      <c r="AY203" s="229">
        <v>0.33090000000000003</v>
      </c>
      <c r="AZ203" s="230">
        <v>3310300</v>
      </c>
      <c r="BA203" s="230">
        <v>2677675</v>
      </c>
      <c r="BB203" s="230">
        <v>632625</v>
      </c>
      <c r="BC203" s="229">
        <v>0.23630000000000001</v>
      </c>
      <c r="BD203" s="230">
        <v>9450</v>
      </c>
      <c r="BE203" s="230">
        <v>18025</v>
      </c>
      <c r="BF203" s="230">
        <v>-8575</v>
      </c>
      <c r="BG203" s="229">
        <v>-0.47570000000000001</v>
      </c>
      <c r="BH203" s="230">
        <v>2695000</v>
      </c>
      <c r="BI203" s="230">
        <v>3408650</v>
      </c>
      <c r="BJ203" s="230">
        <v>-713650</v>
      </c>
      <c r="BK203" s="229">
        <v>-0.2094</v>
      </c>
      <c r="BL203" s="230">
        <v>1103200</v>
      </c>
      <c r="BM203" s="230">
        <v>1674225</v>
      </c>
      <c r="BN203" s="230">
        <v>-571025</v>
      </c>
      <c r="BO203" s="229">
        <v>-0.34110000000000001</v>
      </c>
      <c r="BP203" s="230">
        <v>10631600</v>
      </c>
      <c r="BQ203" s="230">
        <v>10418625</v>
      </c>
      <c r="BR203" s="230">
        <v>212975</v>
      </c>
      <c r="BS203" s="229">
        <v>2.0400000000000001E-2</v>
      </c>
      <c r="BT203" s="230">
        <v>446348</v>
      </c>
      <c r="BU203" s="230">
        <v>990898</v>
      </c>
      <c r="BV203" s="230">
        <v>-544550</v>
      </c>
      <c r="BW203" s="229">
        <v>-0.54959999999999998</v>
      </c>
      <c r="BX203" s="230">
        <v>8745975</v>
      </c>
      <c r="BY203" s="230">
        <v>8802500</v>
      </c>
      <c r="BZ203" s="230">
        <v>-56525</v>
      </c>
      <c r="CA203" s="229">
        <v>-6.4000000000000003E-3</v>
      </c>
      <c r="CB203" s="230">
        <v>3504375</v>
      </c>
      <c r="CC203" s="230">
        <v>6264650</v>
      </c>
      <c r="CD203" s="230">
        <v>-2760275</v>
      </c>
      <c r="CE203" s="229">
        <v>-0.44059999999999999</v>
      </c>
      <c r="CF203" s="230">
        <v>5216400</v>
      </c>
      <c r="CG203" s="230">
        <v>2512825</v>
      </c>
      <c r="CH203" s="230">
        <v>2703575</v>
      </c>
      <c r="CI203" s="229">
        <v>1.0759000000000001</v>
      </c>
      <c r="CJ203" s="230">
        <v>25200</v>
      </c>
      <c r="CK203" s="230">
        <v>25025</v>
      </c>
      <c r="CL203" s="228">
        <v>175</v>
      </c>
      <c r="CM203" s="229">
        <v>7.0000000000000001E-3</v>
      </c>
      <c r="CN203" s="230">
        <v>2049250</v>
      </c>
      <c r="CO203" s="230">
        <v>2219525</v>
      </c>
      <c r="CP203" s="230">
        <v>-170275</v>
      </c>
      <c r="CQ203" s="229">
        <v>-7.6700000000000004E-2</v>
      </c>
      <c r="CR203" s="230">
        <v>1346275</v>
      </c>
      <c r="CS203" s="230">
        <v>1346100</v>
      </c>
      <c r="CT203" s="228">
        <v>175</v>
      </c>
      <c r="CU203" s="229">
        <v>1E-4</v>
      </c>
      <c r="CV203" s="230">
        <v>12141500</v>
      </c>
      <c r="CW203" s="230">
        <v>12368125</v>
      </c>
      <c r="CX203" s="230">
        <v>-226625</v>
      </c>
      <c r="CY203" s="229">
        <v>-1.83E-2</v>
      </c>
      <c r="CZ203" s="228">
        <v>28.61</v>
      </c>
      <c r="DA203" s="228">
        <v>25.08</v>
      </c>
      <c r="DB203" s="228">
        <v>3.53</v>
      </c>
      <c r="DC203" s="228">
        <v>3.53</v>
      </c>
      <c r="DD203" s="228">
        <v>29.12</v>
      </c>
      <c r="DE203" s="228">
        <v>29.17</v>
      </c>
      <c r="DF203" s="228">
        <v>-0.51</v>
      </c>
      <c r="DG203" s="228">
        <v>-0.05</v>
      </c>
      <c r="DH203" s="228">
        <v>28.56</v>
      </c>
      <c r="DI203" s="228">
        <v>25.71</v>
      </c>
      <c r="DJ203" s="228">
        <v>2.85</v>
      </c>
      <c r="DK203" s="228">
        <v>2.85</v>
      </c>
      <c r="DL203" s="228">
        <v>28.7</v>
      </c>
      <c r="DM203" s="228">
        <v>23.8</v>
      </c>
      <c r="DN203" s="228">
        <v>4.9000000000000004</v>
      </c>
      <c r="DO203" s="228">
        <v>4.9000000000000004</v>
      </c>
      <c r="DP203" s="228">
        <v>0.66</v>
      </c>
      <c r="DQ203" s="228">
        <v>0.61</v>
      </c>
      <c r="DR203" s="228">
        <v>0.05</v>
      </c>
      <c r="DS203" s="229">
        <v>8.2000000000000003E-2</v>
      </c>
      <c r="DT203" s="231">
        <v>3900</v>
      </c>
      <c r="DU203" s="231">
        <v>3500</v>
      </c>
      <c r="DV203" s="228">
        <v>0.41</v>
      </c>
      <c r="DW203" s="228">
        <v>0.49</v>
      </c>
      <c r="DX203" s="228">
        <v>-0.08</v>
      </c>
      <c r="DY203" s="229">
        <v>-0.1633</v>
      </c>
      <c r="DZ203" s="229">
        <v>0.59930000000000005</v>
      </c>
      <c r="EA203" s="230">
        <v>2537850</v>
      </c>
      <c r="EB203" s="229">
        <v>5.8999999999999999E-3</v>
      </c>
      <c r="EC203" s="229">
        <v>0.59930000000000005</v>
      </c>
      <c r="ED203" s="228">
        <v>20.64</v>
      </c>
      <c r="EE203" s="229">
        <v>5.7000000000000002E-3</v>
      </c>
      <c r="EF203" s="230">
        <v>237283</v>
      </c>
      <c r="EG203" s="230">
        <v>585641</v>
      </c>
      <c r="EH203" s="229">
        <v>-0.5948</v>
      </c>
      <c r="EI203" s="229">
        <v>0.53159999999999996</v>
      </c>
      <c r="EJ203" s="231">
        <v>101477.93</v>
      </c>
      <c r="EK203" s="231">
        <v>39627.5</v>
      </c>
      <c r="EL203" s="231">
        <v>246598.37</v>
      </c>
      <c r="EM203" s="231">
        <v>11447</v>
      </c>
      <c r="EN203" s="231">
        <v>387703.8</v>
      </c>
      <c r="EO203" s="231">
        <v>379589.78</v>
      </c>
      <c r="EP203" s="231">
        <v>8114.02</v>
      </c>
      <c r="EQ203" s="229">
        <v>2.1399999999999999E-2</v>
      </c>
      <c r="ER203" s="231">
        <v>78257</v>
      </c>
      <c r="ES203" s="231">
        <v>48826</v>
      </c>
      <c r="ET203" s="231">
        <v>313153</v>
      </c>
      <c r="EU203" s="231">
        <v>31634588</v>
      </c>
      <c r="EV203" s="231">
        <v>440236</v>
      </c>
      <c r="EW203" s="231">
        <v>451255</v>
      </c>
      <c r="EX203" s="231">
        <v>-11019</v>
      </c>
      <c r="EY203" s="229">
        <v>-2.4400000000000002E-2</v>
      </c>
      <c r="EZ203" s="229">
        <v>0.38379999999999997</v>
      </c>
      <c r="FA203" s="227" t="s">
        <v>568</v>
      </c>
      <c r="FB203" s="161">
        <f t="shared" si="5"/>
        <v>0</v>
      </c>
    </row>
    <row r="204" spans="1:158" ht="17.25" thickBot="1" x14ac:dyDescent="0.3">
      <c r="A204" s="226">
        <v>46044</v>
      </c>
      <c r="B204" s="227" t="s">
        <v>157</v>
      </c>
      <c r="C204" s="227" t="s">
        <v>302</v>
      </c>
      <c r="D204" s="228">
        <v>50</v>
      </c>
      <c r="E204" s="231">
        <v>12379</v>
      </c>
      <c r="F204" s="231">
        <v>12224</v>
      </c>
      <c r="G204" s="228">
        <v>155</v>
      </c>
      <c r="H204" s="229">
        <v>1.2699999999999999E-2</v>
      </c>
      <c r="I204" s="231">
        <v>12364</v>
      </c>
      <c r="J204" s="231">
        <v>12231</v>
      </c>
      <c r="K204" s="228">
        <v>133</v>
      </c>
      <c r="L204" s="229">
        <v>1.09E-2</v>
      </c>
      <c r="M204" s="231">
        <v>12379</v>
      </c>
      <c r="N204" s="231">
        <v>12224</v>
      </c>
      <c r="O204" s="228">
        <v>155</v>
      </c>
      <c r="P204" s="229">
        <v>1.2699999999999999E-2</v>
      </c>
      <c r="Q204" s="231">
        <v>12444</v>
      </c>
      <c r="R204" s="231">
        <v>12290</v>
      </c>
      <c r="S204" s="228">
        <v>154</v>
      </c>
      <c r="T204" s="229">
        <v>1.2500000000000001E-2</v>
      </c>
      <c r="U204" s="231">
        <v>12532</v>
      </c>
      <c r="V204" s="231">
        <v>12376</v>
      </c>
      <c r="W204" s="228">
        <v>156</v>
      </c>
      <c r="X204" s="229">
        <v>1.26E-2</v>
      </c>
      <c r="Y204" s="228">
        <v>15</v>
      </c>
      <c r="Z204" s="228">
        <v>-7</v>
      </c>
      <c r="AA204" s="228">
        <v>22</v>
      </c>
      <c r="AB204" s="229">
        <v>1.1999999999999999E-3</v>
      </c>
      <c r="AC204" s="228">
        <v>15</v>
      </c>
      <c r="AD204" s="228">
        <v>-7</v>
      </c>
      <c r="AE204" s="228">
        <v>22</v>
      </c>
      <c r="AF204" s="229">
        <v>1.1999999999999999E-3</v>
      </c>
      <c r="AG204" s="228">
        <v>80</v>
      </c>
      <c r="AH204" s="228">
        <v>59</v>
      </c>
      <c r="AI204" s="228">
        <v>21</v>
      </c>
      <c r="AJ204" s="229">
        <v>6.4999999999999997E-3</v>
      </c>
      <c r="AK204" s="228">
        <v>168</v>
      </c>
      <c r="AL204" s="228">
        <v>145</v>
      </c>
      <c r="AM204" s="228">
        <v>23</v>
      </c>
      <c r="AN204" s="229">
        <v>1.3599999999999999E-2</v>
      </c>
      <c r="AO204" s="231">
        <v>12347.88</v>
      </c>
      <c r="AP204" s="231">
        <v>12413.88</v>
      </c>
      <c r="AQ204" s="228">
        <v>0</v>
      </c>
      <c r="AR204" s="230">
        <v>2382500</v>
      </c>
      <c r="AS204" s="230">
        <v>1443750</v>
      </c>
      <c r="AT204" s="230">
        <v>938750</v>
      </c>
      <c r="AU204" s="229">
        <v>0.6502</v>
      </c>
      <c r="AV204" s="230">
        <v>1263800</v>
      </c>
      <c r="AW204" s="230">
        <v>793700</v>
      </c>
      <c r="AX204" s="230">
        <v>470100</v>
      </c>
      <c r="AY204" s="229">
        <v>0.59230000000000005</v>
      </c>
      <c r="AZ204" s="230">
        <v>1111500</v>
      </c>
      <c r="BA204" s="230">
        <v>646950</v>
      </c>
      <c r="BB204" s="230">
        <v>464550</v>
      </c>
      <c r="BC204" s="229">
        <v>0.71809999999999996</v>
      </c>
      <c r="BD204" s="230">
        <v>7200</v>
      </c>
      <c r="BE204" s="230">
        <v>3100</v>
      </c>
      <c r="BF204" s="230">
        <v>4100</v>
      </c>
      <c r="BG204" s="229">
        <v>1.3226</v>
      </c>
      <c r="BH204" s="230">
        <v>1611400</v>
      </c>
      <c r="BI204" s="230">
        <v>1581550</v>
      </c>
      <c r="BJ204" s="230">
        <v>29850</v>
      </c>
      <c r="BK204" s="229">
        <v>1.89E-2</v>
      </c>
      <c r="BL204" s="230">
        <v>708000</v>
      </c>
      <c r="BM204" s="230">
        <v>935650</v>
      </c>
      <c r="BN204" s="230">
        <v>-227650</v>
      </c>
      <c r="BO204" s="229">
        <v>-0.24329999999999999</v>
      </c>
      <c r="BP204" s="230">
        <v>4701900</v>
      </c>
      <c r="BQ204" s="230">
        <v>3960950</v>
      </c>
      <c r="BR204" s="230">
        <v>740950</v>
      </c>
      <c r="BS204" s="229">
        <v>0.18709999999999999</v>
      </c>
      <c r="BT204" s="230">
        <v>300618</v>
      </c>
      <c r="BU204" s="230">
        <v>214525</v>
      </c>
      <c r="BV204" s="230">
        <v>86093</v>
      </c>
      <c r="BW204" s="229">
        <v>0.40129999999999999</v>
      </c>
      <c r="BX204" s="230">
        <v>2909900</v>
      </c>
      <c r="BY204" s="230">
        <v>2824450</v>
      </c>
      <c r="BZ204" s="230">
        <v>85450</v>
      </c>
      <c r="CA204" s="229">
        <v>3.0300000000000001E-2</v>
      </c>
      <c r="CB204" s="230">
        <v>1038850</v>
      </c>
      <c r="CC204" s="230">
        <v>1913700</v>
      </c>
      <c r="CD204" s="230">
        <v>-874850</v>
      </c>
      <c r="CE204" s="229">
        <v>-0.4572</v>
      </c>
      <c r="CF204" s="230">
        <v>1721550</v>
      </c>
      <c r="CG204" s="230">
        <v>766550</v>
      </c>
      <c r="CH204" s="230">
        <v>955000</v>
      </c>
      <c r="CI204" s="229">
        <v>1.2458</v>
      </c>
      <c r="CJ204" s="230">
        <v>149500</v>
      </c>
      <c r="CK204" s="230">
        <v>144200</v>
      </c>
      <c r="CL204" s="230">
        <v>5300</v>
      </c>
      <c r="CM204" s="229">
        <v>3.6799999999999999E-2</v>
      </c>
      <c r="CN204" s="230">
        <v>588900</v>
      </c>
      <c r="CO204" s="230">
        <v>632550</v>
      </c>
      <c r="CP204" s="230">
        <v>-43650</v>
      </c>
      <c r="CQ204" s="229">
        <v>-6.9000000000000006E-2</v>
      </c>
      <c r="CR204" s="230">
        <v>486850</v>
      </c>
      <c r="CS204" s="230">
        <v>463650</v>
      </c>
      <c r="CT204" s="230">
        <v>23200</v>
      </c>
      <c r="CU204" s="229">
        <v>0.05</v>
      </c>
      <c r="CV204" s="230">
        <v>3985650</v>
      </c>
      <c r="CW204" s="230">
        <v>3920650</v>
      </c>
      <c r="CX204" s="230">
        <v>65000</v>
      </c>
      <c r="CY204" s="229">
        <v>1.66E-2</v>
      </c>
      <c r="CZ204" s="228">
        <v>22.91</v>
      </c>
      <c r="DA204" s="228">
        <v>26.83</v>
      </c>
      <c r="DB204" s="228">
        <v>-3.92</v>
      </c>
      <c r="DC204" s="228">
        <v>-3.92</v>
      </c>
      <c r="DD204" s="228">
        <v>23.56</v>
      </c>
      <c r="DE204" s="228">
        <v>23.57</v>
      </c>
      <c r="DF204" s="228">
        <v>-0.65</v>
      </c>
      <c r="DG204" s="228">
        <v>-0.01</v>
      </c>
      <c r="DH204" s="228">
        <v>22.89</v>
      </c>
      <c r="DI204" s="228">
        <v>26.92</v>
      </c>
      <c r="DJ204" s="228">
        <v>-4.03</v>
      </c>
      <c r="DK204" s="228">
        <v>-4.03</v>
      </c>
      <c r="DL204" s="228">
        <v>22.96</v>
      </c>
      <c r="DM204" s="228">
        <v>26.68</v>
      </c>
      <c r="DN204" s="228">
        <v>-3.72</v>
      </c>
      <c r="DO204" s="228">
        <v>-3.72</v>
      </c>
      <c r="DP204" s="228">
        <v>0.83</v>
      </c>
      <c r="DQ204" s="228">
        <v>0.73</v>
      </c>
      <c r="DR204" s="228">
        <v>0.1</v>
      </c>
      <c r="DS204" s="229">
        <v>0.13700000000000001</v>
      </c>
      <c r="DT204" s="231">
        <v>12200</v>
      </c>
      <c r="DU204" s="231">
        <v>11500</v>
      </c>
      <c r="DV204" s="228">
        <v>0.44</v>
      </c>
      <c r="DW204" s="228">
        <v>0.59</v>
      </c>
      <c r="DX204" s="228">
        <v>-0.15</v>
      </c>
      <c r="DY204" s="229">
        <v>-0.25419999999999998</v>
      </c>
      <c r="DZ204" s="229">
        <v>0.64300000000000002</v>
      </c>
      <c r="EA204" s="230">
        <v>910750</v>
      </c>
      <c r="EB204" s="229">
        <v>5.3E-3</v>
      </c>
      <c r="EC204" s="229">
        <v>0.64300000000000002</v>
      </c>
      <c r="ED204" s="228">
        <v>66</v>
      </c>
      <c r="EE204" s="229">
        <v>5.3E-3</v>
      </c>
      <c r="EF204" s="230">
        <v>188437</v>
      </c>
      <c r="EG204" s="230">
        <v>114698</v>
      </c>
      <c r="EH204" s="229">
        <v>0.64290000000000003</v>
      </c>
      <c r="EI204" s="229">
        <v>0.62680000000000002</v>
      </c>
      <c r="EJ204" s="231">
        <v>204861.5</v>
      </c>
      <c r="EK204" s="231">
        <v>86044.02</v>
      </c>
      <c r="EL204" s="231">
        <v>294933.67</v>
      </c>
      <c r="EM204" s="231">
        <v>14781</v>
      </c>
      <c r="EN204" s="231">
        <v>585839.18999999994</v>
      </c>
      <c r="EO204" s="231">
        <v>487054.28</v>
      </c>
      <c r="EP204" s="231">
        <v>98784.91</v>
      </c>
      <c r="EQ204" s="229">
        <v>0.20280000000000001</v>
      </c>
      <c r="ER204" s="231">
        <v>74019</v>
      </c>
      <c r="ES204" s="231">
        <v>57205</v>
      </c>
      <c r="ET204" s="231">
        <v>361564</v>
      </c>
      <c r="EU204" s="231">
        <v>11955674</v>
      </c>
      <c r="EV204" s="231">
        <v>492788</v>
      </c>
      <c r="EW204" s="231">
        <v>479545</v>
      </c>
      <c r="EX204" s="231">
        <v>13243</v>
      </c>
      <c r="EY204" s="229">
        <v>2.76E-2</v>
      </c>
      <c r="EZ204" s="229">
        <v>0.33339999999999997</v>
      </c>
      <c r="FA204" s="227" t="s">
        <v>555</v>
      </c>
      <c r="FB204" s="161">
        <f t="shared" si="5"/>
        <v>0</v>
      </c>
    </row>
    <row r="205" spans="1:158" ht="17.25" thickBot="1" x14ac:dyDescent="0.3">
      <c r="A205" s="226">
        <v>46044</v>
      </c>
      <c r="B205" s="227" t="s">
        <v>172</v>
      </c>
      <c r="C205" s="227" t="s">
        <v>593</v>
      </c>
      <c r="D205" s="228">
        <v>4425</v>
      </c>
      <c r="E205" s="228">
        <v>175.06</v>
      </c>
      <c r="F205" s="228">
        <v>172.41</v>
      </c>
      <c r="G205" s="228">
        <v>2.65</v>
      </c>
      <c r="H205" s="229">
        <v>1.54E-2</v>
      </c>
      <c r="I205" s="228">
        <v>174.78</v>
      </c>
      <c r="J205" s="228">
        <v>172.47</v>
      </c>
      <c r="K205" s="228">
        <v>2.31</v>
      </c>
      <c r="L205" s="229">
        <v>1.34E-2</v>
      </c>
      <c r="M205" s="228">
        <v>175.06</v>
      </c>
      <c r="N205" s="228">
        <v>172.41</v>
      </c>
      <c r="O205" s="228">
        <v>2.65</v>
      </c>
      <c r="P205" s="229">
        <v>1.54E-2</v>
      </c>
      <c r="Q205" s="228">
        <v>176</v>
      </c>
      <c r="R205" s="228">
        <v>173.35</v>
      </c>
      <c r="S205" s="228">
        <v>2.65</v>
      </c>
      <c r="T205" s="229">
        <v>1.5299999999999999E-2</v>
      </c>
      <c r="U205" s="228">
        <v>177.16</v>
      </c>
      <c r="V205" s="228">
        <v>174.27</v>
      </c>
      <c r="W205" s="228">
        <v>2.89</v>
      </c>
      <c r="X205" s="229">
        <v>1.66E-2</v>
      </c>
      <c r="Y205" s="228">
        <v>0.28000000000000003</v>
      </c>
      <c r="Z205" s="228">
        <v>-0.06</v>
      </c>
      <c r="AA205" s="228">
        <v>0.34</v>
      </c>
      <c r="AB205" s="229">
        <v>1.6000000000000001E-3</v>
      </c>
      <c r="AC205" s="228">
        <v>0.28000000000000003</v>
      </c>
      <c r="AD205" s="228">
        <v>-0.06</v>
      </c>
      <c r="AE205" s="228">
        <v>0.34</v>
      </c>
      <c r="AF205" s="229">
        <v>1.6000000000000001E-3</v>
      </c>
      <c r="AG205" s="228">
        <v>1.22</v>
      </c>
      <c r="AH205" s="228">
        <v>0.88</v>
      </c>
      <c r="AI205" s="228">
        <v>0.34</v>
      </c>
      <c r="AJ205" s="229">
        <v>7.0000000000000001E-3</v>
      </c>
      <c r="AK205" s="228">
        <v>2.38</v>
      </c>
      <c r="AL205" s="228">
        <v>1.8</v>
      </c>
      <c r="AM205" s="228">
        <v>0.57999999999999996</v>
      </c>
      <c r="AN205" s="229">
        <v>1.3599999999999999E-2</v>
      </c>
      <c r="AO205" s="228">
        <v>175.41</v>
      </c>
      <c r="AP205" s="228">
        <v>176.33</v>
      </c>
      <c r="AQ205" s="228">
        <v>0</v>
      </c>
      <c r="AR205" s="230">
        <v>68645025</v>
      </c>
      <c r="AS205" s="230">
        <v>57224100</v>
      </c>
      <c r="AT205" s="230">
        <v>11420925</v>
      </c>
      <c r="AU205" s="229">
        <v>0.1996</v>
      </c>
      <c r="AV205" s="230">
        <v>35661075</v>
      </c>
      <c r="AW205" s="230">
        <v>33391050</v>
      </c>
      <c r="AX205" s="230">
        <v>2270025</v>
      </c>
      <c r="AY205" s="229">
        <v>6.8000000000000005E-2</v>
      </c>
      <c r="AZ205" s="230">
        <v>32616675</v>
      </c>
      <c r="BA205" s="230">
        <v>23425950</v>
      </c>
      <c r="BB205" s="230">
        <v>9190725</v>
      </c>
      <c r="BC205" s="229">
        <v>0.39229999999999998</v>
      </c>
      <c r="BD205" s="230">
        <v>367275</v>
      </c>
      <c r="BE205" s="230">
        <v>407100</v>
      </c>
      <c r="BF205" s="230">
        <v>-39825</v>
      </c>
      <c r="BG205" s="229">
        <v>-9.7799999999999998E-2</v>
      </c>
      <c r="BH205" s="230">
        <v>96040200</v>
      </c>
      <c r="BI205" s="230">
        <v>114319875</v>
      </c>
      <c r="BJ205" s="230">
        <v>-18279675</v>
      </c>
      <c r="BK205" s="229">
        <v>-0.15989999999999999</v>
      </c>
      <c r="BL205" s="230">
        <v>53586750</v>
      </c>
      <c r="BM205" s="230">
        <v>71366400</v>
      </c>
      <c r="BN205" s="230">
        <v>-17779650</v>
      </c>
      <c r="BO205" s="229">
        <v>-0.24909999999999999</v>
      </c>
      <c r="BP205" s="230">
        <v>218271975</v>
      </c>
      <c r="BQ205" s="230">
        <v>242910375</v>
      </c>
      <c r="BR205" s="230">
        <v>-24638400</v>
      </c>
      <c r="BS205" s="229">
        <v>-0.1014</v>
      </c>
      <c r="BT205" s="230">
        <v>18811848</v>
      </c>
      <c r="BU205" s="230">
        <v>16291984</v>
      </c>
      <c r="BV205" s="230">
        <v>2519864</v>
      </c>
      <c r="BW205" s="229">
        <v>0.1547</v>
      </c>
      <c r="BX205" s="230">
        <v>83433375</v>
      </c>
      <c r="BY205" s="230">
        <v>84035175</v>
      </c>
      <c r="BZ205" s="230">
        <v>-601800</v>
      </c>
      <c r="CA205" s="229">
        <v>-7.1999999999999998E-3</v>
      </c>
      <c r="CB205" s="230">
        <v>36196500</v>
      </c>
      <c r="CC205" s="230">
        <v>57471900</v>
      </c>
      <c r="CD205" s="230">
        <v>-21275400</v>
      </c>
      <c r="CE205" s="229">
        <v>-0.37019999999999997</v>
      </c>
      <c r="CF205" s="230">
        <v>46227975</v>
      </c>
      <c r="CG205" s="230">
        <v>25660575</v>
      </c>
      <c r="CH205" s="230">
        <v>20567400</v>
      </c>
      <c r="CI205" s="229">
        <v>0.80149999999999999</v>
      </c>
      <c r="CJ205" s="230">
        <v>1008900</v>
      </c>
      <c r="CK205" s="230">
        <v>902700</v>
      </c>
      <c r="CL205" s="230">
        <v>106200</v>
      </c>
      <c r="CM205" s="229">
        <v>0.1176</v>
      </c>
      <c r="CN205" s="230">
        <v>50493675</v>
      </c>
      <c r="CO205" s="230">
        <v>51281325</v>
      </c>
      <c r="CP205" s="230">
        <v>-787650</v>
      </c>
      <c r="CQ205" s="229">
        <v>-1.54E-2</v>
      </c>
      <c r="CR205" s="230">
        <v>40333875</v>
      </c>
      <c r="CS205" s="230">
        <v>40692300</v>
      </c>
      <c r="CT205" s="230">
        <v>-358425</v>
      </c>
      <c r="CU205" s="229">
        <v>-8.8000000000000005E-3</v>
      </c>
      <c r="CV205" s="230">
        <v>174260925</v>
      </c>
      <c r="CW205" s="230">
        <v>176008800</v>
      </c>
      <c r="CX205" s="230">
        <v>-1747875</v>
      </c>
      <c r="CY205" s="229">
        <v>-9.9000000000000008E-3</v>
      </c>
      <c r="CZ205" s="228">
        <v>34.090000000000003</v>
      </c>
      <c r="DA205" s="228">
        <v>32.39</v>
      </c>
      <c r="DB205" s="228">
        <v>1.7</v>
      </c>
      <c r="DC205" s="228">
        <v>1.7</v>
      </c>
      <c r="DD205" s="228">
        <v>40.78</v>
      </c>
      <c r="DE205" s="228">
        <v>40.83</v>
      </c>
      <c r="DF205" s="228">
        <v>-6.69</v>
      </c>
      <c r="DG205" s="228">
        <v>-0.05</v>
      </c>
      <c r="DH205" s="228">
        <v>34.340000000000003</v>
      </c>
      <c r="DI205" s="228">
        <v>32.97</v>
      </c>
      <c r="DJ205" s="228">
        <v>1.37</v>
      </c>
      <c r="DK205" s="228">
        <v>1.37</v>
      </c>
      <c r="DL205" s="228">
        <v>33.53</v>
      </c>
      <c r="DM205" s="228">
        <v>31.44</v>
      </c>
      <c r="DN205" s="228">
        <v>2.09</v>
      </c>
      <c r="DO205" s="228">
        <v>2.09</v>
      </c>
      <c r="DP205" s="228">
        <v>0.8</v>
      </c>
      <c r="DQ205" s="228">
        <v>0.79</v>
      </c>
      <c r="DR205" s="228">
        <v>0.01</v>
      </c>
      <c r="DS205" s="229">
        <v>1.2699999999999999E-2</v>
      </c>
      <c r="DT205" s="228">
        <v>180</v>
      </c>
      <c r="DU205" s="228">
        <v>160</v>
      </c>
      <c r="DV205" s="228">
        <v>0.56000000000000005</v>
      </c>
      <c r="DW205" s="228">
        <v>0.62</v>
      </c>
      <c r="DX205" s="228">
        <v>-0.06</v>
      </c>
      <c r="DY205" s="229">
        <v>-9.6799999999999997E-2</v>
      </c>
      <c r="DZ205" s="229">
        <v>0.56620000000000004</v>
      </c>
      <c r="EA205" s="230">
        <v>26563275</v>
      </c>
      <c r="EB205" s="229">
        <v>5.4000000000000003E-3</v>
      </c>
      <c r="EC205" s="229">
        <v>0.56620000000000004</v>
      </c>
      <c r="ED205" s="228">
        <v>0.92</v>
      </c>
      <c r="EE205" s="229">
        <v>5.1999999999999998E-3</v>
      </c>
      <c r="EF205" s="230">
        <v>9681810</v>
      </c>
      <c r="EG205" s="230">
        <v>5834239</v>
      </c>
      <c r="EH205" s="229">
        <v>0.65949999999999998</v>
      </c>
      <c r="EI205" s="229">
        <v>0.51470000000000005</v>
      </c>
      <c r="EJ205" s="231">
        <v>175237.74</v>
      </c>
      <c r="EK205" s="231">
        <v>92024.24</v>
      </c>
      <c r="EL205" s="231">
        <v>120720.78</v>
      </c>
      <c r="EM205" s="231">
        <v>10112</v>
      </c>
      <c r="EN205" s="231">
        <v>387982.76</v>
      </c>
      <c r="EO205" s="231">
        <v>429931.22</v>
      </c>
      <c r="EP205" s="231">
        <v>-41948.46</v>
      </c>
      <c r="EQ205" s="229">
        <v>-9.7600000000000006E-2</v>
      </c>
      <c r="ER205" s="231">
        <v>90698</v>
      </c>
      <c r="ES205" s="231">
        <v>65973</v>
      </c>
      <c r="ET205" s="231">
        <v>146514</v>
      </c>
      <c r="EU205" s="231">
        <v>289041713</v>
      </c>
      <c r="EV205" s="231">
        <v>303185</v>
      </c>
      <c r="EW205" s="231">
        <v>303648</v>
      </c>
      <c r="EX205" s="228">
        <v>-463</v>
      </c>
      <c r="EY205" s="229">
        <v>-1.5E-3</v>
      </c>
      <c r="EZ205" s="229">
        <v>0.60289999999999999</v>
      </c>
      <c r="FA205" s="227" t="s">
        <v>556</v>
      </c>
      <c r="FB205" s="161">
        <f t="shared" si="5"/>
        <v>0</v>
      </c>
    </row>
    <row r="206" spans="1:158" ht="17.25" thickBot="1" x14ac:dyDescent="0.3">
      <c r="A206" s="226">
        <v>46044</v>
      </c>
      <c r="B206" s="227" t="s">
        <v>168</v>
      </c>
      <c r="C206" s="227" t="s">
        <v>569</v>
      </c>
      <c r="D206" s="228">
        <v>400</v>
      </c>
      <c r="E206" s="231">
        <v>1333.6</v>
      </c>
      <c r="F206" s="231">
        <v>1313.5</v>
      </c>
      <c r="G206" s="228">
        <v>20.100000000000001</v>
      </c>
      <c r="H206" s="229">
        <v>1.5299999999999999E-2</v>
      </c>
      <c r="I206" s="231">
        <v>1338.4</v>
      </c>
      <c r="J206" s="231">
        <v>1320</v>
      </c>
      <c r="K206" s="228">
        <v>18.399999999999999</v>
      </c>
      <c r="L206" s="229">
        <v>1.3899999999999999E-2</v>
      </c>
      <c r="M206" s="231">
        <v>1333.6</v>
      </c>
      <c r="N206" s="231">
        <v>1313.5</v>
      </c>
      <c r="O206" s="228">
        <v>20.100000000000001</v>
      </c>
      <c r="P206" s="229">
        <v>1.5299999999999999E-2</v>
      </c>
      <c r="Q206" s="231">
        <v>1340.5</v>
      </c>
      <c r="R206" s="231">
        <v>1320</v>
      </c>
      <c r="S206" s="228">
        <v>20.5</v>
      </c>
      <c r="T206" s="229">
        <v>1.55E-2</v>
      </c>
      <c r="U206" s="231">
        <v>1346.5</v>
      </c>
      <c r="V206" s="231">
        <v>1328.2</v>
      </c>
      <c r="W206" s="228">
        <v>18.3</v>
      </c>
      <c r="X206" s="229">
        <v>1.38E-2</v>
      </c>
      <c r="Y206" s="228">
        <v>-4.8</v>
      </c>
      <c r="Z206" s="228">
        <v>-6.5</v>
      </c>
      <c r="AA206" s="228">
        <v>1.7</v>
      </c>
      <c r="AB206" s="229">
        <v>-3.5999999999999999E-3</v>
      </c>
      <c r="AC206" s="228">
        <v>-4.8</v>
      </c>
      <c r="AD206" s="228">
        <v>-6.5</v>
      </c>
      <c r="AE206" s="228">
        <v>1.7</v>
      </c>
      <c r="AF206" s="229">
        <v>-3.5999999999999999E-3</v>
      </c>
      <c r="AG206" s="228">
        <v>2.1</v>
      </c>
      <c r="AH206" s="228">
        <v>0</v>
      </c>
      <c r="AI206" s="228">
        <v>2.1</v>
      </c>
      <c r="AJ206" s="229">
        <v>1.6000000000000001E-3</v>
      </c>
      <c r="AK206" s="228">
        <v>8.1</v>
      </c>
      <c r="AL206" s="228">
        <v>8.1999999999999993</v>
      </c>
      <c r="AM206" s="228">
        <v>-0.1</v>
      </c>
      <c r="AN206" s="229">
        <v>6.1000000000000004E-3</v>
      </c>
      <c r="AO206" s="231">
        <v>1326.95</v>
      </c>
      <c r="AP206" s="231">
        <v>1334.42</v>
      </c>
      <c r="AQ206" s="228">
        <v>0</v>
      </c>
      <c r="AR206" s="230">
        <v>9075200</v>
      </c>
      <c r="AS206" s="230">
        <v>7184800</v>
      </c>
      <c r="AT206" s="230">
        <v>1890400</v>
      </c>
      <c r="AU206" s="229">
        <v>0.2631</v>
      </c>
      <c r="AV206" s="230">
        <v>4822800</v>
      </c>
      <c r="AW206" s="230">
        <v>4265600</v>
      </c>
      <c r="AX206" s="230">
        <v>557200</v>
      </c>
      <c r="AY206" s="229">
        <v>0.13059999999999999</v>
      </c>
      <c r="AZ206" s="230">
        <v>4238400</v>
      </c>
      <c r="BA206" s="230">
        <v>2897600</v>
      </c>
      <c r="BB206" s="230">
        <v>1340800</v>
      </c>
      <c r="BC206" s="229">
        <v>0.4627</v>
      </c>
      <c r="BD206" s="230">
        <v>14000</v>
      </c>
      <c r="BE206" s="230">
        <v>21600</v>
      </c>
      <c r="BF206" s="230">
        <v>-7600</v>
      </c>
      <c r="BG206" s="229">
        <v>-0.35189999999999999</v>
      </c>
      <c r="BH206" s="230">
        <v>9226800</v>
      </c>
      <c r="BI206" s="230">
        <v>15518800</v>
      </c>
      <c r="BJ206" s="230">
        <v>-6292000</v>
      </c>
      <c r="BK206" s="229">
        <v>-0.40539999999999998</v>
      </c>
      <c r="BL206" s="230">
        <v>5287600</v>
      </c>
      <c r="BM206" s="230">
        <v>12061200</v>
      </c>
      <c r="BN206" s="230">
        <v>-6773600</v>
      </c>
      <c r="BO206" s="229">
        <v>-0.56159999999999999</v>
      </c>
      <c r="BP206" s="230">
        <v>23589600</v>
      </c>
      <c r="BQ206" s="230">
        <v>34764800</v>
      </c>
      <c r="BR206" s="230">
        <v>-11175200</v>
      </c>
      <c r="BS206" s="229">
        <v>-0.32150000000000001</v>
      </c>
      <c r="BT206" s="230">
        <v>1376464</v>
      </c>
      <c r="BU206" s="230">
        <v>2439062</v>
      </c>
      <c r="BV206" s="230">
        <v>-1062598</v>
      </c>
      <c r="BW206" s="229">
        <v>-0.43569999999999998</v>
      </c>
      <c r="BX206" s="230">
        <v>12346000</v>
      </c>
      <c r="BY206" s="230">
        <v>12782000</v>
      </c>
      <c r="BZ206" s="230">
        <v>-436000</v>
      </c>
      <c r="CA206" s="229">
        <v>-3.4099999999999998E-2</v>
      </c>
      <c r="CB206" s="230">
        <v>6860800</v>
      </c>
      <c r="CC206" s="230">
        <v>10038800</v>
      </c>
      <c r="CD206" s="230">
        <v>-3178000</v>
      </c>
      <c r="CE206" s="229">
        <v>-0.31659999999999999</v>
      </c>
      <c r="CF206" s="230">
        <v>5378000</v>
      </c>
      <c r="CG206" s="230">
        <v>2638800</v>
      </c>
      <c r="CH206" s="230">
        <v>2739200</v>
      </c>
      <c r="CI206" s="229">
        <v>1.038</v>
      </c>
      <c r="CJ206" s="230">
        <v>107200</v>
      </c>
      <c r="CK206" s="230">
        <v>104400</v>
      </c>
      <c r="CL206" s="230">
        <v>2800</v>
      </c>
      <c r="CM206" s="229">
        <v>2.6800000000000001E-2</v>
      </c>
      <c r="CN206" s="230">
        <v>4823200</v>
      </c>
      <c r="CO206" s="230">
        <v>5320800</v>
      </c>
      <c r="CP206" s="230">
        <v>-497600</v>
      </c>
      <c r="CQ206" s="229">
        <v>-9.35E-2</v>
      </c>
      <c r="CR206" s="230">
        <v>3658400</v>
      </c>
      <c r="CS206" s="230">
        <v>3724400</v>
      </c>
      <c r="CT206" s="230">
        <v>-66000</v>
      </c>
      <c r="CU206" s="229">
        <v>-1.77E-2</v>
      </c>
      <c r="CV206" s="230">
        <v>20827600</v>
      </c>
      <c r="CW206" s="230">
        <v>21827200</v>
      </c>
      <c r="CX206" s="230">
        <v>-999600</v>
      </c>
      <c r="CY206" s="229">
        <v>-4.58E-2</v>
      </c>
      <c r="CZ206" s="228">
        <v>22.19</v>
      </c>
      <c r="DA206" s="228">
        <v>24.26</v>
      </c>
      <c r="DB206" s="228">
        <v>-2.0699999999999998</v>
      </c>
      <c r="DC206" s="228">
        <v>-2.0699999999999998</v>
      </c>
      <c r="DD206" s="228">
        <v>26.75</v>
      </c>
      <c r="DE206" s="228">
        <v>26.75</v>
      </c>
      <c r="DF206" s="228">
        <v>-4.5599999999999996</v>
      </c>
      <c r="DG206" s="228">
        <v>0</v>
      </c>
      <c r="DH206" s="228">
        <v>21.61</v>
      </c>
      <c r="DI206" s="228">
        <v>24.8</v>
      </c>
      <c r="DJ206" s="228">
        <v>-3.19</v>
      </c>
      <c r="DK206" s="228">
        <v>-3.19</v>
      </c>
      <c r="DL206" s="228">
        <v>22.95</v>
      </c>
      <c r="DM206" s="228">
        <v>23.57</v>
      </c>
      <c r="DN206" s="228">
        <v>-0.62</v>
      </c>
      <c r="DO206" s="228">
        <v>-0.62</v>
      </c>
      <c r="DP206" s="228">
        <v>0.76</v>
      </c>
      <c r="DQ206" s="228">
        <v>0.7</v>
      </c>
      <c r="DR206" s="228">
        <v>0.06</v>
      </c>
      <c r="DS206" s="229">
        <v>8.5699999999999998E-2</v>
      </c>
      <c r="DT206" s="231">
        <v>1440</v>
      </c>
      <c r="DU206" s="231">
        <v>1400</v>
      </c>
      <c r="DV206" s="228">
        <v>0.56999999999999995</v>
      </c>
      <c r="DW206" s="228">
        <v>0.78</v>
      </c>
      <c r="DX206" s="228">
        <v>-0.21</v>
      </c>
      <c r="DY206" s="229">
        <v>-0.26919999999999999</v>
      </c>
      <c r="DZ206" s="229">
        <v>0.44429999999999997</v>
      </c>
      <c r="EA206" s="230">
        <v>2743200</v>
      </c>
      <c r="EB206" s="229">
        <v>5.1999999999999998E-3</v>
      </c>
      <c r="EC206" s="229">
        <v>0.44429999999999997</v>
      </c>
      <c r="ED206" s="228">
        <v>7.47</v>
      </c>
      <c r="EE206" s="229">
        <v>5.5999999999999999E-3</v>
      </c>
      <c r="EF206" s="230">
        <v>619733</v>
      </c>
      <c r="EG206" s="230">
        <v>1126201</v>
      </c>
      <c r="EH206" s="229">
        <v>-0.44969999999999999</v>
      </c>
      <c r="EI206" s="229">
        <v>0.45019999999999999</v>
      </c>
      <c r="EJ206" s="231">
        <v>125669.91</v>
      </c>
      <c r="EK206" s="231">
        <v>71383.570000000007</v>
      </c>
      <c r="EL206" s="231">
        <v>120741.89</v>
      </c>
      <c r="EM206" s="231">
        <v>7738</v>
      </c>
      <c r="EN206" s="231">
        <v>317795.37</v>
      </c>
      <c r="EO206" s="231">
        <v>462391.72</v>
      </c>
      <c r="EP206" s="231">
        <v>-144596.35</v>
      </c>
      <c r="EQ206" s="229">
        <v>-0.31269999999999998</v>
      </c>
      <c r="ER206" s="231">
        <v>68133</v>
      </c>
      <c r="ES206" s="231">
        <v>49560</v>
      </c>
      <c r="ET206" s="231">
        <v>165031</v>
      </c>
      <c r="EU206" s="231">
        <v>37091426</v>
      </c>
      <c r="EV206" s="231">
        <v>282724</v>
      </c>
      <c r="EW206" s="231">
        <v>293504</v>
      </c>
      <c r="EX206" s="231">
        <v>-10780</v>
      </c>
      <c r="EY206" s="229">
        <v>-3.6700000000000003E-2</v>
      </c>
      <c r="EZ206" s="229">
        <v>0.5615</v>
      </c>
      <c r="FA206" s="227" t="s">
        <v>556</v>
      </c>
      <c r="FB206" s="161">
        <f t="shared" si="5"/>
        <v>0</v>
      </c>
    </row>
    <row r="207" spans="1:158" ht="17.25" thickBot="1" x14ac:dyDescent="0.3">
      <c r="A207" s="226">
        <v>46044</v>
      </c>
      <c r="B207" s="227" t="s">
        <v>162</v>
      </c>
      <c r="C207" s="227" t="s">
        <v>674</v>
      </c>
      <c r="D207" s="228">
        <v>550</v>
      </c>
      <c r="E207" s="231">
        <v>1172.7</v>
      </c>
      <c r="F207" s="231">
        <v>1128.9000000000001</v>
      </c>
      <c r="G207" s="228">
        <v>43.8</v>
      </c>
      <c r="H207" s="229">
        <v>3.8800000000000001E-2</v>
      </c>
      <c r="I207" s="231">
        <v>1173.5</v>
      </c>
      <c r="J207" s="231">
        <v>1128.4000000000001</v>
      </c>
      <c r="K207" s="228">
        <v>45.1</v>
      </c>
      <c r="L207" s="229">
        <v>0.04</v>
      </c>
      <c r="M207" s="231">
        <v>1172.7</v>
      </c>
      <c r="N207" s="231">
        <v>1128.9000000000001</v>
      </c>
      <c r="O207" s="228">
        <v>43.8</v>
      </c>
      <c r="P207" s="229">
        <v>3.8800000000000001E-2</v>
      </c>
      <c r="Q207" s="231">
        <v>1178.4000000000001</v>
      </c>
      <c r="R207" s="231">
        <v>1135.0999999999999</v>
      </c>
      <c r="S207" s="228">
        <v>43.3</v>
      </c>
      <c r="T207" s="229">
        <v>3.8100000000000002E-2</v>
      </c>
      <c r="U207" s="231">
        <v>1179.5999999999999</v>
      </c>
      <c r="V207" s="231">
        <v>1144</v>
      </c>
      <c r="W207" s="228">
        <v>35.6</v>
      </c>
      <c r="X207" s="229">
        <v>3.1099999999999999E-2</v>
      </c>
      <c r="Y207" s="228">
        <v>-0.8</v>
      </c>
      <c r="Z207" s="228">
        <v>0.5</v>
      </c>
      <c r="AA207" s="228">
        <v>-1.3</v>
      </c>
      <c r="AB207" s="229">
        <v>-6.9999999999999999E-4</v>
      </c>
      <c r="AC207" s="228">
        <v>-0.8</v>
      </c>
      <c r="AD207" s="228">
        <v>0.5</v>
      </c>
      <c r="AE207" s="228">
        <v>-1.3</v>
      </c>
      <c r="AF207" s="229">
        <v>-6.9999999999999999E-4</v>
      </c>
      <c r="AG207" s="228">
        <v>4.9000000000000004</v>
      </c>
      <c r="AH207" s="228">
        <v>6.7</v>
      </c>
      <c r="AI207" s="228">
        <v>-1.8</v>
      </c>
      <c r="AJ207" s="229">
        <v>4.1999999999999997E-3</v>
      </c>
      <c r="AK207" s="228">
        <v>6.1</v>
      </c>
      <c r="AL207" s="228">
        <v>15.6</v>
      </c>
      <c r="AM207" s="228">
        <v>-9.5</v>
      </c>
      <c r="AN207" s="229">
        <v>5.1999999999999998E-3</v>
      </c>
      <c r="AO207" s="231">
        <v>1159.0899999999999</v>
      </c>
      <c r="AP207" s="231">
        <v>1165.23</v>
      </c>
      <c r="AQ207" s="228">
        <v>0</v>
      </c>
      <c r="AR207" s="230">
        <v>5591850</v>
      </c>
      <c r="AS207" s="230">
        <v>2952400</v>
      </c>
      <c r="AT207" s="230">
        <v>2639450</v>
      </c>
      <c r="AU207" s="229">
        <v>0.89400000000000002</v>
      </c>
      <c r="AV207" s="230">
        <v>2742850</v>
      </c>
      <c r="AW207" s="230">
        <v>1544400</v>
      </c>
      <c r="AX207" s="230">
        <v>1198450</v>
      </c>
      <c r="AY207" s="229">
        <v>0.77600000000000002</v>
      </c>
      <c r="AZ207" s="230">
        <v>2833050</v>
      </c>
      <c r="BA207" s="230">
        <v>1408000</v>
      </c>
      <c r="BB207" s="230">
        <v>1425050</v>
      </c>
      <c r="BC207" s="229">
        <v>1.0121</v>
      </c>
      <c r="BD207" s="230">
        <v>15950</v>
      </c>
      <c r="BE207" s="228">
        <v>0</v>
      </c>
      <c r="BF207" s="230">
        <v>15950</v>
      </c>
      <c r="BG207" s="229">
        <v>0</v>
      </c>
      <c r="BH207" s="230">
        <v>3025550</v>
      </c>
      <c r="BI207" s="230">
        <v>1547700</v>
      </c>
      <c r="BJ207" s="230">
        <v>1477850</v>
      </c>
      <c r="BK207" s="229">
        <v>0.95489999999999997</v>
      </c>
      <c r="BL207" s="230">
        <v>1268850</v>
      </c>
      <c r="BM207" s="230">
        <v>566500</v>
      </c>
      <c r="BN207" s="230">
        <v>702350</v>
      </c>
      <c r="BO207" s="229">
        <v>1.2398</v>
      </c>
      <c r="BP207" s="230">
        <v>9886250</v>
      </c>
      <c r="BQ207" s="230">
        <v>5066600</v>
      </c>
      <c r="BR207" s="230">
        <v>4819650</v>
      </c>
      <c r="BS207" s="229">
        <v>0.95130000000000003</v>
      </c>
      <c r="BT207" s="230">
        <v>733466</v>
      </c>
      <c r="BU207" s="230">
        <v>686726</v>
      </c>
      <c r="BV207" s="230">
        <v>46740</v>
      </c>
      <c r="BW207" s="229">
        <v>6.8099999999999994E-2</v>
      </c>
      <c r="BX207" s="230">
        <v>5485700</v>
      </c>
      <c r="BY207" s="230">
        <v>5299250</v>
      </c>
      <c r="BZ207" s="230">
        <v>186450</v>
      </c>
      <c r="CA207" s="229">
        <v>3.5200000000000002E-2</v>
      </c>
      <c r="CB207" s="230">
        <v>1787500</v>
      </c>
      <c r="CC207" s="230">
        <v>3799400</v>
      </c>
      <c r="CD207" s="230">
        <v>-2011900</v>
      </c>
      <c r="CE207" s="229">
        <v>-0.52949999999999997</v>
      </c>
      <c r="CF207" s="230">
        <v>3654200</v>
      </c>
      <c r="CG207" s="230">
        <v>1465200</v>
      </c>
      <c r="CH207" s="230">
        <v>2189000</v>
      </c>
      <c r="CI207" s="229">
        <v>1.494</v>
      </c>
      <c r="CJ207" s="230">
        <v>44000</v>
      </c>
      <c r="CK207" s="230">
        <v>34650</v>
      </c>
      <c r="CL207" s="230">
        <v>9350</v>
      </c>
      <c r="CM207" s="229">
        <v>0.26979999999999998</v>
      </c>
      <c r="CN207" s="230">
        <v>1940400</v>
      </c>
      <c r="CO207" s="230">
        <v>1854050</v>
      </c>
      <c r="CP207" s="230">
        <v>86350</v>
      </c>
      <c r="CQ207" s="229">
        <v>4.6600000000000003E-2</v>
      </c>
      <c r="CR207" s="230">
        <v>1281500</v>
      </c>
      <c r="CS207" s="230">
        <v>1163800</v>
      </c>
      <c r="CT207" s="230">
        <v>117700</v>
      </c>
      <c r="CU207" s="229">
        <v>0.1011</v>
      </c>
      <c r="CV207" s="230">
        <v>8707600</v>
      </c>
      <c r="CW207" s="230">
        <v>8317100</v>
      </c>
      <c r="CX207" s="230">
        <v>390500</v>
      </c>
      <c r="CY207" s="229">
        <v>4.7E-2</v>
      </c>
      <c r="CZ207" s="228">
        <v>33.39</v>
      </c>
      <c r="DA207" s="228">
        <v>35.56</v>
      </c>
      <c r="DB207" s="228">
        <v>-2.17</v>
      </c>
      <c r="DC207" s="228">
        <v>-2.17</v>
      </c>
      <c r="DD207" s="228">
        <v>40.11</v>
      </c>
      <c r="DE207" s="228">
        <v>39.880000000000003</v>
      </c>
      <c r="DF207" s="228">
        <v>-6.72</v>
      </c>
      <c r="DG207" s="228">
        <v>0.23</v>
      </c>
      <c r="DH207" s="228">
        <v>33.19</v>
      </c>
      <c r="DI207" s="228">
        <v>37.01</v>
      </c>
      <c r="DJ207" s="228">
        <v>-3.82</v>
      </c>
      <c r="DK207" s="228">
        <v>-3.82</v>
      </c>
      <c r="DL207" s="228">
        <v>33.61</v>
      </c>
      <c r="DM207" s="228">
        <v>31.61</v>
      </c>
      <c r="DN207" s="228">
        <v>2</v>
      </c>
      <c r="DO207" s="228">
        <v>2</v>
      </c>
      <c r="DP207" s="228">
        <v>0.66</v>
      </c>
      <c r="DQ207" s="228">
        <v>0.63</v>
      </c>
      <c r="DR207" s="228">
        <v>0.03</v>
      </c>
      <c r="DS207" s="229">
        <v>4.7600000000000003E-2</v>
      </c>
      <c r="DT207" s="231">
        <v>1340</v>
      </c>
      <c r="DU207" s="231">
        <v>1100</v>
      </c>
      <c r="DV207" s="228">
        <v>0.42</v>
      </c>
      <c r="DW207" s="228">
        <v>0.37</v>
      </c>
      <c r="DX207" s="228">
        <v>0.05</v>
      </c>
      <c r="DY207" s="229">
        <v>0.1351</v>
      </c>
      <c r="DZ207" s="229">
        <v>0.67420000000000002</v>
      </c>
      <c r="EA207" s="230">
        <v>1499850</v>
      </c>
      <c r="EB207" s="229">
        <v>4.8999999999999998E-3</v>
      </c>
      <c r="EC207" s="229">
        <v>0.67420000000000002</v>
      </c>
      <c r="ED207" s="228">
        <v>6.14</v>
      </c>
      <c r="EE207" s="229">
        <v>5.3E-3</v>
      </c>
      <c r="EF207" s="230">
        <v>431955</v>
      </c>
      <c r="EG207" s="230">
        <v>296957</v>
      </c>
      <c r="EH207" s="229">
        <v>0.4546</v>
      </c>
      <c r="EI207" s="229">
        <v>0.58889999999999998</v>
      </c>
      <c r="EJ207" s="231">
        <v>37479.69</v>
      </c>
      <c r="EK207" s="231">
        <v>14377.7</v>
      </c>
      <c r="EL207" s="231">
        <v>64991.5</v>
      </c>
      <c r="EM207" s="231">
        <v>2816</v>
      </c>
      <c r="EN207" s="231">
        <v>116848.89</v>
      </c>
      <c r="EO207" s="231">
        <v>58868.72</v>
      </c>
      <c r="EP207" s="231">
        <v>57980.17</v>
      </c>
      <c r="EQ207" s="229">
        <v>0.9849</v>
      </c>
      <c r="ER207" s="231">
        <v>25189</v>
      </c>
      <c r="ES207" s="231">
        <v>15270</v>
      </c>
      <c r="ET207" s="231">
        <v>64542</v>
      </c>
      <c r="EU207" s="231">
        <v>27292222</v>
      </c>
      <c r="EV207" s="231">
        <v>105001</v>
      </c>
      <c r="EW207" s="231">
        <v>97898</v>
      </c>
      <c r="EX207" s="231">
        <v>7103</v>
      </c>
      <c r="EY207" s="229">
        <v>7.2599999999999998E-2</v>
      </c>
      <c r="EZ207" s="229">
        <v>0.31909999999999999</v>
      </c>
      <c r="FA207" s="227" t="s">
        <v>555</v>
      </c>
      <c r="FB207" s="161">
        <f t="shared" si="5"/>
        <v>0</v>
      </c>
    </row>
    <row r="208" spans="1:158" ht="17.25" thickBot="1" x14ac:dyDescent="0.3">
      <c r="A208" s="226">
        <v>46044</v>
      </c>
      <c r="B208" s="227" t="s">
        <v>498</v>
      </c>
      <c r="C208" s="227" t="s">
        <v>303</v>
      </c>
      <c r="D208" s="228">
        <v>1355</v>
      </c>
      <c r="E208" s="228">
        <v>701.15</v>
      </c>
      <c r="F208" s="228">
        <v>691.75</v>
      </c>
      <c r="G208" s="228">
        <v>9.4</v>
      </c>
      <c r="H208" s="229">
        <v>1.3599999999999999E-2</v>
      </c>
      <c r="I208" s="228">
        <v>700.5</v>
      </c>
      <c r="J208" s="228">
        <v>691.7</v>
      </c>
      <c r="K208" s="228">
        <v>8.8000000000000007</v>
      </c>
      <c r="L208" s="229">
        <v>1.2699999999999999E-2</v>
      </c>
      <c r="M208" s="228">
        <v>701.15</v>
      </c>
      <c r="N208" s="228">
        <v>691.75</v>
      </c>
      <c r="O208" s="228">
        <v>9.4</v>
      </c>
      <c r="P208" s="229">
        <v>1.3599999999999999E-2</v>
      </c>
      <c r="Q208" s="228">
        <v>704.65</v>
      </c>
      <c r="R208" s="228">
        <v>695.35</v>
      </c>
      <c r="S208" s="228">
        <v>9.3000000000000007</v>
      </c>
      <c r="T208" s="229">
        <v>1.34E-2</v>
      </c>
      <c r="U208" s="228">
        <v>711.55</v>
      </c>
      <c r="V208" s="228">
        <v>701.3</v>
      </c>
      <c r="W208" s="228">
        <v>10.25</v>
      </c>
      <c r="X208" s="229">
        <v>1.46E-2</v>
      </c>
      <c r="Y208" s="228">
        <v>0.65</v>
      </c>
      <c r="Z208" s="228">
        <v>0.05</v>
      </c>
      <c r="AA208" s="228">
        <v>0.6</v>
      </c>
      <c r="AB208" s="229">
        <v>8.9999999999999998E-4</v>
      </c>
      <c r="AC208" s="228">
        <v>0.65</v>
      </c>
      <c r="AD208" s="228">
        <v>0.05</v>
      </c>
      <c r="AE208" s="228">
        <v>0.6</v>
      </c>
      <c r="AF208" s="229">
        <v>8.9999999999999998E-4</v>
      </c>
      <c r="AG208" s="228">
        <v>4.1500000000000004</v>
      </c>
      <c r="AH208" s="228">
        <v>3.65</v>
      </c>
      <c r="AI208" s="228">
        <v>0.5</v>
      </c>
      <c r="AJ208" s="229">
        <v>5.8999999999999999E-3</v>
      </c>
      <c r="AK208" s="228">
        <v>11.05</v>
      </c>
      <c r="AL208" s="228">
        <v>9.6</v>
      </c>
      <c r="AM208" s="228">
        <v>1.45</v>
      </c>
      <c r="AN208" s="229">
        <v>1.5800000000000002E-2</v>
      </c>
      <c r="AO208" s="228">
        <v>698.47</v>
      </c>
      <c r="AP208" s="228">
        <v>701.19</v>
      </c>
      <c r="AQ208" s="228">
        <v>0</v>
      </c>
      <c r="AR208" s="230">
        <v>25071565</v>
      </c>
      <c r="AS208" s="230">
        <v>39979275</v>
      </c>
      <c r="AT208" s="230">
        <v>-14907710</v>
      </c>
      <c r="AU208" s="229">
        <v>-0.37290000000000001</v>
      </c>
      <c r="AV208" s="230">
        <v>13186860</v>
      </c>
      <c r="AW208" s="230">
        <v>24549890</v>
      </c>
      <c r="AX208" s="230">
        <v>-11363030</v>
      </c>
      <c r="AY208" s="229">
        <v>-0.46289999999999998</v>
      </c>
      <c r="AZ208" s="230">
        <v>11719395</v>
      </c>
      <c r="BA208" s="230">
        <v>15228845</v>
      </c>
      <c r="BB208" s="230">
        <v>-3509450</v>
      </c>
      <c r="BC208" s="229">
        <v>-0.23039999999999999</v>
      </c>
      <c r="BD208" s="230">
        <v>165310</v>
      </c>
      <c r="BE208" s="230">
        <v>200540</v>
      </c>
      <c r="BF208" s="230">
        <v>-35230</v>
      </c>
      <c r="BG208" s="229">
        <v>-0.1757</v>
      </c>
      <c r="BH208" s="230">
        <v>35590430</v>
      </c>
      <c r="BI208" s="230">
        <v>81125205</v>
      </c>
      <c r="BJ208" s="230">
        <v>-45534775</v>
      </c>
      <c r="BK208" s="229">
        <v>-0.56130000000000002</v>
      </c>
      <c r="BL208" s="230">
        <v>19858880</v>
      </c>
      <c r="BM208" s="230">
        <v>71209315</v>
      </c>
      <c r="BN208" s="230">
        <v>-51350435</v>
      </c>
      <c r="BO208" s="229">
        <v>-0.72109999999999996</v>
      </c>
      <c r="BP208" s="230">
        <v>80520875</v>
      </c>
      <c r="BQ208" s="230">
        <v>192313795</v>
      </c>
      <c r="BR208" s="230">
        <v>-111792920</v>
      </c>
      <c r="BS208" s="229">
        <v>-0.58130000000000004</v>
      </c>
      <c r="BT208" s="230">
        <v>3559801</v>
      </c>
      <c r="BU208" s="230">
        <v>8229852</v>
      </c>
      <c r="BV208" s="230">
        <v>-4670051</v>
      </c>
      <c r="BW208" s="229">
        <v>-0.5675</v>
      </c>
      <c r="BX208" s="230">
        <v>39339715</v>
      </c>
      <c r="BY208" s="230">
        <v>39281450</v>
      </c>
      <c r="BZ208" s="230">
        <v>58265</v>
      </c>
      <c r="CA208" s="229">
        <v>1.5E-3</v>
      </c>
      <c r="CB208" s="230">
        <v>23007900</v>
      </c>
      <c r="CC208" s="230">
        <v>30227340</v>
      </c>
      <c r="CD208" s="230">
        <v>-7219440</v>
      </c>
      <c r="CE208" s="229">
        <v>-0.23880000000000001</v>
      </c>
      <c r="CF208" s="230">
        <v>16064880</v>
      </c>
      <c r="CG208" s="230">
        <v>8837310</v>
      </c>
      <c r="CH208" s="230">
        <v>7227570</v>
      </c>
      <c r="CI208" s="229">
        <v>0.81779999999999997</v>
      </c>
      <c r="CJ208" s="230">
        <v>266935</v>
      </c>
      <c r="CK208" s="230">
        <v>216800</v>
      </c>
      <c r="CL208" s="230">
        <v>50135</v>
      </c>
      <c r="CM208" s="229">
        <v>0.23130000000000001</v>
      </c>
      <c r="CN208" s="230">
        <v>21887315</v>
      </c>
      <c r="CO208" s="230">
        <v>21930675</v>
      </c>
      <c r="CP208" s="230">
        <v>-43360</v>
      </c>
      <c r="CQ208" s="229">
        <v>-2E-3</v>
      </c>
      <c r="CR208" s="230">
        <v>12265460</v>
      </c>
      <c r="CS208" s="230">
        <v>13357590</v>
      </c>
      <c r="CT208" s="230">
        <v>-1092130</v>
      </c>
      <c r="CU208" s="229">
        <v>-8.1799999999999998E-2</v>
      </c>
      <c r="CV208" s="230">
        <v>73492490</v>
      </c>
      <c r="CW208" s="230">
        <v>74569715</v>
      </c>
      <c r="CX208" s="230">
        <v>-1077225</v>
      </c>
      <c r="CY208" s="229">
        <v>-1.44E-2</v>
      </c>
      <c r="CZ208" s="228">
        <v>33.36</v>
      </c>
      <c r="DA208" s="228">
        <v>38.020000000000003</v>
      </c>
      <c r="DB208" s="228">
        <v>-4.66</v>
      </c>
      <c r="DC208" s="228">
        <v>-4.66</v>
      </c>
      <c r="DD208" s="228">
        <v>33.909999999999997</v>
      </c>
      <c r="DE208" s="228">
        <v>33.94</v>
      </c>
      <c r="DF208" s="228">
        <v>-0.55000000000000004</v>
      </c>
      <c r="DG208" s="228">
        <v>-0.03</v>
      </c>
      <c r="DH208" s="228">
        <v>33.380000000000003</v>
      </c>
      <c r="DI208" s="228">
        <v>37.840000000000003</v>
      </c>
      <c r="DJ208" s="228">
        <v>-4.46</v>
      </c>
      <c r="DK208" s="228">
        <v>-4.46</v>
      </c>
      <c r="DL208" s="228">
        <v>33.35</v>
      </c>
      <c r="DM208" s="228">
        <v>38.229999999999997</v>
      </c>
      <c r="DN208" s="228">
        <v>-4.88</v>
      </c>
      <c r="DO208" s="228">
        <v>-4.88</v>
      </c>
      <c r="DP208" s="228">
        <v>0.56000000000000005</v>
      </c>
      <c r="DQ208" s="228">
        <v>0.61</v>
      </c>
      <c r="DR208" s="228">
        <v>-0.05</v>
      </c>
      <c r="DS208" s="229">
        <v>-8.2000000000000003E-2</v>
      </c>
      <c r="DT208" s="228">
        <v>800</v>
      </c>
      <c r="DU208" s="228">
        <v>680</v>
      </c>
      <c r="DV208" s="228">
        <v>0.56000000000000005</v>
      </c>
      <c r="DW208" s="228">
        <v>0.88</v>
      </c>
      <c r="DX208" s="228">
        <v>-0.32</v>
      </c>
      <c r="DY208" s="229">
        <v>-0.36359999999999998</v>
      </c>
      <c r="DZ208" s="229">
        <v>0.41510000000000002</v>
      </c>
      <c r="EA208" s="230">
        <v>9054110</v>
      </c>
      <c r="EB208" s="229">
        <v>5.0000000000000001E-3</v>
      </c>
      <c r="EC208" s="229">
        <v>0.41510000000000002</v>
      </c>
      <c r="ED208" s="228">
        <v>2.72</v>
      </c>
      <c r="EE208" s="229">
        <v>3.8999999999999998E-3</v>
      </c>
      <c r="EF208" s="230">
        <v>1660626</v>
      </c>
      <c r="EG208" s="230">
        <v>2613623</v>
      </c>
      <c r="EH208" s="229">
        <v>-0.36459999999999998</v>
      </c>
      <c r="EI208" s="229">
        <v>0.46650000000000003</v>
      </c>
      <c r="EJ208" s="231">
        <v>261398.01</v>
      </c>
      <c r="EK208" s="231">
        <v>141040.53</v>
      </c>
      <c r="EL208" s="231">
        <v>175456.03</v>
      </c>
      <c r="EM208" s="231">
        <v>14879</v>
      </c>
      <c r="EN208" s="231">
        <v>577894.56999999995</v>
      </c>
      <c r="EO208" s="231">
        <v>1378009.03</v>
      </c>
      <c r="EP208" s="231">
        <v>-800114.46</v>
      </c>
      <c r="EQ208" s="229">
        <v>-0.5806</v>
      </c>
      <c r="ER208" s="231">
        <v>168580</v>
      </c>
      <c r="ES208" s="231">
        <v>88084</v>
      </c>
      <c r="ET208" s="231">
        <v>276420</v>
      </c>
      <c r="EU208" s="231">
        <v>84228583</v>
      </c>
      <c r="EV208" s="231">
        <v>533084</v>
      </c>
      <c r="EW208" s="231">
        <v>538168</v>
      </c>
      <c r="EX208" s="231">
        <v>-5084</v>
      </c>
      <c r="EY208" s="229">
        <v>-9.4000000000000004E-3</v>
      </c>
      <c r="EZ208" s="229">
        <v>0.87250000000000005</v>
      </c>
      <c r="FA208" s="227" t="s">
        <v>555</v>
      </c>
      <c r="FB208" s="161">
        <f t="shared" si="5"/>
        <v>0</v>
      </c>
    </row>
    <row r="209" spans="1:158" ht="17.25" thickBot="1" x14ac:dyDescent="0.3">
      <c r="A209" s="226">
        <v>46044</v>
      </c>
      <c r="B209" s="227" t="s">
        <v>168</v>
      </c>
      <c r="C209" s="227" t="s">
        <v>586</v>
      </c>
      <c r="D209" s="228">
        <v>1125</v>
      </c>
      <c r="E209" s="228">
        <v>486.85</v>
      </c>
      <c r="F209" s="228">
        <v>478.2</v>
      </c>
      <c r="G209" s="228">
        <v>8.65</v>
      </c>
      <c r="H209" s="229">
        <v>1.8100000000000002E-2</v>
      </c>
      <c r="I209" s="228">
        <v>487.1</v>
      </c>
      <c r="J209" s="228">
        <v>478</v>
      </c>
      <c r="K209" s="228">
        <v>9.1</v>
      </c>
      <c r="L209" s="229">
        <v>1.9E-2</v>
      </c>
      <c r="M209" s="228">
        <v>486.85</v>
      </c>
      <c r="N209" s="228">
        <v>478.2</v>
      </c>
      <c r="O209" s="228">
        <v>8.65</v>
      </c>
      <c r="P209" s="229">
        <v>1.8100000000000002E-2</v>
      </c>
      <c r="Q209" s="228">
        <v>489.6</v>
      </c>
      <c r="R209" s="228">
        <v>480.8</v>
      </c>
      <c r="S209" s="228">
        <v>8.8000000000000007</v>
      </c>
      <c r="T209" s="229">
        <v>1.83E-2</v>
      </c>
      <c r="U209" s="228">
        <v>493</v>
      </c>
      <c r="V209" s="228">
        <v>484.05</v>
      </c>
      <c r="W209" s="228">
        <v>8.9499999999999993</v>
      </c>
      <c r="X209" s="229">
        <v>1.8499999999999999E-2</v>
      </c>
      <c r="Y209" s="228">
        <v>-0.25</v>
      </c>
      <c r="Z209" s="228">
        <v>0.2</v>
      </c>
      <c r="AA209" s="228">
        <v>-0.45</v>
      </c>
      <c r="AB209" s="229">
        <v>-5.0000000000000001E-4</v>
      </c>
      <c r="AC209" s="228">
        <v>-0.25</v>
      </c>
      <c r="AD209" s="228">
        <v>0.2</v>
      </c>
      <c r="AE209" s="228">
        <v>-0.45</v>
      </c>
      <c r="AF209" s="229">
        <v>-5.0000000000000001E-4</v>
      </c>
      <c r="AG209" s="228">
        <v>2.5</v>
      </c>
      <c r="AH209" s="228">
        <v>2.8</v>
      </c>
      <c r="AI209" s="228">
        <v>-0.3</v>
      </c>
      <c r="AJ209" s="229">
        <v>5.1000000000000004E-3</v>
      </c>
      <c r="AK209" s="228">
        <v>5.9</v>
      </c>
      <c r="AL209" s="228">
        <v>6.05</v>
      </c>
      <c r="AM209" s="228">
        <v>-0.15</v>
      </c>
      <c r="AN209" s="229">
        <v>1.21E-2</v>
      </c>
      <c r="AO209" s="228">
        <v>485.69</v>
      </c>
      <c r="AP209" s="228">
        <v>488.3</v>
      </c>
      <c r="AQ209" s="228">
        <v>0</v>
      </c>
      <c r="AR209" s="230">
        <v>35703000</v>
      </c>
      <c r="AS209" s="230">
        <v>27930375</v>
      </c>
      <c r="AT209" s="230">
        <v>7772625</v>
      </c>
      <c r="AU209" s="229">
        <v>0.27829999999999999</v>
      </c>
      <c r="AV209" s="230">
        <v>17850375</v>
      </c>
      <c r="AW209" s="230">
        <v>15903000</v>
      </c>
      <c r="AX209" s="230">
        <v>1947375</v>
      </c>
      <c r="AY209" s="229">
        <v>0.1225</v>
      </c>
      <c r="AZ209" s="230">
        <v>17815500</v>
      </c>
      <c r="BA209" s="230">
        <v>11953125</v>
      </c>
      <c r="BB209" s="230">
        <v>5862375</v>
      </c>
      <c r="BC209" s="229">
        <v>0.4904</v>
      </c>
      <c r="BD209" s="230">
        <v>37125</v>
      </c>
      <c r="BE209" s="230">
        <v>74250</v>
      </c>
      <c r="BF209" s="230">
        <v>-37125</v>
      </c>
      <c r="BG209" s="229">
        <v>-0.5</v>
      </c>
      <c r="BH209" s="230">
        <v>11856375</v>
      </c>
      <c r="BI209" s="230">
        <v>21102750</v>
      </c>
      <c r="BJ209" s="230">
        <v>-9246375</v>
      </c>
      <c r="BK209" s="229">
        <v>-0.43819999999999998</v>
      </c>
      <c r="BL209" s="230">
        <v>8178750</v>
      </c>
      <c r="BM209" s="230">
        <v>17995500</v>
      </c>
      <c r="BN209" s="230">
        <v>-9816750</v>
      </c>
      <c r="BO209" s="229">
        <v>-0.54549999999999998</v>
      </c>
      <c r="BP209" s="230">
        <v>55738125</v>
      </c>
      <c r="BQ209" s="230">
        <v>67028625</v>
      </c>
      <c r="BR209" s="230">
        <v>-11290500</v>
      </c>
      <c r="BS209" s="229">
        <v>-0.16839999999999999</v>
      </c>
      <c r="BT209" s="230">
        <v>4604804</v>
      </c>
      <c r="BU209" s="230">
        <v>6095518</v>
      </c>
      <c r="BV209" s="230">
        <v>-1490714</v>
      </c>
      <c r="BW209" s="229">
        <v>-0.24460000000000001</v>
      </c>
      <c r="BX209" s="230">
        <v>48481875</v>
      </c>
      <c r="BY209" s="230">
        <v>48673125</v>
      </c>
      <c r="BZ209" s="230">
        <v>-191250</v>
      </c>
      <c r="CA209" s="229">
        <v>-3.8999999999999998E-3</v>
      </c>
      <c r="CB209" s="230">
        <v>19271250</v>
      </c>
      <c r="CC209" s="230">
        <v>35228250</v>
      </c>
      <c r="CD209" s="230">
        <v>-15957000</v>
      </c>
      <c r="CE209" s="229">
        <v>-0.45300000000000001</v>
      </c>
      <c r="CF209" s="230">
        <v>29058750</v>
      </c>
      <c r="CG209" s="230">
        <v>13294125</v>
      </c>
      <c r="CH209" s="230">
        <v>15764625</v>
      </c>
      <c r="CI209" s="229">
        <v>1.1858</v>
      </c>
      <c r="CJ209" s="230">
        <v>151875</v>
      </c>
      <c r="CK209" s="230">
        <v>150750</v>
      </c>
      <c r="CL209" s="230">
        <v>1125</v>
      </c>
      <c r="CM209" s="229">
        <v>7.4999999999999997E-3</v>
      </c>
      <c r="CN209" s="230">
        <v>10978875</v>
      </c>
      <c r="CO209" s="230">
        <v>11427750</v>
      </c>
      <c r="CP209" s="230">
        <v>-448875</v>
      </c>
      <c r="CQ209" s="229">
        <v>-3.9300000000000002E-2</v>
      </c>
      <c r="CR209" s="230">
        <v>8302500</v>
      </c>
      <c r="CS209" s="230">
        <v>8129250</v>
      </c>
      <c r="CT209" s="230">
        <v>173250</v>
      </c>
      <c r="CU209" s="229">
        <v>2.1299999999999999E-2</v>
      </c>
      <c r="CV209" s="230">
        <v>67763250</v>
      </c>
      <c r="CW209" s="230">
        <v>68230125</v>
      </c>
      <c r="CX209" s="230">
        <v>-466875</v>
      </c>
      <c r="CY209" s="229">
        <v>-6.7999999999999996E-3</v>
      </c>
      <c r="CZ209" s="228">
        <v>29.94</v>
      </c>
      <c r="DA209" s="228">
        <v>23.65</v>
      </c>
      <c r="DB209" s="228">
        <v>6.29</v>
      </c>
      <c r="DC209" s="228">
        <v>6.29</v>
      </c>
      <c r="DD209" s="228">
        <v>36.83</v>
      </c>
      <c r="DE209" s="228">
        <v>36.83</v>
      </c>
      <c r="DF209" s="228">
        <v>-6.89</v>
      </c>
      <c r="DG209" s="228">
        <v>0</v>
      </c>
      <c r="DH209" s="228">
        <v>29.64</v>
      </c>
      <c r="DI209" s="228">
        <v>25.56</v>
      </c>
      <c r="DJ209" s="228">
        <v>4.08</v>
      </c>
      <c r="DK209" s="228">
        <v>4.08</v>
      </c>
      <c r="DL209" s="228">
        <v>30.16</v>
      </c>
      <c r="DM209" s="228">
        <v>21.41</v>
      </c>
      <c r="DN209" s="228">
        <v>8.75</v>
      </c>
      <c r="DO209" s="228">
        <v>8.75</v>
      </c>
      <c r="DP209" s="228">
        <v>0.76</v>
      </c>
      <c r="DQ209" s="228">
        <v>0.71</v>
      </c>
      <c r="DR209" s="228">
        <v>0.05</v>
      </c>
      <c r="DS209" s="229">
        <v>7.0400000000000004E-2</v>
      </c>
      <c r="DT209" s="228">
        <v>500</v>
      </c>
      <c r="DU209" s="228">
        <v>475</v>
      </c>
      <c r="DV209" s="228">
        <v>0.69</v>
      </c>
      <c r="DW209" s="228">
        <v>0.85</v>
      </c>
      <c r="DX209" s="228">
        <v>-0.16</v>
      </c>
      <c r="DY209" s="229">
        <v>-0.18820000000000001</v>
      </c>
      <c r="DZ209" s="229">
        <v>0.60250000000000004</v>
      </c>
      <c r="EA209" s="230">
        <v>13444875</v>
      </c>
      <c r="EB209" s="229">
        <v>5.5999999999999999E-3</v>
      </c>
      <c r="EC209" s="229">
        <v>0.60250000000000004</v>
      </c>
      <c r="ED209" s="228">
        <v>2.61</v>
      </c>
      <c r="EE209" s="229">
        <v>5.4000000000000003E-3</v>
      </c>
      <c r="EF209" s="230">
        <v>2743838</v>
      </c>
      <c r="EG209" s="230">
        <v>3305680</v>
      </c>
      <c r="EH209" s="229">
        <v>-0.17</v>
      </c>
      <c r="EI209" s="229">
        <v>0.59589999999999999</v>
      </c>
      <c r="EJ209" s="231">
        <v>59295.839999999997</v>
      </c>
      <c r="EK209" s="231">
        <v>38963.870000000003</v>
      </c>
      <c r="EL209" s="231">
        <v>173873.08</v>
      </c>
      <c r="EM209" s="231">
        <v>11074</v>
      </c>
      <c r="EN209" s="231">
        <v>272132.78999999998</v>
      </c>
      <c r="EO209" s="231">
        <v>326188.34000000003</v>
      </c>
      <c r="EP209" s="231">
        <v>-54055.55</v>
      </c>
      <c r="EQ209" s="229">
        <v>-0.16569999999999999</v>
      </c>
      <c r="ER209" s="231">
        <v>56265</v>
      </c>
      <c r="ES209" s="231">
        <v>39135</v>
      </c>
      <c r="ET209" s="231">
        <v>236842</v>
      </c>
      <c r="EU209" s="231">
        <v>205761118</v>
      </c>
      <c r="EV209" s="231">
        <v>332242</v>
      </c>
      <c r="EW209" s="231">
        <v>330031</v>
      </c>
      <c r="EX209" s="231">
        <v>2211</v>
      </c>
      <c r="EY209" s="229">
        <v>6.7000000000000002E-3</v>
      </c>
      <c r="EZ209" s="229">
        <v>0.32929999999999998</v>
      </c>
      <c r="FA209" s="227" t="s">
        <v>556</v>
      </c>
      <c r="FB209" s="161">
        <f t="shared" si="5"/>
        <v>0</v>
      </c>
    </row>
    <row r="210" spans="1:158" ht="17.25" thickBot="1" x14ac:dyDescent="0.3">
      <c r="A210" s="226">
        <v>46044</v>
      </c>
      <c r="B210" s="227" t="s">
        <v>227</v>
      </c>
      <c r="C210" s="227" t="s">
        <v>304</v>
      </c>
      <c r="D210" s="228">
        <v>1150</v>
      </c>
      <c r="E210" s="228">
        <v>677.7</v>
      </c>
      <c r="F210" s="228">
        <v>677.4</v>
      </c>
      <c r="G210" s="228">
        <v>0.3</v>
      </c>
      <c r="H210" s="229">
        <v>4.0000000000000002E-4</v>
      </c>
      <c r="I210" s="228">
        <v>678.65</v>
      </c>
      <c r="J210" s="228">
        <v>676.65</v>
      </c>
      <c r="K210" s="228">
        <v>2</v>
      </c>
      <c r="L210" s="229">
        <v>3.0000000000000001E-3</v>
      </c>
      <c r="M210" s="228">
        <v>677.7</v>
      </c>
      <c r="N210" s="228">
        <v>677.4</v>
      </c>
      <c r="O210" s="228">
        <v>0.3</v>
      </c>
      <c r="P210" s="229">
        <v>4.0000000000000002E-4</v>
      </c>
      <c r="Q210" s="228">
        <v>681.2</v>
      </c>
      <c r="R210" s="228">
        <v>680.8</v>
      </c>
      <c r="S210" s="228">
        <v>0.4</v>
      </c>
      <c r="T210" s="229">
        <v>5.9999999999999995E-4</v>
      </c>
      <c r="U210" s="228">
        <v>680.95</v>
      </c>
      <c r="V210" s="228">
        <v>679.1</v>
      </c>
      <c r="W210" s="228">
        <v>1.85</v>
      </c>
      <c r="X210" s="229">
        <v>2.7000000000000001E-3</v>
      </c>
      <c r="Y210" s="228">
        <v>-0.95</v>
      </c>
      <c r="Z210" s="228">
        <v>0.75</v>
      </c>
      <c r="AA210" s="228">
        <v>-1.7</v>
      </c>
      <c r="AB210" s="229">
        <v>-1.4E-3</v>
      </c>
      <c r="AC210" s="228">
        <v>-0.95</v>
      </c>
      <c r="AD210" s="228">
        <v>0.75</v>
      </c>
      <c r="AE210" s="228">
        <v>-1.7</v>
      </c>
      <c r="AF210" s="229">
        <v>-1.4E-3</v>
      </c>
      <c r="AG210" s="228">
        <v>2.5499999999999998</v>
      </c>
      <c r="AH210" s="228">
        <v>4.1500000000000004</v>
      </c>
      <c r="AI210" s="228">
        <v>-1.6</v>
      </c>
      <c r="AJ210" s="229">
        <v>3.8E-3</v>
      </c>
      <c r="AK210" s="228">
        <v>2.2999999999999998</v>
      </c>
      <c r="AL210" s="228">
        <v>2.4500000000000002</v>
      </c>
      <c r="AM210" s="228">
        <v>-0.15</v>
      </c>
      <c r="AN210" s="229">
        <v>3.3999999999999998E-3</v>
      </c>
      <c r="AO210" s="228">
        <v>678.14</v>
      </c>
      <c r="AP210" s="228">
        <v>681.33</v>
      </c>
      <c r="AQ210" s="228">
        <v>0</v>
      </c>
      <c r="AR210" s="230">
        <v>59865550</v>
      </c>
      <c r="AS210" s="230">
        <v>59280200</v>
      </c>
      <c r="AT210" s="230">
        <v>585350</v>
      </c>
      <c r="AU210" s="229">
        <v>9.9000000000000008E-3</v>
      </c>
      <c r="AV210" s="230">
        <v>33588050</v>
      </c>
      <c r="AW210" s="230">
        <v>32796850</v>
      </c>
      <c r="AX210" s="230">
        <v>791200</v>
      </c>
      <c r="AY210" s="229">
        <v>2.41E-2</v>
      </c>
      <c r="AZ210" s="230">
        <v>25487450</v>
      </c>
      <c r="BA210" s="230">
        <v>25657650</v>
      </c>
      <c r="BB210" s="230">
        <v>-170200</v>
      </c>
      <c r="BC210" s="229">
        <v>-6.6E-3</v>
      </c>
      <c r="BD210" s="230">
        <v>790050</v>
      </c>
      <c r="BE210" s="230">
        <v>825700</v>
      </c>
      <c r="BF210" s="230">
        <v>-35650</v>
      </c>
      <c r="BG210" s="229">
        <v>-4.3200000000000002E-2</v>
      </c>
      <c r="BH210" s="230">
        <v>179199900</v>
      </c>
      <c r="BI210" s="230">
        <v>197054800</v>
      </c>
      <c r="BJ210" s="230">
        <v>-17854900</v>
      </c>
      <c r="BK210" s="229">
        <v>-9.06E-2</v>
      </c>
      <c r="BL210" s="230">
        <v>93620350</v>
      </c>
      <c r="BM210" s="230">
        <v>77607750</v>
      </c>
      <c r="BN210" s="230">
        <v>16012600</v>
      </c>
      <c r="BO210" s="229">
        <v>0.20630000000000001</v>
      </c>
      <c r="BP210" s="230">
        <v>332685800</v>
      </c>
      <c r="BQ210" s="230">
        <v>333942750</v>
      </c>
      <c r="BR210" s="230">
        <v>-1256950</v>
      </c>
      <c r="BS210" s="229">
        <v>-3.8E-3</v>
      </c>
      <c r="BT210" s="230">
        <v>20406420</v>
      </c>
      <c r="BU210" s="230">
        <v>17253564</v>
      </c>
      <c r="BV210" s="230">
        <v>3152856</v>
      </c>
      <c r="BW210" s="229">
        <v>0.1827</v>
      </c>
      <c r="BX210" s="230">
        <v>83664800</v>
      </c>
      <c r="BY210" s="230">
        <v>86444350</v>
      </c>
      <c r="BZ210" s="230">
        <v>-2779550</v>
      </c>
      <c r="CA210" s="229">
        <v>-3.2199999999999999E-2</v>
      </c>
      <c r="CB210" s="230">
        <v>36530900</v>
      </c>
      <c r="CC210" s="230">
        <v>54834300</v>
      </c>
      <c r="CD210" s="230">
        <v>-18303400</v>
      </c>
      <c r="CE210" s="229">
        <v>-0.33379999999999999</v>
      </c>
      <c r="CF210" s="230">
        <v>45276650</v>
      </c>
      <c r="CG210" s="230">
        <v>29706800</v>
      </c>
      <c r="CH210" s="230">
        <v>15569850</v>
      </c>
      <c r="CI210" s="229">
        <v>0.52410000000000001</v>
      </c>
      <c r="CJ210" s="230">
        <v>1857250</v>
      </c>
      <c r="CK210" s="230">
        <v>1903250</v>
      </c>
      <c r="CL210" s="230">
        <v>-46000</v>
      </c>
      <c r="CM210" s="229">
        <v>-2.4199999999999999E-2</v>
      </c>
      <c r="CN210" s="230">
        <v>59015700</v>
      </c>
      <c r="CO210" s="230">
        <v>59923050</v>
      </c>
      <c r="CP210" s="230">
        <v>-907350</v>
      </c>
      <c r="CQ210" s="229">
        <v>-1.5100000000000001E-2</v>
      </c>
      <c r="CR210" s="230">
        <v>38077650</v>
      </c>
      <c r="CS210" s="230">
        <v>39067800</v>
      </c>
      <c r="CT210" s="230">
        <v>-990150</v>
      </c>
      <c r="CU210" s="229">
        <v>-2.53E-2</v>
      </c>
      <c r="CV210" s="230">
        <v>180758150</v>
      </c>
      <c r="CW210" s="230">
        <v>185435200</v>
      </c>
      <c r="CX210" s="230">
        <v>-4677050</v>
      </c>
      <c r="CY210" s="229">
        <v>-2.52E-2</v>
      </c>
      <c r="CZ210" s="228">
        <v>38.31</v>
      </c>
      <c r="DA210" s="228">
        <v>32.29</v>
      </c>
      <c r="DB210" s="228">
        <v>6.02</v>
      </c>
      <c r="DC210" s="228">
        <v>6.02</v>
      </c>
      <c r="DD210" s="228">
        <v>36.85</v>
      </c>
      <c r="DE210" s="228">
        <v>36.950000000000003</v>
      </c>
      <c r="DF210" s="228">
        <v>1.46</v>
      </c>
      <c r="DG210" s="228">
        <v>-0.1</v>
      </c>
      <c r="DH210" s="228">
        <v>38.229999999999997</v>
      </c>
      <c r="DI210" s="228">
        <v>31.8</v>
      </c>
      <c r="DJ210" s="228">
        <v>6.43</v>
      </c>
      <c r="DK210" s="228">
        <v>6.43</v>
      </c>
      <c r="DL210" s="228">
        <v>38.47</v>
      </c>
      <c r="DM210" s="228">
        <v>33.520000000000003</v>
      </c>
      <c r="DN210" s="228">
        <v>4.95</v>
      </c>
      <c r="DO210" s="228">
        <v>4.95</v>
      </c>
      <c r="DP210" s="228">
        <v>0.65</v>
      </c>
      <c r="DQ210" s="228">
        <v>0.65</v>
      </c>
      <c r="DR210" s="228">
        <v>0</v>
      </c>
      <c r="DS210" s="229">
        <v>0</v>
      </c>
      <c r="DT210" s="228">
        <v>680</v>
      </c>
      <c r="DU210" s="228">
        <v>600</v>
      </c>
      <c r="DV210" s="228">
        <v>0.52</v>
      </c>
      <c r="DW210" s="228">
        <v>0.39</v>
      </c>
      <c r="DX210" s="228">
        <v>0.13</v>
      </c>
      <c r="DY210" s="229">
        <v>0.33329999999999999</v>
      </c>
      <c r="DZ210" s="229">
        <v>0.56340000000000001</v>
      </c>
      <c r="EA210" s="230">
        <v>31610050</v>
      </c>
      <c r="EB210" s="229">
        <v>5.1999999999999998E-3</v>
      </c>
      <c r="EC210" s="229">
        <v>0.56340000000000001</v>
      </c>
      <c r="ED210" s="228">
        <v>3.19</v>
      </c>
      <c r="EE210" s="229">
        <v>4.7000000000000002E-3</v>
      </c>
      <c r="EF210" s="230">
        <v>10108530</v>
      </c>
      <c r="EG210" s="230">
        <v>7577251</v>
      </c>
      <c r="EH210" s="229">
        <v>0.33410000000000001</v>
      </c>
      <c r="EI210" s="229">
        <v>0.49540000000000001</v>
      </c>
      <c r="EJ210" s="231">
        <v>1261243.43</v>
      </c>
      <c r="EK210" s="231">
        <v>622822.30000000005</v>
      </c>
      <c r="EL210" s="231">
        <v>406815.37</v>
      </c>
      <c r="EM210" s="231">
        <v>30974</v>
      </c>
      <c r="EN210" s="231">
        <v>2290881.1</v>
      </c>
      <c r="EO210" s="231">
        <v>2283640.0499999998</v>
      </c>
      <c r="EP210" s="231">
        <v>7241.05</v>
      </c>
      <c r="EQ210" s="229">
        <v>3.2000000000000002E-3</v>
      </c>
      <c r="ER210" s="231">
        <v>402817</v>
      </c>
      <c r="ES210" s="231">
        <v>237022</v>
      </c>
      <c r="ET210" s="231">
        <v>568641</v>
      </c>
      <c r="EU210" s="231">
        <v>255091106</v>
      </c>
      <c r="EV210" s="231">
        <v>1208480</v>
      </c>
      <c r="EW210" s="231">
        <v>1237128</v>
      </c>
      <c r="EX210" s="231">
        <v>-28648</v>
      </c>
      <c r="EY210" s="229">
        <v>-2.3199999999999998E-2</v>
      </c>
      <c r="EZ210" s="229">
        <v>0.70860000000000001</v>
      </c>
      <c r="FA210" s="227" t="s">
        <v>556</v>
      </c>
      <c r="FB210" s="161">
        <f t="shared" si="5"/>
        <v>0</v>
      </c>
    </row>
    <row r="211" spans="1:158" ht="17.25" thickBot="1" x14ac:dyDescent="0.3">
      <c r="A211" s="226">
        <v>46044</v>
      </c>
      <c r="B211" s="227" t="s">
        <v>184</v>
      </c>
      <c r="C211" s="227" t="s">
        <v>305</v>
      </c>
      <c r="D211" s="228">
        <v>375</v>
      </c>
      <c r="E211" s="231">
        <v>1295.2</v>
      </c>
      <c r="F211" s="231">
        <v>1290.5999999999999</v>
      </c>
      <c r="G211" s="228">
        <v>4.5999999999999996</v>
      </c>
      <c r="H211" s="229">
        <v>3.5999999999999999E-3</v>
      </c>
      <c r="I211" s="231">
        <v>1293.5</v>
      </c>
      <c r="J211" s="231">
        <v>1290.5999999999999</v>
      </c>
      <c r="K211" s="228">
        <v>2.9</v>
      </c>
      <c r="L211" s="229">
        <v>2.2000000000000001E-3</v>
      </c>
      <c r="M211" s="231">
        <v>1295.2</v>
      </c>
      <c r="N211" s="231">
        <v>1290.5999999999999</v>
      </c>
      <c r="O211" s="228">
        <v>4.5999999999999996</v>
      </c>
      <c r="P211" s="229">
        <v>3.5999999999999999E-3</v>
      </c>
      <c r="Q211" s="231">
        <v>1289.0999999999999</v>
      </c>
      <c r="R211" s="231">
        <v>1277.7</v>
      </c>
      <c r="S211" s="228">
        <v>11.4</v>
      </c>
      <c r="T211" s="229">
        <v>8.8999999999999999E-3</v>
      </c>
      <c r="U211" s="231">
        <v>1284</v>
      </c>
      <c r="V211" s="231">
        <v>1272.4000000000001</v>
      </c>
      <c r="W211" s="228">
        <v>11.6</v>
      </c>
      <c r="X211" s="229">
        <v>9.1000000000000004E-3</v>
      </c>
      <c r="Y211" s="228">
        <v>1.7</v>
      </c>
      <c r="Z211" s="228">
        <v>0</v>
      </c>
      <c r="AA211" s="228">
        <v>1.7</v>
      </c>
      <c r="AB211" s="229">
        <v>1.2999999999999999E-3</v>
      </c>
      <c r="AC211" s="228">
        <v>1.7</v>
      </c>
      <c r="AD211" s="228">
        <v>0</v>
      </c>
      <c r="AE211" s="228">
        <v>1.7</v>
      </c>
      <c r="AF211" s="229">
        <v>1.2999999999999999E-3</v>
      </c>
      <c r="AG211" s="228">
        <v>-4.4000000000000004</v>
      </c>
      <c r="AH211" s="228">
        <v>-12.9</v>
      </c>
      <c r="AI211" s="228">
        <v>8.5</v>
      </c>
      <c r="AJ211" s="229">
        <v>-3.3999999999999998E-3</v>
      </c>
      <c r="AK211" s="228">
        <v>-9.5</v>
      </c>
      <c r="AL211" s="228">
        <v>-18.2</v>
      </c>
      <c r="AM211" s="228">
        <v>8.6999999999999993</v>
      </c>
      <c r="AN211" s="229">
        <v>-7.3000000000000001E-3</v>
      </c>
      <c r="AO211" s="231">
        <v>1292.3399999999999</v>
      </c>
      <c r="AP211" s="231">
        <v>1280.1099999999999</v>
      </c>
      <c r="AQ211" s="228">
        <v>0</v>
      </c>
      <c r="AR211" s="230">
        <v>11913375</v>
      </c>
      <c r="AS211" s="230">
        <v>11203125</v>
      </c>
      <c r="AT211" s="230">
        <v>710250</v>
      </c>
      <c r="AU211" s="229">
        <v>6.3399999999999998E-2</v>
      </c>
      <c r="AV211" s="230">
        <v>5641500</v>
      </c>
      <c r="AW211" s="230">
        <v>5607000</v>
      </c>
      <c r="AX211" s="230">
        <v>34500</v>
      </c>
      <c r="AY211" s="229">
        <v>6.1999999999999998E-3</v>
      </c>
      <c r="AZ211" s="230">
        <v>6246750</v>
      </c>
      <c r="BA211" s="230">
        <v>5535000</v>
      </c>
      <c r="BB211" s="230">
        <v>711750</v>
      </c>
      <c r="BC211" s="229">
        <v>0.12859999999999999</v>
      </c>
      <c r="BD211" s="230">
        <v>25125</v>
      </c>
      <c r="BE211" s="230">
        <v>61125</v>
      </c>
      <c r="BF211" s="230">
        <v>-36000</v>
      </c>
      <c r="BG211" s="229">
        <v>-0.58899999999999997</v>
      </c>
      <c r="BH211" s="230">
        <v>5698875</v>
      </c>
      <c r="BI211" s="230">
        <v>13687875</v>
      </c>
      <c r="BJ211" s="230">
        <v>-7989000</v>
      </c>
      <c r="BK211" s="229">
        <v>-0.5837</v>
      </c>
      <c r="BL211" s="230">
        <v>3523125</v>
      </c>
      <c r="BM211" s="230">
        <v>10842000</v>
      </c>
      <c r="BN211" s="230">
        <v>-7318875</v>
      </c>
      <c r="BO211" s="229">
        <v>-0.67500000000000004</v>
      </c>
      <c r="BP211" s="230">
        <v>21135375</v>
      </c>
      <c r="BQ211" s="230">
        <v>35733000</v>
      </c>
      <c r="BR211" s="230">
        <v>-14597625</v>
      </c>
      <c r="BS211" s="229">
        <v>-0.40849999999999997</v>
      </c>
      <c r="BT211" s="230">
        <v>755774</v>
      </c>
      <c r="BU211" s="230">
        <v>895703</v>
      </c>
      <c r="BV211" s="230">
        <v>-139929</v>
      </c>
      <c r="BW211" s="229">
        <v>-0.15620000000000001</v>
      </c>
      <c r="BX211" s="230">
        <v>12573000</v>
      </c>
      <c r="BY211" s="230">
        <v>12178125</v>
      </c>
      <c r="BZ211" s="230">
        <v>394875</v>
      </c>
      <c r="CA211" s="229">
        <v>3.2399999999999998E-2</v>
      </c>
      <c r="CB211" s="230">
        <v>4381125</v>
      </c>
      <c r="CC211" s="230">
        <v>7524750</v>
      </c>
      <c r="CD211" s="230">
        <v>-3143625</v>
      </c>
      <c r="CE211" s="229">
        <v>-0.4178</v>
      </c>
      <c r="CF211" s="230">
        <v>8089500</v>
      </c>
      <c r="CG211" s="230">
        <v>4555500</v>
      </c>
      <c r="CH211" s="230">
        <v>3534000</v>
      </c>
      <c r="CI211" s="229">
        <v>0.77580000000000005</v>
      </c>
      <c r="CJ211" s="230">
        <v>102375</v>
      </c>
      <c r="CK211" s="230">
        <v>97875</v>
      </c>
      <c r="CL211" s="230">
        <v>4500</v>
      </c>
      <c r="CM211" s="229">
        <v>4.5999999999999999E-2</v>
      </c>
      <c r="CN211" s="230">
        <v>4411125</v>
      </c>
      <c r="CO211" s="230">
        <v>4719750</v>
      </c>
      <c r="CP211" s="230">
        <v>-308625</v>
      </c>
      <c r="CQ211" s="229">
        <v>-6.54E-2</v>
      </c>
      <c r="CR211" s="230">
        <v>3405375</v>
      </c>
      <c r="CS211" s="230">
        <v>3379875</v>
      </c>
      <c r="CT211" s="230">
        <v>25500</v>
      </c>
      <c r="CU211" s="229">
        <v>7.4999999999999997E-3</v>
      </c>
      <c r="CV211" s="230">
        <v>20389500</v>
      </c>
      <c r="CW211" s="230">
        <v>20277750</v>
      </c>
      <c r="CX211" s="230">
        <v>111750</v>
      </c>
      <c r="CY211" s="229">
        <v>5.4999999999999997E-3</v>
      </c>
      <c r="CZ211" s="228">
        <v>35.65</v>
      </c>
      <c r="DA211" s="228">
        <v>29.19</v>
      </c>
      <c r="DB211" s="228">
        <v>6.46</v>
      </c>
      <c r="DC211" s="228">
        <v>6.46</v>
      </c>
      <c r="DD211" s="228">
        <v>36.44</v>
      </c>
      <c r="DE211" s="228">
        <v>36.53</v>
      </c>
      <c r="DF211" s="228">
        <v>-0.79</v>
      </c>
      <c r="DG211" s="228">
        <v>-0.09</v>
      </c>
      <c r="DH211" s="228">
        <v>35.58</v>
      </c>
      <c r="DI211" s="228">
        <v>30.82</v>
      </c>
      <c r="DJ211" s="228">
        <v>4.76</v>
      </c>
      <c r="DK211" s="228">
        <v>4.76</v>
      </c>
      <c r="DL211" s="228">
        <v>35.799999999999997</v>
      </c>
      <c r="DM211" s="228">
        <v>27.13</v>
      </c>
      <c r="DN211" s="228">
        <v>8.67</v>
      </c>
      <c r="DO211" s="228">
        <v>8.67</v>
      </c>
      <c r="DP211" s="228">
        <v>0.77</v>
      </c>
      <c r="DQ211" s="228">
        <v>0.72</v>
      </c>
      <c r="DR211" s="228">
        <v>0.05</v>
      </c>
      <c r="DS211" s="229">
        <v>6.9400000000000003E-2</v>
      </c>
      <c r="DT211" s="231">
        <v>1340</v>
      </c>
      <c r="DU211" s="231">
        <v>1260</v>
      </c>
      <c r="DV211" s="228">
        <v>0.62</v>
      </c>
      <c r="DW211" s="228">
        <v>0.79</v>
      </c>
      <c r="DX211" s="228">
        <v>-0.17</v>
      </c>
      <c r="DY211" s="229">
        <v>-0.2152</v>
      </c>
      <c r="DZ211" s="229">
        <v>0.65149999999999997</v>
      </c>
      <c r="EA211" s="230">
        <v>4653375</v>
      </c>
      <c r="EB211" s="229">
        <v>-4.7000000000000002E-3</v>
      </c>
      <c r="EC211" s="229">
        <v>0.65149999999999997</v>
      </c>
      <c r="ED211" s="228">
        <v>-12.23</v>
      </c>
      <c r="EE211" s="229">
        <v>-9.4999999999999998E-3</v>
      </c>
      <c r="EF211" s="230">
        <v>326298</v>
      </c>
      <c r="EG211" s="230">
        <v>279624</v>
      </c>
      <c r="EH211" s="229">
        <v>0.16689999999999999</v>
      </c>
      <c r="EI211" s="229">
        <v>0.43169999999999997</v>
      </c>
      <c r="EJ211" s="231">
        <v>77676.02</v>
      </c>
      <c r="EK211" s="231">
        <v>45315.97</v>
      </c>
      <c r="EL211" s="231">
        <v>153192.98000000001</v>
      </c>
      <c r="EM211" s="231">
        <v>12787</v>
      </c>
      <c r="EN211" s="231">
        <v>276184.96999999997</v>
      </c>
      <c r="EO211" s="231">
        <v>471291.47</v>
      </c>
      <c r="EP211" s="231">
        <v>-195106.5</v>
      </c>
      <c r="EQ211" s="229">
        <v>-0.41399999999999998</v>
      </c>
      <c r="ER211" s="231">
        <v>62654</v>
      </c>
      <c r="ES211" s="231">
        <v>44722</v>
      </c>
      <c r="ET211" s="231">
        <v>162341</v>
      </c>
      <c r="EU211" s="231">
        <v>34594689</v>
      </c>
      <c r="EV211" s="231">
        <v>269716</v>
      </c>
      <c r="EW211" s="231">
        <v>268360</v>
      </c>
      <c r="EX211" s="231">
        <v>1356</v>
      </c>
      <c r="EY211" s="229">
        <v>5.1000000000000004E-3</v>
      </c>
      <c r="EZ211" s="229">
        <v>0.58940000000000003</v>
      </c>
      <c r="FA211" s="227" t="s">
        <v>555</v>
      </c>
      <c r="FB211" s="161">
        <f t="shared" si="5"/>
        <v>0</v>
      </c>
    </row>
    <row r="212" spans="1:158" ht="17.25" thickBot="1" x14ac:dyDescent="0.3">
      <c r="A212" s="226">
        <v>46044</v>
      </c>
      <c r="B212" s="227" t="s">
        <v>184</v>
      </c>
      <c r="C212" s="227" t="s">
        <v>692</v>
      </c>
      <c r="D212" s="228">
        <v>175</v>
      </c>
      <c r="E212" s="231">
        <v>2649.5</v>
      </c>
      <c r="F212" s="231">
        <v>2427.4</v>
      </c>
      <c r="G212" s="228">
        <v>222.1</v>
      </c>
      <c r="H212" s="229">
        <v>9.1499999999999998E-2</v>
      </c>
      <c r="I212" s="231">
        <v>2641.7</v>
      </c>
      <c r="J212" s="231">
        <v>2419</v>
      </c>
      <c r="K212" s="228">
        <v>222.7</v>
      </c>
      <c r="L212" s="229">
        <v>9.2100000000000001E-2</v>
      </c>
      <c r="M212" s="231">
        <v>2649.5</v>
      </c>
      <c r="N212" s="231">
        <v>2427.4</v>
      </c>
      <c r="O212" s="228">
        <v>222.1</v>
      </c>
      <c r="P212" s="229">
        <v>9.1499999999999998E-2</v>
      </c>
      <c r="Q212" s="231">
        <v>2660.3</v>
      </c>
      <c r="R212" s="231">
        <v>2424.3000000000002</v>
      </c>
      <c r="S212" s="228">
        <v>236</v>
      </c>
      <c r="T212" s="229">
        <v>9.7299999999999998E-2</v>
      </c>
      <c r="U212" s="231">
        <v>2663.2</v>
      </c>
      <c r="V212" s="231">
        <v>2427.6</v>
      </c>
      <c r="W212" s="228">
        <v>235.6</v>
      </c>
      <c r="X212" s="229">
        <v>9.7100000000000006E-2</v>
      </c>
      <c r="Y212" s="228">
        <v>7.8</v>
      </c>
      <c r="Z212" s="228">
        <v>8.4</v>
      </c>
      <c r="AA212" s="228">
        <v>-0.6</v>
      </c>
      <c r="AB212" s="229">
        <v>3.0000000000000001E-3</v>
      </c>
      <c r="AC212" s="228">
        <v>7.8</v>
      </c>
      <c r="AD212" s="228">
        <v>8.4</v>
      </c>
      <c r="AE212" s="228">
        <v>-0.6</v>
      </c>
      <c r="AF212" s="229">
        <v>3.0000000000000001E-3</v>
      </c>
      <c r="AG212" s="228">
        <v>18.600000000000001</v>
      </c>
      <c r="AH212" s="228">
        <v>5.3</v>
      </c>
      <c r="AI212" s="228">
        <v>13.3</v>
      </c>
      <c r="AJ212" s="229">
        <v>7.0000000000000001E-3</v>
      </c>
      <c r="AK212" s="228">
        <v>21.5</v>
      </c>
      <c r="AL212" s="228">
        <v>8.6</v>
      </c>
      <c r="AM212" s="228">
        <v>12.9</v>
      </c>
      <c r="AN212" s="229">
        <v>8.0999999999999996E-3</v>
      </c>
      <c r="AO212" s="231">
        <v>2646.31</v>
      </c>
      <c r="AP212" s="231">
        <v>2642.05</v>
      </c>
      <c r="AQ212" s="228">
        <v>0</v>
      </c>
      <c r="AR212" s="230">
        <v>6865425</v>
      </c>
      <c r="AS212" s="230">
        <v>2777950</v>
      </c>
      <c r="AT212" s="230">
        <v>4087475</v>
      </c>
      <c r="AU212" s="229">
        <v>1.4714</v>
      </c>
      <c r="AV212" s="230">
        <v>4337025</v>
      </c>
      <c r="AW212" s="230">
        <v>1650250</v>
      </c>
      <c r="AX212" s="230">
        <v>2686775</v>
      </c>
      <c r="AY212" s="229">
        <v>1.6281000000000001</v>
      </c>
      <c r="AZ212" s="230">
        <v>2486225</v>
      </c>
      <c r="BA212" s="230">
        <v>1092700</v>
      </c>
      <c r="BB212" s="230">
        <v>1393525</v>
      </c>
      <c r="BC212" s="229">
        <v>1.2753000000000001</v>
      </c>
      <c r="BD212" s="230">
        <v>42175</v>
      </c>
      <c r="BE212" s="230">
        <v>35000</v>
      </c>
      <c r="BF212" s="230">
        <v>7175</v>
      </c>
      <c r="BG212" s="229">
        <v>0.20499999999999999</v>
      </c>
      <c r="BH212" s="230">
        <v>34669425</v>
      </c>
      <c r="BI212" s="230">
        <v>4432575</v>
      </c>
      <c r="BJ212" s="230">
        <v>30236850</v>
      </c>
      <c r="BK212" s="229">
        <v>6.8215000000000003</v>
      </c>
      <c r="BL212" s="230">
        <v>13375600</v>
      </c>
      <c r="BM212" s="230">
        <v>3679725</v>
      </c>
      <c r="BN212" s="230">
        <v>9695875</v>
      </c>
      <c r="BO212" s="229">
        <v>2.6349</v>
      </c>
      <c r="BP212" s="230">
        <v>54910450</v>
      </c>
      <c r="BQ212" s="230">
        <v>10890250</v>
      </c>
      <c r="BR212" s="230">
        <v>44020200</v>
      </c>
      <c r="BS212" s="229">
        <v>4.0422000000000002</v>
      </c>
      <c r="BT212" s="230">
        <v>9970347</v>
      </c>
      <c r="BU212" s="230">
        <v>1765392</v>
      </c>
      <c r="BV212" s="230">
        <v>8204955</v>
      </c>
      <c r="BW212" s="229">
        <v>4.6477000000000004</v>
      </c>
      <c r="BX212" s="230">
        <v>2780925</v>
      </c>
      <c r="BY212" s="230">
        <v>3029075</v>
      </c>
      <c r="BZ212" s="230">
        <v>-248150</v>
      </c>
      <c r="CA212" s="229">
        <v>-8.1900000000000001E-2</v>
      </c>
      <c r="CB212" s="230">
        <v>1095850</v>
      </c>
      <c r="CC212" s="230">
        <v>1893325</v>
      </c>
      <c r="CD212" s="230">
        <v>-797475</v>
      </c>
      <c r="CE212" s="229">
        <v>-0.42120000000000002</v>
      </c>
      <c r="CF212" s="230">
        <v>1628025</v>
      </c>
      <c r="CG212" s="230">
        <v>1072750</v>
      </c>
      <c r="CH212" s="230">
        <v>555275</v>
      </c>
      <c r="CI212" s="229">
        <v>0.51759999999999995</v>
      </c>
      <c r="CJ212" s="230">
        <v>57050</v>
      </c>
      <c r="CK212" s="230">
        <v>63000</v>
      </c>
      <c r="CL212" s="230">
        <v>-5950</v>
      </c>
      <c r="CM212" s="229">
        <v>-9.4399999999999998E-2</v>
      </c>
      <c r="CN212" s="230">
        <v>2912875</v>
      </c>
      <c r="CO212" s="230">
        <v>2769025</v>
      </c>
      <c r="CP212" s="230">
        <v>143850</v>
      </c>
      <c r="CQ212" s="229">
        <v>5.1900000000000002E-2</v>
      </c>
      <c r="CR212" s="230">
        <v>1691900</v>
      </c>
      <c r="CS212" s="230">
        <v>1395100</v>
      </c>
      <c r="CT212" s="230">
        <v>296800</v>
      </c>
      <c r="CU212" s="229">
        <v>0.2127</v>
      </c>
      <c r="CV212" s="230">
        <v>7385700</v>
      </c>
      <c r="CW212" s="230">
        <v>7193200</v>
      </c>
      <c r="CX212" s="230">
        <v>192500</v>
      </c>
      <c r="CY212" s="229">
        <v>2.6800000000000001E-2</v>
      </c>
      <c r="CZ212" s="228">
        <v>45.51</v>
      </c>
      <c r="DA212" s="228">
        <v>71.540000000000006</v>
      </c>
      <c r="DB212" s="228">
        <v>-26.03</v>
      </c>
      <c r="DC212" s="228">
        <v>-26.03</v>
      </c>
      <c r="DD212" s="228">
        <v>50.21</v>
      </c>
      <c r="DE212" s="228">
        <v>48.92</v>
      </c>
      <c r="DF212" s="228">
        <v>-4.7</v>
      </c>
      <c r="DG212" s="228">
        <v>1.29</v>
      </c>
      <c r="DH212" s="228">
        <v>45.1</v>
      </c>
      <c r="DI212" s="228">
        <v>69.94</v>
      </c>
      <c r="DJ212" s="228">
        <v>-24.84</v>
      </c>
      <c r="DK212" s="228">
        <v>-24.84</v>
      </c>
      <c r="DL212" s="228">
        <v>46.55</v>
      </c>
      <c r="DM212" s="228">
        <v>73.48</v>
      </c>
      <c r="DN212" s="228">
        <v>-26.93</v>
      </c>
      <c r="DO212" s="228">
        <v>-26.93</v>
      </c>
      <c r="DP212" s="228">
        <v>0.57999999999999996</v>
      </c>
      <c r="DQ212" s="228">
        <v>0.5</v>
      </c>
      <c r="DR212" s="228">
        <v>0.08</v>
      </c>
      <c r="DS212" s="229">
        <v>0.16</v>
      </c>
      <c r="DT212" s="231">
        <v>3000</v>
      </c>
      <c r="DU212" s="231">
        <v>2400</v>
      </c>
      <c r="DV212" s="228">
        <v>0.39</v>
      </c>
      <c r="DW212" s="228">
        <v>0.83</v>
      </c>
      <c r="DX212" s="228">
        <v>-0.44</v>
      </c>
      <c r="DY212" s="229">
        <v>-0.53010000000000002</v>
      </c>
      <c r="DZ212" s="229">
        <v>0.60589999999999999</v>
      </c>
      <c r="EA212" s="230">
        <v>1135750</v>
      </c>
      <c r="EB212" s="229">
        <v>4.1000000000000003E-3</v>
      </c>
      <c r="EC212" s="229">
        <v>0.60589999999999999</v>
      </c>
      <c r="ED212" s="228">
        <v>-4.26</v>
      </c>
      <c r="EE212" s="229">
        <v>-1.6000000000000001E-3</v>
      </c>
      <c r="EF212" s="230">
        <v>1170768</v>
      </c>
      <c r="EG212" s="230">
        <v>364693</v>
      </c>
      <c r="EH212" s="229">
        <v>2.2103000000000002</v>
      </c>
      <c r="EI212" s="229">
        <v>0.1174</v>
      </c>
      <c r="EJ212" s="231">
        <v>973060.09</v>
      </c>
      <c r="EK212" s="231">
        <v>340689.53</v>
      </c>
      <c r="EL212" s="231">
        <v>181573.23</v>
      </c>
      <c r="EM212" s="231">
        <v>7555</v>
      </c>
      <c r="EN212" s="231">
        <v>1495322.85</v>
      </c>
      <c r="EO212" s="231">
        <v>276381.82</v>
      </c>
      <c r="EP212" s="231">
        <v>1218941.03</v>
      </c>
      <c r="EQ212" s="229">
        <v>4.4104000000000001</v>
      </c>
      <c r="ER212" s="231">
        <v>82868</v>
      </c>
      <c r="ES212" s="231">
        <v>42539</v>
      </c>
      <c r="ET212" s="231">
        <v>73864</v>
      </c>
      <c r="EU212" s="231">
        <v>15436318</v>
      </c>
      <c r="EV212" s="231">
        <v>199271</v>
      </c>
      <c r="EW212" s="231">
        <v>185492</v>
      </c>
      <c r="EX212" s="231">
        <v>13779</v>
      </c>
      <c r="EY212" s="229">
        <v>7.4300000000000005E-2</v>
      </c>
      <c r="EZ212" s="229">
        <v>0.47849999999999998</v>
      </c>
      <c r="FA212" s="227" t="s">
        <v>556</v>
      </c>
      <c r="FB212" s="161">
        <f t="shared" si="5"/>
        <v>0</v>
      </c>
    </row>
    <row r="213" spans="1:158" ht="17.25" thickBot="1" x14ac:dyDescent="0.3">
      <c r="A213" s="226">
        <v>46044</v>
      </c>
      <c r="B213" s="227" t="s">
        <v>221</v>
      </c>
      <c r="C213" s="227" t="s">
        <v>306</v>
      </c>
      <c r="D213" s="228">
        <v>3000</v>
      </c>
      <c r="E213" s="228">
        <v>240.95</v>
      </c>
      <c r="F213" s="228">
        <v>240.15</v>
      </c>
      <c r="G213" s="228">
        <v>0.8</v>
      </c>
      <c r="H213" s="229">
        <v>3.3E-3</v>
      </c>
      <c r="I213" s="228">
        <v>240.65</v>
      </c>
      <c r="J213" s="228">
        <v>239.55</v>
      </c>
      <c r="K213" s="228">
        <v>1.1000000000000001</v>
      </c>
      <c r="L213" s="229">
        <v>4.5999999999999999E-3</v>
      </c>
      <c r="M213" s="228">
        <v>240.95</v>
      </c>
      <c r="N213" s="228">
        <v>240.15</v>
      </c>
      <c r="O213" s="228">
        <v>0.8</v>
      </c>
      <c r="P213" s="229">
        <v>3.3E-3</v>
      </c>
      <c r="Q213" s="228">
        <v>240.55</v>
      </c>
      <c r="R213" s="228">
        <v>238.85</v>
      </c>
      <c r="S213" s="228">
        <v>1.7</v>
      </c>
      <c r="T213" s="229">
        <v>7.1000000000000004E-3</v>
      </c>
      <c r="U213" s="228">
        <v>240.3</v>
      </c>
      <c r="V213" s="228">
        <v>238.4</v>
      </c>
      <c r="W213" s="228">
        <v>1.9</v>
      </c>
      <c r="X213" s="229">
        <v>8.0000000000000002E-3</v>
      </c>
      <c r="Y213" s="228">
        <v>0.3</v>
      </c>
      <c r="Z213" s="228">
        <v>0.6</v>
      </c>
      <c r="AA213" s="228">
        <v>-0.3</v>
      </c>
      <c r="AB213" s="229">
        <v>1.1999999999999999E-3</v>
      </c>
      <c r="AC213" s="228">
        <v>0.3</v>
      </c>
      <c r="AD213" s="228">
        <v>0.6</v>
      </c>
      <c r="AE213" s="228">
        <v>-0.3</v>
      </c>
      <c r="AF213" s="229">
        <v>1.1999999999999999E-3</v>
      </c>
      <c r="AG213" s="228">
        <v>-0.1</v>
      </c>
      <c r="AH213" s="228">
        <v>-0.7</v>
      </c>
      <c r="AI213" s="228">
        <v>0.6</v>
      </c>
      <c r="AJ213" s="229">
        <v>-4.0000000000000002E-4</v>
      </c>
      <c r="AK213" s="228">
        <v>-0.35</v>
      </c>
      <c r="AL213" s="228">
        <v>-1.1499999999999999</v>
      </c>
      <c r="AM213" s="228">
        <v>0.8</v>
      </c>
      <c r="AN213" s="229">
        <v>-1.5E-3</v>
      </c>
      <c r="AO213" s="228">
        <v>241.16</v>
      </c>
      <c r="AP213" s="228">
        <v>240.26</v>
      </c>
      <c r="AQ213" s="228">
        <v>0</v>
      </c>
      <c r="AR213" s="230">
        <v>104211000</v>
      </c>
      <c r="AS213" s="230">
        <v>121146000</v>
      </c>
      <c r="AT213" s="230">
        <v>-16935000</v>
      </c>
      <c r="AU213" s="229">
        <v>-0.13980000000000001</v>
      </c>
      <c r="AV213" s="230">
        <v>51699000</v>
      </c>
      <c r="AW213" s="230">
        <v>64032000</v>
      </c>
      <c r="AX213" s="230">
        <v>-12333000</v>
      </c>
      <c r="AY213" s="229">
        <v>-0.19259999999999999</v>
      </c>
      <c r="AZ213" s="230">
        <v>51513000</v>
      </c>
      <c r="BA213" s="230">
        <v>56400000</v>
      </c>
      <c r="BB213" s="230">
        <v>-4887000</v>
      </c>
      <c r="BC213" s="229">
        <v>-8.6599999999999996E-2</v>
      </c>
      <c r="BD213" s="230">
        <v>999000</v>
      </c>
      <c r="BE213" s="230">
        <v>714000</v>
      </c>
      <c r="BF213" s="230">
        <v>285000</v>
      </c>
      <c r="BG213" s="229">
        <v>0.3992</v>
      </c>
      <c r="BH213" s="230">
        <v>73725000</v>
      </c>
      <c r="BI213" s="230">
        <v>123174000</v>
      </c>
      <c r="BJ213" s="230">
        <v>-49449000</v>
      </c>
      <c r="BK213" s="229">
        <v>-0.40150000000000002</v>
      </c>
      <c r="BL213" s="230">
        <v>35589000</v>
      </c>
      <c r="BM213" s="230">
        <v>66855000</v>
      </c>
      <c r="BN213" s="230">
        <v>-31266000</v>
      </c>
      <c r="BO213" s="229">
        <v>-0.4677</v>
      </c>
      <c r="BP213" s="230">
        <v>213525000</v>
      </c>
      <c r="BQ213" s="230">
        <v>311175000</v>
      </c>
      <c r="BR213" s="230">
        <v>-97650000</v>
      </c>
      <c r="BS213" s="229">
        <v>-0.31380000000000002</v>
      </c>
      <c r="BT213" s="230">
        <v>8762701</v>
      </c>
      <c r="BU213" s="230">
        <v>15198710</v>
      </c>
      <c r="BV213" s="230">
        <v>-6436009</v>
      </c>
      <c r="BW213" s="229">
        <v>-0.42349999999999999</v>
      </c>
      <c r="BX213" s="230">
        <v>170223000</v>
      </c>
      <c r="BY213" s="230">
        <v>169866000</v>
      </c>
      <c r="BZ213" s="230">
        <v>357000</v>
      </c>
      <c r="CA213" s="229">
        <v>2.0999999999999999E-3</v>
      </c>
      <c r="CB213" s="230">
        <v>59547000</v>
      </c>
      <c r="CC213" s="230">
        <v>90048000</v>
      </c>
      <c r="CD213" s="230">
        <v>-30501000</v>
      </c>
      <c r="CE213" s="229">
        <v>-0.3387</v>
      </c>
      <c r="CF213" s="230">
        <v>108531000</v>
      </c>
      <c r="CG213" s="230">
        <v>77856000</v>
      </c>
      <c r="CH213" s="230">
        <v>30675000</v>
      </c>
      <c r="CI213" s="229">
        <v>0.39400000000000002</v>
      </c>
      <c r="CJ213" s="230">
        <v>2145000</v>
      </c>
      <c r="CK213" s="230">
        <v>1962000</v>
      </c>
      <c r="CL213" s="230">
        <v>183000</v>
      </c>
      <c r="CM213" s="229">
        <v>9.3299999999999994E-2</v>
      </c>
      <c r="CN213" s="230">
        <v>83181000</v>
      </c>
      <c r="CO213" s="230">
        <v>87252000</v>
      </c>
      <c r="CP213" s="230">
        <v>-4071000</v>
      </c>
      <c r="CQ213" s="229">
        <v>-4.6699999999999998E-2</v>
      </c>
      <c r="CR213" s="230">
        <v>43749000</v>
      </c>
      <c r="CS213" s="230">
        <v>45567000</v>
      </c>
      <c r="CT213" s="230">
        <v>-1818000</v>
      </c>
      <c r="CU213" s="229">
        <v>-3.9899999999999998E-2</v>
      </c>
      <c r="CV213" s="230">
        <v>297153000</v>
      </c>
      <c r="CW213" s="230">
        <v>302685000</v>
      </c>
      <c r="CX213" s="230">
        <v>-5532000</v>
      </c>
      <c r="CY213" s="229">
        <v>-1.83E-2</v>
      </c>
      <c r="CZ213" s="228">
        <v>25.27</v>
      </c>
      <c r="DA213" s="228">
        <v>24.22</v>
      </c>
      <c r="DB213" s="228">
        <v>1.05</v>
      </c>
      <c r="DC213" s="228">
        <v>1.05</v>
      </c>
      <c r="DD213" s="228">
        <v>31.16</v>
      </c>
      <c r="DE213" s="228">
        <v>31.23</v>
      </c>
      <c r="DF213" s="228">
        <v>-5.89</v>
      </c>
      <c r="DG213" s="228">
        <v>-7.0000000000000007E-2</v>
      </c>
      <c r="DH213" s="228">
        <v>25.57</v>
      </c>
      <c r="DI213" s="228">
        <v>25.7</v>
      </c>
      <c r="DJ213" s="228">
        <v>-0.13</v>
      </c>
      <c r="DK213" s="228">
        <v>-0.13</v>
      </c>
      <c r="DL213" s="228">
        <v>24.76</v>
      </c>
      <c r="DM213" s="228">
        <v>21.51</v>
      </c>
      <c r="DN213" s="228">
        <v>3.25</v>
      </c>
      <c r="DO213" s="228">
        <v>3.25</v>
      </c>
      <c r="DP213" s="228">
        <v>0.53</v>
      </c>
      <c r="DQ213" s="228">
        <v>0.52</v>
      </c>
      <c r="DR213" s="228">
        <v>0.01</v>
      </c>
      <c r="DS213" s="229">
        <v>1.9199999999999998E-2</v>
      </c>
      <c r="DT213" s="228">
        <v>250</v>
      </c>
      <c r="DU213" s="228">
        <v>250</v>
      </c>
      <c r="DV213" s="228">
        <v>0.48</v>
      </c>
      <c r="DW213" s="228">
        <v>0.54</v>
      </c>
      <c r="DX213" s="228">
        <v>-0.06</v>
      </c>
      <c r="DY213" s="229">
        <v>-0.1111</v>
      </c>
      <c r="DZ213" s="229">
        <v>0.6502</v>
      </c>
      <c r="EA213" s="230">
        <v>79818000</v>
      </c>
      <c r="EB213" s="229">
        <v>-1.6999999999999999E-3</v>
      </c>
      <c r="EC213" s="229">
        <v>0.6502</v>
      </c>
      <c r="ED213" s="228">
        <v>-0.9</v>
      </c>
      <c r="EE213" s="229">
        <v>-3.7000000000000002E-3</v>
      </c>
      <c r="EF213" s="230">
        <v>4510591</v>
      </c>
      <c r="EG213" s="230">
        <v>6541880</v>
      </c>
      <c r="EH213" s="229">
        <v>-0.3105</v>
      </c>
      <c r="EI213" s="229">
        <v>0.51470000000000005</v>
      </c>
      <c r="EJ213" s="231">
        <v>184947.65</v>
      </c>
      <c r="EK213" s="231">
        <v>87087.76</v>
      </c>
      <c r="EL213" s="231">
        <v>250843.67</v>
      </c>
      <c r="EM213" s="231">
        <v>30333</v>
      </c>
      <c r="EN213" s="231">
        <v>522879.08</v>
      </c>
      <c r="EO213" s="231">
        <v>762209.96</v>
      </c>
      <c r="EP213" s="231">
        <v>-239330.88</v>
      </c>
      <c r="EQ213" s="229">
        <v>-0.314</v>
      </c>
      <c r="ER213" s="231">
        <v>217999</v>
      </c>
      <c r="ES213" s="231">
        <v>107750</v>
      </c>
      <c r="ET213" s="231">
        <v>409704</v>
      </c>
      <c r="EU213" s="231">
        <v>358423198</v>
      </c>
      <c r="EV213" s="231">
        <v>735454</v>
      </c>
      <c r="EW213" s="231">
        <v>747783</v>
      </c>
      <c r="EX213" s="231">
        <v>-12329</v>
      </c>
      <c r="EY213" s="229">
        <v>-1.6500000000000001E-2</v>
      </c>
      <c r="EZ213" s="229">
        <v>0.82909999999999995</v>
      </c>
      <c r="FA213" s="227" t="s">
        <v>555</v>
      </c>
      <c r="FB213" s="161">
        <f t="shared" si="5"/>
        <v>0</v>
      </c>
    </row>
    <row r="214" spans="1:158" ht="17.25" thickBot="1" x14ac:dyDescent="0.3">
      <c r="A214" s="226">
        <v>46044</v>
      </c>
      <c r="B214" s="227" t="s">
        <v>172</v>
      </c>
      <c r="C214" s="227" t="s">
        <v>590</v>
      </c>
      <c r="D214" s="228">
        <v>31100</v>
      </c>
      <c r="E214" s="228">
        <v>21.64</v>
      </c>
      <c r="F214" s="228">
        <v>21.64</v>
      </c>
      <c r="G214" s="228">
        <v>0</v>
      </c>
      <c r="H214" s="229">
        <v>0</v>
      </c>
      <c r="I214" s="228">
        <v>21.63</v>
      </c>
      <c r="J214" s="228">
        <v>21.66</v>
      </c>
      <c r="K214" s="228">
        <v>-0.03</v>
      </c>
      <c r="L214" s="229">
        <v>-1.4E-3</v>
      </c>
      <c r="M214" s="228">
        <v>21.64</v>
      </c>
      <c r="N214" s="228">
        <v>21.64</v>
      </c>
      <c r="O214" s="228">
        <v>0</v>
      </c>
      <c r="P214" s="229">
        <v>0</v>
      </c>
      <c r="Q214" s="228">
        <v>21.75</v>
      </c>
      <c r="R214" s="228">
        <v>21.76</v>
      </c>
      <c r="S214" s="228">
        <v>-0.01</v>
      </c>
      <c r="T214" s="229">
        <v>-5.0000000000000001E-4</v>
      </c>
      <c r="U214" s="228">
        <v>21.92</v>
      </c>
      <c r="V214" s="228">
        <v>21.91</v>
      </c>
      <c r="W214" s="228">
        <v>0.01</v>
      </c>
      <c r="X214" s="229">
        <v>5.0000000000000001E-4</v>
      </c>
      <c r="Y214" s="228">
        <v>0.01</v>
      </c>
      <c r="Z214" s="228">
        <v>-0.02</v>
      </c>
      <c r="AA214" s="228">
        <v>0.03</v>
      </c>
      <c r="AB214" s="229">
        <v>5.0000000000000001E-4</v>
      </c>
      <c r="AC214" s="228">
        <v>0.01</v>
      </c>
      <c r="AD214" s="228">
        <v>-0.02</v>
      </c>
      <c r="AE214" s="228">
        <v>0.03</v>
      </c>
      <c r="AF214" s="229">
        <v>5.0000000000000001E-4</v>
      </c>
      <c r="AG214" s="228">
        <v>0.12</v>
      </c>
      <c r="AH214" s="228">
        <v>0.1</v>
      </c>
      <c r="AI214" s="228">
        <v>0.02</v>
      </c>
      <c r="AJ214" s="229">
        <v>5.4999999999999997E-3</v>
      </c>
      <c r="AK214" s="228">
        <v>0.28999999999999998</v>
      </c>
      <c r="AL214" s="228">
        <v>0.25</v>
      </c>
      <c r="AM214" s="228">
        <v>0.04</v>
      </c>
      <c r="AN214" s="229">
        <v>1.34E-2</v>
      </c>
      <c r="AO214" s="228">
        <v>21.71</v>
      </c>
      <c r="AP214" s="228">
        <v>21.82</v>
      </c>
      <c r="AQ214" s="228">
        <v>0</v>
      </c>
      <c r="AR214" s="230">
        <v>533458300</v>
      </c>
      <c r="AS214" s="230">
        <v>545338500</v>
      </c>
      <c r="AT214" s="230">
        <v>-11880200</v>
      </c>
      <c r="AU214" s="229">
        <v>-2.18E-2</v>
      </c>
      <c r="AV214" s="230">
        <v>261115600</v>
      </c>
      <c r="AW214" s="230">
        <v>299586300</v>
      </c>
      <c r="AX214" s="230">
        <v>-38470700</v>
      </c>
      <c r="AY214" s="229">
        <v>-0.12839999999999999</v>
      </c>
      <c r="AZ214" s="230">
        <v>265749500</v>
      </c>
      <c r="BA214" s="230">
        <v>236577700</v>
      </c>
      <c r="BB214" s="230">
        <v>29171800</v>
      </c>
      <c r="BC214" s="229">
        <v>0.12330000000000001</v>
      </c>
      <c r="BD214" s="230">
        <v>6593200</v>
      </c>
      <c r="BE214" s="230">
        <v>9174500</v>
      </c>
      <c r="BF214" s="230">
        <v>-2581300</v>
      </c>
      <c r="BG214" s="229">
        <v>-0.28139999999999998</v>
      </c>
      <c r="BH214" s="230">
        <v>494147900</v>
      </c>
      <c r="BI214" s="230">
        <v>697884000</v>
      </c>
      <c r="BJ214" s="230">
        <v>-203736100</v>
      </c>
      <c r="BK214" s="229">
        <v>-0.29189999999999999</v>
      </c>
      <c r="BL214" s="230">
        <v>192477900</v>
      </c>
      <c r="BM214" s="230">
        <v>324901700</v>
      </c>
      <c r="BN214" s="230">
        <v>-132423800</v>
      </c>
      <c r="BO214" s="229">
        <v>-0.40760000000000002</v>
      </c>
      <c r="BP214" s="230">
        <v>1220084100</v>
      </c>
      <c r="BQ214" s="230">
        <v>1568124200</v>
      </c>
      <c r="BR214" s="230">
        <v>-348040100</v>
      </c>
      <c r="BS214" s="229">
        <v>-0.22189999999999999</v>
      </c>
      <c r="BT214" s="230">
        <v>100544947</v>
      </c>
      <c r="BU214" s="230">
        <v>141800513</v>
      </c>
      <c r="BV214" s="230">
        <v>-41255566</v>
      </c>
      <c r="BW214" s="229">
        <v>-0.29089999999999999</v>
      </c>
      <c r="BX214" s="230">
        <v>1123611900</v>
      </c>
      <c r="BY214" s="230">
        <v>1118542600</v>
      </c>
      <c r="BZ214" s="230">
        <v>5069300</v>
      </c>
      <c r="CA214" s="229">
        <v>4.4999999999999997E-3</v>
      </c>
      <c r="CB214" s="230">
        <v>519898700</v>
      </c>
      <c r="CC214" s="230">
        <v>713900500</v>
      </c>
      <c r="CD214" s="230">
        <v>-194001800</v>
      </c>
      <c r="CE214" s="229">
        <v>-0.2717</v>
      </c>
      <c r="CF214" s="230">
        <v>571462500</v>
      </c>
      <c r="CG214" s="230">
        <v>375874600</v>
      </c>
      <c r="CH214" s="230">
        <v>195587900</v>
      </c>
      <c r="CI214" s="229">
        <v>0.52039999999999997</v>
      </c>
      <c r="CJ214" s="230">
        <v>32250700</v>
      </c>
      <c r="CK214" s="230">
        <v>28767500</v>
      </c>
      <c r="CL214" s="230">
        <v>3483200</v>
      </c>
      <c r="CM214" s="229">
        <v>0.1211</v>
      </c>
      <c r="CN214" s="230">
        <v>593730100</v>
      </c>
      <c r="CO214" s="230">
        <v>572519900</v>
      </c>
      <c r="CP214" s="230">
        <v>21210200</v>
      </c>
      <c r="CQ214" s="229">
        <v>3.6999999999999998E-2</v>
      </c>
      <c r="CR214" s="230">
        <v>291842400</v>
      </c>
      <c r="CS214" s="230">
        <v>293459600</v>
      </c>
      <c r="CT214" s="230">
        <v>-1617200</v>
      </c>
      <c r="CU214" s="229">
        <v>-5.4999999999999997E-3</v>
      </c>
      <c r="CV214" s="230">
        <v>2009184400</v>
      </c>
      <c r="CW214" s="230">
        <v>1984522100</v>
      </c>
      <c r="CX214" s="230">
        <v>24662300</v>
      </c>
      <c r="CY214" s="229">
        <v>1.24E-2</v>
      </c>
      <c r="CZ214" s="228">
        <v>33.11</v>
      </c>
      <c r="DA214" s="228">
        <v>33.36</v>
      </c>
      <c r="DB214" s="228">
        <v>-0.25</v>
      </c>
      <c r="DC214" s="228">
        <v>-0.25</v>
      </c>
      <c r="DD214" s="228">
        <v>39.229999999999997</v>
      </c>
      <c r="DE214" s="228">
        <v>39.32</v>
      </c>
      <c r="DF214" s="228">
        <v>-6.12</v>
      </c>
      <c r="DG214" s="228">
        <v>-0.09</v>
      </c>
      <c r="DH214" s="228">
        <v>35</v>
      </c>
      <c r="DI214" s="228">
        <v>35.28</v>
      </c>
      <c r="DJ214" s="228">
        <v>-0.28000000000000003</v>
      </c>
      <c r="DK214" s="228">
        <v>-0.28000000000000003</v>
      </c>
      <c r="DL214" s="228">
        <v>29.28</v>
      </c>
      <c r="DM214" s="228">
        <v>29.24</v>
      </c>
      <c r="DN214" s="228">
        <v>0.04</v>
      </c>
      <c r="DO214" s="228">
        <v>0.04</v>
      </c>
      <c r="DP214" s="228">
        <v>0.49</v>
      </c>
      <c r="DQ214" s="228">
        <v>0.51</v>
      </c>
      <c r="DR214" s="228">
        <v>-0.02</v>
      </c>
      <c r="DS214" s="229">
        <v>-3.9199999999999999E-2</v>
      </c>
      <c r="DT214" s="228">
        <v>24</v>
      </c>
      <c r="DU214" s="228">
        <v>21</v>
      </c>
      <c r="DV214" s="228">
        <v>0.39</v>
      </c>
      <c r="DW214" s="228">
        <v>0.47</v>
      </c>
      <c r="DX214" s="228">
        <v>-0.08</v>
      </c>
      <c r="DY214" s="229">
        <v>-0.17019999999999999</v>
      </c>
      <c r="DZ214" s="229">
        <v>0.5373</v>
      </c>
      <c r="EA214" s="230">
        <v>404642100</v>
      </c>
      <c r="EB214" s="229">
        <v>5.1000000000000004E-3</v>
      </c>
      <c r="EC214" s="229">
        <v>0.5373</v>
      </c>
      <c r="ED214" s="228">
        <v>0.11</v>
      </c>
      <c r="EE214" s="229">
        <v>5.1000000000000004E-3</v>
      </c>
      <c r="EF214" s="230">
        <v>40228344</v>
      </c>
      <c r="EG214" s="230">
        <v>47972624</v>
      </c>
      <c r="EH214" s="229">
        <v>-0.16139999999999999</v>
      </c>
      <c r="EI214" s="229">
        <v>0.40010000000000001</v>
      </c>
      <c r="EJ214" s="231">
        <v>114939.08</v>
      </c>
      <c r="EK214" s="231">
        <v>41945.42</v>
      </c>
      <c r="EL214" s="231">
        <v>116118.47</v>
      </c>
      <c r="EM214" s="231">
        <v>13164</v>
      </c>
      <c r="EN214" s="231">
        <v>273002.96999999997</v>
      </c>
      <c r="EO214" s="231">
        <v>351935.29</v>
      </c>
      <c r="EP214" s="231">
        <v>-78932.320000000007</v>
      </c>
      <c r="EQ214" s="229">
        <v>-0.2243</v>
      </c>
      <c r="ER214" s="231">
        <v>143090</v>
      </c>
      <c r="ES214" s="231">
        <v>62976</v>
      </c>
      <c r="ET214" s="231">
        <v>243869</v>
      </c>
      <c r="EU214" s="231">
        <v>3547322779</v>
      </c>
      <c r="EV214" s="231">
        <v>449935</v>
      </c>
      <c r="EW214" s="231">
        <v>444478</v>
      </c>
      <c r="EX214" s="231">
        <v>5457</v>
      </c>
      <c r="EY214" s="229">
        <v>1.23E-2</v>
      </c>
      <c r="EZ214" s="229">
        <v>0.56640000000000001</v>
      </c>
      <c r="FA214" s="227" t="s">
        <v>237</v>
      </c>
      <c r="FB214" s="161">
        <f t="shared" si="5"/>
        <v>0</v>
      </c>
    </row>
    <row r="215" spans="1:158" ht="17.25" thickBot="1" x14ac:dyDescent="0.3">
      <c r="A215" s="226">
        <v>46044</v>
      </c>
      <c r="B215" s="227" t="s">
        <v>170</v>
      </c>
      <c r="C215" s="227" t="s">
        <v>557</v>
      </c>
      <c r="D215" s="228">
        <v>900</v>
      </c>
      <c r="E215" s="228">
        <v>886.75</v>
      </c>
      <c r="F215" s="228">
        <v>875.25</v>
      </c>
      <c r="G215" s="228">
        <v>11.5</v>
      </c>
      <c r="H215" s="229">
        <v>1.3100000000000001E-2</v>
      </c>
      <c r="I215" s="228">
        <v>885.3</v>
      </c>
      <c r="J215" s="228">
        <v>876.25</v>
      </c>
      <c r="K215" s="228">
        <v>9.0500000000000007</v>
      </c>
      <c r="L215" s="229">
        <v>1.03E-2</v>
      </c>
      <c r="M215" s="228">
        <v>886.75</v>
      </c>
      <c r="N215" s="228">
        <v>875.25</v>
      </c>
      <c r="O215" s="228">
        <v>11.5</v>
      </c>
      <c r="P215" s="229">
        <v>1.3100000000000001E-2</v>
      </c>
      <c r="Q215" s="228">
        <v>890.65</v>
      </c>
      <c r="R215" s="228">
        <v>878.1</v>
      </c>
      <c r="S215" s="228">
        <v>12.55</v>
      </c>
      <c r="T215" s="229">
        <v>1.43E-2</v>
      </c>
      <c r="U215" s="228">
        <v>895.8</v>
      </c>
      <c r="V215" s="228">
        <v>883.8</v>
      </c>
      <c r="W215" s="228">
        <v>12</v>
      </c>
      <c r="X215" s="229">
        <v>1.3599999999999999E-2</v>
      </c>
      <c r="Y215" s="228">
        <v>1.45</v>
      </c>
      <c r="Z215" s="228">
        <v>-1</v>
      </c>
      <c r="AA215" s="228">
        <v>2.4500000000000002</v>
      </c>
      <c r="AB215" s="229">
        <v>1.6000000000000001E-3</v>
      </c>
      <c r="AC215" s="228">
        <v>1.45</v>
      </c>
      <c r="AD215" s="228">
        <v>-1</v>
      </c>
      <c r="AE215" s="228">
        <v>2.4500000000000002</v>
      </c>
      <c r="AF215" s="229">
        <v>1.6000000000000001E-3</v>
      </c>
      <c r="AG215" s="228">
        <v>5.35</v>
      </c>
      <c r="AH215" s="228">
        <v>1.85</v>
      </c>
      <c r="AI215" s="228">
        <v>3.5</v>
      </c>
      <c r="AJ215" s="229">
        <v>6.0000000000000001E-3</v>
      </c>
      <c r="AK215" s="228">
        <v>10.5</v>
      </c>
      <c r="AL215" s="228">
        <v>7.55</v>
      </c>
      <c r="AM215" s="228">
        <v>2.95</v>
      </c>
      <c r="AN215" s="229">
        <v>1.1900000000000001E-2</v>
      </c>
      <c r="AO215" s="228">
        <v>885.66</v>
      </c>
      <c r="AP215" s="228">
        <v>889.91</v>
      </c>
      <c r="AQ215" s="228">
        <v>0</v>
      </c>
      <c r="AR215" s="230">
        <v>6368400</v>
      </c>
      <c r="AS215" s="230">
        <v>9345600</v>
      </c>
      <c r="AT215" s="230">
        <v>-2977200</v>
      </c>
      <c r="AU215" s="229">
        <v>-0.31859999999999999</v>
      </c>
      <c r="AV215" s="230">
        <v>3253500</v>
      </c>
      <c r="AW215" s="230">
        <v>5046300</v>
      </c>
      <c r="AX215" s="230">
        <v>-1792800</v>
      </c>
      <c r="AY215" s="229">
        <v>-0.3553</v>
      </c>
      <c r="AZ215" s="230">
        <v>3086100</v>
      </c>
      <c r="BA215" s="230">
        <v>4273200</v>
      </c>
      <c r="BB215" s="230">
        <v>-1187100</v>
      </c>
      <c r="BC215" s="229">
        <v>-0.27779999999999999</v>
      </c>
      <c r="BD215" s="230">
        <v>28800</v>
      </c>
      <c r="BE215" s="230">
        <v>26100</v>
      </c>
      <c r="BF215" s="230">
        <v>2700</v>
      </c>
      <c r="BG215" s="229">
        <v>0.10340000000000001</v>
      </c>
      <c r="BH215" s="230">
        <v>4104000</v>
      </c>
      <c r="BI215" s="230">
        <v>4873500</v>
      </c>
      <c r="BJ215" s="230">
        <v>-769500</v>
      </c>
      <c r="BK215" s="229">
        <v>-0.15790000000000001</v>
      </c>
      <c r="BL215" s="230">
        <v>1495800</v>
      </c>
      <c r="BM215" s="230">
        <v>2681100</v>
      </c>
      <c r="BN215" s="230">
        <v>-1185300</v>
      </c>
      <c r="BO215" s="229">
        <v>-0.44209999999999999</v>
      </c>
      <c r="BP215" s="230">
        <v>11968200</v>
      </c>
      <c r="BQ215" s="230">
        <v>16900200</v>
      </c>
      <c r="BR215" s="230">
        <v>-4932000</v>
      </c>
      <c r="BS215" s="229">
        <v>-0.2918</v>
      </c>
      <c r="BT215" s="230">
        <v>484813</v>
      </c>
      <c r="BU215" s="230">
        <v>927884</v>
      </c>
      <c r="BV215" s="230">
        <v>-443071</v>
      </c>
      <c r="BW215" s="229">
        <v>-0.47749999999999998</v>
      </c>
      <c r="BX215" s="230">
        <v>10309500</v>
      </c>
      <c r="BY215" s="230">
        <v>10273500</v>
      </c>
      <c r="BZ215" s="230">
        <v>36000</v>
      </c>
      <c r="CA215" s="229">
        <v>3.5000000000000001E-3</v>
      </c>
      <c r="CB215" s="230">
        <v>4270500</v>
      </c>
      <c r="CC215" s="230">
        <v>6294600</v>
      </c>
      <c r="CD215" s="230">
        <v>-2024100</v>
      </c>
      <c r="CE215" s="229">
        <v>-0.3216</v>
      </c>
      <c r="CF215" s="230">
        <v>5978700</v>
      </c>
      <c r="CG215" s="230">
        <v>3922200</v>
      </c>
      <c r="CH215" s="230">
        <v>2056500</v>
      </c>
      <c r="CI215" s="229">
        <v>0.52429999999999999</v>
      </c>
      <c r="CJ215" s="230">
        <v>60300</v>
      </c>
      <c r="CK215" s="230">
        <v>56700</v>
      </c>
      <c r="CL215" s="230">
        <v>3600</v>
      </c>
      <c r="CM215" s="229">
        <v>6.3500000000000001E-2</v>
      </c>
      <c r="CN215" s="230">
        <v>4314600</v>
      </c>
      <c r="CO215" s="230">
        <v>4490100</v>
      </c>
      <c r="CP215" s="230">
        <v>-175500</v>
      </c>
      <c r="CQ215" s="229">
        <v>-3.9100000000000003E-2</v>
      </c>
      <c r="CR215" s="230">
        <v>3075300</v>
      </c>
      <c r="CS215" s="230">
        <v>3170700</v>
      </c>
      <c r="CT215" s="230">
        <v>-95400</v>
      </c>
      <c r="CU215" s="229">
        <v>-3.0099999999999998E-2</v>
      </c>
      <c r="CV215" s="230">
        <v>17699400</v>
      </c>
      <c r="CW215" s="230">
        <v>17934300</v>
      </c>
      <c r="CX215" s="230">
        <v>-234900</v>
      </c>
      <c r="CY215" s="229">
        <v>-1.3100000000000001E-2</v>
      </c>
      <c r="CZ215" s="228">
        <v>26.85</v>
      </c>
      <c r="DA215" s="228">
        <v>22.24</v>
      </c>
      <c r="DB215" s="228">
        <v>4.6100000000000003</v>
      </c>
      <c r="DC215" s="228">
        <v>4.6100000000000003</v>
      </c>
      <c r="DD215" s="228">
        <v>27.28</v>
      </c>
      <c r="DE215" s="228">
        <v>27.29</v>
      </c>
      <c r="DF215" s="228">
        <v>-0.43</v>
      </c>
      <c r="DG215" s="228">
        <v>-0.01</v>
      </c>
      <c r="DH215" s="228">
        <v>26.95</v>
      </c>
      <c r="DI215" s="228">
        <v>22.7</v>
      </c>
      <c r="DJ215" s="228">
        <v>4.25</v>
      </c>
      <c r="DK215" s="228">
        <v>4.25</v>
      </c>
      <c r="DL215" s="228">
        <v>26.68</v>
      </c>
      <c r="DM215" s="228">
        <v>21.41</v>
      </c>
      <c r="DN215" s="228">
        <v>5.27</v>
      </c>
      <c r="DO215" s="228">
        <v>5.27</v>
      </c>
      <c r="DP215" s="228">
        <v>0.71</v>
      </c>
      <c r="DQ215" s="228">
        <v>0.71</v>
      </c>
      <c r="DR215" s="228">
        <v>0</v>
      </c>
      <c r="DS215" s="229">
        <v>0</v>
      </c>
      <c r="DT215" s="228">
        <v>940</v>
      </c>
      <c r="DU215" s="228">
        <v>900</v>
      </c>
      <c r="DV215" s="228">
        <v>0.36</v>
      </c>
      <c r="DW215" s="228">
        <v>0.55000000000000004</v>
      </c>
      <c r="DX215" s="228">
        <v>-0.19</v>
      </c>
      <c r="DY215" s="229">
        <v>-0.34549999999999997</v>
      </c>
      <c r="DZ215" s="229">
        <v>0.58579999999999999</v>
      </c>
      <c r="EA215" s="230">
        <v>3978900</v>
      </c>
      <c r="EB215" s="229">
        <v>4.4000000000000003E-3</v>
      </c>
      <c r="EC215" s="229">
        <v>0.58579999999999999</v>
      </c>
      <c r="ED215" s="228">
        <v>4.25</v>
      </c>
      <c r="EE215" s="229">
        <v>4.7999999999999996E-3</v>
      </c>
      <c r="EF215" s="230">
        <v>245466</v>
      </c>
      <c r="EG215" s="230">
        <v>447619</v>
      </c>
      <c r="EH215" s="229">
        <v>-0.4516</v>
      </c>
      <c r="EI215" s="229">
        <v>0.50629999999999997</v>
      </c>
      <c r="EJ215" s="231">
        <v>37529.800000000003</v>
      </c>
      <c r="EK215" s="231">
        <v>13355.17</v>
      </c>
      <c r="EL215" s="231">
        <v>56536.29</v>
      </c>
      <c r="EM215" s="231">
        <v>5915</v>
      </c>
      <c r="EN215" s="231">
        <v>107421.26</v>
      </c>
      <c r="EO215" s="231">
        <v>149659.4</v>
      </c>
      <c r="EP215" s="231">
        <v>-42238.14</v>
      </c>
      <c r="EQ215" s="229">
        <v>-0.28220000000000001</v>
      </c>
      <c r="ER215" s="231">
        <v>40346</v>
      </c>
      <c r="ES215" s="231">
        <v>27280</v>
      </c>
      <c r="ET215" s="231">
        <v>91658</v>
      </c>
      <c r="EU215" s="231">
        <v>37741451</v>
      </c>
      <c r="EV215" s="231">
        <v>159284</v>
      </c>
      <c r="EW215" s="231">
        <v>160066</v>
      </c>
      <c r="EX215" s="228">
        <v>-782</v>
      </c>
      <c r="EY215" s="229">
        <v>-4.8999999999999998E-3</v>
      </c>
      <c r="EZ215" s="229">
        <v>0.46899999999999997</v>
      </c>
      <c r="FA215" s="227" t="s">
        <v>555</v>
      </c>
      <c r="FB215" s="161">
        <f t="shared" si="5"/>
        <v>0</v>
      </c>
    </row>
    <row r="216" spans="1:158" x14ac:dyDescent="0.25">
      <c r="FB216" s="161">
        <f t="shared" si="5"/>
        <v>0</v>
      </c>
    </row>
    <row r="217" spans="1:158" x14ac:dyDescent="0.25">
      <c r="FB217" s="161">
        <f t="shared" si="5"/>
        <v>0</v>
      </c>
    </row>
    <row r="218" spans="1:158" x14ac:dyDescent="0.25">
      <c r="FB218" s="161">
        <f t="shared" si="5"/>
        <v>0</v>
      </c>
    </row>
    <row r="219" spans="1:158" x14ac:dyDescent="0.25">
      <c r="FB219" s="161">
        <f t="shared" si="5"/>
        <v>0</v>
      </c>
    </row>
    <row r="220" spans="1:158" x14ac:dyDescent="0.25">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BX325-CB325</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I6" sqref="I6"/>
    </sheetView>
  </sheetViews>
  <sheetFormatPr defaultColWidth="13.7109375" defaultRowHeight="15" x14ac:dyDescent="0.25"/>
  <cols>
    <col min="1" max="1" width="23.85546875" customWidth="1"/>
    <col min="2" max="2" width="11.5703125" customWidth="1"/>
    <col min="3" max="3" width="12.7109375" customWidth="1"/>
    <col min="4" max="4" width="11.140625" customWidth="1"/>
    <col min="5" max="5" width="12.7109375" customWidth="1"/>
    <col min="6" max="6" width="11.140625" customWidth="1"/>
    <col min="7" max="7" width="9.28515625" customWidth="1"/>
    <col min="8" max="8" width="9.5703125" customWidth="1"/>
    <col min="9" max="9" width="12.7109375" customWidth="1"/>
    <col min="10" max="10" width="12.85546875" customWidth="1"/>
    <col min="11" max="11" width="11.140625" customWidth="1"/>
    <col min="12" max="12" width="11.85546875" customWidth="1"/>
    <col min="13" max="13" width="12.7109375" customWidth="1"/>
    <col min="14"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616</v>
      </c>
      <c r="B2" s="226">
        <v>46044</v>
      </c>
      <c r="C2" s="230">
        <v>25603563</v>
      </c>
      <c r="D2" s="230">
        <v>3902021</v>
      </c>
      <c r="E2" s="230">
        <v>25627149</v>
      </c>
      <c r="F2" s="230">
        <v>3906534</v>
      </c>
      <c r="G2" s="230">
        <v>-23586</v>
      </c>
      <c r="H2" s="230">
        <v>-4513</v>
      </c>
      <c r="I2" s="230">
        <v>13078008</v>
      </c>
      <c r="J2" s="230">
        <v>1434011</v>
      </c>
      <c r="K2" s="230">
        <v>187351</v>
      </c>
      <c r="L2" s="230">
        <v>43178</v>
      </c>
      <c r="M2" s="230">
        <v>13265359</v>
      </c>
      <c r="N2" s="230">
        <v>1477189</v>
      </c>
      <c r="O2" s="61"/>
      <c r="P2" s="61"/>
      <c r="Q2" s="61"/>
      <c r="R2" s="61"/>
      <c r="S2" s="61"/>
      <c r="U2" t="s">
        <v>453</v>
      </c>
      <c r="V2">
        <f>SUM('Data Vlaue (Cr)'!CD:CD)</f>
        <v>403113</v>
      </c>
      <c r="W2" t="s">
        <v>454</v>
      </c>
    </row>
    <row r="3" spans="1:23" ht="17.25" thickBot="1" x14ac:dyDescent="0.3">
      <c r="A3" s="227" t="s">
        <v>617</v>
      </c>
      <c r="B3" s="226">
        <v>46044</v>
      </c>
      <c r="C3" s="230">
        <v>9667</v>
      </c>
      <c r="D3" s="230">
        <v>1721</v>
      </c>
      <c r="E3" s="230">
        <v>12313</v>
      </c>
      <c r="F3" s="230">
        <v>2194</v>
      </c>
      <c r="G3" s="230">
        <v>-2646</v>
      </c>
      <c r="H3" s="228">
        <v>-473</v>
      </c>
      <c r="I3" s="230">
        <v>29081</v>
      </c>
      <c r="J3" s="230">
        <v>5140</v>
      </c>
      <c r="K3" s="228">
        <v>990</v>
      </c>
      <c r="L3" s="228">
        <v>223</v>
      </c>
      <c r="M3" s="230">
        <v>30071</v>
      </c>
      <c r="N3" s="230">
        <v>5363</v>
      </c>
      <c r="O3" s="61"/>
      <c r="P3" s="61"/>
      <c r="Q3" s="61"/>
      <c r="R3" s="61"/>
      <c r="S3" s="61"/>
      <c r="U3" t="s">
        <v>453</v>
      </c>
      <c r="V3">
        <f>SUM('Data shares'!CC:CC)</f>
        <v>11615550663</v>
      </c>
      <c r="W3" t="s">
        <v>455</v>
      </c>
    </row>
    <row r="4" spans="1:23" ht="17.25" thickBot="1" x14ac:dyDescent="0.3">
      <c r="A4" s="227" t="s">
        <v>618</v>
      </c>
      <c r="B4" s="226">
        <v>46044</v>
      </c>
      <c r="C4" s="230">
        <v>740461</v>
      </c>
      <c r="D4" s="230">
        <v>132131</v>
      </c>
      <c r="E4" s="230">
        <v>740641</v>
      </c>
      <c r="F4" s="230">
        <v>132159</v>
      </c>
      <c r="G4" s="228">
        <v>-180</v>
      </c>
      <c r="H4" s="228">
        <v>-27</v>
      </c>
      <c r="I4" s="230">
        <v>339621</v>
      </c>
      <c r="J4" s="230">
        <v>59909</v>
      </c>
      <c r="K4" s="230">
        <v>12991</v>
      </c>
      <c r="L4" s="230">
        <v>2714</v>
      </c>
      <c r="M4" s="230">
        <v>352612</v>
      </c>
      <c r="N4" s="230">
        <v>62624</v>
      </c>
      <c r="O4" s="61"/>
      <c r="P4" s="61"/>
      <c r="Q4" s="61"/>
      <c r="R4" s="61"/>
      <c r="S4" s="61"/>
    </row>
    <row r="5" spans="1:23" ht="17.25" thickBot="1" x14ac:dyDescent="0.3">
      <c r="A5" s="227" t="s">
        <v>619</v>
      </c>
      <c r="B5" s="226">
        <v>46044</v>
      </c>
      <c r="C5" s="228">
        <v>39</v>
      </c>
      <c r="D5" s="228">
        <v>6</v>
      </c>
      <c r="E5" s="228">
        <v>65</v>
      </c>
      <c r="F5" s="228">
        <v>11</v>
      </c>
      <c r="G5" s="228">
        <v>-26</v>
      </c>
      <c r="H5" s="228">
        <v>-4</v>
      </c>
      <c r="I5" s="228">
        <v>518</v>
      </c>
      <c r="J5" s="228">
        <v>84</v>
      </c>
      <c r="K5" s="228">
        <v>24</v>
      </c>
      <c r="L5" s="228">
        <v>5</v>
      </c>
      <c r="M5" s="228">
        <v>542</v>
      </c>
      <c r="N5" s="228">
        <v>89</v>
      </c>
      <c r="O5" s="61"/>
      <c r="P5" s="61"/>
      <c r="Q5" s="61"/>
      <c r="R5" s="61"/>
      <c r="S5" s="61"/>
    </row>
    <row r="6" spans="1:23" ht="17.25" thickBot="1" x14ac:dyDescent="0.3">
      <c r="A6" s="227" t="s">
        <v>620</v>
      </c>
      <c r="B6" s="226">
        <v>46044</v>
      </c>
      <c r="C6" s="230">
        <v>39087</v>
      </c>
      <c r="D6" s="230">
        <v>6390</v>
      </c>
      <c r="E6" s="230">
        <v>39242</v>
      </c>
      <c r="F6" s="230">
        <v>6410</v>
      </c>
      <c r="G6" s="228">
        <v>-155</v>
      </c>
      <c r="H6" s="228">
        <v>-20</v>
      </c>
      <c r="I6" s="230">
        <v>13163</v>
      </c>
      <c r="J6" s="230">
        <v>2130</v>
      </c>
      <c r="K6" s="230">
        <v>-1147</v>
      </c>
      <c r="L6" s="228">
        <v>-172</v>
      </c>
      <c r="M6" s="230">
        <v>12016</v>
      </c>
      <c r="N6" s="230">
        <v>1957</v>
      </c>
      <c r="O6" s="61"/>
      <c r="P6" s="61"/>
      <c r="Q6" s="61"/>
      <c r="R6" s="61"/>
      <c r="S6" s="61"/>
    </row>
    <row r="7" spans="1:23" ht="17.25" thickBot="1" x14ac:dyDescent="0.3">
      <c r="A7" s="227" t="s">
        <v>621</v>
      </c>
      <c r="B7" s="226">
        <v>46044</v>
      </c>
      <c r="C7" s="230">
        <v>76213</v>
      </c>
      <c r="D7" s="230">
        <v>12607</v>
      </c>
      <c r="E7" s="230">
        <v>87691</v>
      </c>
      <c r="F7" s="230">
        <v>14565</v>
      </c>
      <c r="G7" s="230">
        <v>-11478</v>
      </c>
      <c r="H7" s="230">
        <v>-1958</v>
      </c>
      <c r="I7" s="230">
        <v>264680</v>
      </c>
      <c r="J7" s="230">
        <v>43587</v>
      </c>
      <c r="K7" s="230">
        <v>23644</v>
      </c>
      <c r="L7" s="230">
        <v>4278</v>
      </c>
      <c r="M7" s="230">
        <v>288324</v>
      </c>
      <c r="N7" s="230">
        <v>47864</v>
      </c>
    </row>
    <row r="8" spans="1:23" ht="17.25" thickBot="1" x14ac:dyDescent="0.3">
      <c r="A8" s="227" t="s">
        <v>622</v>
      </c>
      <c r="B8" s="226">
        <v>46044</v>
      </c>
      <c r="C8" s="230">
        <v>11012536</v>
      </c>
      <c r="D8" s="230">
        <v>1822969</v>
      </c>
      <c r="E8" s="230">
        <v>11019019</v>
      </c>
      <c r="F8" s="230">
        <v>1823952</v>
      </c>
      <c r="G8" s="230">
        <v>-6483</v>
      </c>
      <c r="H8" s="228">
        <v>-983</v>
      </c>
      <c r="I8" s="230">
        <v>2628999</v>
      </c>
      <c r="J8" s="230">
        <v>433831</v>
      </c>
      <c r="K8" s="230">
        <v>79114</v>
      </c>
      <c r="L8" s="230">
        <v>15646</v>
      </c>
      <c r="M8" s="230">
        <v>2708113</v>
      </c>
      <c r="N8" s="230">
        <v>449478</v>
      </c>
    </row>
    <row r="9" spans="1:23" ht="17.25" thickBot="1" x14ac:dyDescent="0.3">
      <c r="A9" s="227" t="s">
        <v>623</v>
      </c>
      <c r="B9" s="226">
        <v>46044</v>
      </c>
      <c r="C9" s="230">
        <v>12263</v>
      </c>
      <c r="D9" s="230">
        <v>1957</v>
      </c>
      <c r="E9" s="230">
        <v>12154</v>
      </c>
      <c r="F9" s="230">
        <v>1942</v>
      </c>
      <c r="G9" s="228">
        <v>109</v>
      </c>
      <c r="H9" s="228">
        <v>16</v>
      </c>
      <c r="I9" s="230">
        <v>25323</v>
      </c>
      <c r="J9" s="230">
        <v>3994</v>
      </c>
      <c r="K9" s="228">
        <v>243</v>
      </c>
      <c r="L9" s="228">
        <v>101</v>
      </c>
      <c r="M9" s="230">
        <v>25566</v>
      </c>
      <c r="N9" s="230">
        <v>4095</v>
      </c>
    </row>
    <row r="10" spans="1:23" ht="17.25" thickBot="1" x14ac:dyDescent="0.3">
      <c r="A10" s="227" t="s">
        <v>624</v>
      </c>
      <c r="B10" s="226">
        <v>46044</v>
      </c>
      <c r="C10" s="230">
        <v>164489</v>
      </c>
      <c r="D10" s="230">
        <v>26312</v>
      </c>
      <c r="E10" s="230">
        <v>164683</v>
      </c>
      <c r="F10" s="230">
        <v>26350</v>
      </c>
      <c r="G10" s="228">
        <v>-194</v>
      </c>
      <c r="H10" s="228">
        <v>-38</v>
      </c>
      <c r="I10" s="230">
        <v>75079</v>
      </c>
      <c r="J10" s="230">
        <v>11852</v>
      </c>
      <c r="K10" s="228">
        <v>678</v>
      </c>
      <c r="L10" s="228">
        <v>262</v>
      </c>
      <c r="M10" s="230">
        <v>75757</v>
      </c>
      <c r="N10" s="230">
        <v>12114</v>
      </c>
    </row>
    <row r="11" spans="1:23" ht="17.25" thickBot="1" x14ac:dyDescent="0.3">
      <c r="A11" s="227" t="s">
        <v>625</v>
      </c>
      <c r="B11" s="226">
        <v>46044</v>
      </c>
      <c r="C11" s="230">
        <v>54111</v>
      </c>
      <c r="D11" s="230">
        <v>8900</v>
      </c>
      <c r="E11" s="230">
        <v>63042</v>
      </c>
      <c r="F11" s="230">
        <v>10399</v>
      </c>
      <c r="G11" s="230">
        <v>-8931</v>
      </c>
      <c r="H11" s="230">
        <v>-1499</v>
      </c>
      <c r="I11" s="230">
        <v>209015</v>
      </c>
      <c r="J11" s="230">
        <v>34244</v>
      </c>
      <c r="K11" s="230">
        <v>22361</v>
      </c>
      <c r="L11" s="230">
        <v>3944</v>
      </c>
      <c r="M11" s="230">
        <v>231376</v>
      </c>
      <c r="N11" s="230">
        <v>38188</v>
      </c>
    </row>
    <row r="12" spans="1:23" ht="17.25" thickBot="1" x14ac:dyDescent="0.3">
      <c r="A12" s="227" t="s">
        <v>626</v>
      </c>
      <c r="B12" s="226">
        <v>46044</v>
      </c>
      <c r="C12" s="230">
        <v>10068098</v>
      </c>
      <c r="D12" s="230">
        <v>1658068</v>
      </c>
      <c r="E12" s="230">
        <v>10074090</v>
      </c>
      <c r="F12" s="230">
        <v>1658972</v>
      </c>
      <c r="G12" s="230">
        <v>-5992</v>
      </c>
      <c r="H12" s="228">
        <v>-904</v>
      </c>
      <c r="I12" s="230">
        <v>2200450</v>
      </c>
      <c r="J12" s="230">
        <v>359826</v>
      </c>
      <c r="K12" s="230">
        <v>66595</v>
      </c>
      <c r="L12" s="230">
        <v>12841</v>
      </c>
      <c r="M12" s="230">
        <v>2267045</v>
      </c>
      <c r="N12" s="230">
        <v>372667</v>
      </c>
    </row>
    <row r="13" spans="1:23" ht="17.25" thickBot="1" x14ac:dyDescent="0.3">
      <c r="A13" s="227" t="s">
        <v>627</v>
      </c>
      <c r="B13" s="226">
        <v>46044</v>
      </c>
      <c r="C13" s="228">
        <v>133</v>
      </c>
      <c r="D13" s="228">
        <v>23</v>
      </c>
      <c r="E13" s="228">
        <v>117</v>
      </c>
      <c r="F13" s="228">
        <v>20</v>
      </c>
      <c r="G13" s="228">
        <v>16</v>
      </c>
      <c r="H13" s="228">
        <v>3</v>
      </c>
      <c r="I13" s="228">
        <v>743</v>
      </c>
      <c r="J13" s="228">
        <v>125</v>
      </c>
      <c r="K13" s="228">
        <v>26</v>
      </c>
      <c r="L13" s="228">
        <v>6</v>
      </c>
      <c r="M13" s="228">
        <v>769</v>
      </c>
      <c r="N13" s="228">
        <v>130</v>
      </c>
    </row>
    <row r="14" spans="1:23" ht="17.25" thickBot="1" x14ac:dyDescent="0.3">
      <c r="A14" s="227" t="s">
        <v>628</v>
      </c>
      <c r="B14" s="226">
        <v>46044</v>
      </c>
      <c r="C14" s="228">
        <v>401</v>
      </c>
      <c r="D14" s="228">
        <v>69</v>
      </c>
      <c r="E14" s="228">
        <v>363</v>
      </c>
      <c r="F14" s="228">
        <v>62</v>
      </c>
      <c r="G14" s="228">
        <v>38</v>
      </c>
      <c r="H14" s="228">
        <v>7</v>
      </c>
      <c r="I14" s="228">
        <v>686</v>
      </c>
      <c r="J14" s="228">
        <v>115</v>
      </c>
      <c r="K14" s="228">
        <v>-2</v>
      </c>
      <c r="L14" s="228">
        <v>1</v>
      </c>
      <c r="M14" s="228">
        <v>684</v>
      </c>
      <c r="N14" s="228">
        <v>116</v>
      </c>
    </row>
    <row r="15" spans="1:23" ht="17.25" thickBot="1" x14ac:dyDescent="0.3">
      <c r="A15" s="227" t="s">
        <v>629</v>
      </c>
      <c r="B15" s="226">
        <v>46044</v>
      </c>
      <c r="C15" s="230">
        <v>2669857</v>
      </c>
      <c r="D15" s="230">
        <v>177869</v>
      </c>
      <c r="E15" s="230">
        <v>2640544</v>
      </c>
      <c r="F15" s="230">
        <v>175418</v>
      </c>
      <c r="G15" s="230">
        <v>29313</v>
      </c>
      <c r="H15" s="230">
        <v>2451</v>
      </c>
      <c r="I15" s="230">
        <v>6420097</v>
      </c>
      <c r="J15" s="230">
        <v>421378</v>
      </c>
      <c r="K15" s="230">
        <v>49247</v>
      </c>
      <c r="L15" s="230">
        <v>7376</v>
      </c>
      <c r="M15" s="230">
        <v>6469344</v>
      </c>
      <c r="N15" s="230">
        <v>428754</v>
      </c>
    </row>
    <row r="16" spans="1:23" ht="17.25" thickBot="1" x14ac:dyDescent="0.3">
      <c r="A16" s="227" t="s">
        <v>630</v>
      </c>
      <c r="B16" s="226">
        <v>46044</v>
      </c>
      <c r="C16" s="230">
        <v>756208</v>
      </c>
      <c r="D16" s="230">
        <v>52999</v>
      </c>
      <c r="E16" s="230">
        <v>773185</v>
      </c>
      <c r="F16" s="230">
        <v>54083</v>
      </c>
      <c r="G16" s="230">
        <v>-16977</v>
      </c>
      <c r="H16" s="230">
        <v>-1083</v>
      </c>
      <c r="I16" s="230">
        <v>870553</v>
      </c>
      <c r="J16" s="230">
        <v>57797</v>
      </c>
      <c r="K16" s="230">
        <v>-67413</v>
      </c>
      <c r="L16" s="230">
        <v>-4045</v>
      </c>
      <c r="M16" s="230">
        <v>803140</v>
      </c>
      <c r="N16" s="230">
        <v>53751</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202" activePane="bottomLeft" state="frozen"/>
      <selection activeCell="E46" sqref="E46"/>
      <selection pane="bottomLeft" activeCell="J231" sqref="J231"/>
    </sheetView>
  </sheetViews>
  <sheetFormatPr defaultRowHeight="15" x14ac:dyDescent="0.25"/>
  <cols>
    <col min="1" max="1" width="14.5703125" style="74" bestFit="1" customWidth="1"/>
    <col min="6" max="6" width="14.7109375" bestFit="1" customWidth="1"/>
    <col min="7" max="7" width="14.42578125" bestFit="1" customWidth="1"/>
    <col min="8" max="8" width="6.42578125" bestFit="1" customWidth="1"/>
    <col min="9" max="9" width="14.42578125" bestFit="1" customWidth="1"/>
    <col min="10" max="10" width="14.140625" bestFit="1" customWidth="1"/>
    <col min="11" max="11" width="6.42578125" bestFit="1" customWidth="1"/>
  </cols>
  <sheetData>
    <row r="1" spans="1:17" hidden="1" x14ac:dyDescent="0.25"/>
    <row r="2" spans="1:17" ht="15.75" thickBot="1" x14ac:dyDescent="0.3"/>
    <row r="3" spans="1:17" s="70" customFormat="1" ht="21" customHeight="1" thickBot="1" x14ac:dyDescent="0.3">
      <c r="A3" s="257" t="s">
        <v>325</v>
      </c>
      <c r="B3" s="258"/>
      <c r="C3" s="258"/>
      <c r="D3" s="258"/>
      <c r="E3" s="258"/>
      <c r="F3" s="258"/>
      <c r="G3" s="258"/>
      <c r="H3" s="258"/>
      <c r="I3" s="258"/>
      <c r="J3" s="258"/>
      <c r="K3" s="258"/>
      <c r="L3" s="258"/>
      <c r="M3" s="258"/>
      <c r="N3" s="258"/>
      <c r="O3" s="258"/>
      <c r="P3" s="258"/>
      <c r="Q3" s="259"/>
    </row>
    <row r="4" spans="1:17" s="64" customFormat="1" x14ac:dyDescent="0.25">
      <c r="A4" s="260"/>
      <c r="B4" s="260" t="s">
        <v>308</v>
      </c>
      <c r="C4" s="260"/>
      <c r="D4" s="262"/>
      <c r="E4" s="262"/>
      <c r="F4" s="260" t="s">
        <v>326</v>
      </c>
      <c r="G4" s="260"/>
      <c r="H4" s="260"/>
      <c r="I4" s="260" t="s">
        <v>327</v>
      </c>
      <c r="J4" s="260"/>
      <c r="K4" s="260"/>
      <c r="L4" s="260" t="s">
        <v>311</v>
      </c>
      <c r="M4" s="260"/>
      <c r="N4" s="260"/>
      <c r="O4" s="260"/>
      <c r="P4" s="260"/>
      <c r="Q4" s="260"/>
    </row>
    <row r="5" spans="1:17" s="64" customFormat="1" x14ac:dyDescent="0.25">
      <c r="A5" s="261"/>
      <c r="B5" s="73" t="s">
        <v>312</v>
      </c>
      <c r="C5" s="261" t="s">
        <v>313</v>
      </c>
      <c r="D5" s="264"/>
      <c r="E5" s="264"/>
      <c r="F5" s="261" t="s">
        <v>314</v>
      </c>
      <c r="G5" s="261"/>
      <c r="H5" s="261"/>
      <c r="I5" s="261" t="s">
        <v>315</v>
      </c>
      <c r="J5" s="261"/>
      <c r="K5" s="261"/>
      <c r="L5" s="261" t="s">
        <v>316</v>
      </c>
      <c r="M5" s="261"/>
      <c r="N5" s="261"/>
      <c r="O5" s="261" t="s">
        <v>317</v>
      </c>
      <c r="P5" s="261"/>
      <c r="Q5" s="261"/>
    </row>
    <row r="6" spans="1:17" s="72" customFormat="1" ht="33.75" x14ac:dyDescent="0.25">
      <c r="A6" s="71" t="s">
        <v>558</v>
      </c>
      <c r="B6" s="66">
        <f>'Snapshot (Value)'!C10</f>
        <v>46044</v>
      </c>
      <c r="C6" s="66">
        <f>'Snapshot (Value)'!D10</f>
        <v>46044</v>
      </c>
      <c r="D6" s="71" t="s">
        <v>322</v>
      </c>
      <c r="E6" s="71" t="s">
        <v>328</v>
      </c>
      <c r="F6" s="66">
        <f>C6</f>
        <v>46044</v>
      </c>
      <c r="G6" s="71" t="s">
        <v>322</v>
      </c>
      <c r="H6" s="71" t="s">
        <v>328</v>
      </c>
      <c r="I6" s="66">
        <f>C6</f>
        <v>46044</v>
      </c>
      <c r="J6" s="71" t="s">
        <v>322</v>
      </c>
      <c r="K6" s="71" t="s">
        <v>328</v>
      </c>
      <c r="L6" s="66">
        <f>C6</f>
        <v>46044</v>
      </c>
      <c r="M6" s="71" t="s">
        <v>322</v>
      </c>
      <c r="N6" s="71" t="s">
        <v>328</v>
      </c>
      <c r="O6" s="66">
        <f>C6</f>
        <v>46044</v>
      </c>
      <c r="P6" s="71" t="s">
        <v>322</v>
      </c>
      <c r="Q6" s="71" t="s">
        <v>328</v>
      </c>
    </row>
    <row r="7" spans="1:17" x14ac:dyDescent="0.25">
      <c r="A7" s="97" t="str">
        <f>'NIFTY GRP'!C2</f>
        <v>ADANIENT</v>
      </c>
      <c r="B7" s="140">
        <f>VLOOKUP($A7,'Data shares'!$C:$FB,7)</f>
        <v>2086.4</v>
      </c>
      <c r="C7" s="140">
        <f>VLOOKUP($A7,'Data shares'!$C:$FB,3)</f>
        <v>2087.1999999999998</v>
      </c>
      <c r="D7" s="140">
        <f>VLOOKUP($A7,'Data shares'!$C:$FB,4)</f>
        <v>2035.1</v>
      </c>
      <c r="E7" s="50">
        <f>(C7-D7)/D7*100</f>
        <v>2.5600707581936959</v>
      </c>
      <c r="F7" s="49">
        <f>VLOOKUP($A7,'Data shares'!$C:$FB,98)</f>
        <v>38374710</v>
      </c>
      <c r="G7" s="49">
        <f>VLOOKUP($A7,'Data shares'!$C:$FB,99)</f>
        <v>39088500</v>
      </c>
      <c r="H7" s="50">
        <f>(F7-G7)/G7*100</f>
        <v>-1.8260869565217392</v>
      </c>
      <c r="I7" s="49">
        <f>VLOOKUP($A7,'Data shares'!$C:$FB,66)</f>
        <v>39225696</v>
      </c>
      <c r="J7" s="49">
        <f>VLOOKUP($A7,'Data shares'!$C:$FB,67)</f>
        <v>41220600</v>
      </c>
      <c r="K7" s="50">
        <f>(I7-J7)/I7*100</f>
        <v>-5.0857070834383666</v>
      </c>
      <c r="L7" s="50">
        <f>VLOOKUP($A7,'Data shares'!$C:$FB,118)</f>
        <v>0.78</v>
      </c>
      <c r="M7" s="50">
        <f>VLOOKUP($A7,'Data shares'!$C:$FB,119)</f>
        <v>0.73</v>
      </c>
      <c r="N7" s="50">
        <f>VLOOKUP($A7,'Data shares'!$C:$FB,121)*100</f>
        <v>6.8500000000000005</v>
      </c>
      <c r="O7" s="50">
        <f>VLOOKUP($A7,'Data shares'!$C:$FB,124)</f>
        <v>0.46</v>
      </c>
      <c r="P7" s="50">
        <f>VLOOKUP($A7,'Data shares'!$C:$FB,125)</f>
        <v>0.52</v>
      </c>
      <c r="Q7" s="50">
        <f>VLOOKUP($A7,'Data shares'!$C:$FB,127)*100</f>
        <v>-11.540000000000001</v>
      </c>
    </row>
    <row r="8" spans="1:17" x14ac:dyDescent="0.25">
      <c r="A8" s="97" t="str">
        <f>'NIFTY GRP'!C3</f>
        <v>ADANIPORTS</v>
      </c>
      <c r="B8" s="140">
        <f>VLOOKUP($A8,'Data shares'!$C:$FB,7)</f>
        <v>1414.2</v>
      </c>
      <c r="C8" s="140">
        <f>VLOOKUP($A8,'Data shares'!$C:$FB,3)</f>
        <v>1416</v>
      </c>
      <c r="D8" s="140">
        <f>VLOOKUP($A8,'Data shares'!$C:$FB,4)</f>
        <v>1377.4</v>
      </c>
      <c r="E8" s="50">
        <f t="shared" ref="E8:E71" si="0">(C8-D8)/D8*100</f>
        <v>2.8023812980978589</v>
      </c>
      <c r="F8" s="49">
        <f>VLOOKUP($A8,'Data shares'!$C:$FB,98)</f>
        <v>41581975</v>
      </c>
      <c r="G8" s="49">
        <f>VLOOKUP($A8,'Data shares'!$C:$FB,99)</f>
        <v>41518800</v>
      </c>
      <c r="H8" s="50">
        <f t="shared" ref="H8:H71" si="1">(F8-G8)/G8*100</f>
        <v>0.15215998535603148</v>
      </c>
      <c r="I8" s="49">
        <f>VLOOKUP($A8,'Data shares'!$C:$FB,66)</f>
        <v>48905050</v>
      </c>
      <c r="J8" s="49">
        <f>VLOOKUP($A8,'Data shares'!$C:$FB,67)</f>
        <v>35439275</v>
      </c>
      <c r="K8" s="50">
        <f t="shared" ref="K8:K71" si="2">(I8-J8)/I8*100</f>
        <v>27.534528642747532</v>
      </c>
      <c r="L8" s="50">
        <f>VLOOKUP($A8,'Data shares'!$C:$FB,118)</f>
        <v>0.68</v>
      </c>
      <c r="M8" s="50">
        <f>VLOOKUP($A8,'Data shares'!$C:$FB,119)</f>
        <v>0.63</v>
      </c>
      <c r="N8" s="50">
        <f>VLOOKUP($A8,'Data shares'!$C:$FB,121)*100</f>
        <v>7.9399999999999995</v>
      </c>
      <c r="O8" s="50">
        <f>VLOOKUP($A8,'Data shares'!$C:$FB,124)</f>
        <v>0.65</v>
      </c>
      <c r="P8" s="50">
        <f>VLOOKUP($A8,'Data shares'!$C:$FB,125)</f>
        <v>0.77</v>
      </c>
      <c r="Q8" s="50">
        <f>VLOOKUP($A8,'Data shares'!$C:$FB,127)*100</f>
        <v>-15.58</v>
      </c>
    </row>
    <row r="9" spans="1:17" x14ac:dyDescent="0.25">
      <c r="A9" s="97" t="str">
        <f>'NIFTY GRP'!C4</f>
        <v>APOLLOHOSP</v>
      </c>
      <c r="B9" s="140">
        <f>VLOOKUP($A9,'Data shares'!$C:$FB,7)</f>
        <v>6797</v>
      </c>
      <c r="C9" s="140">
        <f>VLOOKUP($A9,'Data shares'!$C:$FB,3)</f>
        <v>6812.5</v>
      </c>
      <c r="D9" s="140">
        <f>VLOOKUP($A9,'Data shares'!$C:$FB,4)</f>
        <v>6835</v>
      </c>
      <c r="E9" s="50">
        <f t="shared" si="0"/>
        <v>-0.32918800292611555</v>
      </c>
      <c r="F9" s="49">
        <f>VLOOKUP($A9,'Data shares'!$C:$FB,98)</f>
        <v>7087750</v>
      </c>
      <c r="G9" s="49">
        <f>VLOOKUP($A9,'Data shares'!$C:$FB,99)</f>
        <v>6494375</v>
      </c>
      <c r="H9" s="50">
        <f t="shared" si="1"/>
        <v>9.1367529592916945</v>
      </c>
      <c r="I9" s="49">
        <f>VLOOKUP($A9,'Data shares'!$C:$FB,66)</f>
        <v>8568250</v>
      </c>
      <c r="J9" s="49">
        <f>VLOOKUP($A9,'Data shares'!$C:$FB,67)</f>
        <v>9084500</v>
      </c>
      <c r="K9" s="50">
        <f t="shared" si="2"/>
        <v>-6.0251509934934209</v>
      </c>
      <c r="L9" s="50">
        <f>VLOOKUP($A9,'Data shares'!$C:$FB,118)</f>
        <v>0.55000000000000004</v>
      </c>
      <c r="M9" s="50">
        <f>VLOOKUP($A9,'Data shares'!$C:$FB,119)</f>
        <v>0.57999999999999996</v>
      </c>
      <c r="N9" s="50">
        <f>VLOOKUP($A9,'Data shares'!$C:$FB,121)*100</f>
        <v>-5.17</v>
      </c>
      <c r="O9" s="50">
        <f>VLOOKUP($A9,'Data shares'!$C:$FB,124)</f>
        <v>0.36</v>
      </c>
      <c r="P9" s="50">
        <f>VLOOKUP($A9,'Data shares'!$C:$FB,125)</f>
        <v>0.49</v>
      </c>
      <c r="Q9" s="50">
        <f>VLOOKUP($A9,'Data shares'!$C:$FB,127)*100</f>
        <v>-26.529999999999998</v>
      </c>
    </row>
    <row r="10" spans="1:17" x14ac:dyDescent="0.25">
      <c r="A10" s="97" t="str">
        <f>'NIFTY GRP'!C5</f>
        <v>ASIANPAINT</v>
      </c>
      <c r="B10" s="140">
        <f>VLOOKUP($A10,'Data shares'!$C:$FB,7)</f>
        <v>2703.8</v>
      </c>
      <c r="C10" s="140">
        <f>VLOOKUP($A10,'Data shares'!$C:$FB,3)</f>
        <v>2705.2</v>
      </c>
      <c r="D10" s="140">
        <f>VLOOKUP($A10,'Data shares'!$C:$FB,4)</f>
        <v>2664.5</v>
      </c>
      <c r="E10" s="50">
        <f t="shared" si="0"/>
        <v>1.5274910865077806</v>
      </c>
      <c r="F10" s="49">
        <f>VLOOKUP($A10,'Data shares'!$C:$FB,98)</f>
        <v>21619500</v>
      </c>
      <c r="G10" s="49">
        <f>VLOOKUP($A10,'Data shares'!$C:$FB,99)</f>
        <v>21522750</v>
      </c>
      <c r="H10" s="50">
        <f t="shared" si="1"/>
        <v>0.44952434052339968</v>
      </c>
      <c r="I10" s="49">
        <f>VLOOKUP($A10,'Data shares'!$C:$FB,66)</f>
        <v>27883000</v>
      </c>
      <c r="J10" s="49">
        <f>VLOOKUP($A10,'Data shares'!$C:$FB,67)</f>
        <v>22316250</v>
      </c>
      <c r="K10" s="50">
        <f t="shared" si="2"/>
        <v>19.964673815586558</v>
      </c>
      <c r="L10" s="50">
        <f>VLOOKUP($A10,'Data shares'!$C:$FB,118)</f>
        <v>0.71</v>
      </c>
      <c r="M10" s="50">
        <f>VLOOKUP($A10,'Data shares'!$C:$FB,119)</f>
        <v>0.67</v>
      </c>
      <c r="N10" s="50">
        <f>VLOOKUP($A10,'Data shares'!$C:$FB,121)*100</f>
        <v>5.9700000000000006</v>
      </c>
      <c r="O10" s="50">
        <f>VLOOKUP($A10,'Data shares'!$C:$FB,124)</f>
        <v>0.8</v>
      </c>
      <c r="P10" s="50">
        <f>VLOOKUP($A10,'Data shares'!$C:$FB,125)</f>
        <v>0.83</v>
      </c>
      <c r="Q10" s="50">
        <f>VLOOKUP($A10,'Data shares'!$C:$FB,127)*100</f>
        <v>-3.61</v>
      </c>
    </row>
    <row r="11" spans="1:17" x14ac:dyDescent="0.25">
      <c r="A11" s="97" t="str">
        <f>'NIFTY GRP'!C6</f>
        <v>AXISBANK</v>
      </c>
      <c r="B11" s="140">
        <f>VLOOKUP($A11,'Data shares'!$C:$FB,7)</f>
        <v>1294.8</v>
      </c>
      <c r="C11" s="140">
        <f>VLOOKUP($A11,'Data shares'!$C:$FB,3)</f>
        <v>1297</v>
      </c>
      <c r="D11" s="140">
        <f>VLOOKUP($A11,'Data shares'!$C:$FB,4)</f>
        <v>1283.5</v>
      </c>
      <c r="E11" s="50">
        <f t="shared" si="0"/>
        <v>1.0518114530580445</v>
      </c>
      <c r="F11" s="49">
        <f>VLOOKUP($A11,'Data shares'!$C:$FB,98)</f>
        <v>133595000</v>
      </c>
      <c r="G11" s="49">
        <f>VLOOKUP($A11,'Data shares'!$C:$FB,99)</f>
        <v>131694375</v>
      </c>
      <c r="H11" s="50">
        <f t="shared" si="1"/>
        <v>1.4432089449530399</v>
      </c>
      <c r="I11" s="49">
        <f>VLOOKUP($A11,'Data shares'!$C:$FB,66)</f>
        <v>118646250</v>
      </c>
      <c r="J11" s="49">
        <f>VLOOKUP($A11,'Data shares'!$C:$FB,67)</f>
        <v>138428750</v>
      </c>
      <c r="K11" s="50">
        <f t="shared" si="2"/>
        <v>-16.673514754996472</v>
      </c>
      <c r="L11" s="50">
        <f>VLOOKUP($A11,'Data shares'!$C:$FB,118)</f>
        <v>0.41</v>
      </c>
      <c r="M11" s="50">
        <f>VLOOKUP($A11,'Data shares'!$C:$FB,119)</f>
        <v>0.41</v>
      </c>
      <c r="N11" s="50">
        <f>VLOOKUP($A11,'Data shares'!$C:$FB,121)*100</f>
        <v>0</v>
      </c>
      <c r="O11" s="50">
        <f>VLOOKUP($A11,'Data shares'!$C:$FB,124)</f>
        <v>0.65</v>
      </c>
      <c r="P11" s="50">
        <f>VLOOKUP($A11,'Data shares'!$C:$FB,125)</f>
        <v>0.69</v>
      </c>
      <c r="Q11" s="50">
        <f>VLOOKUP($A11,'Data shares'!$C:$FB,127)*100</f>
        <v>-5.8000000000000007</v>
      </c>
    </row>
    <row r="12" spans="1:17" x14ac:dyDescent="0.25">
      <c r="A12" s="97" t="str">
        <f>'NIFTY GRP'!C7</f>
        <v>BAJAJ-AUTO</v>
      </c>
      <c r="B12" s="140">
        <f>VLOOKUP($A12,'Data shares'!$C:$FB,7)</f>
        <v>9370</v>
      </c>
      <c r="C12" s="140">
        <f>VLOOKUP($A12,'Data shares'!$C:$FB,3)</f>
        <v>9383</v>
      </c>
      <c r="D12" s="140">
        <f>VLOOKUP($A12,'Data shares'!$C:$FB,4)</f>
        <v>9193</v>
      </c>
      <c r="E12" s="50">
        <f t="shared" si="0"/>
        <v>2.0667899488741432</v>
      </c>
      <c r="F12" s="49">
        <f>VLOOKUP($A12,'Data shares'!$C:$FB,98)</f>
        <v>6053025</v>
      </c>
      <c r="G12" s="49">
        <f>VLOOKUP($A12,'Data shares'!$C:$FB,99)</f>
        <v>6585600</v>
      </c>
      <c r="H12" s="50">
        <f t="shared" si="1"/>
        <v>-8.0869624635568513</v>
      </c>
      <c r="I12" s="49">
        <f>VLOOKUP($A12,'Data shares'!$C:$FB,66)</f>
        <v>7940700</v>
      </c>
      <c r="J12" s="49">
        <f>VLOOKUP($A12,'Data shares'!$C:$FB,67)</f>
        <v>8225775</v>
      </c>
      <c r="K12" s="50">
        <f t="shared" si="2"/>
        <v>-3.5900487362575091</v>
      </c>
      <c r="L12" s="50">
        <f>VLOOKUP($A12,'Data shares'!$C:$FB,118)</f>
        <v>0.6</v>
      </c>
      <c r="M12" s="50">
        <f>VLOOKUP($A12,'Data shares'!$C:$FB,119)</f>
        <v>0.55000000000000004</v>
      </c>
      <c r="N12" s="50">
        <f>VLOOKUP($A12,'Data shares'!$C:$FB,121)*100</f>
        <v>9.09</v>
      </c>
      <c r="O12" s="50">
        <f>VLOOKUP($A12,'Data shares'!$C:$FB,124)</f>
        <v>0.49</v>
      </c>
      <c r="P12" s="50">
        <f>VLOOKUP($A12,'Data shares'!$C:$FB,125)</f>
        <v>0.54</v>
      </c>
      <c r="Q12" s="50">
        <f>VLOOKUP($A12,'Data shares'!$C:$FB,127)*100</f>
        <v>-9.26</v>
      </c>
    </row>
    <row r="13" spans="1:17" x14ac:dyDescent="0.25">
      <c r="A13" s="97" t="str">
        <f>'NIFTY GRP'!C8</f>
        <v>BAJAJFINSV</v>
      </c>
      <c r="B13" s="140">
        <f>VLOOKUP($A13,'Data shares'!$C:$FB,7)</f>
        <v>1993.1</v>
      </c>
      <c r="C13" s="140">
        <f>VLOOKUP($A13,'Data shares'!$C:$FB,3)</f>
        <v>1991.3</v>
      </c>
      <c r="D13" s="140">
        <f>VLOOKUP($A13,'Data shares'!$C:$FB,4)</f>
        <v>1958.4</v>
      </c>
      <c r="E13" s="50">
        <f t="shared" si="0"/>
        <v>1.6799428104575094</v>
      </c>
      <c r="F13" s="49">
        <f>VLOOKUP($A13,'Data shares'!$C:$FB,98)</f>
        <v>25105500</v>
      </c>
      <c r="G13" s="49">
        <f>VLOOKUP($A13,'Data shares'!$C:$FB,99)</f>
        <v>25590750</v>
      </c>
      <c r="H13" s="50">
        <f t="shared" si="1"/>
        <v>-1.8961929603470005</v>
      </c>
      <c r="I13" s="49">
        <f>VLOOKUP($A13,'Data shares'!$C:$FB,66)</f>
        <v>15849250</v>
      </c>
      <c r="J13" s="49">
        <f>VLOOKUP($A13,'Data shares'!$C:$FB,67)</f>
        <v>16356750</v>
      </c>
      <c r="K13" s="50">
        <f t="shared" si="2"/>
        <v>-3.202044260769437</v>
      </c>
      <c r="L13" s="50">
        <f>VLOOKUP($A13,'Data shares'!$C:$FB,118)</f>
        <v>0.59</v>
      </c>
      <c r="M13" s="50">
        <f>VLOOKUP($A13,'Data shares'!$C:$FB,119)</f>
        <v>0.55000000000000004</v>
      </c>
      <c r="N13" s="50">
        <f>VLOOKUP($A13,'Data shares'!$C:$FB,121)*100</f>
        <v>7.2700000000000005</v>
      </c>
      <c r="O13" s="50">
        <f>VLOOKUP($A13,'Data shares'!$C:$FB,124)</f>
        <v>0.46</v>
      </c>
      <c r="P13" s="50">
        <f>VLOOKUP($A13,'Data shares'!$C:$FB,125)</f>
        <v>0.66</v>
      </c>
      <c r="Q13" s="50">
        <f>VLOOKUP($A13,'Data shares'!$C:$FB,127)*100</f>
        <v>-30.3</v>
      </c>
    </row>
    <row r="14" spans="1:17" x14ac:dyDescent="0.25">
      <c r="A14" s="97" t="str">
        <f>'NIFTY GRP'!C9</f>
        <v>BAJFINANCE</v>
      </c>
      <c r="B14" s="140">
        <f>VLOOKUP($A14,'Data shares'!$C:$FB,7)</f>
        <v>942.85</v>
      </c>
      <c r="C14" s="140">
        <f>VLOOKUP($A14,'Data shares'!$C:$FB,3)</f>
        <v>943.15</v>
      </c>
      <c r="D14" s="140">
        <f>VLOOKUP($A14,'Data shares'!$C:$FB,4)</f>
        <v>936.65</v>
      </c>
      <c r="E14" s="50">
        <f>(C14-D14)/D14*100</f>
        <v>0.69396252602359476</v>
      </c>
      <c r="F14" s="49">
        <f>VLOOKUP($A14,'Data shares'!$C:$FB,98)</f>
        <v>144366750</v>
      </c>
      <c r="G14" s="49">
        <f>VLOOKUP($A14,'Data shares'!$C:$FB,99)</f>
        <v>145896750</v>
      </c>
      <c r="H14" s="50">
        <f t="shared" si="1"/>
        <v>-1.0486868281850006</v>
      </c>
      <c r="I14" s="49">
        <f>VLOOKUP($A14,'Data shares'!$C:$FB,66)</f>
        <v>118597500</v>
      </c>
      <c r="J14" s="49">
        <f>VLOOKUP($A14,'Data shares'!$C:$FB,67)</f>
        <v>128484000</v>
      </c>
      <c r="K14" s="50">
        <f t="shared" si="2"/>
        <v>-8.3361790931512054</v>
      </c>
      <c r="L14" s="50">
        <f>VLOOKUP($A14,'Data shares'!$C:$FB,118)</f>
        <v>0.61</v>
      </c>
      <c r="M14" s="50">
        <f>VLOOKUP($A14,'Data shares'!$C:$FB,119)</f>
        <v>0.6</v>
      </c>
      <c r="N14" s="50">
        <f>VLOOKUP($A14,'Data shares'!$C:$FB,121)*100</f>
        <v>1.67</v>
      </c>
      <c r="O14" s="50">
        <f>VLOOKUP($A14,'Data shares'!$C:$FB,124)</f>
        <v>0.53</v>
      </c>
      <c r="P14" s="50">
        <f>VLOOKUP($A14,'Data shares'!$C:$FB,125)</f>
        <v>0.63</v>
      </c>
      <c r="Q14" s="50">
        <f>VLOOKUP($A14,'Data shares'!$C:$FB,127)*100</f>
        <v>-15.870000000000001</v>
      </c>
    </row>
    <row r="15" spans="1:17" x14ac:dyDescent="0.25">
      <c r="A15" s="97" t="str">
        <f>'NIFTY GRP'!C10</f>
        <v>BEL</v>
      </c>
      <c r="B15" s="140">
        <f>VLOOKUP($A15,'Data shares'!$C:$FB,7)</f>
        <v>417.3</v>
      </c>
      <c r="C15" s="140">
        <f>VLOOKUP($A15,'Data shares'!$C:$FB,3)</f>
        <v>417.15</v>
      </c>
      <c r="D15" s="140">
        <f>VLOOKUP($A15,'Data shares'!$C:$FB,4)</f>
        <v>402.5</v>
      </c>
      <c r="E15" s="50">
        <f t="shared" si="0"/>
        <v>3.6397515527950253</v>
      </c>
      <c r="F15" s="49">
        <f>VLOOKUP($A15,'Data shares'!$C:$FB,98)</f>
        <v>215261925</v>
      </c>
      <c r="G15" s="49">
        <f>VLOOKUP($A15,'Data shares'!$C:$FB,99)</f>
        <v>223264725</v>
      </c>
      <c r="H15" s="50">
        <f t="shared" si="1"/>
        <v>-3.5844444302609828</v>
      </c>
      <c r="I15" s="49">
        <f>VLOOKUP($A15,'Data shares'!$C:$FB,66)</f>
        <v>329685150</v>
      </c>
      <c r="J15" s="49">
        <f>VLOOKUP($A15,'Data shares'!$C:$FB,67)</f>
        <v>328773150</v>
      </c>
      <c r="K15" s="50">
        <f t="shared" si="2"/>
        <v>0.27662756420785106</v>
      </c>
      <c r="L15" s="50">
        <f>VLOOKUP($A15,'Data shares'!$C:$FB,118)</f>
        <v>0.62</v>
      </c>
      <c r="M15" s="50">
        <f>VLOOKUP($A15,'Data shares'!$C:$FB,119)</f>
        <v>0.56999999999999995</v>
      </c>
      <c r="N15" s="50">
        <f>VLOOKUP($A15,'Data shares'!$C:$FB,121)*100</f>
        <v>8.77</v>
      </c>
      <c r="O15" s="50">
        <f>VLOOKUP($A15,'Data shares'!$C:$FB,124)</f>
        <v>0.5</v>
      </c>
      <c r="P15" s="50">
        <f>VLOOKUP($A15,'Data shares'!$C:$FB,125)</f>
        <v>0.69</v>
      </c>
      <c r="Q15" s="50">
        <f>VLOOKUP($A15,'Data shares'!$C:$FB,127)*100</f>
        <v>-27.54</v>
      </c>
    </row>
    <row r="16" spans="1:17" x14ac:dyDescent="0.25">
      <c r="A16" s="97" t="str">
        <f>'NIFTY GRP'!C11</f>
        <v>BHARTIARTL</v>
      </c>
      <c r="B16" s="140">
        <f>VLOOKUP($A16,'Data shares'!$C:$FB,7)</f>
        <v>2002.2</v>
      </c>
      <c r="C16" s="140">
        <f>VLOOKUP($A16,'Data shares'!$C:$FB,3)</f>
        <v>2006</v>
      </c>
      <c r="D16" s="140">
        <f>VLOOKUP($A16,'Data shares'!$C:$FB,4)</f>
        <v>1995.5</v>
      </c>
      <c r="E16" s="50">
        <f t="shared" si="0"/>
        <v>0.52618391380606366</v>
      </c>
      <c r="F16" s="49">
        <f>VLOOKUP($A16,'Data shares'!$C:$FB,98)</f>
        <v>76419425</v>
      </c>
      <c r="G16" s="49">
        <f>VLOOKUP($A16,'Data shares'!$C:$FB,99)</f>
        <v>77139050</v>
      </c>
      <c r="H16" s="50">
        <f t="shared" si="1"/>
        <v>-0.93289326223229341</v>
      </c>
      <c r="I16" s="49">
        <f>VLOOKUP($A16,'Data shares'!$C:$FB,66)</f>
        <v>83954825</v>
      </c>
      <c r="J16" s="49">
        <f>VLOOKUP($A16,'Data shares'!$C:$FB,67)</f>
        <v>75271825</v>
      </c>
      <c r="K16" s="50">
        <f t="shared" si="2"/>
        <v>10.342466915987259</v>
      </c>
      <c r="L16" s="50">
        <f>VLOOKUP($A16,'Data shares'!$C:$FB,118)</f>
        <v>0.47</v>
      </c>
      <c r="M16" s="50">
        <f>VLOOKUP($A16,'Data shares'!$C:$FB,119)</f>
        <v>0.45</v>
      </c>
      <c r="N16" s="50">
        <f>VLOOKUP($A16,'Data shares'!$C:$FB,121)*100</f>
        <v>4.4400000000000004</v>
      </c>
      <c r="O16" s="50">
        <f>VLOOKUP($A16,'Data shares'!$C:$FB,124)</f>
        <v>0.51</v>
      </c>
      <c r="P16" s="50">
        <f>VLOOKUP($A16,'Data shares'!$C:$FB,125)</f>
        <v>0.62</v>
      </c>
      <c r="Q16" s="50">
        <f>VLOOKUP($A16,'Data shares'!$C:$FB,127)*100</f>
        <v>-17.740000000000002</v>
      </c>
    </row>
    <row r="17" spans="1:17" x14ac:dyDescent="0.25">
      <c r="A17" s="97" t="str">
        <f>'NIFTY GRP'!C12</f>
        <v>CIPLA</v>
      </c>
      <c r="B17" s="140">
        <f>VLOOKUP($A17,'Data shares'!$C:$FB,7)</f>
        <v>1370.4</v>
      </c>
      <c r="C17" s="140">
        <f>VLOOKUP($A17,'Data shares'!$C:$FB,3)</f>
        <v>1373.3</v>
      </c>
      <c r="D17" s="140">
        <f>VLOOKUP($A17,'Data shares'!$C:$FB,4)</f>
        <v>1368.2</v>
      </c>
      <c r="E17" s="50">
        <f t="shared" si="0"/>
        <v>0.37275252156116861</v>
      </c>
      <c r="F17" s="49">
        <f>VLOOKUP($A17,'Data shares'!$C:$FB,98)</f>
        <v>28593750</v>
      </c>
      <c r="G17" s="49">
        <f>VLOOKUP($A17,'Data shares'!$C:$FB,99)</f>
        <v>28501500</v>
      </c>
      <c r="H17" s="50">
        <f t="shared" si="1"/>
        <v>0.32366717541182044</v>
      </c>
      <c r="I17" s="49">
        <f>VLOOKUP($A17,'Data shares'!$C:$FB,66)</f>
        <v>22966500</v>
      </c>
      <c r="J17" s="49">
        <f>VLOOKUP($A17,'Data shares'!$C:$FB,67)</f>
        <v>25128375</v>
      </c>
      <c r="K17" s="50">
        <f t="shared" si="2"/>
        <v>-9.4131670041146887</v>
      </c>
      <c r="L17" s="50">
        <f>VLOOKUP($A17,'Data shares'!$C:$FB,118)</f>
        <v>0.76</v>
      </c>
      <c r="M17" s="50">
        <f>VLOOKUP($A17,'Data shares'!$C:$FB,119)</f>
        <v>0.77</v>
      </c>
      <c r="N17" s="50">
        <f>VLOOKUP($A17,'Data shares'!$C:$FB,121)*100</f>
        <v>-1.3</v>
      </c>
      <c r="O17" s="50">
        <f>VLOOKUP($A17,'Data shares'!$C:$FB,124)</f>
        <v>0.6</v>
      </c>
      <c r="P17" s="50">
        <f>VLOOKUP($A17,'Data shares'!$C:$FB,125)</f>
        <v>0.75</v>
      </c>
      <c r="Q17" s="50">
        <f>VLOOKUP($A17,'Data shares'!$C:$FB,127)*100</f>
        <v>-20</v>
      </c>
    </row>
    <row r="18" spans="1:17" x14ac:dyDescent="0.25">
      <c r="A18" s="97" t="str">
        <f>'NIFTY GRP'!C13</f>
        <v>COALINDIA</v>
      </c>
      <c r="B18" s="140">
        <f>VLOOKUP($A18,'Data shares'!$C:$FB,7)</f>
        <v>423.2</v>
      </c>
      <c r="C18" s="140">
        <f>VLOOKUP($A18,'Data shares'!$C:$FB,3)</f>
        <v>422.95</v>
      </c>
      <c r="D18" s="140">
        <f>VLOOKUP($A18,'Data shares'!$C:$FB,4)</f>
        <v>414.1</v>
      </c>
      <c r="E18" s="50">
        <f t="shared" si="0"/>
        <v>2.1371649360057874</v>
      </c>
      <c r="F18" s="49">
        <f>VLOOKUP($A18,'Data shares'!$C:$FB,98)</f>
        <v>135715500</v>
      </c>
      <c r="G18" s="49">
        <f>VLOOKUP($A18,'Data shares'!$C:$FB,99)</f>
        <v>139676400</v>
      </c>
      <c r="H18" s="50">
        <f t="shared" si="1"/>
        <v>-2.835768963117606</v>
      </c>
      <c r="I18" s="49">
        <f>VLOOKUP($A18,'Data shares'!$C:$FB,66)</f>
        <v>162233550</v>
      </c>
      <c r="J18" s="49">
        <f>VLOOKUP($A18,'Data shares'!$C:$FB,67)</f>
        <v>148522950</v>
      </c>
      <c r="K18" s="50">
        <f t="shared" si="2"/>
        <v>8.451149592670566</v>
      </c>
      <c r="L18" s="50">
        <f>VLOOKUP($A18,'Data shares'!$C:$FB,118)</f>
        <v>0.5</v>
      </c>
      <c r="M18" s="50">
        <f>VLOOKUP($A18,'Data shares'!$C:$FB,119)</f>
        <v>0.46</v>
      </c>
      <c r="N18" s="50">
        <f>VLOOKUP($A18,'Data shares'!$C:$FB,121)*100</f>
        <v>8.6999999999999993</v>
      </c>
      <c r="O18" s="50">
        <f>VLOOKUP($A18,'Data shares'!$C:$FB,124)</f>
        <v>0.43</v>
      </c>
      <c r="P18" s="50">
        <f>VLOOKUP($A18,'Data shares'!$C:$FB,125)</f>
        <v>0.47</v>
      </c>
      <c r="Q18" s="50">
        <f>VLOOKUP($A18,'Data shares'!$C:$FB,127)*100</f>
        <v>-8.51</v>
      </c>
    </row>
    <row r="19" spans="1:17" x14ac:dyDescent="0.25">
      <c r="A19" s="97" t="str">
        <f>'NIFTY GRP'!C14</f>
        <v>DRREDDY</v>
      </c>
      <c r="B19" s="140">
        <f>VLOOKUP($A19,'Data shares'!$C:$FB,7)</f>
        <v>1217.5</v>
      </c>
      <c r="C19" s="140">
        <f>VLOOKUP($A19,'Data shares'!$C:$FB,3)</f>
        <v>1221.3</v>
      </c>
      <c r="D19" s="140">
        <f>VLOOKUP($A19,'Data shares'!$C:$FB,4)</f>
        <v>1160.2</v>
      </c>
      <c r="E19" s="50">
        <f t="shared" si="0"/>
        <v>5.2663333907946832</v>
      </c>
      <c r="F19" s="49">
        <f>VLOOKUP($A19,'Data shares'!$C:$FB,98)</f>
        <v>33220000</v>
      </c>
      <c r="G19" s="49">
        <f>VLOOKUP($A19,'Data shares'!$C:$FB,99)</f>
        <v>33981875</v>
      </c>
      <c r="H19" s="50">
        <f t="shared" si="1"/>
        <v>-2.2420040094903531</v>
      </c>
      <c r="I19" s="49">
        <f>VLOOKUP($A19,'Data shares'!$C:$FB,66)</f>
        <v>124906250</v>
      </c>
      <c r="J19" s="49">
        <f>VLOOKUP($A19,'Data shares'!$C:$FB,67)</f>
        <v>68460000</v>
      </c>
      <c r="K19" s="50">
        <f t="shared" si="2"/>
        <v>45.190893169877413</v>
      </c>
      <c r="L19" s="50">
        <f>VLOOKUP($A19,'Data shares'!$C:$FB,118)</f>
        <v>0.6</v>
      </c>
      <c r="M19" s="50">
        <f>VLOOKUP($A19,'Data shares'!$C:$FB,119)</f>
        <v>0.62</v>
      </c>
      <c r="N19" s="50">
        <f>VLOOKUP($A19,'Data shares'!$C:$FB,121)*100</f>
        <v>-3.2300000000000004</v>
      </c>
      <c r="O19" s="50">
        <f>VLOOKUP($A19,'Data shares'!$C:$FB,124)</f>
        <v>0.49</v>
      </c>
      <c r="P19" s="50">
        <f>VLOOKUP($A19,'Data shares'!$C:$FB,125)</f>
        <v>0.73</v>
      </c>
      <c r="Q19" s="50">
        <f>VLOOKUP($A19,'Data shares'!$C:$FB,127)*100</f>
        <v>-32.879999999999995</v>
      </c>
    </row>
    <row r="20" spans="1:17" x14ac:dyDescent="0.25">
      <c r="A20" s="97" t="str">
        <f>'NIFTY GRP'!C15</f>
        <v>EICHERMOT</v>
      </c>
      <c r="B20" s="140">
        <f>VLOOKUP($A20,'Data shares'!$C:$FB,7)</f>
        <v>7049</v>
      </c>
      <c r="C20" s="140">
        <f>VLOOKUP($A20,'Data shares'!$C:$FB,3)</f>
        <v>7040</v>
      </c>
      <c r="D20" s="140">
        <f>VLOOKUP($A20,'Data shares'!$C:$FB,4)</f>
        <v>7137</v>
      </c>
      <c r="E20" s="50">
        <f t="shared" si="0"/>
        <v>-1.3591144738685723</v>
      </c>
      <c r="F20" s="49">
        <f>VLOOKUP($A20,'Data shares'!$C:$FB,98)</f>
        <v>5925600</v>
      </c>
      <c r="G20" s="49">
        <f>VLOOKUP($A20,'Data shares'!$C:$FB,99)</f>
        <v>5822900</v>
      </c>
      <c r="H20" s="50">
        <f t="shared" si="1"/>
        <v>1.7637259784643391</v>
      </c>
      <c r="I20" s="49">
        <f>VLOOKUP($A20,'Data shares'!$C:$FB,66)</f>
        <v>9818800</v>
      </c>
      <c r="J20" s="49">
        <f>VLOOKUP($A20,'Data shares'!$C:$FB,67)</f>
        <v>9165000</v>
      </c>
      <c r="K20" s="50">
        <f t="shared" si="2"/>
        <v>6.6586548254369173</v>
      </c>
      <c r="L20" s="50">
        <f>VLOOKUP($A20,'Data shares'!$C:$FB,118)</f>
        <v>0.49</v>
      </c>
      <c r="M20" s="50">
        <f>VLOOKUP($A20,'Data shares'!$C:$FB,119)</f>
        <v>0.51</v>
      </c>
      <c r="N20" s="50">
        <f>VLOOKUP($A20,'Data shares'!$C:$FB,121)*100</f>
        <v>-3.92</v>
      </c>
      <c r="O20" s="50">
        <f>VLOOKUP($A20,'Data shares'!$C:$FB,124)</f>
        <v>0.43</v>
      </c>
      <c r="P20" s="50">
        <f>VLOOKUP($A20,'Data shares'!$C:$FB,125)</f>
        <v>0.51</v>
      </c>
      <c r="Q20" s="50">
        <f>VLOOKUP($A20,'Data shares'!$C:$FB,127)*100</f>
        <v>-15.690000000000001</v>
      </c>
    </row>
    <row r="21" spans="1:17" x14ac:dyDescent="0.25">
      <c r="A21" s="97" t="str">
        <f>'NIFTY GRP'!C16</f>
        <v>ETERNAL</v>
      </c>
      <c r="B21" s="140">
        <f>VLOOKUP($A21,'Data shares'!$C:$FB,7)</f>
        <v>275.89999999999998</v>
      </c>
      <c r="C21" s="140">
        <f>VLOOKUP($A21,'Data shares'!$C:$FB,3)</f>
        <v>276.39999999999998</v>
      </c>
      <c r="D21" s="140">
        <f>VLOOKUP($A21,'Data shares'!$C:$FB,4)</f>
        <v>283.85000000000002</v>
      </c>
      <c r="E21" s="50">
        <f t="shared" si="0"/>
        <v>-2.6246256825788428</v>
      </c>
      <c r="F21" s="49">
        <f>VLOOKUP($A21,'Data shares'!$C:$FB,98)</f>
        <v>514594700</v>
      </c>
      <c r="G21" s="49">
        <f>VLOOKUP($A21,'Data shares'!$C:$FB,99)</f>
        <v>513256100</v>
      </c>
      <c r="H21" s="50">
        <f t="shared" si="1"/>
        <v>0.26080547313514635</v>
      </c>
      <c r="I21" s="49">
        <f>VLOOKUP($A21,'Data shares'!$C:$FB,66)</f>
        <v>1529886425</v>
      </c>
      <c r="J21" s="49">
        <f>VLOOKUP($A21,'Data shares'!$C:$FB,67)</f>
        <v>1027082075</v>
      </c>
      <c r="K21" s="50">
        <f t="shared" si="2"/>
        <v>32.865469082124839</v>
      </c>
      <c r="L21" s="50">
        <f>VLOOKUP($A21,'Data shares'!$C:$FB,118)</f>
        <v>0.55000000000000004</v>
      </c>
      <c r="M21" s="50">
        <f>VLOOKUP($A21,'Data shares'!$C:$FB,119)</f>
        <v>0.77</v>
      </c>
      <c r="N21" s="50">
        <f>VLOOKUP($A21,'Data shares'!$C:$FB,121)*100</f>
        <v>-28.57</v>
      </c>
      <c r="O21" s="50">
        <f>VLOOKUP($A21,'Data shares'!$C:$FB,124)</f>
        <v>0.81</v>
      </c>
      <c r="P21" s="50">
        <f>VLOOKUP($A21,'Data shares'!$C:$FB,125)</f>
        <v>0.62</v>
      </c>
      <c r="Q21" s="50">
        <f>VLOOKUP($A21,'Data shares'!$C:$FB,127)*100</f>
        <v>30.65</v>
      </c>
    </row>
    <row r="22" spans="1:17" x14ac:dyDescent="0.25">
      <c r="A22" s="97" t="str">
        <f>'NIFTY GRP'!C17</f>
        <v>GRASIM</v>
      </c>
      <c r="B22" s="140">
        <f>VLOOKUP($A22,'Data shares'!$C:$FB,7)</f>
        <v>2787.6</v>
      </c>
      <c r="C22" s="140">
        <f>VLOOKUP($A22,'Data shares'!$C:$FB,3)</f>
        <v>2793</v>
      </c>
      <c r="D22" s="140">
        <f>VLOOKUP($A22,'Data shares'!$C:$FB,4)</f>
        <v>2737.7</v>
      </c>
      <c r="E22" s="50">
        <f t="shared" si="0"/>
        <v>2.0199437484019498</v>
      </c>
      <c r="F22" s="49">
        <f>VLOOKUP($A22,'Data shares'!$C:$FB,98)</f>
        <v>19878500</v>
      </c>
      <c r="G22" s="49">
        <f>VLOOKUP($A22,'Data shares'!$C:$FB,99)</f>
        <v>20167500</v>
      </c>
      <c r="H22" s="50">
        <f t="shared" si="1"/>
        <v>-1.4329986364199825</v>
      </c>
      <c r="I22" s="49">
        <f>VLOOKUP($A22,'Data shares'!$C:$FB,66)</f>
        <v>15705250</v>
      </c>
      <c r="J22" s="49">
        <f>VLOOKUP($A22,'Data shares'!$C:$FB,67)</f>
        <v>11957750</v>
      </c>
      <c r="K22" s="50">
        <f t="shared" si="2"/>
        <v>23.861447605100206</v>
      </c>
      <c r="L22" s="50">
        <f>VLOOKUP($A22,'Data shares'!$C:$FB,118)</f>
        <v>1.01</v>
      </c>
      <c r="M22" s="50">
        <f>VLOOKUP($A22,'Data shares'!$C:$FB,119)</f>
        <v>0.97</v>
      </c>
      <c r="N22" s="50">
        <f>VLOOKUP($A22,'Data shares'!$C:$FB,121)*100</f>
        <v>4.12</v>
      </c>
      <c r="O22" s="50">
        <f>VLOOKUP($A22,'Data shares'!$C:$FB,124)</f>
        <v>0.73</v>
      </c>
      <c r="P22" s="50">
        <f>VLOOKUP($A22,'Data shares'!$C:$FB,125)</f>
        <v>0.61</v>
      </c>
      <c r="Q22" s="50">
        <f>VLOOKUP($A22,'Data shares'!$C:$FB,127)*100</f>
        <v>19.670000000000002</v>
      </c>
    </row>
    <row r="23" spans="1:17" x14ac:dyDescent="0.25">
      <c r="A23" s="97" t="str">
        <f>'NIFTY GRP'!C18</f>
        <v>HCLTECH</v>
      </c>
      <c r="B23" s="140">
        <f>VLOOKUP($A23,'Data shares'!$C:$FB,7)</f>
        <v>1703.1</v>
      </c>
      <c r="C23" s="140">
        <f>VLOOKUP($A23,'Data shares'!$C:$FB,3)</f>
        <v>1702.6</v>
      </c>
      <c r="D23" s="140">
        <f>VLOOKUP($A23,'Data shares'!$C:$FB,4)</f>
        <v>1683.5</v>
      </c>
      <c r="E23" s="50">
        <f t="shared" si="0"/>
        <v>1.1345411345411291</v>
      </c>
      <c r="F23" s="49">
        <f>VLOOKUP($A23,'Data shares'!$C:$FB,98)</f>
        <v>30254700</v>
      </c>
      <c r="G23" s="49">
        <f>VLOOKUP($A23,'Data shares'!$C:$FB,99)</f>
        <v>30284450</v>
      </c>
      <c r="H23" s="50">
        <f t="shared" si="1"/>
        <v>-9.8235232933072902E-2</v>
      </c>
      <c r="I23" s="49">
        <f>VLOOKUP($A23,'Data shares'!$C:$FB,66)</f>
        <v>31633700</v>
      </c>
      <c r="J23" s="49">
        <f>VLOOKUP($A23,'Data shares'!$C:$FB,67)</f>
        <v>32516400</v>
      </c>
      <c r="K23" s="50">
        <f t="shared" si="2"/>
        <v>-2.7903786152109933</v>
      </c>
      <c r="L23" s="50">
        <f>VLOOKUP($A23,'Data shares'!$C:$FB,118)</f>
        <v>0.59</v>
      </c>
      <c r="M23" s="50">
        <f>VLOOKUP($A23,'Data shares'!$C:$FB,119)</f>
        <v>0.56999999999999995</v>
      </c>
      <c r="N23" s="50">
        <f>VLOOKUP($A23,'Data shares'!$C:$FB,121)*100</f>
        <v>3.51</v>
      </c>
      <c r="O23" s="50">
        <f>VLOOKUP($A23,'Data shares'!$C:$FB,124)</f>
        <v>0.61</v>
      </c>
      <c r="P23" s="50">
        <f>VLOOKUP($A23,'Data shares'!$C:$FB,125)</f>
        <v>0.73</v>
      </c>
      <c r="Q23" s="50">
        <f>VLOOKUP($A23,'Data shares'!$C:$FB,127)*100</f>
        <v>-16.439999999999998</v>
      </c>
    </row>
    <row r="24" spans="1:17" x14ac:dyDescent="0.25">
      <c r="A24" s="97" t="str">
        <f>'NIFTY GRP'!C19</f>
        <v>HDFCBANK</v>
      </c>
      <c r="B24" s="140">
        <f>VLOOKUP($A24,'Data shares'!$C:$FB,7)</f>
        <v>918.7</v>
      </c>
      <c r="C24" s="140">
        <f>VLOOKUP($A24,'Data shares'!$C:$FB,3)</f>
        <v>921.55</v>
      </c>
      <c r="D24" s="140">
        <f>VLOOKUP($A24,'Data shares'!$C:$FB,4)</f>
        <v>922.45</v>
      </c>
      <c r="E24" s="50">
        <f t="shared" si="0"/>
        <v>-9.7566263754142873E-2</v>
      </c>
      <c r="F24" s="49">
        <f>VLOOKUP($A24,'Data shares'!$C:$FB,98)</f>
        <v>408159400</v>
      </c>
      <c r="G24" s="49">
        <f>VLOOKUP($A24,'Data shares'!$C:$FB,99)</f>
        <v>399782350</v>
      </c>
      <c r="H24" s="50">
        <f t="shared" si="1"/>
        <v>2.0954026609729017</v>
      </c>
      <c r="I24" s="49">
        <f>VLOOKUP($A24,'Data shares'!$C:$FB,66)</f>
        <v>377121800</v>
      </c>
      <c r="J24" s="49">
        <f>VLOOKUP($A24,'Data shares'!$C:$FB,67)</f>
        <v>424313450</v>
      </c>
      <c r="K24" s="50">
        <f t="shared" si="2"/>
        <v>-12.51363617801994</v>
      </c>
      <c r="L24" s="50">
        <f>VLOOKUP($A24,'Data shares'!$C:$FB,118)</f>
        <v>0.49</v>
      </c>
      <c r="M24" s="50">
        <f>VLOOKUP($A24,'Data shares'!$C:$FB,119)</f>
        <v>0.48</v>
      </c>
      <c r="N24" s="50">
        <f>VLOOKUP($A24,'Data shares'!$C:$FB,121)*100</f>
        <v>2.08</v>
      </c>
      <c r="O24" s="50">
        <f>VLOOKUP($A24,'Data shares'!$C:$FB,124)</f>
        <v>0.61</v>
      </c>
      <c r="P24" s="50">
        <f>VLOOKUP($A24,'Data shares'!$C:$FB,125)</f>
        <v>0.78</v>
      </c>
      <c r="Q24" s="50">
        <f>VLOOKUP($A24,'Data shares'!$C:$FB,127)*100</f>
        <v>-21.790000000000003</v>
      </c>
    </row>
    <row r="25" spans="1:17" x14ac:dyDescent="0.25">
      <c r="A25" s="97" t="str">
        <f>'NIFTY GRP'!C20</f>
        <v>HDFCLIFE</v>
      </c>
      <c r="B25" s="140">
        <f>VLOOKUP($A25,'Data shares'!$C:$FB,7)</f>
        <v>725.1</v>
      </c>
      <c r="C25" s="140">
        <f>VLOOKUP($A25,'Data shares'!$C:$FB,3)</f>
        <v>725.4</v>
      </c>
      <c r="D25" s="140">
        <f>VLOOKUP($A25,'Data shares'!$C:$FB,4)</f>
        <v>725.6</v>
      </c>
      <c r="E25" s="50">
        <f t="shared" si="0"/>
        <v>-2.7563395810370105E-2</v>
      </c>
      <c r="F25" s="49">
        <f>VLOOKUP($A25,'Data shares'!$C:$FB,98)</f>
        <v>61250200</v>
      </c>
      <c r="G25" s="49">
        <f>VLOOKUP($A25,'Data shares'!$C:$FB,99)</f>
        <v>61154500</v>
      </c>
      <c r="H25" s="50">
        <f t="shared" si="1"/>
        <v>0.15648889288605092</v>
      </c>
      <c r="I25" s="49">
        <f>VLOOKUP($A25,'Data shares'!$C:$FB,66)</f>
        <v>51954100</v>
      </c>
      <c r="J25" s="49">
        <f>VLOOKUP($A25,'Data shares'!$C:$FB,67)</f>
        <v>60341600</v>
      </c>
      <c r="K25" s="50">
        <f t="shared" si="2"/>
        <v>-16.144057928055727</v>
      </c>
      <c r="L25" s="50">
        <f>VLOOKUP($A25,'Data shares'!$C:$FB,118)</f>
        <v>0.45</v>
      </c>
      <c r="M25" s="50">
        <f>VLOOKUP($A25,'Data shares'!$C:$FB,119)</f>
        <v>0.47</v>
      </c>
      <c r="N25" s="50">
        <f>VLOOKUP($A25,'Data shares'!$C:$FB,121)*100</f>
        <v>-4.26</v>
      </c>
      <c r="O25" s="50">
        <f>VLOOKUP($A25,'Data shares'!$C:$FB,124)</f>
        <v>0.67</v>
      </c>
      <c r="P25" s="50">
        <f>VLOOKUP($A25,'Data shares'!$C:$FB,125)</f>
        <v>0.57999999999999996</v>
      </c>
      <c r="Q25" s="50">
        <f>VLOOKUP($A25,'Data shares'!$C:$FB,127)*100</f>
        <v>15.52</v>
      </c>
    </row>
    <row r="26" spans="1:17" x14ac:dyDescent="0.25">
      <c r="A26" s="97" t="str">
        <f>'NIFTY GRP'!C21</f>
        <v>HINDALCO</v>
      </c>
      <c r="B26" s="140">
        <f>VLOOKUP($A26,'Data shares'!$C:$FB,7)</f>
        <v>944.45</v>
      </c>
      <c r="C26" s="140">
        <f>VLOOKUP($A26,'Data shares'!$C:$FB,3)</f>
        <v>941.15</v>
      </c>
      <c r="D26" s="140">
        <f>VLOOKUP($A26,'Data shares'!$C:$FB,4)</f>
        <v>937.6</v>
      </c>
      <c r="E26" s="50">
        <f t="shared" si="0"/>
        <v>0.37862627986347636</v>
      </c>
      <c r="F26" s="49">
        <f>VLOOKUP($A26,'Data shares'!$C:$FB,98)</f>
        <v>80038700</v>
      </c>
      <c r="G26" s="49">
        <f>VLOOKUP($A26,'Data shares'!$C:$FB,99)</f>
        <v>82918500</v>
      </c>
      <c r="H26" s="50">
        <f t="shared" si="1"/>
        <v>-3.4730488371111394</v>
      </c>
      <c r="I26" s="49">
        <f>VLOOKUP($A26,'Data shares'!$C:$FB,66)</f>
        <v>94411800</v>
      </c>
      <c r="J26" s="49">
        <f>VLOOKUP($A26,'Data shares'!$C:$FB,67)</f>
        <v>89558700</v>
      </c>
      <c r="K26" s="50">
        <f t="shared" si="2"/>
        <v>5.140353218559544</v>
      </c>
      <c r="L26" s="50">
        <f>VLOOKUP($A26,'Data shares'!$C:$FB,118)</f>
        <v>0.76</v>
      </c>
      <c r="M26" s="50">
        <f>VLOOKUP($A26,'Data shares'!$C:$FB,119)</f>
        <v>0.71</v>
      </c>
      <c r="N26" s="50">
        <f>VLOOKUP($A26,'Data shares'!$C:$FB,121)*100</f>
        <v>7.04</v>
      </c>
      <c r="O26" s="50">
        <f>VLOOKUP($A26,'Data shares'!$C:$FB,124)</f>
        <v>0.64</v>
      </c>
      <c r="P26" s="50">
        <f>VLOOKUP($A26,'Data shares'!$C:$FB,125)</f>
        <v>0.54</v>
      </c>
      <c r="Q26" s="50">
        <f>VLOOKUP($A26,'Data shares'!$C:$FB,127)*100</f>
        <v>18.52</v>
      </c>
    </row>
    <row r="27" spans="1:17" x14ac:dyDescent="0.25">
      <c r="A27" s="97" t="str">
        <f>'NIFTY GRP'!C22</f>
        <v>HINDUNILVR</v>
      </c>
      <c r="B27" s="140">
        <f>VLOOKUP($A27,'Data shares'!$C:$FB,7)</f>
        <v>2390.6</v>
      </c>
      <c r="C27" s="140">
        <f>VLOOKUP($A27,'Data shares'!$C:$FB,3)</f>
        <v>2395.6</v>
      </c>
      <c r="D27" s="140">
        <f>VLOOKUP($A27,'Data shares'!$C:$FB,4)</f>
        <v>2368.4</v>
      </c>
      <c r="E27" s="50">
        <f t="shared" si="0"/>
        <v>1.1484546529302406</v>
      </c>
      <c r="F27" s="49">
        <f>VLOOKUP($A27,'Data shares'!$C:$FB,98)</f>
        <v>24432300</v>
      </c>
      <c r="G27" s="49">
        <f>VLOOKUP($A27,'Data shares'!$C:$FB,99)</f>
        <v>25269600</v>
      </c>
      <c r="H27" s="50">
        <f t="shared" si="1"/>
        <v>-3.3134675657707287</v>
      </c>
      <c r="I27" s="49">
        <f>VLOOKUP($A27,'Data shares'!$C:$FB,66)</f>
        <v>34986900</v>
      </c>
      <c r="J27" s="49">
        <f>VLOOKUP($A27,'Data shares'!$C:$FB,67)</f>
        <v>34698000</v>
      </c>
      <c r="K27" s="50">
        <f t="shared" si="2"/>
        <v>0.82573763322843685</v>
      </c>
      <c r="L27" s="50">
        <f>VLOOKUP($A27,'Data shares'!$C:$FB,118)</f>
        <v>0.53</v>
      </c>
      <c r="M27" s="50">
        <f>VLOOKUP($A27,'Data shares'!$C:$FB,119)</f>
        <v>0.48</v>
      </c>
      <c r="N27" s="50">
        <f>VLOOKUP($A27,'Data shares'!$C:$FB,121)*100</f>
        <v>10.42</v>
      </c>
      <c r="O27" s="50">
        <f>VLOOKUP($A27,'Data shares'!$C:$FB,124)</f>
        <v>0.5</v>
      </c>
      <c r="P27" s="50">
        <f>VLOOKUP($A27,'Data shares'!$C:$FB,125)</f>
        <v>0.6</v>
      </c>
      <c r="Q27" s="50">
        <f>VLOOKUP($A27,'Data shares'!$C:$FB,127)*100</f>
        <v>-16.669999999999998</v>
      </c>
    </row>
    <row r="28" spans="1:17" x14ac:dyDescent="0.25">
      <c r="A28" s="97" t="str">
        <f>'NIFTY GRP'!C23</f>
        <v>ICICIBANK</v>
      </c>
      <c r="B28" s="140">
        <f>VLOOKUP($A28,'Data shares'!$C:$FB,7)</f>
        <v>1345.5</v>
      </c>
      <c r="C28" s="140">
        <f>VLOOKUP($A28,'Data shares'!$C:$FB,3)</f>
        <v>1348.6</v>
      </c>
      <c r="D28" s="140">
        <f>VLOOKUP($A28,'Data shares'!$C:$FB,4)</f>
        <v>1347.2</v>
      </c>
      <c r="E28" s="50">
        <f t="shared" si="0"/>
        <v>0.10391923990497799</v>
      </c>
      <c r="F28" s="49">
        <f>VLOOKUP($A28,'Data shares'!$C:$FB,98)</f>
        <v>209731200</v>
      </c>
      <c r="G28" s="49">
        <f>VLOOKUP($A28,'Data shares'!$C:$FB,99)</f>
        <v>211096900</v>
      </c>
      <c r="H28" s="50">
        <f t="shared" si="1"/>
        <v>-0.64695407654020498</v>
      </c>
      <c r="I28" s="49">
        <f>VLOOKUP($A28,'Data shares'!$C:$FB,66)</f>
        <v>203658000</v>
      </c>
      <c r="J28" s="49">
        <f>VLOOKUP($A28,'Data shares'!$C:$FB,67)</f>
        <v>307232800</v>
      </c>
      <c r="K28" s="50">
        <f t="shared" si="2"/>
        <v>-50.8572214202241</v>
      </c>
      <c r="L28" s="50">
        <f>VLOOKUP($A28,'Data shares'!$C:$FB,118)</f>
        <v>0.47</v>
      </c>
      <c r="M28" s="50">
        <f>VLOOKUP($A28,'Data shares'!$C:$FB,119)</f>
        <v>0.48</v>
      </c>
      <c r="N28" s="50">
        <f>VLOOKUP($A28,'Data shares'!$C:$FB,121)*100</f>
        <v>-2.08</v>
      </c>
      <c r="O28" s="50">
        <f>VLOOKUP($A28,'Data shares'!$C:$FB,124)</f>
        <v>0.77</v>
      </c>
      <c r="P28" s="50">
        <f>VLOOKUP($A28,'Data shares'!$C:$FB,125)</f>
        <v>0.76</v>
      </c>
      <c r="Q28" s="50">
        <f>VLOOKUP($A28,'Data shares'!$C:$FB,127)*100</f>
        <v>1.32</v>
      </c>
    </row>
    <row r="29" spans="1:17" x14ac:dyDescent="0.25">
      <c r="A29" s="97" t="str">
        <f>'NIFTY GRP'!C24</f>
        <v>INDIGO</v>
      </c>
      <c r="B29" s="140">
        <f>VLOOKUP($A29,'Data shares'!$C:$FB,7)</f>
        <v>4909</v>
      </c>
      <c r="C29" s="140">
        <f>VLOOKUP($A29,'Data shares'!$C:$FB,3)</f>
        <v>4916.5</v>
      </c>
      <c r="D29" s="140">
        <f>VLOOKUP($A29,'Data shares'!$C:$FB,4)</f>
        <v>4873.5</v>
      </c>
      <c r="E29" s="50">
        <f t="shared" si="0"/>
        <v>0.88232276597927561</v>
      </c>
      <c r="F29" s="49">
        <f>VLOOKUP($A29,'Data shares'!$C:$FB,98)</f>
        <v>18997500</v>
      </c>
      <c r="G29" s="49">
        <f>VLOOKUP($A29,'Data shares'!$C:$FB,99)</f>
        <v>18479250</v>
      </c>
      <c r="H29" s="50">
        <f t="shared" si="1"/>
        <v>2.8044969357522627</v>
      </c>
      <c r="I29" s="49">
        <f>VLOOKUP($A29,'Data shares'!$C:$FB,66)</f>
        <v>21894300</v>
      </c>
      <c r="J29" s="49">
        <f>VLOOKUP($A29,'Data shares'!$C:$FB,67)</f>
        <v>29390400</v>
      </c>
      <c r="K29" s="50">
        <f t="shared" si="2"/>
        <v>-34.237678299831465</v>
      </c>
      <c r="L29" s="50">
        <f>VLOOKUP($A29,'Data shares'!$C:$FB,118)</f>
        <v>0.69</v>
      </c>
      <c r="M29" s="50">
        <f>VLOOKUP($A29,'Data shares'!$C:$FB,119)</f>
        <v>0.68</v>
      </c>
      <c r="N29" s="50">
        <f>VLOOKUP($A29,'Data shares'!$C:$FB,121)*100</f>
        <v>1.47</v>
      </c>
      <c r="O29" s="50">
        <f>VLOOKUP($A29,'Data shares'!$C:$FB,124)</f>
        <v>0.88</v>
      </c>
      <c r="P29" s="50">
        <f>VLOOKUP($A29,'Data shares'!$C:$FB,125)</f>
        <v>0.66</v>
      </c>
      <c r="Q29" s="50">
        <f>VLOOKUP($A29,'Data shares'!$C:$FB,127)*100</f>
        <v>33.33</v>
      </c>
    </row>
    <row r="30" spans="1:17" x14ac:dyDescent="0.25">
      <c r="A30" s="97" t="str">
        <f>'NIFTY GRP'!C25</f>
        <v>INFY</v>
      </c>
      <c r="B30" s="176">
        <f>VLOOKUP($A30,'Data shares'!$C:$FB,7)</f>
        <v>1663.5</v>
      </c>
      <c r="C30" s="176">
        <f>VLOOKUP($A30,'Data shares'!$C:$FB,3)</f>
        <v>1667.4</v>
      </c>
      <c r="D30" s="176">
        <f>VLOOKUP($A30,'Data shares'!$C:$FB,4)</f>
        <v>1656.5</v>
      </c>
      <c r="E30" s="50">
        <f t="shared" si="0"/>
        <v>0.65801388469665512</v>
      </c>
      <c r="F30" s="49">
        <f>VLOOKUP($A30,'Data shares'!$C:$FB,98)</f>
        <v>120017200</v>
      </c>
      <c r="G30" s="49">
        <f>VLOOKUP($A30,'Data shares'!$C:$FB,99)</f>
        <v>120832400</v>
      </c>
      <c r="H30" s="50">
        <f t="shared" si="1"/>
        <v>-0.67465348697865801</v>
      </c>
      <c r="I30" s="49">
        <f>VLOOKUP($A30,'Data shares'!$C:$FB,66)</f>
        <v>145802400</v>
      </c>
      <c r="J30" s="49">
        <f>VLOOKUP($A30,'Data shares'!$C:$FB,67)</f>
        <v>140170400</v>
      </c>
      <c r="K30" s="50">
        <f t="shared" si="2"/>
        <v>3.8627622041886829</v>
      </c>
      <c r="L30" s="50">
        <f>VLOOKUP($A30,'Data shares'!$C:$FB,118)</f>
        <v>0.6</v>
      </c>
      <c r="M30" s="50">
        <f>VLOOKUP($A30,'Data shares'!$C:$FB,119)</f>
        <v>0.64</v>
      </c>
      <c r="N30" s="50">
        <f>VLOOKUP($A30,'Data shares'!$C:$FB,121)*100</f>
        <v>-6.25</v>
      </c>
      <c r="O30" s="50">
        <f>VLOOKUP($A30,'Data shares'!$C:$FB,124)</f>
        <v>0.56999999999999995</v>
      </c>
      <c r="P30" s="50">
        <f>VLOOKUP($A30,'Data shares'!$C:$FB,125)</f>
        <v>0.89</v>
      </c>
      <c r="Q30" s="50">
        <f>VLOOKUP($A30,'Data shares'!$C:$FB,127)*100</f>
        <v>-35.96</v>
      </c>
    </row>
    <row r="31" spans="1:17" x14ac:dyDescent="0.25">
      <c r="A31" s="97" t="str">
        <f>'NIFTY GRP'!C26</f>
        <v>ITC</v>
      </c>
      <c r="B31" s="140">
        <f>VLOOKUP($A31,'Data shares'!$C:$FB,7)</f>
        <v>324.85000000000002</v>
      </c>
      <c r="C31" s="140">
        <f>VLOOKUP($A31,'Data shares'!$C:$FB,3)</f>
        <v>325.25</v>
      </c>
      <c r="D31" s="140">
        <f>VLOOKUP($A31,'Data shares'!$C:$FB,4)</f>
        <v>324.85000000000002</v>
      </c>
      <c r="E31" s="50">
        <f t="shared" si="0"/>
        <v>0.1231337540403193</v>
      </c>
      <c r="F31" s="49">
        <f>VLOOKUP($A31,'Data shares'!$C:$FB,98)</f>
        <v>649211200</v>
      </c>
      <c r="G31" s="49">
        <f>VLOOKUP($A31,'Data shares'!$C:$FB,99)</f>
        <v>677686400</v>
      </c>
      <c r="H31" s="50">
        <f t="shared" si="1"/>
        <v>-4.2018255051303965</v>
      </c>
      <c r="I31" s="49">
        <f>VLOOKUP($A31,'Data shares'!$C:$FB,66)</f>
        <v>515339200</v>
      </c>
      <c r="J31" s="49">
        <f>VLOOKUP($A31,'Data shares'!$C:$FB,67)</f>
        <v>436948800</v>
      </c>
      <c r="K31" s="50">
        <f t="shared" si="2"/>
        <v>15.211418033015924</v>
      </c>
      <c r="L31" s="50">
        <f>VLOOKUP($A31,'Data shares'!$C:$FB,118)</f>
        <v>0.4</v>
      </c>
      <c r="M31" s="50">
        <f>VLOOKUP($A31,'Data shares'!$C:$FB,119)</f>
        <v>0.38</v>
      </c>
      <c r="N31" s="50">
        <f>VLOOKUP($A31,'Data shares'!$C:$FB,121)*100</f>
        <v>5.26</v>
      </c>
      <c r="O31" s="50">
        <f>VLOOKUP($A31,'Data shares'!$C:$FB,124)</f>
        <v>0.69</v>
      </c>
      <c r="P31" s="50">
        <f>VLOOKUP($A31,'Data shares'!$C:$FB,125)</f>
        <v>0.5</v>
      </c>
      <c r="Q31" s="50">
        <f>VLOOKUP($A31,'Data shares'!$C:$FB,127)*100</f>
        <v>38</v>
      </c>
    </row>
    <row r="32" spans="1:17" x14ac:dyDescent="0.25">
      <c r="A32" s="97" t="str">
        <f>'NIFTY GRP'!C27</f>
        <v>JIOFIN</v>
      </c>
      <c r="B32" s="140">
        <f>VLOOKUP($A32,'Data shares'!$C:$FB,7)</f>
        <v>262.60000000000002</v>
      </c>
      <c r="C32" s="140">
        <f>VLOOKUP($A32,'Data shares'!$C:$FB,3)</f>
        <v>263.35000000000002</v>
      </c>
      <c r="D32" s="140">
        <f>VLOOKUP($A32,'Data shares'!$C:$FB,4)</f>
        <v>263.7</v>
      </c>
      <c r="E32" s="50">
        <f t="shared" si="0"/>
        <v>-0.13272658323851572</v>
      </c>
      <c r="F32" s="49">
        <f>VLOOKUP($A32,'Data shares'!$C:$FB,98)</f>
        <v>322469350</v>
      </c>
      <c r="G32" s="49">
        <f>VLOOKUP($A32,'Data shares'!$C:$FB,99)</f>
        <v>321512900</v>
      </c>
      <c r="H32" s="50">
        <f t="shared" si="1"/>
        <v>0.29748417559606471</v>
      </c>
      <c r="I32" s="49">
        <f>VLOOKUP($A32,'Data shares'!$C:$FB,66)</f>
        <v>248763950</v>
      </c>
      <c r="J32" s="49">
        <f>VLOOKUP($A32,'Data shares'!$C:$FB,67)</f>
        <v>285962100</v>
      </c>
      <c r="K32" s="50">
        <f t="shared" si="2"/>
        <v>-14.953191569759202</v>
      </c>
      <c r="L32" s="50">
        <f>VLOOKUP($A32,'Data shares'!$C:$FB,118)</f>
        <v>0.61</v>
      </c>
      <c r="M32" s="50">
        <f>VLOOKUP($A32,'Data shares'!$C:$FB,119)</f>
        <v>0.62</v>
      </c>
      <c r="N32" s="50">
        <f>VLOOKUP($A32,'Data shares'!$C:$FB,121)*100</f>
        <v>-1.6099999999999999</v>
      </c>
      <c r="O32" s="50">
        <f>VLOOKUP($A32,'Data shares'!$C:$FB,124)</f>
        <v>0.56999999999999995</v>
      </c>
      <c r="P32" s="50">
        <f>VLOOKUP($A32,'Data shares'!$C:$FB,125)</f>
        <v>0.62</v>
      </c>
      <c r="Q32" s="50">
        <f>VLOOKUP($A32,'Data shares'!$C:$FB,127)*100</f>
        <v>-8.06</v>
      </c>
    </row>
    <row r="33" spans="1:17" x14ac:dyDescent="0.25">
      <c r="A33" s="97" t="str">
        <f>'NIFTY GRP'!C28</f>
        <v>JSWSTEEL</v>
      </c>
      <c r="B33" s="140">
        <f>VLOOKUP($A33,'Data shares'!$C:$FB,7)</f>
        <v>1184.4000000000001</v>
      </c>
      <c r="C33" s="140">
        <f>VLOOKUP($A33,'Data shares'!$C:$FB,3)</f>
        <v>1187</v>
      </c>
      <c r="D33" s="140">
        <f>VLOOKUP($A33,'Data shares'!$C:$FB,4)</f>
        <v>1173.8</v>
      </c>
      <c r="E33" s="50">
        <f t="shared" si="0"/>
        <v>1.1245527347077906</v>
      </c>
      <c r="F33" s="49">
        <f>VLOOKUP($A33,'Data shares'!$C:$FB,98)</f>
        <v>63620775</v>
      </c>
      <c r="G33" s="49">
        <f>VLOOKUP($A33,'Data shares'!$C:$FB,99)</f>
        <v>63433800</v>
      </c>
      <c r="H33" s="50">
        <f t="shared" si="1"/>
        <v>0.29475610794245338</v>
      </c>
      <c r="I33" s="49">
        <f>VLOOKUP($A33,'Data shares'!$C:$FB,66)</f>
        <v>49271625</v>
      </c>
      <c r="J33" s="49">
        <f>VLOOKUP($A33,'Data shares'!$C:$FB,67)</f>
        <v>42051150</v>
      </c>
      <c r="K33" s="50">
        <f t="shared" si="2"/>
        <v>14.654428385505858</v>
      </c>
      <c r="L33" s="50">
        <f>VLOOKUP($A33,'Data shares'!$C:$FB,118)</f>
        <v>0.93</v>
      </c>
      <c r="M33" s="50">
        <f>VLOOKUP($A33,'Data shares'!$C:$FB,119)</f>
        <v>0.89</v>
      </c>
      <c r="N33" s="50">
        <f>VLOOKUP($A33,'Data shares'!$C:$FB,121)*100</f>
        <v>4.49</v>
      </c>
      <c r="O33" s="50">
        <f>VLOOKUP($A33,'Data shares'!$C:$FB,124)</f>
        <v>0.5</v>
      </c>
      <c r="P33" s="50">
        <f>VLOOKUP($A33,'Data shares'!$C:$FB,125)</f>
        <v>0.59</v>
      </c>
      <c r="Q33" s="50">
        <f>VLOOKUP($A33,'Data shares'!$C:$FB,127)*100</f>
        <v>-15.25</v>
      </c>
    </row>
    <row r="34" spans="1:17" x14ac:dyDescent="0.25">
      <c r="A34" s="97" t="str">
        <f>'NIFTY GRP'!C29</f>
        <v>KOTAKBANK</v>
      </c>
      <c r="B34" s="140">
        <f>VLOOKUP($A34,'Data shares'!$C:$FB,7)</f>
        <v>426</v>
      </c>
      <c r="C34" s="140">
        <f>VLOOKUP($A34,'Data shares'!$C:$FB,3)</f>
        <v>426.2</v>
      </c>
      <c r="D34" s="140">
        <f>VLOOKUP($A34,'Data shares'!$C:$FB,4)</f>
        <v>422.1</v>
      </c>
      <c r="E34" s="50">
        <f t="shared" si="0"/>
        <v>0.97133380715469453</v>
      </c>
      <c r="F34" s="49">
        <f>VLOOKUP($A34,'Data shares'!$C:$FB,98)</f>
        <v>267124000</v>
      </c>
      <c r="G34" s="49">
        <f>VLOOKUP($A34,'Data shares'!$C:$FB,99)</f>
        <v>268996000</v>
      </c>
      <c r="H34" s="50">
        <f t="shared" si="1"/>
        <v>-0.69592112893872027</v>
      </c>
      <c r="I34" s="49">
        <f>VLOOKUP($A34,'Data shares'!$C:$FB,66)</f>
        <v>158942000</v>
      </c>
      <c r="J34" s="49">
        <f>VLOOKUP($A34,'Data shares'!$C:$FB,67)</f>
        <v>176714000</v>
      </c>
      <c r="K34" s="50">
        <f t="shared" si="2"/>
        <v>-11.181437253841024</v>
      </c>
      <c r="L34" s="50">
        <f>VLOOKUP($A34,'Data shares'!$C:$FB,118)</f>
        <v>0.63</v>
      </c>
      <c r="M34" s="50">
        <f>VLOOKUP($A34,'Data shares'!$C:$FB,119)</f>
        <v>0.64</v>
      </c>
      <c r="N34" s="50">
        <f>VLOOKUP($A34,'Data shares'!$C:$FB,121)*100</f>
        <v>-1.5599999999999998</v>
      </c>
      <c r="O34" s="50">
        <f>VLOOKUP($A34,'Data shares'!$C:$FB,124)</f>
        <v>0.64</v>
      </c>
      <c r="P34" s="50">
        <f>VLOOKUP($A34,'Data shares'!$C:$FB,125)</f>
        <v>0.55000000000000004</v>
      </c>
      <c r="Q34" s="50">
        <f>VLOOKUP($A34,'Data shares'!$C:$FB,127)*100</f>
        <v>16.36</v>
      </c>
    </row>
    <row r="35" spans="1:17" x14ac:dyDescent="0.25">
      <c r="A35" s="97" t="str">
        <f>'NIFTY GRP'!C30</f>
        <v>LT</v>
      </c>
      <c r="B35" s="140">
        <f>VLOOKUP($A35,'Data shares'!$C:$FB,7)</f>
        <v>3793.8</v>
      </c>
      <c r="C35" s="140">
        <f>VLOOKUP($A35,'Data shares'!$C:$FB,3)</f>
        <v>3800.6</v>
      </c>
      <c r="D35" s="140">
        <f>VLOOKUP($A35,'Data shares'!$C:$FB,4)</f>
        <v>3765.6</v>
      </c>
      <c r="E35" s="50">
        <f t="shared" si="0"/>
        <v>0.92946675164648396</v>
      </c>
      <c r="F35" s="49">
        <f>VLOOKUP($A35,'Data shares'!$C:$FB,98)</f>
        <v>25759475</v>
      </c>
      <c r="G35" s="49">
        <f>VLOOKUP($A35,'Data shares'!$C:$FB,99)</f>
        <v>25696650</v>
      </c>
      <c r="H35" s="50">
        <f t="shared" si="1"/>
        <v>0.24448712186218827</v>
      </c>
      <c r="I35" s="49">
        <f>VLOOKUP($A35,'Data shares'!$C:$FB,66)</f>
        <v>22926575</v>
      </c>
      <c r="J35" s="49">
        <f>VLOOKUP($A35,'Data shares'!$C:$FB,67)</f>
        <v>24208800</v>
      </c>
      <c r="K35" s="50">
        <f t="shared" si="2"/>
        <v>-5.5927455365661904</v>
      </c>
      <c r="L35" s="50">
        <f>VLOOKUP($A35,'Data shares'!$C:$FB,118)</f>
        <v>0.48</v>
      </c>
      <c r="M35" s="50">
        <f>VLOOKUP($A35,'Data shares'!$C:$FB,119)</f>
        <v>0.46</v>
      </c>
      <c r="N35" s="50">
        <f>VLOOKUP($A35,'Data shares'!$C:$FB,121)*100</f>
        <v>4.3499999999999996</v>
      </c>
      <c r="O35" s="50">
        <f>VLOOKUP($A35,'Data shares'!$C:$FB,124)</f>
        <v>0.36</v>
      </c>
      <c r="P35" s="50">
        <f>VLOOKUP($A35,'Data shares'!$C:$FB,125)</f>
        <v>0.49</v>
      </c>
      <c r="Q35" s="50">
        <f>VLOOKUP($A35,'Data shares'!$C:$FB,127)*100</f>
        <v>-26.529999999999998</v>
      </c>
    </row>
    <row r="36" spans="1:17" x14ac:dyDescent="0.25">
      <c r="A36" s="97" t="str">
        <f>'NIFTY GRP'!C31</f>
        <v>M&amp;M</v>
      </c>
      <c r="B36" s="140">
        <f>VLOOKUP($A36,'Data shares'!$C:$FB,7)</f>
        <v>3573.7</v>
      </c>
      <c r="C36" s="140">
        <f>VLOOKUP($A36,'Data shares'!$C:$FB,3)</f>
        <v>3579.7</v>
      </c>
      <c r="D36" s="140">
        <f>VLOOKUP($A36,'Data shares'!$C:$FB,4)</f>
        <v>3551.7</v>
      </c>
      <c r="E36" s="50">
        <f t="shared" si="0"/>
        <v>0.78835487231466628</v>
      </c>
      <c r="F36" s="49">
        <f>VLOOKUP($A36,'Data shares'!$C:$FB,98)</f>
        <v>24416000</v>
      </c>
      <c r="G36" s="49">
        <f>VLOOKUP($A36,'Data shares'!$C:$FB,99)</f>
        <v>24625800</v>
      </c>
      <c r="H36" s="50">
        <f t="shared" si="1"/>
        <v>-0.85195201780246743</v>
      </c>
      <c r="I36" s="49">
        <f>VLOOKUP($A36,'Data shares'!$C:$FB,66)</f>
        <v>29263800</v>
      </c>
      <c r="J36" s="49">
        <f>VLOOKUP($A36,'Data shares'!$C:$FB,67)</f>
        <v>21883400</v>
      </c>
      <c r="K36" s="50">
        <f t="shared" si="2"/>
        <v>25.220237973195552</v>
      </c>
      <c r="L36" s="50">
        <f>VLOOKUP($A36,'Data shares'!$C:$FB,118)</f>
        <v>0.6</v>
      </c>
      <c r="M36" s="50">
        <f>VLOOKUP($A36,'Data shares'!$C:$FB,119)</f>
        <v>0.54</v>
      </c>
      <c r="N36" s="50">
        <f>VLOOKUP($A36,'Data shares'!$C:$FB,121)*100</f>
        <v>11.110000000000001</v>
      </c>
      <c r="O36" s="50">
        <f>VLOOKUP($A36,'Data shares'!$C:$FB,124)</f>
        <v>0.49</v>
      </c>
      <c r="P36" s="50">
        <f>VLOOKUP($A36,'Data shares'!$C:$FB,125)</f>
        <v>0.69</v>
      </c>
      <c r="Q36" s="50">
        <f>VLOOKUP($A36,'Data shares'!$C:$FB,127)*100</f>
        <v>-28.99</v>
      </c>
    </row>
    <row r="37" spans="1:17" x14ac:dyDescent="0.25">
      <c r="A37" s="97" t="str">
        <f>'NIFTY GRP'!C32</f>
        <v>MARUTI</v>
      </c>
      <c r="B37" s="140">
        <f>VLOOKUP($A37,'Data shares'!$C:$FB,7)</f>
        <v>15765</v>
      </c>
      <c r="C37" s="140">
        <f>VLOOKUP($A37,'Data shares'!$C:$FB,3)</f>
        <v>15752</v>
      </c>
      <c r="D37" s="140">
        <f>VLOOKUP($A37,'Data shares'!$C:$FB,4)</f>
        <v>15793</v>
      </c>
      <c r="E37" s="50">
        <f t="shared" si="0"/>
        <v>-0.25960868739314885</v>
      </c>
      <c r="F37" s="49">
        <f>VLOOKUP($A37,'Data shares'!$C:$FB,98)</f>
        <v>6778000</v>
      </c>
      <c r="G37" s="49">
        <f>VLOOKUP($A37,'Data shares'!$C:$FB,99)</f>
        <v>7046550</v>
      </c>
      <c r="H37" s="50">
        <f t="shared" si="1"/>
        <v>-3.811084857128666</v>
      </c>
      <c r="I37" s="49">
        <f>VLOOKUP($A37,'Data shares'!$C:$FB,66)</f>
        <v>11011050</v>
      </c>
      <c r="J37" s="49">
        <f>VLOOKUP($A37,'Data shares'!$C:$FB,67)</f>
        <v>10650400</v>
      </c>
      <c r="K37" s="50">
        <f t="shared" si="2"/>
        <v>3.2753461295698414</v>
      </c>
      <c r="L37" s="50">
        <f>VLOOKUP($A37,'Data shares'!$C:$FB,118)</f>
        <v>0.36</v>
      </c>
      <c r="M37" s="50">
        <f>VLOOKUP($A37,'Data shares'!$C:$FB,119)</f>
        <v>0.36</v>
      </c>
      <c r="N37" s="50">
        <f>VLOOKUP($A37,'Data shares'!$C:$FB,121)*100</f>
        <v>0</v>
      </c>
      <c r="O37" s="50">
        <f>VLOOKUP($A37,'Data shares'!$C:$FB,124)</f>
        <v>0.43</v>
      </c>
      <c r="P37" s="50">
        <f>VLOOKUP($A37,'Data shares'!$C:$FB,125)</f>
        <v>0.55000000000000004</v>
      </c>
      <c r="Q37" s="50">
        <f>VLOOKUP($A37,'Data shares'!$C:$FB,127)*100</f>
        <v>-21.82</v>
      </c>
    </row>
    <row r="38" spans="1:17" x14ac:dyDescent="0.25">
      <c r="A38" s="97" t="str">
        <f>'NIFTY GRP'!C33</f>
        <v>MAXHEALTH</v>
      </c>
      <c r="B38" s="140">
        <f>VLOOKUP($A38,'Data shares'!$C:$FB,7)</f>
        <v>998.8</v>
      </c>
      <c r="C38" s="140">
        <f>VLOOKUP($A38,'Data shares'!$C:$FB,3)</f>
        <v>998.4</v>
      </c>
      <c r="D38" s="140">
        <f>VLOOKUP($A38,'Data shares'!$C:$FB,4)</f>
        <v>1003.5</v>
      </c>
      <c r="E38" s="50">
        <f t="shared" si="0"/>
        <v>-0.50822122571001715</v>
      </c>
      <c r="F38" s="49">
        <f>VLOOKUP($A38,'Data shares'!$C:$FB,98)</f>
        <v>25438350</v>
      </c>
      <c r="G38" s="49">
        <f>VLOOKUP($A38,'Data shares'!$C:$FB,99)</f>
        <v>25509225</v>
      </c>
      <c r="H38" s="50">
        <f t="shared" si="1"/>
        <v>-0.27784066352466608</v>
      </c>
      <c r="I38" s="49">
        <f>VLOOKUP($A38,'Data shares'!$C:$FB,66)</f>
        <v>22173375</v>
      </c>
      <c r="J38" s="49">
        <f>VLOOKUP($A38,'Data shares'!$C:$FB,67)</f>
        <v>21783825</v>
      </c>
      <c r="K38" s="50">
        <f t="shared" si="2"/>
        <v>1.7568367467740025</v>
      </c>
      <c r="L38" s="50">
        <f>VLOOKUP($A38,'Data shares'!$C:$FB,118)</f>
        <v>0.64</v>
      </c>
      <c r="M38" s="50">
        <f>VLOOKUP($A38,'Data shares'!$C:$FB,119)</f>
        <v>0.71</v>
      </c>
      <c r="N38" s="50">
        <f>VLOOKUP($A38,'Data shares'!$C:$FB,121)*100</f>
        <v>-9.86</v>
      </c>
      <c r="O38" s="50">
        <f>VLOOKUP($A38,'Data shares'!$C:$FB,124)</f>
        <v>0.42</v>
      </c>
      <c r="P38" s="50">
        <f>VLOOKUP($A38,'Data shares'!$C:$FB,125)</f>
        <v>0.56999999999999995</v>
      </c>
      <c r="Q38" s="50">
        <f>VLOOKUP($A38,'Data shares'!$C:$FB,127)*100</f>
        <v>-26.32</v>
      </c>
    </row>
    <row r="39" spans="1:17" x14ac:dyDescent="0.25">
      <c r="A39" s="97" t="str">
        <f>'NIFTY GRP'!C34</f>
        <v>NESTLEIND</v>
      </c>
      <c r="B39" s="140">
        <f>VLOOKUP($A39,'Data shares'!$C:$FB,7)</f>
        <v>1306</v>
      </c>
      <c r="C39" s="140">
        <f>VLOOKUP($A39,'Data shares'!$C:$FB,3)</f>
        <v>1306.5</v>
      </c>
      <c r="D39" s="140">
        <f>VLOOKUP($A39,'Data shares'!$C:$FB,4)</f>
        <v>1283.5999999999999</v>
      </c>
      <c r="E39" s="50">
        <f t="shared" si="0"/>
        <v>1.7840448737924661</v>
      </c>
      <c r="F39" s="49">
        <f>VLOOKUP($A39,'Data shares'!$C:$FB,98)</f>
        <v>22797000</v>
      </c>
      <c r="G39" s="49">
        <f>VLOOKUP($A39,'Data shares'!$C:$FB,99)</f>
        <v>23334000</v>
      </c>
      <c r="H39" s="50">
        <f t="shared" si="1"/>
        <v>-2.3013628182051939</v>
      </c>
      <c r="I39" s="49">
        <f>VLOOKUP($A39,'Data shares'!$C:$FB,66)</f>
        <v>20458500</v>
      </c>
      <c r="J39" s="49">
        <f>VLOOKUP($A39,'Data shares'!$C:$FB,67)</f>
        <v>18163000</v>
      </c>
      <c r="K39" s="50">
        <f t="shared" si="2"/>
        <v>11.220275191240804</v>
      </c>
      <c r="L39" s="50">
        <f>VLOOKUP($A39,'Data shares'!$C:$FB,118)</f>
        <v>0.56000000000000005</v>
      </c>
      <c r="M39" s="50">
        <f>VLOOKUP($A39,'Data shares'!$C:$FB,119)</f>
        <v>0.48</v>
      </c>
      <c r="N39" s="50">
        <f>VLOOKUP($A39,'Data shares'!$C:$FB,121)*100</f>
        <v>16.669999999999998</v>
      </c>
      <c r="O39" s="50">
        <f>VLOOKUP($A39,'Data shares'!$C:$FB,124)</f>
        <v>0.56999999999999995</v>
      </c>
      <c r="P39" s="50">
        <f>VLOOKUP($A39,'Data shares'!$C:$FB,125)</f>
        <v>0.61</v>
      </c>
      <c r="Q39" s="50">
        <f>VLOOKUP($A39,'Data shares'!$C:$FB,127)*100</f>
        <v>-6.5600000000000005</v>
      </c>
    </row>
    <row r="40" spans="1:17" x14ac:dyDescent="0.25">
      <c r="A40" s="97" t="str">
        <f>'NIFTY GRP'!C35</f>
        <v>NTPC</v>
      </c>
      <c r="B40" s="140">
        <f>VLOOKUP($A40,'Data shares'!$C:$FB,7)</f>
        <v>342.45</v>
      </c>
      <c r="C40" s="140">
        <f>VLOOKUP($A40,'Data shares'!$C:$FB,3)</f>
        <v>342.8</v>
      </c>
      <c r="D40" s="140">
        <f>VLOOKUP($A40,'Data shares'!$C:$FB,4)</f>
        <v>338.55</v>
      </c>
      <c r="E40" s="50">
        <f t="shared" si="0"/>
        <v>1.2553537143701077</v>
      </c>
      <c r="F40" s="49">
        <f>VLOOKUP($A40,'Data shares'!$C:$FB,98)</f>
        <v>181783500</v>
      </c>
      <c r="G40" s="49">
        <f>VLOOKUP($A40,'Data shares'!$C:$FB,99)</f>
        <v>180816000</v>
      </c>
      <c r="H40" s="50">
        <f t="shared" si="1"/>
        <v>0.53507432970533586</v>
      </c>
      <c r="I40" s="49">
        <f>VLOOKUP($A40,'Data shares'!$C:$FB,66)</f>
        <v>157974000</v>
      </c>
      <c r="J40" s="49">
        <f>VLOOKUP($A40,'Data shares'!$C:$FB,67)</f>
        <v>149140500</v>
      </c>
      <c r="K40" s="50">
        <f t="shared" si="2"/>
        <v>5.591742945041589</v>
      </c>
      <c r="L40" s="50">
        <f>VLOOKUP($A40,'Data shares'!$C:$FB,118)</f>
        <v>0.43</v>
      </c>
      <c r="M40" s="50">
        <f>VLOOKUP($A40,'Data shares'!$C:$FB,119)</f>
        <v>0.4</v>
      </c>
      <c r="N40" s="50">
        <f>VLOOKUP($A40,'Data shares'!$C:$FB,121)*100</f>
        <v>7.5</v>
      </c>
      <c r="O40" s="50">
        <f>VLOOKUP($A40,'Data shares'!$C:$FB,124)</f>
        <v>0.65</v>
      </c>
      <c r="P40" s="50">
        <f>VLOOKUP($A40,'Data shares'!$C:$FB,125)</f>
        <v>0.65</v>
      </c>
      <c r="Q40" s="50">
        <f>VLOOKUP($A40,'Data shares'!$C:$FB,127)*100</f>
        <v>0</v>
      </c>
    </row>
    <row r="41" spans="1:17" x14ac:dyDescent="0.25">
      <c r="A41" s="97" t="str">
        <f>'NIFTY GRP'!C36</f>
        <v>ONGC</v>
      </c>
      <c r="B41" s="140">
        <f>VLOOKUP($A41,'Data shares'!$C:$FB,7)</f>
        <v>244.01</v>
      </c>
      <c r="C41" s="140">
        <f>VLOOKUP($A41,'Data shares'!$C:$FB,3)</f>
        <v>243.78</v>
      </c>
      <c r="D41" s="140">
        <f>VLOOKUP($A41,'Data shares'!$C:$FB,4)</f>
        <v>242.14</v>
      </c>
      <c r="E41" s="50">
        <f t="shared" si="0"/>
        <v>0.6772941273643408</v>
      </c>
      <c r="F41" s="49">
        <f>VLOOKUP($A41,'Data shares'!$C:$FB,98)</f>
        <v>261234000</v>
      </c>
      <c r="G41" s="49">
        <f>VLOOKUP($A41,'Data shares'!$C:$FB,99)</f>
        <v>259746750</v>
      </c>
      <c r="H41" s="50">
        <f t="shared" si="1"/>
        <v>0.57257694273364346</v>
      </c>
      <c r="I41" s="49">
        <f>VLOOKUP($A41,'Data shares'!$C:$FB,66)</f>
        <v>195516000</v>
      </c>
      <c r="J41" s="49">
        <f>VLOOKUP($A41,'Data shares'!$C:$FB,67)</f>
        <v>191747250</v>
      </c>
      <c r="K41" s="50">
        <f t="shared" si="2"/>
        <v>1.9275916037562144</v>
      </c>
      <c r="L41" s="50">
        <f>VLOOKUP($A41,'Data shares'!$C:$FB,118)</f>
        <v>0.45</v>
      </c>
      <c r="M41" s="50">
        <f>VLOOKUP($A41,'Data shares'!$C:$FB,119)</f>
        <v>0.44</v>
      </c>
      <c r="N41" s="50">
        <f>VLOOKUP($A41,'Data shares'!$C:$FB,121)*100</f>
        <v>2.27</v>
      </c>
      <c r="O41" s="50">
        <f>VLOOKUP($A41,'Data shares'!$C:$FB,124)</f>
        <v>0.69</v>
      </c>
      <c r="P41" s="50">
        <f>VLOOKUP($A41,'Data shares'!$C:$FB,125)</f>
        <v>0.7</v>
      </c>
      <c r="Q41" s="50">
        <f>VLOOKUP($A41,'Data shares'!$C:$FB,127)*100</f>
        <v>-1.43</v>
      </c>
    </row>
    <row r="42" spans="1:17" x14ac:dyDescent="0.25">
      <c r="A42" s="97" t="str">
        <f>'NIFTY GRP'!C37</f>
        <v>POWERGRID</v>
      </c>
      <c r="B42" s="140">
        <f>VLOOKUP($A42,'Data shares'!$C:$FB,7)</f>
        <v>259.25</v>
      </c>
      <c r="C42" s="140">
        <f>VLOOKUP($A42,'Data shares'!$C:$FB,3)</f>
        <v>259.14999999999998</v>
      </c>
      <c r="D42" s="140">
        <f>VLOOKUP($A42,'Data shares'!$C:$FB,4)</f>
        <v>255.65</v>
      </c>
      <c r="E42" s="50">
        <f t="shared" si="0"/>
        <v>1.3690592607079881</v>
      </c>
      <c r="F42" s="49">
        <f>VLOOKUP($A42,'Data shares'!$C:$FB,98)</f>
        <v>171038000</v>
      </c>
      <c r="G42" s="49">
        <f>VLOOKUP($A42,'Data shares'!$C:$FB,99)</f>
        <v>172556100</v>
      </c>
      <c r="H42" s="50">
        <f t="shared" si="1"/>
        <v>-0.87977185390722201</v>
      </c>
      <c r="I42" s="49">
        <f>VLOOKUP($A42,'Data shares'!$C:$FB,66)</f>
        <v>80465000</v>
      </c>
      <c r="J42" s="49">
        <f>VLOOKUP($A42,'Data shares'!$C:$FB,67)</f>
        <v>119069200</v>
      </c>
      <c r="K42" s="50">
        <f t="shared" si="2"/>
        <v>-47.976387249114524</v>
      </c>
      <c r="L42" s="50">
        <f>VLOOKUP($A42,'Data shares'!$C:$FB,118)</f>
        <v>0.62</v>
      </c>
      <c r="M42" s="50">
        <f>VLOOKUP($A42,'Data shares'!$C:$FB,119)</f>
        <v>0.6</v>
      </c>
      <c r="N42" s="50">
        <f>VLOOKUP($A42,'Data shares'!$C:$FB,121)*100</f>
        <v>3.3300000000000005</v>
      </c>
      <c r="O42" s="50">
        <f>VLOOKUP($A42,'Data shares'!$C:$FB,124)</f>
        <v>0.52</v>
      </c>
      <c r="P42" s="50">
        <f>VLOOKUP($A42,'Data shares'!$C:$FB,125)</f>
        <v>0.6</v>
      </c>
      <c r="Q42" s="50">
        <f>VLOOKUP($A42,'Data shares'!$C:$FB,127)*100</f>
        <v>-13.33</v>
      </c>
    </row>
    <row r="43" spans="1:17" x14ac:dyDescent="0.25">
      <c r="A43" s="97" t="str">
        <f>'NIFTY GRP'!C38</f>
        <v>RELIANCE</v>
      </c>
      <c r="B43" s="140">
        <f>VLOOKUP($A43,'Data shares'!$C:$FB,7)</f>
        <v>1402.5</v>
      </c>
      <c r="C43" s="140">
        <f>VLOOKUP($A43,'Data shares'!$C:$FB,3)</f>
        <v>1405.4</v>
      </c>
      <c r="D43" s="140">
        <f>VLOOKUP($A43,'Data shares'!$C:$FB,4)</f>
        <v>1405.3</v>
      </c>
      <c r="E43" s="50">
        <f t="shared" si="0"/>
        <v>7.1159183092675176E-3</v>
      </c>
      <c r="F43" s="49">
        <f>VLOOKUP($A43,'Data shares'!$C:$FB,98)</f>
        <v>274206000</v>
      </c>
      <c r="G43" s="49">
        <f>VLOOKUP($A43,'Data shares'!$C:$FB,99)</f>
        <v>277820500</v>
      </c>
      <c r="H43" s="50">
        <f t="shared" si="1"/>
        <v>-1.3010199031388974</v>
      </c>
      <c r="I43" s="49">
        <f>VLOOKUP($A43,'Data shares'!$C:$FB,66)</f>
        <v>302702000</v>
      </c>
      <c r="J43" s="49">
        <f>VLOOKUP($A43,'Data shares'!$C:$FB,67)</f>
        <v>391172000</v>
      </c>
      <c r="K43" s="50">
        <f t="shared" si="2"/>
        <v>-29.226764276417072</v>
      </c>
      <c r="L43" s="50">
        <f>VLOOKUP($A43,'Data shares'!$C:$FB,118)</f>
        <v>0.42</v>
      </c>
      <c r="M43" s="50">
        <f>VLOOKUP($A43,'Data shares'!$C:$FB,119)</f>
        <v>0.42</v>
      </c>
      <c r="N43" s="50">
        <f>VLOOKUP($A43,'Data shares'!$C:$FB,121)*100</f>
        <v>0</v>
      </c>
      <c r="O43" s="50">
        <f>VLOOKUP($A43,'Data shares'!$C:$FB,124)</f>
        <v>0.53</v>
      </c>
      <c r="P43" s="50">
        <f>VLOOKUP($A43,'Data shares'!$C:$FB,125)</f>
        <v>0.5</v>
      </c>
      <c r="Q43" s="50">
        <f>VLOOKUP($A43,'Data shares'!$C:$FB,127)*100</f>
        <v>6</v>
      </c>
    </row>
    <row r="44" spans="1:17" x14ac:dyDescent="0.25">
      <c r="A44" s="97" t="str">
        <f>'NIFTY GRP'!C39</f>
        <v>SBILIFE</v>
      </c>
      <c r="B44" s="140">
        <f>VLOOKUP($A44,'Data shares'!$C:$FB,7)</f>
        <v>2022</v>
      </c>
      <c r="C44" s="140">
        <f>VLOOKUP($A44,'Data shares'!$C:$FB,3)</f>
        <v>2027.2</v>
      </c>
      <c r="D44" s="140">
        <f>VLOOKUP($A44,'Data shares'!$C:$FB,4)</f>
        <v>2053.1</v>
      </c>
      <c r="E44" s="50">
        <f t="shared" si="0"/>
        <v>-1.2615069894306103</v>
      </c>
      <c r="F44" s="49">
        <f>VLOOKUP($A44,'Data shares'!$C:$FB,98)</f>
        <v>20282250</v>
      </c>
      <c r="G44" s="49">
        <f>VLOOKUP($A44,'Data shares'!$C:$FB,99)</f>
        <v>19610250</v>
      </c>
      <c r="H44" s="50">
        <f t="shared" si="1"/>
        <v>3.4267793628332122</v>
      </c>
      <c r="I44" s="49">
        <f>VLOOKUP($A44,'Data shares'!$C:$FB,66)</f>
        <v>27417375</v>
      </c>
      <c r="J44" s="49">
        <f>VLOOKUP($A44,'Data shares'!$C:$FB,67)</f>
        <v>19668750</v>
      </c>
      <c r="K44" s="50">
        <f t="shared" si="2"/>
        <v>28.261731839754901</v>
      </c>
      <c r="L44" s="50">
        <f>VLOOKUP($A44,'Data shares'!$C:$FB,118)</f>
        <v>0.31</v>
      </c>
      <c r="M44" s="50">
        <f>VLOOKUP($A44,'Data shares'!$C:$FB,119)</f>
        <v>0.28000000000000003</v>
      </c>
      <c r="N44" s="50">
        <f>VLOOKUP($A44,'Data shares'!$C:$FB,121)*100</f>
        <v>10.71</v>
      </c>
      <c r="O44" s="50">
        <f>VLOOKUP($A44,'Data shares'!$C:$FB,124)</f>
        <v>0.9</v>
      </c>
      <c r="P44" s="50">
        <f>VLOOKUP($A44,'Data shares'!$C:$FB,125)</f>
        <v>0.51</v>
      </c>
      <c r="Q44" s="50">
        <f>VLOOKUP($A44,'Data shares'!$C:$FB,127)*100</f>
        <v>76.47</v>
      </c>
    </row>
    <row r="45" spans="1:17" x14ac:dyDescent="0.25">
      <c r="A45" s="97" t="str">
        <f>'NIFTY GRP'!C40</f>
        <v>SBIN</v>
      </c>
      <c r="B45" s="140">
        <f>VLOOKUP($A45,'Data shares'!$C:$FB,7)</f>
        <v>1048.3499999999999</v>
      </c>
      <c r="C45" s="140">
        <f>VLOOKUP($A45,'Data shares'!$C:$FB,3)</f>
        <v>1047.25</v>
      </c>
      <c r="D45" s="140">
        <f>VLOOKUP($A45,'Data shares'!$C:$FB,4)</f>
        <v>1030.25</v>
      </c>
      <c r="E45" s="50">
        <f t="shared" si="0"/>
        <v>1.6500849308420287</v>
      </c>
      <c r="F45" s="49">
        <f>VLOOKUP($A45,'Data shares'!$C:$FB,98)</f>
        <v>161948250</v>
      </c>
      <c r="G45" s="49">
        <f>VLOOKUP($A45,'Data shares'!$C:$FB,99)</f>
        <v>162140250</v>
      </c>
      <c r="H45" s="50">
        <f t="shared" si="1"/>
        <v>-0.11841600096213001</v>
      </c>
      <c r="I45" s="49">
        <f>VLOOKUP($A45,'Data shares'!$C:$FB,66)</f>
        <v>303967500</v>
      </c>
      <c r="J45" s="49">
        <f>VLOOKUP($A45,'Data shares'!$C:$FB,67)</f>
        <v>295823250</v>
      </c>
      <c r="K45" s="50">
        <f t="shared" si="2"/>
        <v>2.6793160453008955</v>
      </c>
      <c r="L45" s="50">
        <f>VLOOKUP($A45,'Data shares'!$C:$FB,118)</f>
        <v>0.96</v>
      </c>
      <c r="M45" s="50">
        <f>VLOOKUP($A45,'Data shares'!$C:$FB,119)</f>
        <v>0.87</v>
      </c>
      <c r="N45" s="50">
        <f>VLOOKUP($A45,'Data shares'!$C:$FB,121)*100</f>
        <v>10.34</v>
      </c>
      <c r="O45" s="50">
        <f>VLOOKUP($A45,'Data shares'!$C:$FB,124)</f>
        <v>0.7</v>
      </c>
      <c r="P45" s="50">
        <f>VLOOKUP($A45,'Data shares'!$C:$FB,125)</f>
        <v>0.83</v>
      </c>
      <c r="Q45" s="50">
        <f>VLOOKUP($A45,'Data shares'!$C:$FB,127)*100</f>
        <v>-15.659999999999998</v>
      </c>
    </row>
    <row r="46" spans="1:17" x14ac:dyDescent="0.25">
      <c r="A46" s="97" t="str">
        <f>'NIFTY GRP'!C41</f>
        <v>SHRIRAMFIN</v>
      </c>
      <c r="B46" s="140">
        <f>VLOOKUP($A46,'Data shares'!$C:$FB,7)</f>
        <v>1005.5</v>
      </c>
      <c r="C46" s="140">
        <f>VLOOKUP($A46,'Data shares'!$C:$FB,3)</f>
        <v>1005.15</v>
      </c>
      <c r="D46" s="140">
        <f>VLOOKUP($A46,'Data shares'!$C:$FB,4)</f>
        <v>985.7</v>
      </c>
      <c r="E46" s="50">
        <f t="shared" si="0"/>
        <v>1.9732170031449663</v>
      </c>
      <c r="F46" s="49">
        <f>VLOOKUP($A46,'Data shares'!$C:$FB,98)</f>
        <v>73063650</v>
      </c>
      <c r="G46" s="49">
        <f>VLOOKUP($A46,'Data shares'!$C:$FB,99)</f>
        <v>74035500</v>
      </c>
      <c r="H46" s="50">
        <f t="shared" si="1"/>
        <v>-1.3126810786717185</v>
      </c>
      <c r="I46" s="49">
        <f>VLOOKUP($A46,'Data shares'!$C:$FB,66)</f>
        <v>77126775</v>
      </c>
      <c r="J46" s="49">
        <f>VLOOKUP($A46,'Data shares'!$C:$FB,67)</f>
        <v>56906025</v>
      </c>
      <c r="K46" s="50">
        <f t="shared" si="2"/>
        <v>26.217548964027081</v>
      </c>
      <c r="L46" s="50">
        <f>VLOOKUP($A46,'Data shares'!$C:$FB,118)</f>
        <v>0.82</v>
      </c>
      <c r="M46" s="50">
        <f>VLOOKUP($A46,'Data shares'!$C:$FB,119)</f>
        <v>0.73</v>
      </c>
      <c r="N46" s="50">
        <f>VLOOKUP($A46,'Data shares'!$C:$FB,121)*100</f>
        <v>12.33</v>
      </c>
      <c r="O46" s="50">
        <f>VLOOKUP($A46,'Data shares'!$C:$FB,124)</f>
        <v>0.47</v>
      </c>
      <c r="P46" s="50">
        <f>VLOOKUP($A46,'Data shares'!$C:$FB,125)</f>
        <v>0.54</v>
      </c>
      <c r="Q46" s="50">
        <f>VLOOKUP($A46,'Data shares'!$C:$FB,127)*100</f>
        <v>-12.959999999999999</v>
      </c>
    </row>
    <row r="47" spans="1:17" x14ac:dyDescent="0.25">
      <c r="A47" s="97" t="str">
        <f>'NIFTY GRP'!C42</f>
        <v>SUNPHARMA</v>
      </c>
      <c r="B47" s="140">
        <f>VLOOKUP($A47,'Data shares'!$C:$FB,7)</f>
        <v>1634.2</v>
      </c>
      <c r="C47" s="140">
        <f>VLOOKUP($A47,'Data shares'!$C:$FB,3)</f>
        <v>1635.4</v>
      </c>
      <c r="D47" s="140">
        <f>VLOOKUP($A47,'Data shares'!$C:$FB,4)</f>
        <v>1616.4</v>
      </c>
      <c r="E47" s="50">
        <f t="shared" si="0"/>
        <v>1.1754516208859194</v>
      </c>
      <c r="F47" s="49">
        <f>VLOOKUP($A47,'Data shares'!$C:$FB,98)</f>
        <v>37797550</v>
      </c>
      <c r="G47" s="49">
        <f>VLOOKUP($A47,'Data shares'!$C:$FB,99)</f>
        <v>38319050</v>
      </c>
      <c r="H47" s="50">
        <f t="shared" si="1"/>
        <v>-1.3609418813879781</v>
      </c>
      <c r="I47" s="49">
        <f>VLOOKUP($A47,'Data shares'!$C:$FB,66)</f>
        <v>32144700</v>
      </c>
      <c r="J47" s="49">
        <f>VLOOKUP($A47,'Data shares'!$C:$FB,67)</f>
        <v>33892600</v>
      </c>
      <c r="K47" s="50">
        <f t="shared" si="2"/>
        <v>-5.4375993554147337</v>
      </c>
      <c r="L47" s="50">
        <f>VLOOKUP($A47,'Data shares'!$C:$FB,118)</f>
        <v>0.4</v>
      </c>
      <c r="M47" s="50">
        <f>VLOOKUP($A47,'Data shares'!$C:$FB,119)</f>
        <v>0.43</v>
      </c>
      <c r="N47" s="50">
        <f>VLOOKUP($A47,'Data shares'!$C:$FB,121)*100</f>
        <v>-6.98</v>
      </c>
      <c r="O47" s="50">
        <f>VLOOKUP($A47,'Data shares'!$C:$FB,124)</f>
        <v>0.89</v>
      </c>
      <c r="P47" s="50">
        <f>VLOOKUP($A47,'Data shares'!$C:$FB,125)</f>
        <v>0.56000000000000005</v>
      </c>
      <c r="Q47" s="50">
        <f>VLOOKUP($A47,'Data shares'!$C:$FB,127)*100</f>
        <v>58.930000000000007</v>
      </c>
    </row>
    <row r="48" spans="1:17" x14ac:dyDescent="0.25">
      <c r="A48" s="97" t="str">
        <f>'NIFTY GRP'!C43</f>
        <v>TATACONSUM</v>
      </c>
      <c r="B48" s="140">
        <f>VLOOKUP($A48,'Data shares'!$C:$FB,7)</f>
        <v>1175.2</v>
      </c>
      <c r="C48" s="140">
        <f>VLOOKUP($A48,'Data shares'!$C:$FB,3)</f>
        <v>1177.8</v>
      </c>
      <c r="D48" s="140">
        <f>VLOOKUP($A48,'Data shares'!$C:$FB,4)</f>
        <v>1164.5999999999999</v>
      </c>
      <c r="E48" s="50">
        <f t="shared" si="0"/>
        <v>1.1334363730036106</v>
      </c>
      <c r="F48" s="49">
        <f>VLOOKUP($A48,'Data shares'!$C:$FB,98)</f>
        <v>18491550</v>
      </c>
      <c r="G48" s="49">
        <f>VLOOKUP($A48,'Data shares'!$C:$FB,99)</f>
        <v>19168600</v>
      </c>
      <c r="H48" s="50">
        <f t="shared" si="1"/>
        <v>-3.5320785033857454</v>
      </c>
      <c r="I48" s="49">
        <f>VLOOKUP($A48,'Data shares'!$C:$FB,66)</f>
        <v>19568450</v>
      </c>
      <c r="J48" s="49">
        <f>VLOOKUP($A48,'Data shares'!$C:$FB,67)</f>
        <v>19023400</v>
      </c>
      <c r="K48" s="50">
        <f t="shared" si="2"/>
        <v>2.785350909244217</v>
      </c>
      <c r="L48" s="50">
        <f>VLOOKUP($A48,'Data shares'!$C:$FB,118)</f>
        <v>0.72</v>
      </c>
      <c r="M48" s="50">
        <f>VLOOKUP($A48,'Data shares'!$C:$FB,119)</f>
        <v>0.69</v>
      </c>
      <c r="N48" s="50">
        <f>VLOOKUP($A48,'Data shares'!$C:$FB,121)*100</f>
        <v>4.3499999999999996</v>
      </c>
      <c r="O48" s="50">
        <f>VLOOKUP($A48,'Data shares'!$C:$FB,124)</f>
        <v>0.62</v>
      </c>
      <c r="P48" s="50">
        <f>VLOOKUP($A48,'Data shares'!$C:$FB,125)</f>
        <v>0.47</v>
      </c>
      <c r="Q48" s="50">
        <f>VLOOKUP($A48,'Data shares'!$C:$FB,127)*100</f>
        <v>31.91</v>
      </c>
    </row>
    <row r="49" spans="1:17" x14ac:dyDescent="0.25">
      <c r="A49" s="97" t="str">
        <f>'NIFTY GRP'!C44</f>
        <v>TATASTEEL</v>
      </c>
      <c r="B49" s="140">
        <f>VLOOKUP($A49,'Data shares'!$C:$FB,7)</f>
        <v>189.1</v>
      </c>
      <c r="C49" s="140">
        <f>VLOOKUP($A49,'Data shares'!$C:$FB,3)</f>
        <v>189.15</v>
      </c>
      <c r="D49" s="140">
        <f>VLOOKUP($A49,'Data shares'!$C:$FB,4)</f>
        <v>184.56</v>
      </c>
      <c r="E49" s="50">
        <f t="shared" si="0"/>
        <v>2.4869960988296507</v>
      </c>
      <c r="F49" s="49">
        <f>VLOOKUP($A49,'Data shares'!$C:$FB,98)</f>
        <v>516378500</v>
      </c>
      <c r="G49" s="49">
        <f>VLOOKUP($A49,'Data shares'!$C:$FB,99)</f>
        <v>508282500</v>
      </c>
      <c r="H49" s="50">
        <f t="shared" si="1"/>
        <v>1.5928150192068387</v>
      </c>
      <c r="I49" s="49">
        <f>VLOOKUP($A49,'Data shares'!$C:$FB,66)</f>
        <v>728695000</v>
      </c>
      <c r="J49" s="49">
        <f>VLOOKUP($A49,'Data shares'!$C:$FB,67)</f>
        <v>527983500</v>
      </c>
      <c r="K49" s="50">
        <f t="shared" si="2"/>
        <v>27.5439655823081</v>
      </c>
      <c r="L49" s="50">
        <f>VLOOKUP($A49,'Data shares'!$C:$FB,118)</f>
        <v>0.82</v>
      </c>
      <c r="M49" s="50">
        <f>VLOOKUP($A49,'Data shares'!$C:$FB,119)</f>
        <v>0.7</v>
      </c>
      <c r="N49" s="50">
        <f>VLOOKUP($A49,'Data shares'!$C:$FB,121)*100</f>
        <v>17.14</v>
      </c>
      <c r="O49" s="50">
        <f>VLOOKUP($A49,'Data shares'!$C:$FB,124)</f>
        <v>0.56999999999999995</v>
      </c>
      <c r="P49" s="50">
        <f>VLOOKUP($A49,'Data shares'!$C:$FB,125)</f>
        <v>0.56999999999999995</v>
      </c>
      <c r="Q49" s="50">
        <f>VLOOKUP($A49,'Data shares'!$C:$FB,127)*100</f>
        <v>0</v>
      </c>
    </row>
    <row r="50" spans="1:17" x14ac:dyDescent="0.25">
      <c r="A50" s="97" t="str">
        <f>'NIFTY GRP'!C45</f>
        <v>TCS</v>
      </c>
      <c r="B50" s="140">
        <f>VLOOKUP($A50,'Data shares'!$C:$FB,7)</f>
        <v>3150.4</v>
      </c>
      <c r="C50" s="140">
        <f>VLOOKUP($A50,'Data shares'!$C:$FB,3)</f>
        <v>3152.7</v>
      </c>
      <c r="D50" s="140">
        <f>VLOOKUP($A50,'Data shares'!$C:$FB,4)</f>
        <v>3125.2</v>
      </c>
      <c r="E50" s="50">
        <f t="shared" si="0"/>
        <v>0.87994368360424935</v>
      </c>
      <c r="F50" s="49">
        <f>VLOOKUP($A50,'Data shares'!$C:$FB,98)</f>
        <v>43653400</v>
      </c>
      <c r="G50" s="49">
        <f>VLOOKUP($A50,'Data shares'!$C:$FB,99)</f>
        <v>45120250</v>
      </c>
      <c r="H50" s="50">
        <f t="shared" si="1"/>
        <v>-3.250979327463833</v>
      </c>
      <c r="I50" s="49">
        <f>VLOOKUP($A50,'Data shares'!$C:$FB,66)</f>
        <v>40762925</v>
      </c>
      <c r="J50" s="49">
        <f>VLOOKUP($A50,'Data shares'!$C:$FB,67)</f>
        <v>58798075</v>
      </c>
      <c r="K50" s="50">
        <f t="shared" si="2"/>
        <v>-44.244003589045683</v>
      </c>
      <c r="L50" s="50">
        <f>VLOOKUP($A50,'Data shares'!$C:$FB,118)</f>
        <v>0.52</v>
      </c>
      <c r="M50" s="50">
        <f>VLOOKUP($A50,'Data shares'!$C:$FB,119)</f>
        <v>0.5</v>
      </c>
      <c r="N50" s="50">
        <f>VLOOKUP($A50,'Data shares'!$C:$FB,121)*100</f>
        <v>4</v>
      </c>
      <c r="O50" s="50">
        <f>VLOOKUP($A50,'Data shares'!$C:$FB,124)</f>
        <v>0.6</v>
      </c>
      <c r="P50" s="50">
        <f>VLOOKUP($A50,'Data shares'!$C:$FB,125)</f>
        <v>0.65</v>
      </c>
      <c r="Q50" s="50">
        <f>VLOOKUP($A50,'Data shares'!$C:$FB,127)*100</f>
        <v>-7.6899999999999995</v>
      </c>
    </row>
    <row r="51" spans="1:17" x14ac:dyDescent="0.25">
      <c r="A51" s="97" t="str">
        <f>'NIFTY GRP'!C46</f>
        <v>TECHM</v>
      </c>
      <c r="B51" s="140">
        <f>VLOOKUP($A51,'Data shares'!$C:$FB,7)</f>
        <v>1687.4</v>
      </c>
      <c r="C51" s="140">
        <f>VLOOKUP($A51,'Data shares'!$C:$FB,3)</f>
        <v>1690.4</v>
      </c>
      <c r="D51" s="140">
        <f>VLOOKUP($A51,'Data shares'!$C:$FB,4)</f>
        <v>1687.7</v>
      </c>
      <c r="E51" s="50">
        <f t="shared" si="0"/>
        <v>0.15998103928423565</v>
      </c>
      <c r="F51" s="49">
        <f>VLOOKUP($A51,'Data shares'!$C:$FB,98)</f>
        <v>31823400</v>
      </c>
      <c r="G51" s="49">
        <f>VLOOKUP($A51,'Data shares'!$C:$FB,99)</f>
        <v>31782600</v>
      </c>
      <c r="H51" s="50">
        <f t="shared" si="1"/>
        <v>0.1283721281455891</v>
      </c>
      <c r="I51" s="49">
        <f>VLOOKUP($A51,'Data shares'!$C:$FB,66)</f>
        <v>44214000</v>
      </c>
      <c r="J51" s="49">
        <f>VLOOKUP($A51,'Data shares'!$C:$FB,67)</f>
        <v>30587400</v>
      </c>
      <c r="K51" s="50">
        <f t="shared" si="2"/>
        <v>30.819649884651923</v>
      </c>
      <c r="L51" s="50">
        <f>VLOOKUP($A51,'Data shares'!$C:$FB,118)</f>
        <v>0.73</v>
      </c>
      <c r="M51" s="50">
        <f>VLOOKUP($A51,'Data shares'!$C:$FB,119)</f>
        <v>0.76</v>
      </c>
      <c r="N51" s="50">
        <f>VLOOKUP($A51,'Data shares'!$C:$FB,121)*100</f>
        <v>-3.95</v>
      </c>
      <c r="O51" s="50">
        <f>VLOOKUP($A51,'Data shares'!$C:$FB,124)</f>
        <v>0.52</v>
      </c>
      <c r="P51" s="50">
        <f>VLOOKUP($A51,'Data shares'!$C:$FB,125)</f>
        <v>0.74</v>
      </c>
      <c r="Q51" s="50">
        <f>VLOOKUP($A51,'Data shares'!$C:$FB,127)*100</f>
        <v>-29.73</v>
      </c>
    </row>
    <row r="52" spans="1:17" x14ac:dyDescent="0.25">
      <c r="A52" s="97" t="str">
        <f>'NIFTY GRP'!C47</f>
        <v>TITAN</v>
      </c>
      <c r="B52" s="140">
        <f>VLOOKUP($A52,'Data shares'!$C:$FB,7)</f>
        <v>4018.6</v>
      </c>
      <c r="C52" s="140">
        <f>VLOOKUP($A52,'Data shares'!$C:$FB,3)</f>
        <v>4015.9</v>
      </c>
      <c r="D52" s="140">
        <f>VLOOKUP($A52,'Data shares'!$C:$FB,4)</f>
        <v>4076</v>
      </c>
      <c r="E52" s="50">
        <f t="shared" si="0"/>
        <v>-1.47448478900883</v>
      </c>
      <c r="F52" s="49">
        <f>VLOOKUP($A52,'Data shares'!$C:$FB,98)</f>
        <v>18085550</v>
      </c>
      <c r="G52" s="49">
        <f>VLOOKUP($A52,'Data shares'!$C:$FB,99)</f>
        <v>17637200</v>
      </c>
      <c r="H52" s="50">
        <f t="shared" si="1"/>
        <v>2.5420701698682331</v>
      </c>
      <c r="I52" s="49">
        <f>VLOOKUP($A52,'Data shares'!$C:$FB,66)</f>
        <v>26336450</v>
      </c>
      <c r="J52" s="49">
        <f>VLOOKUP($A52,'Data shares'!$C:$FB,67)</f>
        <v>15237950</v>
      </c>
      <c r="K52" s="50">
        <f t="shared" si="2"/>
        <v>42.141214932156764</v>
      </c>
      <c r="L52" s="50">
        <f>VLOOKUP($A52,'Data shares'!$C:$FB,118)</f>
        <v>0.56999999999999995</v>
      </c>
      <c r="M52" s="50">
        <f>VLOOKUP($A52,'Data shares'!$C:$FB,119)</f>
        <v>0.63</v>
      </c>
      <c r="N52" s="50">
        <f>VLOOKUP($A52,'Data shares'!$C:$FB,121)*100</f>
        <v>-9.5200000000000014</v>
      </c>
      <c r="O52" s="50">
        <f>VLOOKUP($A52,'Data shares'!$C:$FB,124)</f>
        <v>0.74</v>
      </c>
      <c r="P52" s="50">
        <f>VLOOKUP($A52,'Data shares'!$C:$FB,125)</f>
        <v>0.78</v>
      </c>
      <c r="Q52" s="50">
        <f>VLOOKUP($A52,'Data shares'!$C:$FB,127)*100</f>
        <v>-5.13</v>
      </c>
    </row>
    <row r="53" spans="1:17" x14ac:dyDescent="0.25">
      <c r="A53" s="97" t="str">
        <f>'NIFTY GRP'!C48</f>
        <v>TMPV</v>
      </c>
      <c r="B53" s="140">
        <f>VLOOKUP($A53,'Data shares'!$C:$FB,7)</f>
        <v>347.3</v>
      </c>
      <c r="C53" s="140">
        <f>VLOOKUP($A53,'Data shares'!$C:$FB,3)</f>
        <v>348.3</v>
      </c>
      <c r="D53" s="140">
        <f>VLOOKUP($A53,'Data shares'!$C:$FB,4)</f>
        <v>339.1</v>
      </c>
      <c r="E53" s="50">
        <f t="shared" si="0"/>
        <v>2.7130639929224385</v>
      </c>
      <c r="F53" s="49">
        <f>VLOOKUP($A53,'Data shares'!$C:$FB,98)</f>
        <v>169262400</v>
      </c>
      <c r="G53" s="49">
        <f>VLOOKUP($A53,'Data shares'!$C:$FB,99)</f>
        <v>173548000</v>
      </c>
      <c r="H53" s="50">
        <f t="shared" si="1"/>
        <v>-2.4694032774794294</v>
      </c>
      <c r="I53" s="49">
        <f>VLOOKUP($A53,'Data shares'!$C:$FB,66)</f>
        <v>218515200</v>
      </c>
      <c r="J53" s="49">
        <f>VLOOKUP($A53,'Data shares'!$C:$FB,67)</f>
        <v>174445600</v>
      </c>
      <c r="K53" s="50">
        <f t="shared" si="2"/>
        <v>20.167750344140821</v>
      </c>
      <c r="L53" s="50">
        <f>VLOOKUP($A53,'Data shares'!$C:$FB,118)</f>
        <v>0.56000000000000005</v>
      </c>
      <c r="M53" s="50">
        <f>VLOOKUP($A53,'Data shares'!$C:$FB,119)</f>
        <v>0.51</v>
      </c>
      <c r="N53" s="50">
        <f>VLOOKUP($A53,'Data shares'!$C:$FB,121)*100</f>
        <v>9.8000000000000007</v>
      </c>
      <c r="O53" s="50">
        <f>VLOOKUP($A53,'Data shares'!$C:$FB,124)</f>
        <v>0.47</v>
      </c>
      <c r="P53" s="50">
        <f>VLOOKUP($A53,'Data shares'!$C:$FB,125)</f>
        <v>0.61</v>
      </c>
      <c r="Q53" s="50">
        <f>VLOOKUP($A53,'Data shares'!$C:$FB,127)*100</f>
        <v>-22.95</v>
      </c>
    </row>
    <row r="54" spans="1:17" x14ac:dyDescent="0.25">
      <c r="A54" s="97" t="str">
        <f>'NIFTY GRP'!C49</f>
        <v>TRENT</v>
      </c>
      <c r="B54" s="140">
        <f>VLOOKUP($A54,'Data shares'!$C:$FB,7)</f>
        <v>3803.8</v>
      </c>
      <c r="C54" s="140">
        <f>VLOOKUP($A54,'Data shares'!$C:$FB,3)</f>
        <v>3810.1</v>
      </c>
      <c r="D54" s="140">
        <f>VLOOKUP($A54,'Data shares'!$C:$FB,4)</f>
        <v>3768.8</v>
      </c>
      <c r="E54" s="50">
        <f t="shared" si="0"/>
        <v>1.0958395245170802</v>
      </c>
      <c r="F54" s="49">
        <f>VLOOKUP($A54,'Data shares'!$C:$FB,98)</f>
        <v>19497500</v>
      </c>
      <c r="G54" s="49">
        <f>VLOOKUP($A54,'Data shares'!$C:$FB,99)</f>
        <v>19610300</v>
      </c>
      <c r="H54" s="50">
        <f t="shared" si="1"/>
        <v>-0.57520792644681618</v>
      </c>
      <c r="I54" s="49">
        <f>VLOOKUP($A54,'Data shares'!$C:$FB,66)</f>
        <v>19358400</v>
      </c>
      <c r="J54" s="49">
        <f>VLOOKUP($A54,'Data shares'!$C:$FB,67)</f>
        <v>23017500</v>
      </c>
      <c r="K54" s="50">
        <f t="shared" si="2"/>
        <v>-18.90187205554178</v>
      </c>
      <c r="L54" s="50">
        <f>VLOOKUP($A54,'Data shares'!$C:$FB,118)</f>
        <v>0.55000000000000004</v>
      </c>
      <c r="M54" s="50">
        <f>VLOOKUP($A54,'Data shares'!$C:$FB,119)</f>
        <v>0.55000000000000004</v>
      </c>
      <c r="N54" s="50">
        <f>VLOOKUP($A54,'Data shares'!$C:$FB,121)*100</f>
        <v>0</v>
      </c>
      <c r="O54" s="50">
        <f>VLOOKUP($A54,'Data shares'!$C:$FB,124)</f>
        <v>0.44</v>
      </c>
      <c r="P54" s="50">
        <f>VLOOKUP($A54,'Data shares'!$C:$FB,125)</f>
        <v>0.64</v>
      </c>
      <c r="Q54" s="50">
        <f>VLOOKUP($A54,'Data shares'!$C:$FB,127)*100</f>
        <v>-31.25</v>
      </c>
    </row>
    <row r="55" spans="1:17" x14ac:dyDescent="0.25">
      <c r="A55" s="97" t="str">
        <f>'NIFTY GRP'!C50</f>
        <v>ULTRACEMCO</v>
      </c>
      <c r="B55" s="140">
        <f>VLOOKUP($A55,'Data shares'!$C:$FB,7)</f>
        <v>12364</v>
      </c>
      <c r="C55" s="140">
        <f>VLOOKUP($A55,'Data shares'!$C:$FB,3)</f>
        <v>12379</v>
      </c>
      <c r="D55" s="140">
        <f>VLOOKUP($A55,'Data shares'!$C:$FB,4)</f>
        <v>12224</v>
      </c>
      <c r="E55" s="50">
        <f t="shared" si="0"/>
        <v>1.267997382198953</v>
      </c>
      <c r="F55" s="49">
        <f>VLOOKUP($A55,'Data shares'!$C:$FB,98)</f>
        <v>3985650</v>
      </c>
      <c r="G55" s="49">
        <f>VLOOKUP($A55,'Data shares'!$C:$FB,99)</f>
        <v>3920650</v>
      </c>
      <c r="H55" s="50">
        <f t="shared" si="1"/>
        <v>1.6578883603484116</v>
      </c>
      <c r="I55" s="49">
        <f>VLOOKUP($A55,'Data shares'!$C:$FB,66)</f>
        <v>4701900</v>
      </c>
      <c r="J55" s="49">
        <f>VLOOKUP($A55,'Data shares'!$C:$FB,67)</f>
        <v>3960950</v>
      </c>
      <c r="K55" s="50">
        <f t="shared" si="2"/>
        <v>15.75852315021587</v>
      </c>
      <c r="L55" s="50">
        <f>VLOOKUP($A55,'Data shares'!$C:$FB,118)</f>
        <v>0.83</v>
      </c>
      <c r="M55" s="50">
        <f>VLOOKUP($A55,'Data shares'!$C:$FB,119)</f>
        <v>0.73</v>
      </c>
      <c r="N55" s="50">
        <f>VLOOKUP($A55,'Data shares'!$C:$FB,121)*100</f>
        <v>13.700000000000001</v>
      </c>
      <c r="O55" s="50">
        <f>VLOOKUP($A55,'Data shares'!$C:$FB,124)</f>
        <v>0.44</v>
      </c>
      <c r="P55" s="50">
        <f>VLOOKUP($A55,'Data shares'!$C:$FB,125)</f>
        <v>0.59</v>
      </c>
      <c r="Q55" s="50">
        <f>VLOOKUP($A55,'Data shares'!$C:$FB,127)*100</f>
        <v>-25.419999999999998</v>
      </c>
    </row>
    <row r="56" spans="1:17" x14ac:dyDescent="0.25">
      <c r="A56" s="97" t="str">
        <f>'NIFTY GRP'!C51</f>
        <v>WIPRO</v>
      </c>
      <c r="B56" s="140">
        <f>VLOOKUP($A56,'Data shares'!$C:$FB,7)</f>
        <v>240.65</v>
      </c>
      <c r="C56" s="140">
        <f>VLOOKUP($A56,'Data shares'!$C:$FB,3)</f>
        <v>240.95</v>
      </c>
      <c r="D56" s="140">
        <f>VLOOKUP($A56,'Data shares'!$C:$FB,4)</f>
        <v>240.15</v>
      </c>
      <c r="E56" s="50">
        <f t="shared" si="0"/>
        <v>0.33312513012699685</v>
      </c>
      <c r="F56" s="49">
        <f>VLOOKUP($A56,'Data shares'!$C:$FB,98)</f>
        <v>297153000</v>
      </c>
      <c r="G56" s="49">
        <f>VLOOKUP($A56,'Data shares'!$C:$FB,99)</f>
        <v>302685000</v>
      </c>
      <c r="H56" s="50">
        <f t="shared" si="1"/>
        <v>-1.8276425987412657</v>
      </c>
      <c r="I56" s="49">
        <f>VLOOKUP($A56,'Data shares'!$C:$FB,66)</f>
        <v>213525000</v>
      </c>
      <c r="J56" s="49">
        <f>VLOOKUP($A56,'Data shares'!$C:$FB,67)</f>
        <v>311175000</v>
      </c>
      <c r="K56" s="50">
        <f t="shared" si="2"/>
        <v>-45.732349841938884</v>
      </c>
      <c r="L56" s="50">
        <f>VLOOKUP($A56,'Data shares'!$C:$FB,118)</f>
        <v>0.53</v>
      </c>
      <c r="M56" s="50">
        <f>VLOOKUP($A56,'Data shares'!$C:$FB,119)</f>
        <v>0.52</v>
      </c>
      <c r="N56" s="50">
        <f>VLOOKUP($A56,'Data shares'!$C:$FB,121)*100</f>
        <v>1.92</v>
      </c>
      <c r="O56" s="50">
        <f>VLOOKUP($A56,'Data shares'!$C:$FB,124)</f>
        <v>0.48</v>
      </c>
      <c r="P56" s="50">
        <f>VLOOKUP($A56,'Data shares'!$C:$FB,125)</f>
        <v>0.54</v>
      </c>
      <c r="Q56" s="50">
        <f>VLOOKUP($A56,'Data shares'!$C:$FB,127)*100</f>
        <v>-11.110000000000001</v>
      </c>
    </row>
    <row r="57" spans="1:17" x14ac:dyDescent="0.25">
      <c r="A57" s="97" t="str">
        <f>'Data Vlaue (Cr)'!C52</f>
        <v>DABUR</v>
      </c>
      <c r="B57" s="140">
        <f>VLOOKUP($A57,'Data shares'!$C:$FB,7)</f>
        <v>525.35</v>
      </c>
      <c r="C57" s="140">
        <f>VLOOKUP($A57,'Data shares'!$C:$FB,3)</f>
        <v>526</v>
      </c>
      <c r="D57" s="140">
        <f>VLOOKUP($A57,'Data shares'!$C:$FB,4)</f>
        <v>518.04999999999995</v>
      </c>
      <c r="E57" s="50">
        <f t="shared" si="0"/>
        <v>1.534600907248344</v>
      </c>
      <c r="F57" s="49">
        <f>VLOOKUP($A57,'Data shares'!$C:$FB,98)</f>
        <v>44515000</v>
      </c>
      <c r="G57" s="49">
        <f>VLOOKUP($A57,'Data shares'!$C:$FB,99)</f>
        <v>43903750</v>
      </c>
      <c r="H57" s="50">
        <f t="shared" si="1"/>
        <v>1.3922500925319592</v>
      </c>
      <c r="I57" s="49">
        <f>VLOOKUP($A57,'Data shares'!$C:$FB,66)</f>
        <v>54371250</v>
      </c>
      <c r="J57" s="49">
        <f>VLOOKUP($A57,'Data shares'!$C:$FB,67)</f>
        <v>54151250</v>
      </c>
      <c r="K57" s="50">
        <f t="shared" si="2"/>
        <v>0.40462560636365724</v>
      </c>
      <c r="L57" s="50">
        <f>VLOOKUP($A57,'Data shares'!$C:$FB,118)</f>
        <v>0.66</v>
      </c>
      <c r="M57" s="50">
        <f>VLOOKUP($A57,'Data shares'!$C:$FB,119)</f>
        <v>0.64</v>
      </c>
      <c r="N57" s="50">
        <f>VLOOKUP($A57,'Data shares'!$C:$FB,121)*100</f>
        <v>3.1300000000000003</v>
      </c>
      <c r="O57" s="50">
        <f>VLOOKUP($A57,'Data shares'!$C:$FB,124)</f>
        <v>0.52</v>
      </c>
      <c r="P57" s="50">
        <f>VLOOKUP($A57,'Data shares'!$C:$FB,125)</f>
        <v>0.55000000000000004</v>
      </c>
      <c r="Q57" s="50">
        <f>VLOOKUP($A57,'Data shares'!$C:$FB,127)*100</f>
        <v>-5.45</v>
      </c>
    </row>
    <row r="58" spans="1:17" x14ac:dyDescent="0.25">
      <c r="A58" s="97" t="str">
        <f>'Data Vlaue (Cr)'!C53</f>
        <v>DALBHARAT</v>
      </c>
      <c r="B58" s="140">
        <f>VLOOKUP($A58,'Data shares'!$C:$FB,7)</f>
        <v>2143.6999999999998</v>
      </c>
      <c r="C58" s="140">
        <f>VLOOKUP($A58,'Data shares'!$C:$FB,3)</f>
        <v>2150.1</v>
      </c>
      <c r="D58" s="140">
        <f>VLOOKUP($A58,'Data shares'!$C:$FB,4)</f>
        <v>2232</v>
      </c>
      <c r="E58" s="50">
        <f t="shared" si="0"/>
        <v>-3.669354838709681</v>
      </c>
      <c r="F58" s="49">
        <f>VLOOKUP($A58,'Data shares'!$C:$FB,98)</f>
        <v>5484375</v>
      </c>
      <c r="G58" s="49">
        <f>VLOOKUP($A58,'Data shares'!$C:$FB,99)</f>
        <v>5882825</v>
      </c>
      <c r="H58" s="50">
        <f t="shared" si="1"/>
        <v>-6.7731064582067289</v>
      </c>
      <c r="I58" s="49">
        <f>VLOOKUP($A58,'Data shares'!$C:$FB,66)</f>
        <v>12290525</v>
      </c>
      <c r="J58" s="49">
        <f>VLOOKUP($A58,'Data shares'!$C:$FB,67)</f>
        <v>18306600</v>
      </c>
      <c r="K58" s="50">
        <f t="shared" si="2"/>
        <v>-48.948885421900201</v>
      </c>
      <c r="L58" s="50">
        <f>VLOOKUP($A58,'Data shares'!$C:$FB,118)</f>
        <v>0.49</v>
      </c>
      <c r="M58" s="50">
        <f>VLOOKUP($A58,'Data shares'!$C:$FB,119)</f>
        <v>0.61</v>
      </c>
      <c r="N58" s="50">
        <f>VLOOKUP($A58,'Data shares'!$C:$FB,121)*100</f>
        <v>-19.670000000000002</v>
      </c>
      <c r="O58" s="50">
        <f>VLOOKUP($A58,'Data shares'!$C:$FB,124)</f>
        <v>0.53</v>
      </c>
      <c r="P58" s="50">
        <f>VLOOKUP($A58,'Data shares'!$C:$FB,125)</f>
        <v>0.48</v>
      </c>
      <c r="Q58" s="50">
        <f>VLOOKUP($A58,'Data shares'!$C:$FB,127)*100</f>
        <v>10.42</v>
      </c>
    </row>
    <row r="59" spans="1:17" x14ac:dyDescent="0.25">
      <c r="A59" s="97" t="str">
        <f>'Data Vlaue (Cr)'!C54</f>
        <v>DELHIVERY</v>
      </c>
      <c r="B59" s="140">
        <f>VLOOKUP($A59,'Data shares'!$C:$FB,7)</f>
        <v>389.85</v>
      </c>
      <c r="C59" s="140">
        <f>VLOOKUP($A59,'Data shares'!$C:$FB,3)</f>
        <v>390</v>
      </c>
      <c r="D59" s="140">
        <f>VLOOKUP($A59,'Data shares'!$C:$FB,4)</f>
        <v>379</v>
      </c>
      <c r="E59" s="50">
        <f t="shared" si="0"/>
        <v>2.9023746701846966</v>
      </c>
      <c r="F59" s="49">
        <f>VLOOKUP($A59,'Data shares'!$C:$FB,98)</f>
        <v>35831100</v>
      </c>
      <c r="G59" s="49">
        <f>VLOOKUP($A59,'Data shares'!$C:$FB,99)</f>
        <v>36893500</v>
      </c>
      <c r="H59" s="50">
        <f t="shared" si="1"/>
        <v>-2.8796400449943755</v>
      </c>
      <c r="I59" s="49">
        <f>VLOOKUP($A59,'Data shares'!$C:$FB,66)</f>
        <v>34312200</v>
      </c>
      <c r="J59" s="49">
        <f>VLOOKUP($A59,'Data shares'!$C:$FB,67)</f>
        <v>35482500</v>
      </c>
      <c r="K59" s="50">
        <f t="shared" si="2"/>
        <v>-3.4107402031930336</v>
      </c>
      <c r="L59" s="50">
        <f>VLOOKUP($A59,'Data shares'!$C:$FB,118)</f>
        <v>0.81</v>
      </c>
      <c r="M59" s="50">
        <f>VLOOKUP($A59,'Data shares'!$C:$FB,119)</f>
        <v>0.78</v>
      </c>
      <c r="N59" s="50">
        <f>VLOOKUP($A59,'Data shares'!$C:$FB,121)*100</f>
        <v>3.85</v>
      </c>
      <c r="O59" s="50">
        <f>VLOOKUP($A59,'Data shares'!$C:$FB,124)</f>
        <v>0.56000000000000005</v>
      </c>
      <c r="P59" s="50">
        <f>VLOOKUP($A59,'Data shares'!$C:$FB,125)</f>
        <v>1.21</v>
      </c>
      <c r="Q59" s="50">
        <f>VLOOKUP($A59,'Data shares'!$C:$FB,127)*100</f>
        <v>-53.72</v>
      </c>
    </row>
    <row r="60" spans="1:17" x14ac:dyDescent="0.25">
      <c r="A60" s="97" t="str">
        <f>'Data Vlaue (Cr)'!C55</f>
        <v>DIVISLAB</v>
      </c>
      <c r="B60" s="140">
        <f>VLOOKUP($A60,'Data shares'!$C:$FB,7)</f>
        <v>6071</v>
      </c>
      <c r="C60" s="140">
        <f>VLOOKUP($A60,'Data shares'!$C:$FB,3)</f>
        <v>6083.5</v>
      </c>
      <c r="D60" s="140">
        <f>VLOOKUP($A60,'Data shares'!$C:$FB,4)</f>
        <v>5996.5</v>
      </c>
      <c r="E60" s="50">
        <f t="shared" si="0"/>
        <v>1.4508463270240974</v>
      </c>
      <c r="F60" s="49">
        <f>VLOOKUP($A60,'Data shares'!$C:$FB,98)</f>
        <v>6394800</v>
      </c>
      <c r="G60" s="49">
        <f>VLOOKUP($A60,'Data shares'!$C:$FB,99)</f>
        <v>6352900</v>
      </c>
      <c r="H60" s="50">
        <f t="shared" si="1"/>
        <v>0.65954131184183595</v>
      </c>
      <c r="I60" s="49">
        <f>VLOOKUP($A60,'Data shares'!$C:$FB,66)</f>
        <v>5729500</v>
      </c>
      <c r="J60" s="49">
        <f>VLOOKUP($A60,'Data shares'!$C:$FB,67)</f>
        <v>5653400</v>
      </c>
      <c r="K60" s="50">
        <f t="shared" si="2"/>
        <v>1.3282136312069115</v>
      </c>
      <c r="L60" s="50">
        <f>VLOOKUP($A60,'Data shares'!$C:$FB,118)</f>
        <v>0.49</v>
      </c>
      <c r="M60" s="50">
        <f>VLOOKUP($A60,'Data shares'!$C:$FB,119)</f>
        <v>0.51</v>
      </c>
      <c r="N60" s="50">
        <f>VLOOKUP($A60,'Data shares'!$C:$FB,121)*100</f>
        <v>-3.92</v>
      </c>
      <c r="O60" s="50">
        <f>VLOOKUP($A60,'Data shares'!$C:$FB,124)</f>
        <v>0.33</v>
      </c>
      <c r="P60" s="50">
        <f>VLOOKUP($A60,'Data shares'!$C:$FB,125)</f>
        <v>0.51</v>
      </c>
      <c r="Q60" s="50">
        <f>VLOOKUP($A60,'Data shares'!$C:$FB,127)*100</f>
        <v>-35.29</v>
      </c>
    </row>
    <row r="61" spans="1:17" x14ac:dyDescent="0.25">
      <c r="A61" s="97" t="str">
        <f>'Data Vlaue (Cr)'!C56</f>
        <v>DIXON</v>
      </c>
      <c r="B61" s="140">
        <f>VLOOKUP($A61,'Data shares'!$C:$FB,7)</f>
        <v>10512</v>
      </c>
      <c r="C61" s="140">
        <f>VLOOKUP($A61,'Data shares'!$C:$FB,3)</f>
        <v>10534</v>
      </c>
      <c r="D61" s="140">
        <f>VLOOKUP($A61,'Data shares'!$C:$FB,4)</f>
        <v>10550</v>
      </c>
      <c r="E61" s="50">
        <f t="shared" si="0"/>
        <v>-0.15165876777251183</v>
      </c>
      <c r="F61" s="49">
        <f>VLOOKUP($A61,'Data shares'!$C:$FB,98)</f>
        <v>9405850</v>
      </c>
      <c r="G61" s="49">
        <f>VLOOKUP($A61,'Data shares'!$C:$FB,99)</f>
        <v>9449150</v>
      </c>
      <c r="H61" s="50">
        <f t="shared" si="1"/>
        <v>-0.45824227576025356</v>
      </c>
      <c r="I61" s="49">
        <f>VLOOKUP($A61,'Data shares'!$C:$FB,66)</f>
        <v>9976750</v>
      </c>
      <c r="J61" s="49">
        <f>VLOOKUP($A61,'Data shares'!$C:$FB,67)</f>
        <v>17512650</v>
      </c>
      <c r="K61" s="50">
        <f t="shared" si="2"/>
        <v>-75.534617986819356</v>
      </c>
      <c r="L61" s="50">
        <f>VLOOKUP($A61,'Data shares'!$C:$FB,118)</f>
        <v>0.53</v>
      </c>
      <c r="M61" s="50">
        <f>VLOOKUP($A61,'Data shares'!$C:$FB,119)</f>
        <v>0.54</v>
      </c>
      <c r="N61" s="50">
        <f>VLOOKUP($A61,'Data shares'!$C:$FB,121)*100</f>
        <v>-1.8499999999999999</v>
      </c>
      <c r="O61" s="50">
        <f>VLOOKUP($A61,'Data shares'!$C:$FB,124)</f>
        <v>0.57999999999999996</v>
      </c>
      <c r="P61" s="50">
        <f>VLOOKUP($A61,'Data shares'!$C:$FB,125)</f>
        <v>0.74</v>
      </c>
      <c r="Q61" s="50">
        <f>VLOOKUP($A61,'Data shares'!$C:$FB,127)*100</f>
        <v>-21.62</v>
      </c>
    </row>
    <row r="62" spans="1:17" x14ac:dyDescent="0.25">
      <c r="A62" s="97" t="str">
        <f>'Data Vlaue (Cr)'!C57</f>
        <v>DLF</v>
      </c>
      <c r="B62" s="140">
        <f>VLOOKUP($A62,'Data shares'!$C:$FB,7)</f>
        <v>613.29999999999995</v>
      </c>
      <c r="C62" s="140">
        <f>VLOOKUP($A62,'Data shares'!$C:$FB,3)</f>
        <v>613.5</v>
      </c>
      <c r="D62" s="140">
        <f>VLOOKUP($A62,'Data shares'!$C:$FB,4)</f>
        <v>618.9</v>
      </c>
      <c r="E62" s="50">
        <f t="shared" si="0"/>
        <v>-0.87251575375666135</v>
      </c>
      <c r="F62" s="49">
        <f>VLOOKUP($A62,'Data shares'!$C:$FB,98)</f>
        <v>102681975</v>
      </c>
      <c r="G62" s="49">
        <f>VLOOKUP($A62,'Data shares'!$C:$FB,99)</f>
        <v>96935850</v>
      </c>
      <c r="H62" s="50">
        <f t="shared" si="1"/>
        <v>5.9277604725186812</v>
      </c>
      <c r="I62" s="49">
        <f>VLOOKUP($A62,'Data shares'!$C:$FB,66)</f>
        <v>92184675</v>
      </c>
      <c r="J62" s="49">
        <f>VLOOKUP($A62,'Data shares'!$C:$FB,67)</f>
        <v>95101050</v>
      </c>
      <c r="K62" s="50">
        <f t="shared" si="2"/>
        <v>-3.1636223699872028</v>
      </c>
      <c r="L62" s="50">
        <f>VLOOKUP($A62,'Data shares'!$C:$FB,118)</f>
        <v>0.6</v>
      </c>
      <c r="M62" s="50">
        <f>VLOOKUP($A62,'Data shares'!$C:$FB,119)</f>
        <v>0.56000000000000005</v>
      </c>
      <c r="N62" s="50">
        <f>VLOOKUP($A62,'Data shares'!$C:$FB,121)*100</f>
        <v>7.1400000000000006</v>
      </c>
      <c r="O62" s="50">
        <f>VLOOKUP($A62,'Data shares'!$C:$FB,124)</f>
        <v>0.61</v>
      </c>
      <c r="P62" s="50">
        <f>VLOOKUP($A62,'Data shares'!$C:$FB,125)</f>
        <v>0.59</v>
      </c>
      <c r="Q62" s="50">
        <f>VLOOKUP($A62,'Data shares'!$C:$FB,127)*100</f>
        <v>3.39</v>
      </c>
    </row>
    <row r="63" spans="1:17" x14ac:dyDescent="0.25">
      <c r="A63" s="97" t="str">
        <f>'Data Vlaue (Cr)'!C58</f>
        <v>DMART</v>
      </c>
      <c r="B63" s="140">
        <f>VLOOKUP($A63,'Data shares'!$C:$FB,7)</f>
        <v>3724.1</v>
      </c>
      <c r="C63" s="140">
        <f>VLOOKUP($A63,'Data shares'!$C:$FB,3)</f>
        <v>3722</v>
      </c>
      <c r="D63" s="140">
        <f>VLOOKUP($A63,'Data shares'!$C:$FB,4)</f>
        <v>3667.8</v>
      </c>
      <c r="E63" s="50">
        <f t="shared" si="0"/>
        <v>1.4777250667975301</v>
      </c>
      <c r="F63" s="49">
        <f>VLOOKUP($A63,'Data shares'!$C:$FB,98)</f>
        <v>10179600</v>
      </c>
      <c r="G63" s="49">
        <f>VLOOKUP($A63,'Data shares'!$C:$FB,99)</f>
        <v>10785300</v>
      </c>
      <c r="H63" s="50">
        <f t="shared" si="1"/>
        <v>-5.6159773024394317</v>
      </c>
      <c r="I63" s="49">
        <f>VLOOKUP($A63,'Data shares'!$C:$FB,66)</f>
        <v>8868300</v>
      </c>
      <c r="J63" s="49">
        <f>VLOOKUP($A63,'Data shares'!$C:$FB,67)</f>
        <v>11653500</v>
      </c>
      <c r="K63" s="50">
        <f t="shared" si="2"/>
        <v>-31.406244714319541</v>
      </c>
      <c r="L63" s="50">
        <f>VLOOKUP($A63,'Data shares'!$C:$FB,118)</f>
        <v>0.39</v>
      </c>
      <c r="M63" s="50">
        <f>VLOOKUP($A63,'Data shares'!$C:$FB,119)</f>
        <v>0.39</v>
      </c>
      <c r="N63" s="50">
        <f>VLOOKUP($A63,'Data shares'!$C:$FB,121)*100</f>
        <v>0</v>
      </c>
      <c r="O63" s="50">
        <f>VLOOKUP($A63,'Data shares'!$C:$FB,124)</f>
        <v>0.36</v>
      </c>
      <c r="P63" s="50">
        <f>VLOOKUP($A63,'Data shares'!$C:$FB,125)</f>
        <v>0.45</v>
      </c>
      <c r="Q63" s="50">
        <f>VLOOKUP($A63,'Data shares'!$C:$FB,127)*100</f>
        <v>-20</v>
      </c>
    </row>
    <row r="64" spans="1:17" x14ac:dyDescent="0.25">
      <c r="A64" s="97" t="str">
        <f>'Data Vlaue (Cr)'!C59</f>
        <v>DRREDDY</v>
      </c>
      <c r="B64" s="140">
        <f>VLOOKUP($A64,'Data shares'!$C:$FB,7)</f>
        <v>1217.5</v>
      </c>
      <c r="C64" s="140">
        <f>VLOOKUP($A64,'Data shares'!$C:$FB,3)</f>
        <v>1221.3</v>
      </c>
      <c r="D64" s="140">
        <f>VLOOKUP($A64,'Data shares'!$C:$FB,4)</f>
        <v>1160.2</v>
      </c>
      <c r="E64" s="50">
        <f t="shared" si="0"/>
        <v>5.2663333907946832</v>
      </c>
      <c r="F64" s="49">
        <f>VLOOKUP($A64,'Data shares'!$C:$FB,98)</f>
        <v>33220000</v>
      </c>
      <c r="G64" s="49">
        <f>VLOOKUP($A64,'Data shares'!$C:$FB,99)</f>
        <v>33981875</v>
      </c>
      <c r="H64" s="50">
        <f t="shared" si="1"/>
        <v>-2.2420040094903531</v>
      </c>
      <c r="I64" s="49">
        <f>VLOOKUP($A64,'Data shares'!$C:$FB,66)</f>
        <v>124906250</v>
      </c>
      <c r="J64" s="49">
        <f>VLOOKUP($A64,'Data shares'!$C:$FB,67)</f>
        <v>68460000</v>
      </c>
      <c r="K64" s="50">
        <f t="shared" si="2"/>
        <v>45.190893169877413</v>
      </c>
      <c r="L64" s="50">
        <f>VLOOKUP($A64,'Data shares'!$C:$FB,118)</f>
        <v>0.6</v>
      </c>
      <c r="M64" s="50">
        <f>VLOOKUP($A64,'Data shares'!$C:$FB,119)</f>
        <v>0.62</v>
      </c>
      <c r="N64" s="50">
        <f>VLOOKUP($A64,'Data shares'!$C:$FB,121)*100</f>
        <v>-3.2300000000000004</v>
      </c>
      <c r="O64" s="50">
        <f>VLOOKUP($A64,'Data shares'!$C:$FB,124)</f>
        <v>0.49</v>
      </c>
      <c r="P64" s="50">
        <f>VLOOKUP($A64,'Data shares'!$C:$FB,125)</f>
        <v>0.73</v>
      </c>
      <c r="Q64" s="50">
        <f>VLOOKUP($A64,'Data shares'!$C:$FB,127)*100</f>
        <v>-32.879999999999995</v>
      </c>
    </row>
    <row r="65" spans="1:17" x14ac:dyDescent="0.25">
      <c r="A65" s="97" t="str">
        <f>'Data Vlaue (Cr)'!C60</f>
        <v>EICHERMOT</v>
      </c>
      <c r="B65" s="140">
        <f>VLOOKUP($A65,'Data shares'!$C:$FB,7)</f>
        <v>7049</v>
      </c>
      <c r="C65" s="140">
        <f>VLOOKUP($A65,'Data shares'!$C:$FB,3)</f>
        <v>7040</v>
      </c>
      <c r="D65" s="140">
        <f>VLOOKUP($A65,'Data shares'!$C:$FB,4)</f>
        <v>7137</v>
      </c>
      <c r="E65" s="50">
        <f t="shared" si="0"/>
        <v>-1.3591144738685723</v>
      </c>
      <c r="F65" s="49">
        <f>VLOOKUP($A65,'Data shares'!$C:$FB,98)</f>
        <v>5925600</v>
      </c>
      <c r="G65" s="49">
        <f>VLOOKUP($A65,'Data shares'!$C:$FB,99)</f>
        <v>5822900</v>
      </c>
      <c r="H65" s="50">
        <f t="shared" si="1"/>
        <v>1.7637259784643391</v>
      </c>
      <c r="I65" s="49">
        <f>VLOOKUP($A65,'Data shares'!$C:$FB,66)</f>
        <v>9818800</v>
      </c>
      <c r="J65" s="49">
        <f>VLOOKUP($A65,'Data shares'!$C:$FB,67)</f>
        <v>9165000</v>
      </c>
      <c r="K65" s="50">
        <f t="shared" si="2"/>
        <v>6.6586548254369173</v>
      </c>
      <c r="L65" s="50">
        <f>VLOOKUP($A65,'Data shares'!$C:$FB,118)</f>
        <v>0.49</v>
      </c>
      <c r="M65" s="50">
        <f>VLOOKUP($A65,'Data shares'!$C:$FB,119)</f>
        <v>0.51</v>
      </c>
      <c r="N65" s="50">
        <f>VLOOKUP($A65,'Data shares'!$C:$FB,121)*100</f>
        <v>-3.92</v>
      </c>
      <c r="O65" s="50">
        <f>VLOOKUP($A65,'Data shares'!$C:$FB,124)</f>
        <v>0.43</v>
      </c>
      <c r="P65" s="50">
        <f>VLOOKUP($A65,'Data shares'!$C:$FB,125)</f>
        <v>0.51</v>
      </c>
      <c r="Q65" s="50">
        <f>VLOOKUP($A65,'Data shares'!$C:$FB,127)*100</f>
        <v>-15.690000000000001</v>
      </c>
    </row>
    <row r="66" spans="1:17" x14ac:dyDescent="0.25">
      <c r="A66" s="97" t="str">
        <f>'Data Vlaue (Cr)'!C61</f>
        <v>ETERNAL</v>
      </c>
      <c r="B66" s="140">
        <f>VLOOKUP($A66,'Data shares'!$C:$FB,7)</f>
        <v>275.89999999999998</v>
      </c>
      <c r="C66" s="140">
        <f>VLOOKUP($A66,'Data shares'!$C:$FB,3)</f>
        <v>276.39999999999998</v>
      </c>
      <c r="D66" s="140">
        <f>VLOOKUP($A66,'Data shares'!$C:$FB,4)</f>
        <v>283.85000000000002</v>
      </c>
      <c r="E66" s="50">
        <f t="shared" si="0"/>
        <v>-2.6246256825788428</v>
      </c>
      <c r="F66" s="49">
        <f>VLOOKUP($A66,'Data shares'!$C:$FB,98)</f>
        <v>514594700</v>
      </c>
      <c r="G66" s="49">
        <f>VLOOKUP($A66,'Data shares'!$C:$FB,99)</f>
        <v>513256100</v>
      </c>
      <c r="H66" s="50">
        <f t="shared" si="1"/>
        <v>0.26080547313514635</v>
      </c>
      <c r="I66" s="49">
        <f>VLOOKUP($A66,'Data shares'!$C:$FB,66)</f>
        <v>1529886425</v>
      </c>
      <c r="J66" s="49">
        <f>VLOOKUP($A66,'Data shares'!$C:$FB,67)</f>
        <v>1027082075</v>
      </c>
      <c r="K66" s="50">
        <f t="shared" si="2"/>
        <v>32.865469082124839</v>
      </c>
      <c r="L66" s="50">
        <f>VLOOKUP($A66,'Data shares'!$C:$FB,118)</f>
        <v>0.55000000000000004</v>
      </c>
      <c r="M66" s="50">
        <f>VLOOKUP($A66,'Data shares'!$C:$FB,119)</f>
        <v>0.77</v>
      </c>
      <c r="N66" s="50">
        <f>VLOOKUP($A66,'Data shares'!$C:$FB,121)*100</f>
        <v>-28.57</v>
      </c>
      <c r="O66" s="50">
        <f>VLOOKUP($A66,'Data shares'!$C:$FB,124)</f>
        <v>0.81</v>
      </c>
      <c r="P66" s="50">
        <f>VLOOKUP($A66,'Data shares'!$C:$FB,125)</f>
        <v>0.62</v>
      </c>
      <c r="Q66" s="50">
        <f>VLOOKUP($A66,'Data shares'!$C:$FB,127)*100</f>
        <v>30.65</v>
      </c>
    </row>
    <row r="67" spans="1:17" x14ac:dyDescent="0.25">
      <c r="A67" s="97" t="str">
        <f>'Data Vlaue (Cr)'!C62</f>
        <v>EXIDEIND</v>
      </c>
      <c r="B67" s="140">
        <f>VLOOKUP($A67,'Data shares'!$C:$FB,7)</f>
        <v>334.25</v>
      </c>
      <c r="C67" s="140">
        <f>VLOOKUP($A67,'Data shares'!$C:$FB,3)</f>
        <v>334.45</v>
      </c>
      <c r="D67" s="140">
        <f>VLOOKUP($A67,'Data shares'!$C:$FB,4)</f>
        <v>326.25</v>
      </c>
      <c r="E67" s="50">
        <f t="shared" si="0"/>
        <v>2.5134099616858205</v>
      </c>
      <c r="F67" s="49">
        <f>VLOOKUP($A67,'Data shares'!$C:$FB,98)</f>
        <v>63457200</v>
      </c>
      <c r="G67" s="49">
        <f>VLOOKUP($A67,'Data shares'!$C:$FB,99)</f>
        <v>67257000</v>
      </c>
      <c r="H67" s="50">
        <f t="shared" si="1"/>
        <v>-5.6496721530844374</v>
      </c>
      <c r="I67" s="49">
        <f>VLOOKUP($A67,'Data shares'!$C:$FB,66)</f>
        <v>42553800</v>
      </c>
      <c r="J67" s="49">
        <f>VLOOKUP($A67,'Data shares'!$C:$FB,67)</f>
        <v>55994400</v>
      </c>
      <c r="K67" s="50">
        <f t="shared" si="2"/>
        <v>-31.584958335095809</v>
      </c>
      <c r="L67" s="50">
        <f>VLOOKUP($A67,'Data shares'!$C:$FB,118)</f>
        <v>0.64</v>
      </c>
      <c r="M67" s="50">
        <f>VLOOKUP($A67,'Data shares'!$C:$FB,119)</f>
        <v>0.59</v>
      </c>
      <c r="N67" s="50">
        <f>VLOOKUP($A67,'Data shares'!$C:$FB,121)*100</f>
        <v>8.4699999999999989</v>
      </c>
      <c r="O67" s="50">
        <f>VLOOKUP($A67,'Data shares'!$C:$FB,124)</f>
        <v>0.55000000000000004</v>
      </c>
      <c r="P67" s="50">
        <f>VLOOKUP($A67,'Data shares'!$C:$FB,125)</f>
        <v>0.68</v>
      </c>
      <c r="Q67" s="50">
        <f>VLOOKUP($A67,'Data shares'!$C:$FB,127)*100</f>
        <v>-19.12</v>
      </c>
    </row>
    <row r="68" spans="1:17" x14ac:dyDescent="0.25">
      <c r="A68" s="97" t="str">
        <f>'Data Vlaue (Cr)'!C63</f>
        <v>FEDERALBNK</v>
      </c>
      <c r="B68" s="140">
        <f>VLOOKUP($A68,'Data shares'!$C:$FB,7)</f>
        <v>282.2</v>
      </c>
      <c r="C68" s="140">
        <f>VLOOKUP($A68,'Data shares'!$C:$FB,3)</f>
        <v>281.95</v>
      </c>
      <c r="D68" s="140">
        <f>VLOOKUP($A68,'Data shares'!$C:$FB,4)</f>
        <v>275.95</v>
      </c>
      <c r="E68" s="50">
        <f t="shared" si="0"/>
        <v>2.1743069396629826</v>
      </c>
      <c r="F68" s="49">
        <f>VLOOKUP($A68,'Data shares'!$C:$FB,98)</f>
        <v>192005000</v>
      </c>
      <c r="G68" s="49">
        <f>VLOOKUP($A68,'Data shares'!$C:$FB,99)</f>
        <v>189665000</v>
      </c>
      <c r="H68" s="50">
        <f t="shared" si="1"/>
        <v>1.2337542509160888</v>
      </c>
      <c r="I68" s="49">
        <f>VLOOKUP($A68,'Data shares'!$C:$FB,66)</f>
        <v>498900000</v>
      </c>
      <c r="J68" s="49">
        <f>VLOOKUP($A68,'Data shares'!$C:$FB,67)</f>
        <v>373520000</v>
      </c>
      <c r="K68" s="50">
        <f t="shared" si="2"/>
        <v>25.131288835437964</v>
      </c>
      <c r="L68" s="50">
        <f>VLOOKUP($A68,'Data shares'!$C:$FB,118)</f>
        <v>1.1399999999999999</v>
      </c>
      <c r="M68" s="50">
        <f>VLOOKUP($A68,'Data shares'!$C:$FB,119)</f>
        <v>1.0900000000000001</v>
      </c>
      <c r="N68" s="50">
        <f>VLOOKUP($A68,'Data shares'!$C:$FB,121)*100</f>
        <v>4.5900000000000007</v>
      </c>
      <c r="O68" s="50">
        <f>VLOOKUP($A68,'Data shares'!$C:$FB,124)</f>
        <v>0.55000000000000004</v>
      </c>
      <c r="P68" s="50">
        <f>VLOOKUP($A68,'Data shares'!$C:$FB,125)</f>
        <v>0.91</v>
      </c>
      <c r="Q68" s="50">
        <f>VLOOKUP($A68,'Data shares'!$C:$FB,127)*100</f>
        <v>-39.56</v>
      </c>
    </row>
    <row r="69" spans="1:17" x14ac:dyDescent="0.25">
      <c r="A69" s="97" t="str">
        <f>'Data Vlaue (Cr)'!C64</f>
        <v>FINNIFTY</v>
      </c>
      <c r="B69" s="140">
        <f>VLOOKUP($A69,'Data shares'!$C:$FB,7)</f>
        <v>27149.95</v>
      </c>
      <c r="C69" s="140">
        <f>VLOOKUP($A69,'Data shares'!$C:$FB,3)</f>
        <v>27244.9</v>
      </c>
      <c r="D69" s="140">
        <f>VLOOKUP($A69,'Data shares'!$C:$FB,4)</f>
        <v>27005</v>
      </c>
      <c r="E69" s="50">
        <f t="shared" si="0"/>
        <v>0.88835400851694679</v>
      </c>
      <c r="F69" s="49">
        <f>VLOOKUP($A69,'Data shares'!$C:$FB,98)</f>
        <v>2204940</v>
      </c>
      <c r="G69" s="49">
        <f>VLOOKUP($A69,'Data shares'!$C:$FB,99)</f>
        <v>2413380</v>
      </c>
      <c r="H69" s="50">
        <f t="shared" si="1"/>
        <v>-8.6368495636824711</v>
      </c>
      <c r="I69" s="49">
        <f>VLOOKUP($A69,'Data shares'!$C:$FB,66)</f>
        <v>12846660</v>
      </c>
      <c r="J69" s="49">
        <f>VLOOKUP($A69,'Data shares'!$C:$FB,67)</f>
        <v>21232620</v>
      </c>
      <c r="K69" s="50">
        <f t="shared" si="2"/>
        <v>-65.277356137704274</v>
      </c>
      <c r="L69" s="50">
        <f>VLOOKUP($A69,'Data shares'!$C:$FB,118)</f>
        <v>0.79</v>
      </c>
      <c r="M69" s="50">
        <f>VLOOKUP($A69,'Data shares'!$C:$FB,119)</f>
        <v>0.49</v>
      </c>
      <c r="N69" s="50">
        <f>VLOOKUP($A69,'Data shares'!$C:$FB,121)*100</f>
        <v>61.22</v>
      </c>
      <c r="O69" s="50">
        <f>VLOOKUP($A69,'Data shares'!$C:$FB,124)</f>
        <v>0.83</v>
      </c>
      <c r="P69" s="50">
        <f>VLOOKUP($A69,'Data shares'!$C:$FB,125)</f>
        <v>0.89</v>
      </c>
      <c r="Q69" s="50">
        <f>VLOOKUP($A69,'Data shares'!$C:$FB,127)*100</f>
        <v>-6.74</v>
      </c>
    </row>
    <row r="70" spans="1:17" x14ac:dyDescent="0.25">
      <c r="A70" s="97" t="str">
        <f>'Data Vlaue (Cr)'!C65</f>
        <v>FORTIS</v>
      </c>
      <c r="B70" s="140">
        <f>VLOOKUP($A70,'Data shares'!$C:$FB,7)</f>
        <v>841.45</v>
      </c>
      <c r="C70" s="140">
        <f>VLOOKUP($A70,'Data shares'!$C:$FB,3)</f>
        <v>842.6</v>
      </c>
      <c r="D70" s="140">
        <f>VLOOKUP($A70,'Data shares'!$C:$FB,4)</f>
        <v>846.4</v>
      </c>
      <c r="E70" s="50">
        <f t="shared" si="0"/>
        <v>-0.4489603024574616</v>
      </c>
      <c r="F70" s="49">
        <f>VLOOKUP($A70,'Data shares'!$C:$FB,98)</f>
        <v>20094200</v>
      </c>
      <c r="G70" s="49">
        <f>VLOOKUP($A70,'Data shares'!$C:$FB,99)</f>
        <v>18150500</v>
      </c>
      <c r="H70" s="50">
        <f t="shared" si="1"/>
        <v>10.708795900939368</v>
      </c>
      <c r="I70" s="49">
        <f>VLOOKUP($A70,'Data shares'!$C:$FB,66)</f>
        <v>27660525</v>
      </c>
      <c r="J70" s="49">
        <f>VLOOKUP($A70,'Data shares'!$C:$FB,67)</f>
        <v>17632025</v>
      </c>
      <c r="K70" s="50">
        <f t="shared" si="2"/>
        <v>36.255638676417021</v>
      </c>
      <c r="L70" s="50">
        <f>VLOOKUP($A70,'Data shares'!$C:$FB,118)</f>
        <v>0.67</v>
      </c>
      <c r="M70" s="50">
        <f>VLOOKUP($A70,'Data shares'!$C:$FB,119)</f>
        <v>0.68</v>
      </c>
      <c r="N70" s="50">
        <f>VLOOKUP($A70,'Data shares'!$C:$FB,121)*100</f>
        <v>-1.47</v>
      </c>
      <c r="O70" s="50">
        <f>VLOOKUP($A70,'Data shares'!$C:$FB,124)</f>
        <v>1.27</v>
      </c>
      <c r="P70" s="50">
        <f>VLOOKUP($A70,'Data shares'!$C:$FB,125)</f>
        <v>0.79</v>
      </c>
      <c r="Q70" s="50">
        <f>VLOOKUP($A70,'Data shares'!$C:$FB,127)*100</f>
        <v>60.760000000000005</v>
      </c>
    </row>
    <row r="71" spans="1:17" x14ac:dyDescent="0.25">
      <c r="A71" s="97" t="str">
        <f>'Data Vlaue (Cr)'!C66</f>
        <v>GAIL</v>
      </c>
      <c r="B71" s="140">
        <f>VLOOKUP($A71,'Data shares'!$C:$FB,7)</f>
        <v>163.57</v>
      </c>
      <c r="C71" s="140">
        <f>VLOOKUP($A71,'Data shares'!$C:$FB,3)</f>
        <v>163.80000000000001</v>
      </c>
      <c r="D71" s="140">
        <f>VLOOKUP($A71,'Data shares'!$C:$FB,4)</f>
        <v>162.72</v>
      </c>
      <c r="E71" s="50">
        <f t="shared" si="0"/>
        <v>0.66371681415929973</v>
      </c>
      <c r="F71" s="49">
        <f>VLOOKUP($A71,'Data shares'!$C:$FB,98)</f>
        <v>169397550</v>
      </c>
      <c r="G71" s="49">
        <f>VLOOKUP($A71,'Data shares'!$C:$FB,99)</f>
        <v>174774600</v>
      </c>
      <c r="H71" s="50">
        <f t="shared" si="1"/>
        <v>-3.0765626126450867</v>
      </c>
      <c r="I71" s="49">
        <f>VLOOKUP($A71,'Data shares'!$C:$FB,66)</f>
        <v>102113550</v>
      </c>
      <c r="J71" s="49">
        <f>VLOOKUP($A71,'Data shares'!$C:$FB,67)</f>
        <v>135346050</v>
      </c>
      <c r="K71" s="50">
        <f t="shared" si="2"/>
        <v>-32.544652497146558</v>
      </c>
      <c r="L71" s="50">
        <f>VLOOKUP($A71,'Data shares'!$C:$FB,118)</f>
        <v>0.82</v>
      </c>
      <c r="M71" s="50">
        <f>VLOOKUP($A71,'Data shares'!$C:$FB,119)</f>
        <v>0.81</v>
      </c>
      <c r="N71" s="50">
        <f>VLOOKUP($A71,'Data shares'!$C:$FB,121)*100</f>
        <v>1.23</v>
      </c>
      <c r="O71" s="50">
        <f>VLOOKUP($A71,'Data shares'!$C:$FB,124)</f>
        <v>0.84</v>
      </c>
      <c r="P71" s="50">
        <f>VLOOKUP($A71,'Data shares'!$C:$FB,125)</f>
        <v>0.47</v>
      </c>
      <c r="Q71" s="50">
        <f>VLOOKUP($A71,'Data shares'!$C:$FB,127)*100</f>
        <v>78.72</v>
      </c>
    </row>
    <row r="72" spans="1:17" x14ac:dyDescent="0.25">
      <c r="A72" s="97" t="str">
        <f>'Data Vlaue (Cr)'!C67</f>
        <v>GLENMARK</v>
      </c>
      <c r="B72" s="140">
        <f>VLOOKUP($A72,'Data shares'!$C:$FB,7)</f>
        <v>1997.2</v>
      </c>
      <c r="C72" s="140">
        <f>VLOOKUP($A72,'Data shares'!$C:$FB,3)</f>
        <v>1994.9</v>
      </c>
      <c r="D72" s="140">
        <f>VLOOKUP($A72,'Data shares'!$C:$FB,4)</f>
        <v>1943</v>
      </c>
      <c r="E72" s="50">
        <f t="shared" ref="E72:E135" si="3">(C72-D72)/D72*100</f>
        <v>2.6711271230056659</v>
      </c>
      <c r="F72" s="49">
        <f>VLOOKUP($A72,'Data shares'!$C:$FB,98)</f>
        <v>16743000</v>
      </c>
      <c r="G72" s="49">
        <f>VLOOKUP($A72,'Data shares'!$C:$FB,99)</f>
        <v>17463375</v>
      </c>
      <c r="H72" s="50">
        <f t="shared" ref="H72:H135" si="4">(F72-G72)/G72*100</f>
        <v>-4.125061736348214</v>
      </c>
      <c r="I72" s="49">
        <f>VLOOKUP($A72,'Data shares'!$C:$FB,66)</f>
        <v>15132375</v>
      </c>
      <c r="J72" s="49">
        <f>VLOOKUP($A72,'Data shares'!$C:$FB,67)</f>
        <v>14340000</v>
      </c>
      <c r="K72" s="50">
        <f t="shared" ref="K72:K135" si="5">(I72-J72)/I72*100</f>
        <v>5.2362897430178679</v>
      </c>
      <c r="L72" s="50">
        <f>VLOOKUP($A72,'Data shares'!$C:$FB,118)</f>
        <v>0.55000000000000004</v>
      </c>
      <c r="M72" s="50">
        <f>VLOOKUP($A72,'Data shares'!$C:$FB,119)</f>
        <v>0.55000000000000004</v>
      </c>
      <c r="N72" s="50">
        <f>VLOOKUP($A72,'Data shares'!$C:$FB,121)*100</f>
        <v>0</v>
      </c>
      <c r="O72" s="50">
        <f>VLOOKUP($A72,'Data shares'!$C:$FB,124)</f>
        <v>0.43</v>
      </c>
      <c r="P72" s="50">
        <f>VLOOKUP($A72,'Data shares'!$C:$FB,125)</f>
        <v>0.55000000000000004</v>
      </c>
      <c r="Q72" s="50">
        <f>VLOOKUP($A72,'Data shares'!$C:$FB,127)*100</f>
        <v>-21.82</v>
      </c>
    </row>
    <row r="73" spans="1:17" x14ac:dyDescent="0.25">
      <c r="A73" s="97" t="str">
        <f>'Data Vlaue (Cr)'!C68</f>
        <v>GMRAIRPORT</v>
      </c>
      <c r="B73" s="140">
        <f>VLOOKUP($A73,'Data shares'!$C:$FB,7)</f>
        <v>95.1</v>
      </c>
      <c r="C73" s="140">
        <f>VLOOKUP($A73,'Data shares'!$C:$FB,3)</f>
        <v>95.17</v>
      </c>
      <c r="D73" s="140">
        <f>VLOOKUP($A73,'Data shares'!$C:$FB,4)</f>
        <v>93.77</v>
      </c>
      <c r="E73" s="50">
        <f t="shared" si="3"/>
        <v>1.493014823504325</v>
      </c>
      <c r="F73" s="49">
        <f>VLOOKUP($A73,'Data shares'!$C:$FB,98)</f>
        <v>360851625</v>
      </c>
      <c r="G73" s="49">
        <f>VLOOKUP($A73,'Data shares'!$C:$FB,99)</f>
        <v>366096825</v>
      </c>
      <c r="H73" s="50">
        <f t="shared" si="4"/>
        <v>-1.4327357250366757</v>
      </c>
      <c r="I73" s="49">
        <f>VLOOKUP($A73,'Data shares'!$C:$FB,66)</f>
        <v>198606150</v>
      </c>
      <c r="J73" s="49">
        <f>VLOOKUP($A73,'Data shares'!$C:$FB,67)</f>
        <v>277298100</v>
      </c>
      <c r="K73" s="50">
        <f t="shared" si="5"/>
        <v>-39.622111399873567</v>
      </c>
      <c r="L73" s="50">
        <f>VLOOKUP($A73,'Data shares'!$C:$FB,118)</f>
        <v>0.53</v>
      </c>
      <c r="M73" s="50">
        <f>VLOOKUP($A73,'Data shares'!$C:$FB,119)</f>
        <v>0.48</v>
      </c>
      <c r="N73" s="50">
        <f>VLOOKUP($A73,'Data shares'!$C:$FB,121)*100</f>
        <v>10.42</v>
      </c>
      <c r="O73" s="50">
        <f>VLOOKUP($A73,'Data shares'!$C:$FB,124)</f>
        <v>0.47</v>
      </c>
      <c r="P73" s="50">
        <f>VLOOKUP($A73,'Data shares'!$C:$FB,125)</f>
        <v>0.54</v>
      </c>
      <c r="Q73" s="50">
        <f>VLOOKUP($A73,'Data shares'!$C:$FB,127)*100</f>
        <v>-12.959999999999999</v>
      </c>
    </row>
    <row r="74" spans="1:17" x14ac:dyDescent="0.25">
      <c r="A74" s="97" t="str">
        <f>'Data Vlaue (Cr)'!C69</f>
        <v>GODREJCP</v>
      </c>
      <c r="B74" s="140">
        <f>VLOOKUP($A74,'Data shares'!$C:$FB,7)</f>
        <v>1246</v>
      </c>
      <c r="C74" s="140">
        <f>VLOOKUP($A74,'Data shares'!$C:$FB,3)</f>
        <v>1249</v>
      </c>
      <c r="D74" s="140">
        <f>VLOOKUP($A74,'Data shares'!$C:$FB,4)</f>
        <v>1223.5</v>
      </c>
      <c r="E74" s="50">
        <f t="shared" si="3"/>
        <v>2.0841847159787497</v>
      </c>
      <c r="F74" s="49">
        <f>VLOOKUP($A74,'Data shares'!$C:$FB,98)</f>
        <v>11969500</v>
      </c>
      <c r="G74" s="49">
        <f>VLOOKUP($A74,'Data shares'!$C:$FB,99)</f>
        <v>12304500</v>
      </c>
      <c r="H74" s="50">
        <f t="shared" si="4"/>
        <v>-2.7225811694908364</v>
      </c>
      <c r="I74" s="49">
        <f>VLOOKUP($A74,'Data shares'!$C:$FB,66)</f>
        <v>13971000</v>
      </c>
      <c r="J74" s="49">
        <f>VLOOKUP($A74,'Data shares'!$C:$FB,67)</f>
        <v>10059500</v>
      </c>
      <c r="K74" s="50">
        <f t="shared" si="5"/>
        <v>27.99728008016606</v>
      </c>
      <c r="L74" s="50">
        <f>VLOOKUP($A74,'Data shares'!$C:$FB,118)</f>
        <v>0.68</v>
      </c>
      <c r="M74" s="50">
        <f>VLOOKUP($A74,'Data shares'!$C:$FB,119)</f>
        <v>0.63</v>
      </c>
      <c r="N74" s="50">
        <f>VLOOKUP($A74,'Data shares'!$C:$FB,121)*100</f>
        <v>7.9399999999999995</v>
      </c>
      <c r="O74" s="50">
        <f>VLOOKUP($A74,'Data shares'!$C:$FB,124)</f>
        <v>0.55000000000000004</v>
      </c>
      <c r="P74" s="50">
        <f>VLOOKUP($A74,'Data shares'!$C:$FB,125)</f>
        <v>0.72</v>
      </c>
      <c r="Q74" s="50">
        <f>VLOOKUP($A74,'Data shares'!$C:$FB,127)*100</f>
        <v>-23.61</v>
      </c>
    </row>
    <row r="75" spans="1:17" x14ac:dyDescent="0.25">
      <c r="A75" s="97" t="str">
        <f>'Data Vlaue (Cr)'!C70</f>
        <v>GODREJPROP</v>
      </c>
      <c r="B75" s="140">
        <f>VLOOKUP($A75,'Data shares'!$C:$FB,7)</f>
        <v>1620.4</v>
      </c>
      <c r="C75" s="140">
        <f>VLOOKUP($A75,'Data shares'!$C:$FB,3)</f>
        <v>1623.5</v>
      </c>
      <c r="D75" s="140">
        <f>VLOOKUP($A75,'Data shares'!$C:$FB,4)</f>
        <v>1648.5</v>
      </c>
      <c r="E75" s="50">
        <f t="shared" si="3"/>
        <v>-1.5165301789505612</v>
      </c>
      <c r="F75" s="49">
        <f>VLOOKUP($A75,'Data shares'!$C:$FB,98)</f>
        <v>23287275</v>
      </c>
      <c r="G75" s="49">
        <f>VLOOKUP($A75,'Data shares'!$C:$FB,99)</f>
        <v>22830775</v>
      </c>
      <c r="H75" s="50">
        <f t="shared" si="4"/>
        <v>1.9994941039014225</v>
      </c>
      <c r="I75" s="49">
        <f>VLOOKUP($A75,'Data shares'!$C:$FB,66)</f>
        <v>23592800</v>
      </c>
      <c r="J75" s="49">
        <f>VLOOKUP($A75,'Data shares'!$C:$FB,67)</f>
        <v>32249525</v>
      </c>
      <c r="K75" s="50">
        <f t="shared" si="5"/>
        <v>-36.69223237597911</v>
      </c>
      <c r="L75" s="50">
        <f>VLOOKUP($A75,'Data shares'!$C:$FB,118)</f>
        <v>0.6</v>
      </c>
      <c r="M75" s="50">
        <f>VLOOKUP($A75,'Data shares'!$C:$FB,119)</f>
        <v>0.59</v>
      </c>
      <c r="N75" s="50">
        <f>VLOOKUP($A75,'Data shares'!$C:$FB,121)*100</f>
        <v>1.69</v>
      </c>
      <c r="O75" s="50">
        <f>VLOOKUP($A75,'Data shares'!$C:$FB,124)</f>
        <v>0.62</v>
      </c>
      <c r="P75" s="50">
        <f>VLOOKUP($A75,'Data shares'!$C:$FB,125)</f>
        <v>0.64</v>
      </c>
      <c r="Q75" s="50">
        <f>VLOOKUP($A75,'Data shares'!$C:$FB,127)*100</f>
        <v>-3.1300000000000003</v>
      </c>
    </row>
    <row r="76" spans="1:17" x14ac:dyDescent="0.25">
      <c r="A76" s="97" t="str">
        <f>'Data Vlaue (Cr)'!C71</f>
        <v>GRASIM</v>
      </c>
      <c r="B76" s="140">
        <f>VLOOKUP($A76,'Data shares'!$C:$FB,7)</f>
        <v>2787.6</v>
      </c>
      <c r="C76" s="140">
        <f>VLOOKUP($A76,'Data shares'!$C:$FB,3)</f>
        <v>2793</v>
      </c>
      <c r="D76" s="140">
        <f>VLOOKUP($A76,'Data shares'!$C:$FB,4)</f>
        <v>2737.7</v>
      </c>
      <c r="E76" s="50">
        <f t="shared" si="3"/>
        <v>2.0199437484019498</v>
      </c>
      <c r="F76" s="49">
        <f>VLOOKUP($A76,'Data shares'!$C:$FB,98)</f>
        <v>19878500</v>
      </c>
      <c r="G76" s="49">
        <f>VLOOKUP($A76,'Data shares'!$C:$FB,99)</f>
        <v>20167500</v>
      </c>
      <c r="H76" s="50">
        <f t="shared" si="4"/>
        <v>-1.4329986364199825</v>
      </c>
      <c r="I76" s="49">
        <f>VLOOKUP($A76,'Data shares'!$C:$FB,66)</f>
        <v>15705250</v>
      </c>
      <c r="J76" s="49">
        <f>VLOOKUP($A76,'Data shares'!$C:$FB,67)</f>
        <v>11957750</v>
      </c>
      <c r="K76" s="50">
        <f t="shared" si="5"/>
        <v>23.861447605100206</v>
      </c>
      <c r="L76" s="50">
        <f>VLOOKUP($A76,'Data shares'!$C:$FB,118)</f>
        <v>1.01</v>
      </c>
      <c r="M76" s="50">
        <f>VLOOKUP($A76,'Data shares'!$C:$FB,119)</f>
        <v>0.97</v>
      </c>
      <c r="N76" s="50">
        <f>VLOOKUP($A76,'Data shares'!$C:$FB,121)*100</f>
        <v>4.12</v>
      </c>
      <c r="O76" s="50">
        <f>VLOOKUP($A76,'Data shares'!$C:$FB,124)</f>
        <v>0.73</v>
      </c>
      <c r="P76" s="50">
        <f>VLOOKUP($A76,'Data shares'!$C:$FB,125)</f>
        <v>0.61</v>
      </c>
      <c r="Q76" s="50">
        <f>VLOOKUP($A76,'Data shares'!$C:$FB,127)*100</f>
        <v>19.670000000000002</v>
      </c>
    </row>
    <row r="77" spans="1:17" x14ac:dyDescent="0.25">
      <c r="A77" s="97" t="str">
        <f>'Data Vlaue (Cr)'!C72</f>
        <v>HAL</v>
      </c>
      <c r="B77" s="140">
        <f>VLOOKUP($A77,'Data shares'!$C:$FB,7)</f>
        <v>4353.2</v>
      </c>
      <c r="C77" s="140">
        <f>VLOOKUP($A77,'Data shares'!$C:$FB,3)</f>
        <v>4350.1000000000004</v>
      </c>
      <c r="D77" s="140">
        <f>VLOOKUP($A77,'Data shares'!$C:$FB,4)</f>
        <v>4256.3999999999996</v>
      </c>
      <c r="E77" s="50">
        <f t="shared" si="3"/>
        <v>2.2013908467249492</v>
      </c>
      <c r="F77" s="49">
        <f>VLOOKUP($A77,'Data shares'!$C:$FB,98)</f>
        <v>18452100</v>
      </c>
      <c r="G77" s="49">
        <f>VLOOKUP($A77,'Data shares'!$C:$FB,99)</f>
        <v>19197000</v>
      </c>
      <c r="H77" s="50">
        <f t="shared" si="4"/>
        <v>-3.8802937959056103</v>
      </c>
      <c r="I77" s="49">
        <f>VLOOKUP($A77,'Data shares'!$C:$FB,66)</f>
        <v>20090550</v>
      </c>
      <c r="J77" s="49">
        <f>VLOOKUP($A77,'Data shares'!$C:$FB,67)</f>
        <v>22248900</v>
      </c>
      <c r="K77" s="50">
        <f t="shared" si="5"/>
        <v>-10.743110566908323</v>
      </c>
      <c r="L77" s="50">
        <f>VLOOKUP($A77,'Data shares'!$C:$FB,118)</f>
        <v>0.59</v>
      </c>
      <c r="M77" s="50">
        <f>VLOOKUP($A77,'Data shares'!$C:$FB,119)</f>
        <v>0.53</v>
      </c>
      <c r="N77" s="50">
        <f>VLOOKUP($A77,'Data shares'!$C:$FB,121)*100</f>
        <v>11.32</v>
      </c>
      <c r="O77" s="50">
        <f>VLOOKUP($A77,'Data shares'!$C:$FB,124)</f>
        <v>0.42</v>
      </c>
      <c r="P77" s="50">
        <f>VLOOKUP($A77,'Data shares'!$C:$FB,125)</f>
        <v>0.6</v>
      </c>
      <c r="Q77" s="50">
        <f>VLOOKUP($A77,'Data shares'!$C:$FB,127)*100</f>
        <v>-30</v>
      </c>
    </row>
    <row r="78" spans="1:17" x14ac:dyDescent="0.25">
      <c r="A78" s="97" t="str">
        <f>'Data Vlaue (Cr)'!C73</f>
        <v>HAVELLS</v>
      </c>
      <c r="B78" s="140">
        <f>VLOOKUP($A78,'Data shares'!$C:$FB,7)</f>
        <v>1311.8</v>
      </c>
      <c r="C78" s="140">
        <f>VLOOKUP($A78,'Data shares'!$C:$FB,3)</f>
        <v>1308.5</v>
      </c>
      <c r="D78" s="140">
        <f>VLOOKUP($A78,'Data shares'!$C:$FB,4)</f>
        <v>1315.6</v>
      </c>
      <c r="E78" s="50">
        <f t="shared" si="3"/>
        <v>-0.53967771359075012</v>
      </c>
      <c r="F78" s="49">
        <f>VLOOKUP($A78,'Data shares'!$C:$FB,98)</f>
        <v>23037000</v>
      </c>
      <c r="G78" s="49">
        <f>VLOOKUP($A78,'Data shares'!$C:$FB,99)</f>
        <v>24149500</v>
      </c>
      <c r="H78" s="50">
        <f t="shared" si="4"/>
        <v>-4.6067206360380135</v>
      </c>
      <c r="I78" s="49">
        <f>VLOOKUP($A78,'Data shares'!$C:$FB,66)</f>
        <v>22991500</v>
      </c>
      <c r="J78" s="49">
        <f>VLOOKUP($A78,'Data shares'!$C:$FB,67)</f>
        <v>58449500</v>
      </c>
      <c r="K78" s="50">
        <f t="shared" si="5"/>
        <v>-154.22221255681447</v>
      </c>
      <c r="L78" s="50">
        <f>VLOOKUP($A78,'Data shares'!$C:$FB,118)</f>
        <v>0.61</v>
      </c>
      <c r="M78" s="50">
        <f>VLOOKUP($A78,'Data shares'!$C:$FB,119)</f>
        <v>0.57999999999999996</v>
      </c>
      <c r="N78" s="50">
        <f>VLOOKUP($A78,'Data shares'!$C:$FB,121)*100</f>
        <v>5.17</v>
      </c>
      <c r="O78" s="50">
        <f>VLOOKUP($A78,'Data shares'!$C:$FB,124)</f>
        <v>0.44</v>
      </c>
      <c r="P78" s="50">
        <f>VLOOKUP($A78,'Data shares'!$C:$FB,125)</f>
        <v>0.89</v>
      </c>
      <c r="Q78" s="50">
        <f>VLOOKUP($A78,'Data shares'!$C:$FB,127)*100</f>
        <v>-50.56</v>
      </c>
    </row>
    <row r="79" spans="1:17" x14ac:dyDescent="0.25">
      <c r="A79" s="97" t="str">
        <f>'Data Vlaue (Cr)'!C74</f>
        <v>HCLTECH</v>
      </c>
      <c r="B79" s="140">
        <f>VLOOKUP($A79,'Data shares'!$C:$FB,7)</f>
        <v>1703.1</v>
      </c>
      <c r="C79" s="140">
        <f>VLOOKUP($A79,'Data shares'!$C:$FB,3)</f>
        <v>1702.6</v>
      </c>
      <c r="D79" s="140">
        <f>VLOOKUP($A79,'Data shares'!$C:$FB,4)</f>
        <v>1683.5</v>
      </c>
      <c r="E79" s="50">
        <f t="shared" si="3"/>
        <v>1.1345411345411291</v>
      </c>
      <c r="F79" s="49">
        <f>VLOOKUP($A79,'Data shares'!$C:$FB,98)</f>
        <v>30254700</v>
      </c>
      <c r="G79" s="49">
        <f>VLOOKUP($A79,'Data shares'!$C:$FB,99)</f>
        <v>30284450</v>
      </c>
      <c r="H79" s="50">
        <f t="shared" si="4"/>
        <v>-9.8235232933072902E-2</v>
      </c>
      <c r="I79" s="49">
        <f>VLOOKUP($A79,'Data shares'!$C:$FB,66)</f>
        <v>31633700</v>
      </c>
      <c r="J79" s="49">
        <f>VLOOKUP($A79,'Data shares'!$C:$FB,67)</f>
        <v>32516400</v>
      </c>
      <c r="K79" s="50">
        <f t="shared" si="5"/>
        <v>-2.7903786152109933</v>
      </c>
      <c r="L79" s="50">
        <f>VLOOKUP($A79,'Data shares'!$C:$FB,118)</f>
        <v>0.59</v>
      </c>
      <c r="M79" s="50">
        <f>VLOOKUP($A79,'Data shares'!$C:$FB,119)</f>
        <v>0.56999999999999995</v>
      </c>
      <c r="N79" s="50">
        <f>VLOOKUP($A79,'Data shares'!$C:$FB,121)*100</f>
        <v>3.51</v>
      </c>
      <c r="O79" s="50">
        <f>VLOOKUP($A79,'Data shares'!$C:$FB,124)</f>
        <v>0.61</v>
      </c>
      <c r="P79" s="50">
        <f>VLOOKUP($A79,'Data shares'!$C:$FB,125)</f>
        <v>0.73</v>
      </c>
      <c r="Q79" s="50">
        <f>VLOOKUP($A79,'Data shares'!$C:$FB,127)*100</f>
        <v>-16.439999999999998</v>
      </c>
    </row>
    <row r="80" spans="1:17" x14ac:dyDescent="0.25">
      <c r="A80" s="97" t="str">
        <f>'Data Vlaue (Cr)'!C75</f>
        <v>HDFCAMC</v>
      </c>
      <c r="B80" s="140">
        <f>VLOOKUP($A80,'Data shares'!$C:$FB,7)</f>
        <v>2498.9</v>
      </c>
      <c r="C80" s="140">
        <f>VLOOKUP($A80,'Data shares'!$C:$FB,3)</f>
        <v>2497.4</v>
      </c>
      <c r="D80" s="140">
        <f>VLOOKUP($A80,'Data shares'!$C:$FB,4)</f>
        <v>2473.6999999999998</v>
      </c>
      <c r="E80" s="50">
        <f t="shared" si="3"/>
        <v>0.95807899098517502</v>
      </c>
      <c r="F80" s="49">
        <f>VLOOKUP($A80,'Data shares'!$C:$FB,98)</f>
        <v>12630000</v>
      </c>
      <c r="G80" s="49">
        <f>VLOOKUP($A80,'Data shares'!$C:$FB,99)</f>
        <v>13228500</v>
      </c>
      <c r="H80" s="50">
        <f t="shared" si="4"/>
        <v>-4.5243224855425783</v>
      </c>
      <c r="I80" s="49">
        <f>VLOOKUP($A80,'Data shares'!$C:$FB,66)</f>
        <v>10828800</v>
      </c>
      <c r="J80" s="49">
        <f>VLOOKUP($A80,'Data shares'!$C:$FB,67)</f>
        <v>15857400</v>
      </c>
      <c r="K80" s="50">
        <f t="shared" si="5"/>
        <v>-46.437278368794324</v>
      </c>
      <c r="L80" s="50">
        <f>VLOOKUP($A80,'Data shares'!$C:$FB,118)</f>
        <v>0.47</v>
      </c>
      <c r="M80" s="50">
        <f>VLOOKUP($A80,'Data shares'!$C:$FB,119)</f>
        <v>0.45</v>
      </c>
      <c r="N80" s="50">
        <f>VLOOKUP($A80,'Data shares'!$C:$FB,121)*100</f>
        <v>4.4400000000000004</v>
      </c>
      <c r="O80" s="50">
        <f>VLOOKUP($A80,'Data shares'!$C:$FB,124)</f>
        <v>0.38</v>
      </c>
      <c r="P80" s="50">
        <f>VLOOKUP($A80,'Data shares'!$C:$FB,125)</f>
        <v>0.52</v>
      </c>
      <c r="Q80" s="50">
        <f>VLOOKUP($A80,'Data shares'!$C:$FB,127)*100</f>
        <v>-26.919999999999998</v>
      </c>
    </row>
    <row r="81" spans="1:17" x14ac:dyDescent="0.25">
      <c r="A81" s="97" t="str">
        <f>'Data Vlaue (Cr)'!C76</f>
        <v>HDFCBANK</v>
      </c>
      <c r="B81" s="140">
        <f>VLOOKUP($A81,'Data shares'!$C:$FB,7)</f>
        <v>918.7</v>
      </c>
      <c r="C81" s="140">
        <f>VLOOKUP($A81,'Data shares'!$C:$FB,3)</f>
        <v>921.55</v>
      </c>
      <c r="D81" s="140">
        <f>VLOOKUP($A81,'Data shares'!$C:$FB,4)</f>
        <v>922.45</v>
      </c>
      <c r="E81" s="50">
        <f t="shared" si="3"/>
        <v>-9.7566263754142873E-2</v>
      </c>
      <c r="F81" s="49">
        <f>VLOOKUP($A81,'Data shares'!$C:$FB,98)</f>
        <v>408159400</v>
      </c>
      <c r="G81" s="49">
        <f>VLOOKUP($A81,'Data shares'!$C:$FB,99)</f>
        <v>399782350</v>
      </c>
      <c r="H81" s="50">
        <f t="shared" si="4"/>
        <v>2.0954026609729017</v>
      </c>
      <c r="I81" s="49">
        <f>VLOOKUP($A81,'Data shares'!$C:$FB,66)</f>
        <v>377121800</v>
      </c>
      <c r="J81" s="49">
        <f>VLOOKUP($A81,'Data shares'!$C:$FB,67)</f>
        <v>424313450</v>
      </c>
      <c r="K81" s="50">
        <f t="shared" si="5"/>
        <v>-12.51363617801994</v>
      </c>
      <c r="L81" s="50">
        <f>VLOOKUP($A81,'Data shares'!$C:$FB,118)</f>
        <v>0.49</v>
      </c>
      <c r="M81" s="50">
        <f>VLOOKUP($A81,'Data shares'!$C:$FB,119)</f>
        <v>0.48</v>
      </c>
      <c r="N81" s="50">
        <f>VLOOKUP($A81,'Data shares'!$C:$FB,121)*100</f>
        <v>2.08</v>
      </c>
      <c r="O81" s="50">
        <f>VLOOKUP($A81,'Data shares'!$C:$FB,124)</f>
        <v>0.61</v>
      </c>
      <c r="P81" s="50">
        <f>VLOOKUP($A81,'Data shares'!$C:$FB,125)</f>
        <v>0.78</v>
      </c>
      <c r="Q81" s="50">
        <f>VLOOKUP($A81,'Data shares'!$C:$FB,127)*100</f>
        <v>-21.790000000000003</v>
      </c>
    </row>
    <row r="82" spans="1:17" x14ac:dyDescent="0.25">
      <c r="A82" s="97" t="str">
        <f>'Data Vlaue (Cr)'!C77</f>
        <v>HDFCLIFE</v>
      </c>
      <c r="B82" s="140">
        <f>VLOOKUP($A82,'Data shares'!$C:$FB,7)</f>
        <v>725.1</v>
      </c>
      <c r="C82" s="140">
        <f>VLOOKUP($A82,'Data shares'!$C:$FB,3)</f>
        <v>725.4</v>
      </c>
      <c r="D82" s="140">
        <f>VLOOKUP($A82,'Data shares'!$C:$FB,4)</f>
        <v>725.6</v>
      </c>
      <c r="E82" s="50">
        <f t="shared" si="3"/>
        <v>-2.7563395810370105E-2</v>
      </c>
      <c r="F82" s="49">
        <f>VLOOKUP($A82,'Data shares'!$C:$FB,98)</f>
        <v>61250200</v>
      </c>
      <c r="G82" s="49">
        <f>VLOOKUP($A82,'Data shares'!$C:$FB,99)</f>
        <v>61154500</v>
      </c>
      <c r="H82" s="50">
        <f t="shared" si="4"/>
        <v>0.15648889288605092</v>
      </c>
      <c r="I82" s="49">
        <f>VLOOKUP($A82,'Data shares'!$C:$FB,66)</f>
        <v>51954100</v>
      </c>
      <c r="J82" s="49">
        <f>VLOOKUP($A82,'Data shares'!$C:$FB,67)</f>
        <v>60341600</v>
      </c>
      <c r="K82" s="50">
        <f t="shared" si="5"/>
        <v>-16.144057928055727</v>
      </c>
      <c r="L82" s="50">
        <f>VLOOKUP($A82,'Data shares'!$C:$FB,118)</f>
        <v>0.45</v>
      </c>
      <c r="M82" s="50">
        <f>VLOOKUP($A82,'Data shares'!$C:$FB,119)</f>
        <v>0.47</v>
      </c>
      <c r="N82" s="50">
        <f>VLOOKUP($A82,'Data shares'!$C:$FB,121)*100</f>
        <v>-4.26</v>
      </c>
      <c r="O82" s="50">
        <f>VLOOKUP($A82,'Data shares'!$C:$FB,124)</f>
        <v>0.67</v>
      </c>
      <c r="P82" s="50">
        <f>VLOOKUP($A82,'Data shares'!$C:$FB,125)</f>
        <v>0.57999999999999996</v>
      </c>
      <c r="Q82" s="50">
        <f>VLOOKUP($A82,'Data shares'!$C:$FB,127)*100</f>
        <v>15.52</v>
      </c>
    </row>
    <row r="83" spans="1:17" x14ac:dyDescent="0.25">
      <c r="A83" s="97" t="str">
        <f>'Data Vlaue (Cr)'!C78</f>
        <v>HEROMOTOCO</v>
      </c>
      <c r="B83" s="140">
        <f>VLOOKUP($A83,'Data shares'!$C:$FB,7)</f>
        <v>5488.5</v>
      </c>
      <c r="C83" s="140">
        <f>VLOOKUP($A83,'Data shares'!$C:$FB,3)</f>
        <v>5485</v>
      </c>
      <c r="D83" s="140">
        <f>VLOOKUP($A83,'Data shares'!$C:$FB,4)</f>
        <v>5537</v>
      </c>
      <c r="E83" s="50">
        <f t="shared" si="3"/>
        <v>-0.93913671663355613</v>
      </c>
      <c r="F83" s="49">
        <f>VLOOKUP($A83,'Data shares'!$C:$FB,98)</f>
        <v>9807000</v>
      </c>
      <c r="G83" s="49">
        <f>VLOOKUP($A83,'Data shares'!$C:$FB,99)</f>
        <v>10189500</v>
      </c>
      <c r="H83" s="50">
        <f t="shared" si="4"/>
        <v>-3.7538642720447517</v>
      </c>
      <c r="I83" s="49">
        <f>VLOOKUP($A83,'Data shares'!$C:$FB,66)</f>
        <v>14574000</v>
      </c>
      <c r="J83" s="49">
        <f>VLOOKUP($A83,'Data shares'!$C:$FB,67)</f>
        <v>16973700</v>
      </c>
      <c r="K83" s="50">
        <f t="shared" si="5"/>
        <v>-16.465623713462328</v>
      </c>
      <c r="L83" s="50">
        <f>VLOOKUP($A83,'Data shares'!$C:$FB,118)</f>
        <v>0.48</v>
      </c>
      <c r="M83" s="50">
        <f>VLOOKUP($A83,'Data shares'!$C:$FB,119)</f>
        <v>0.46</v>
      </c>
      <c r="N83" s="50">
        <f>VLOOKUP($A83,'Data shares'!$C:$FB,121)*100</f>
        <v>4.3499999999999996</v>
      </c>
      <c r="O83" s="50">
        <f>VLOOKUP($A83,'Data shares'!$C:$FB,124)</f>
        <v>0.44</v>
      </c>
      <c r="P83" s="50">
        <f>VLOOKUP($A83,'Data shares'!$C:$FB,125)</f>
        <v>0.56000000000000005</v>
      </c>
      <c r="Q83" s="50">
        <f>VLOOKUP($A83,'Data shares'!$C:$FB,127)*100</f>
        <v>-21.43</v>
      </c>
    </row>
    <row r="84" spans="1:17" x14ac:dyDescent="0.25">
      <c r="A84" s="97" t="str">
        <f>'Data Vlaue (Cr)'!C79</f>
        <v>HINDALCO</v>
      </c>
      <c r="B84" s="140">
        <f>VLOOKUP($A84,'Data shares'!$C:$FB,7)</f>
        <v>944.45</v>
      </c>
      <c r="C84" s="140">
        <f>VLOOKUP($A84,'Data shares'!$C:$FB,3)</f>
        <v>941.15</v>
      </c>
      <c r="D84" s="140">
        <f>VLOOKUP($A84,'Data shares'!$C:$FB,4)</f>
        <v>937.6</v>
      </c>
      <c r="E84" s="50">
        <f t="shared" si="3"/>
        <v>0.37862627986347636</v>
      </c>
      <c r="F84" s="49">
        <f>VLOOKUP($A84,'Data shares'!$C:$FB,98)</f>
        <v>80038700</v>
      </c>
      <c r="G84" s="49">
        <f>VLOOKUP($A84,'Data shares'!$C:$FB,99)</f>
        <v>82918500</v>
      </c>
      <c r="H84" s="50">
        <f t="shared" si="4"/>
        <v>-3.4730488371111394</v>
      </c>
      <c r="I84" s="49">
        <f>VLOOKUP($A84,'Data shares'!$C:$FB,66)</f>
        <v>94411800</v>
      </c>
      <c r="J84" s="49">
        <f>VLOOKUP($A84,'Data shares'!$C:$FB,67)</f>
        <v>89558700</v>
      </c>
      <c r="K84" s="50">
        <f t="shared" si="5"/>
        <v>5.140353218559544</v>
      </c>
      <c r="L84" s="50">
        <f>VLOOKUP($A84,'Data shares'!$C:$FB,118)</f>
        <v>0.76</v>
      </c>
      <c r="M84" s="50">
        <f>VLOOKUP($A84,'Data shares'!$C:$FB,119)</f>
        <v>0.71</v>
      </c>
      <c r="N84" s="50">
        <f>VLOOKUP($A84,'Data shares'!$C:$FB,121)*100</f>
        <v>7.04</v>
      </c>
      <c r="O84" s="50">
        <f>VLOOKUP($A84,'Data shares'!$C:$FB,124)</f>
        <v>0.64</v>
      </c>
      <c r="P84" s="50">
        <f>VLOOKUP($A84,'Data shares'!$C:$FB,125)</f>
        <v>0.54</v>
      </c>
      <c r="Q84" s="50">
        <f>VLOOKUP($A84,'Data shares'!$C:$FB,127)*100</f>
        <v>18.52</v>
      </c>
    </row>
    <row r="85" spans="1:17" x14ac:dyDescent="0.25">
      <c r="A85" s="97" t="str">
        <f>'Data Vlaue (Cr)'!C80</f>
        <v>HINDPETRO</v>
      </c>
      <c r="B85" s="140">
        <f>VLOOKUP($A85,'Data shares'!$C:$FB,7)</f>
        <v>427.7</v>
      </c>
      <c r="C85" s="140">
        <f>VLOOKUP($A85,'Data shares'!$C:$FB,3)</f>
        <v>427.5</v>
      </c>
      <c r="D85" s="140">
        <f>VLOOKUP($A85,'Data shares'!$C:$FB,4)</f>
        <v>430.25</v>
      </c>
      <c r="E85" s="50">
        <f t="shared" si="3"/>
        <v>-0.63916327716443933</v>
      </c>
      <c r="F85" s="49">
        <f>VLOOKUP($A85,'Data shares'!$C:$FB,98)</f>
        <v>74135250</v>
      </c>
      <c r="G85" s="49">
        <f>VLOOKUP($A85,'Data shares'!$C:$FB,99)</f>
        <v>76666500</v>
      </c>
      <c r="H85" s="50">
        <f t="shared" si="4"/>
        <v>-3.301637612255679</v>
      </c>
      <c r="I85" s="49">
        <f>VLOOKUP($A85,'Data shares'!$C:$FB,66)</f>
        <v>97977600</v>
      </c>
      <c r="J85" s="49">
        <f>VLOOKUP($A85,'Data shares'!$C:$FB,67)</f>
        <v>94132125</v>
      </c>
      <c r="K85" s="50">
        <f t="shared" si="5"/>
        <v>3.9248511904761902</v>
      </c>
      <c r="L85" s="50">
        <f>VLOOKUP($A85,'Data shares'!$C:$FB,118)</f>
        <v>0.52</v>
      </c>
      <c r="M85" s="50">
        <f>VLOOKUP($A85,'Data shares'!$C:$FB,119)</f>
        <v>0.53</v>
      </c>
      <c r="N85" s="50">
        <f>VLOOKUP($A85,'Data shares'!$C:$FB,121)*100</f>
        <v>-1.8900000000000001</v>
      </c>
      <c r="O85" s="50">
        <f>VLOOKUP($A85,'Data shares'!$C:$FB,124)</f>
        <v>0.63</v>
      </c>
      <c r="P85" s="50">
        <f>VLOOKUP($A85,'Data shares'!$C:$FB,125)</f>
        <v>0.63</v>
      </c>
      <c r="Q85" s="50">
        <f>VLOOKUP($A85,'Data shares'!$C:$FB,127)*100</f>
        <v>0</v>
      </c>
    </row>
    <row r="86" spans="1:17" x14ac:dyDescent="0.25">
      <c r="A86" s="97" t="str">
        <f>'Data Vlaue (Cr)'!C81</f>
        <v>HINDUNILVR</v>
      </c>
      <c r="B86" s="140">
        <f>VLOOKUP($A86,'Data shares'!$C:$FB,7)</f>
        <v>2390.6</v>
      </c>
      <c r="C86" s="140">
        <f>VLOOKUP($A86,'Data shares'!$C:$FB,3)</f>
        <v>2395.6</v>
      </c>
      <c r="D86" s="140">
        <f>VLOOKUP($A86,'Data shares'!$C:$FB,4)</f>
        <v>2368.4</v>
      </c>
      <c r="E86" s="50">
        <f t="shared" si="3"/>
        <v>1.1484546529302406</v>
      </c>
      <c r="F86" s="49">
        <f>VLOOKUP($A86,'Data shares'!$C:$FB,98)</f>
        <v>24432300</v>
      </c>
      <c r="G86" s="49">
        <f>VLOOKUP($A86,'Data shares'!$C:$FB,99)</f>
        <v>25269600</v>
      </c>
      <c r="H86" s="50">
        <f t="shared" si="4"/>
        <v>-3.3134675657707287</v>
      </c>
      <c r="I86" s="49">
        <f>VLOOKUP($A86,'Data shares'!$C:$FB,66)</f>
        <v>34986900</v>
      </c>
      <c r="J86" s="49">
        <f>VLOOKUP($A86,'Data shares'!$C:$FB,67)</f>
        <v>34698000</v>
      </c>
      <c r="K86" s="50">
        <f t="shared" si="5"/>
        <v>0.82573763322843685</v>
      </c>
      <c r="L86" s="50">
        <f>VLOOKUP($A86,'Data shares'!$C:$FB,118)</f>
        <v>0.53</v>
      </c>
      <c r="M86" s="50">
        <f>VLOOKUP($A86,'Data shares'!$C:$FB,119)</f>
        <v>0.48</v>
      </c>
      <c r="N86" s="50">
        <f>VLOOKUP($A86,'Data shares'!$C:$FB,121)*100</f>
        <v>10.42</v>
      </c>
      <c r="O86" s="50">
        <f>VLOOKUP($A86,'Data shares'!$C:$FB,124)</f>
        <v>0.5</v>
      </c>
      <c r="P86" s="50">
        <f>VLOOKUP($A86,'Data shares'!$C:$FB,125)</f>
        <v>0.6</v>
      </c>
      <c r="Q86" s="50">
        <f>VLOOKUP($A86,'Data shares'!$C:$FB,127)*100</f>
        <v>-16.669999999999998</v>
      </c>
    </row>
    <row r="87" spans="1:17" x14ac:dyDescent="0.25">
      <c r="A87" s="97" t="str">
        <f>'Data Vlaue (Cr)'!C82</f>
        <v>HINDZINC</v>
      </c>
      <c r="B87" s="140">
        <f>VLOOKUP($A87,'Data shares'!$C:$FB,7)</f>
        <v>668.25</v>
      </c>
      <c r="C87" s="140">
        <f>VLOOKUP($A87,'Data shares'!$C:$FB,3)</f>
        <v>665.9</v>
      </c>
      <c r="D87" s="140">
        <f>VLOOKUP($A87,'Data shares'!$C:$FB,4)</f>
        <v>695.45</v>
      </c>
      <c r="E87" s="50">
        <f t="shared" si="3"/>
        <v>-4.2490473793946455</v>
      </c>
      <c r="F87" s="49">
        <f>VLOOKUP($A87,'Data shares'!$C:$FB,98)</f>
        <v>139414800</v>
      </c>
      <c r="G87" s="49">
        <f>VLOOKUP($A87,'Data shares'!$C:$FB,99)</f>
        <v>142052225</v>
      </c>
      <c r="H87" s="50">
        <f t="shared" si="4"/>
        <v>-1.8566587042195222</v>
      </c>
      <c r="I87" s="49">
        <f>VLOOKUP($A87,'Data shares'!$C:$FB,66)</f>
        <v>526218350</v>
      </c>
      <c r="J87" s="49">
        <f>VLOOKUP($A87,'Data shares'!$C:$FB,67)</f>
        <v>438515700</v>
      </c>
      <c r="K87" s="50">
        <f t="shared" si="5"/>
        <v>16.666589068967284</v>
      </c>
      <c r="L87" s="50">
        <f>VLOOKUP($A87,'Data shares'!$C:$FB,118)</f>
        <v>0.57999999999999996</v>
      </c>
      <c r="M87" s="50">
        <f>VLOOKUP($A87,'Data shares'!$C:$FB,119)</f>
        <v>0.59</v>
      </c>
      <c r="N87" s="50">
        <f>VLOOKUP($A87,'Data shares'!$C:$FB,121)*100</f>
        <v>-1.69</v>
      </c>
      <c r="O87" s="50">
        <f>VLOOKUP($A87,'Data shares'!$C:$FB,124)</f>
        <v>0.52</v>
      </c>
      <c r="P87" s="50">
        <f>VLOOKUP($A87,'Data shares'!$C:$FB,125)</f>
        <v>0.33</v>
      </c>
      <c r="Q87" s="50">
        <f>VLOOKUP($A87,'Data shares'!$C:$FB,127)*100</f>
        <v>57.58</v>
      </c>
    </row>
    <row r="88" spans="1:17" x14ac:dyDescent="0.25">
      <c r="A88" s="97" t="str">
        <f>'Data Vlaue (Cr)'!C83</f>
        <v>HUDCO</v>
      </c>
      <c r="B88" s="140">
        <f>VLOOKUP($A88,'Data shares'!$C:$FB,7)</f>
        <v>207.11</v>
      </c>
      <c r="C88" s="140">
        <f>VLOOKUP($A88,'Data shares'!$C:$FB,3)</f>
        <v>206.98</v>
      </c>
      <c r="D88" s="140">
        <f>VLOOKUP($A88,'Data shares'!$C:$FB,4)</f>
        <v>203.36</v>
      </c>
      <c r="E88" s="50">
        <f t="shared" si="3"/>
        <v>1.7800944138473525</v>
      </c>
      <c r="F88" s="140">
        <f>VLOOKUP($A88,'Data shares'!$C:$FB,98)</f>
        <v>85952850</v>
      </c>
      <c r="G88" s="140">
        <f>VLOOKUP($A88,'Data shares'!$C:$FB,99)</f>
        <v>87745500</v>
      </c>
      <c r="H88" s="50">
        <f t="shared" si="4"/>
        <v>-2.043010752688172</v>
      </c>
      <c r="I88" s="49">
        <f>VLOOKUP($A88,'Data shares'!$C:$FB,66)</f>
        <v>73776150</v>
      </c>
      <c r="J88" s="49">
        <f>VLOOKUP($A88,'Data shares'!$C:$FB,67)</f>
        <v>72840975</v>
      </c>
      <c r="K88" s="50">
        <f t="shared" si="5"/>
        <v>1.2675844429398933</v>
      </c>
      <c r="L88" s="50">
        <f>VLOOKUP($A88,'Data shares'!$C:$FB,118)</f>
        <v>0.6</v>
      </c>
      <c r="M88" s="50">
        <f>VLOOKUP($A88,'Data shares'!$C:$FB,119)</f>
        <v>0.57999999999999996</v>
      </c>
      <c r="N88" s="50">
        <f>VLOOKUP($A88,'Data shares'!$C:$FB,121)*100</f>
        <v>3.45</v>
      </c>
      <c r="O88" s="50">
        <f>VLOOKUP($A88,'Data shares'!$C:$FB,124)</f>
        <v>0.47</v>
      </c>
      <c r="P88" s="50">
        <f>VLOOKUP($A88,'Data shares'!$C:$FB,125)</f>
        <v>0.72</v>
      </c>
      <c r="Q88" s="50">
        <f>VLOOKUP($A88,'Data shares'!$C:$FB,127)*100</f>
        <v>-34.72</v>
      </c>
    </row>
    <row r="89" spans="1:17" x14ac:dyDescent="0.25">
      <c r="A89" s="97" t="str">
        <f>'Data Vlaue (Cr)'!C84</f>
        <v>ICICIBANK</v>
      </c>
      <c r="B89" s="140">
        <f>VLOOKUP($A89,'Data shares'!$C:$FB,7)</f>
        <v>1345.5</v>
      </c>
      <c r="C89" s="140">
        <f>VLOOKUP($A89,'Data shares'!$C:$FB,3)</f>
        <v>1348.6</v>
      </c>
      <c r="D89" s="140">
        <f>VLOOKUP($A89,'Data shares'!$C:$FB,4)</f>
        <v>1347.2</v>
      </c>
      <c r="E89" s="50">
        <f t="shared" si="3"/>
        <v>0.10391923990497799</v>
      </c>
      <c r="F89" s="49">
        <f>VLOOKUP($A89,'Data shares'!$C:$FB,98)</f>
        <v>209731200</v>
      </c>
      <c r="G89" s="49">
        <f>VLOOKUP($A89,'Data shares'!$C:$FB,99)</f>
        <v>211096900</v>
      </c>
      <c r="H89" s="50">
        <f t="shared" si="4"/>
        <v>-0.64695407654020498</v>
      </c>
      <c r="I89" s="49">
        <f>VLOOKUP($A89,'Data shares'!$C:$FB,66)</f>
        <v>203658000</v>
      </c>
      <c r="J89" s="49">
        <f>VLOOKUP($A89,'Data shares'!$C:$FB,67)</f>
        <v>307232800</v>
      </c>
      <c r="K89" s="50">
        <f t="shared" si="5"/>
        <v>-50.8572214202241</v>
      </c>
      <c r="L89" s="50">
        <f>VLOOKUP($A89,'Data shares'!$C:$FB,118)</f>
        <v>0.47</v>
      </c>
      <c r="M89" s="50">
        <f>VLOOKUP($A89,'Data shares'!$C:$FB,119)</f>
        <v>0.48</v>
      </c>
      <c r="N89" s="50">
        <f>VLOOKUP($A89,'Data shares'!$C:$FB,121)*100</f>
        <v>-2.08</v>
      </c>
      <c r="O89" s="50">
        <f>VLOOKUP($A89,'Data shares'!$C:$FB,124)</f>
        <v>0.77</v>
      </c>
      <c r="P89" s="50">
        <f>VLOOKUP($A89,'Data shares'!$C:$FB,125)</f>
        <v>0.76</v>
      </c>
      <c r="Q89" s="50">
        <f>VLOOKUP($A89,'Data shares'!$C:$FB,127)*100</f>
        <v>1.32</v>
      </c>
    </row>
    <row r="90" spans="1:17" x14ac:dyDescent="0.25">
      <c r="A90" s="97" t="str">
        <f>'Data Vlaue (Cr)'!C85</f>
        <v>ICICIGI</v>
      </c>
      <c r="B90" s="140">
        <f>VLOOKUP($A90,'Data shares'!$C:$FB,7)</f>
        <v>1824.7</v>
      </c>
      <c r="C90" s="140">
        <f>VLOOKUP($A90,'Data shares'!$C:$FB,3)</f>
        <v>1831.2</v>
      </c>
      <c r="D90" s="140">
        <f>VLOOKUP($A90,'Data shares'!$C:$FB,4)</f>
        <v>1840.7</v>
      </c>
      <c r="E90" s="50">
        <f t="shared" si="3"/>
        <v>-0.51610800239039489</v>
      </c>
      <c r="F90" s="49">
        <f>VLOOKUP($A90,'Data shares'!$C:$FB,98)</f>
        <v>8705450</v>
      </c>
      <c r="G90" s="49">
        <f>VLOOKUP($A90,'Data shares'!$C:$FB,99)</f>
        <v>9160450</v>
      </c>
      <c r="H90" s="50">
        <f t="shared" si="4"/>
        <v>-4.9670048960476834</v>
      </c>
      <c r="I90" s="49">
        <f>VLOOKUP($A90,'Data shares'!$C:$FB,66)</f>
        <v>6776900</v>
      </c>
      <c r="J90" s="49">
        <f>VLOOKUP($A90,'Data shares'!$C:$FB,67)</f>
        <v>7892950</v>
      </c>
      <c r="K90" s="50">
        <f t="shared" si="5"/>
        <v>-16.468444273930558</v>
      </c>
      <c r="L90" s="50">
        <f>VLOOKUP($A90,'Data shares'!$C:$FB,118)</f>
        <v>0.62</v>
      </c>
      <c r="M90" s="50">
        <f>VLOOKUP($A90,'Data shares'!$C:$FB,119)</f>
        <v>0.62</v>
      </c>
      <c r="N90" s="50">
        <f>VLOOKUP($A90,'Data shares'!$C:$FB,121)*100</f>
        <v>0</v>
      </c>
      <c r="O90" s="50">
        <f>VLOOKUP($A90,'Data shares'!$C:$FB,124)</f>
        <v>0.56999999999999995</v>
      </c>
      <c r="P90" s="50">
        <f>VLOOKUP($A90,'Data shares'!$C:$FB,125)</f>
        <v>0.56000000000000005</v>
      </c>
      <c r="Q90" s="50">
        <f>VLOOKUP($A90,'Data shares'!$C:$FB,127)*100</f>
        <v>1.79</v>
      </c>
    </row>
    <row r="91" spans="1:17" x14ac:dyDescent="0.25">
      <c r="A91" s="97" t="str">
        <f>'Data Vlaue (Cr)'!C86</f>
        <v>ICICIPRULI</v>
      </c>
      <c r="B91" s="140">
        <f>VLOOKUP($A91,'Data shares'!$C:$FB,7)</f>
        <v>653.15</v>
      </c>
      <c r="C91" s="140">
        <f>VLOOKUP($A91,'Data shares'!$C:$FB,3)</f>
        <v>653.95000000000005</v>
      </c>
      <c r="D91" s="140">
        <f>VLOOKUP($A91,'Data shares'!$C:$FB,4)</f>
        <v>648</v>
      </c>
      <c r="E91" s="50">
        <f t="shared" si="3"/>
        <v>0.91820987654321684</v>
      </c>
      <c r="F91" s="49">
        <f>VLOOKUP($A91,'Data shares'!$C:$FB,98)</f>
        <v>25228450</v>
      </c>
      <c r="G91" s="49">
        <f>VLOOKUP($A91,'Data shares'!$C:$FB,99)</f>
        <v>25821375</v>
      </c>
      <c r="H91" s="50">
        <f t="shared" si="4"/>
        <v>-2.2962564929249507</v>
      </c>
      <c r="I91" s="49">
        <f>VLOOKUP($A91,'Data shares'!$C:$FB,66)</f>
        <v>25265450</v>
      </c>
      <c r="J91" s="49">
        <f>VLOOKUP($A91,'Data shares'!$C:$FB,67)</f>
        <v>16445575</v>
      </c>
      <c r="K91" s="50">
        <f t="shared" si="5"/>
        <v>34.908837958556049</v>
      </c>
      <c r="L91" s="50">
        <f>VLOOKUP($A91,'Data shares'!$C:$FB,118)</f>
        <v>0.62</v>
      </c>
      <c r="M91" s="50">
        <f>VLOOKUP($A91,'Data shares'!$C:$FB,119)</f>
        <v>0.57999999999999996</v>
      </c>
      <c r="N91" s="50">
        <f>VLOOKUP($A91,'Data shares'!$C:$FB,121)*100</f>
        <v>6.9</v>
      </c>
      <c r="O91" s="50">
        <f>VLOOKUP($A91,'Data shares'!$C:$FB,124)</f>
        <v>0.52</v>
      </c>
      <c r="P91" s="50">
        <f>VLOOKUP($A91,'Data shares'!$C:$FB,125)</f>
        <v>0.56999999999999995</v>
      </c>
      <c r="Q91" s="50">
        <f>VLOOKUP($A91,'Data shares'!$C:$FB,127)*100</f>
        <v>-8.77</v>
      </c>
    </row>
    <row r="92" spans="1:17" x14ac:dyDescent="0.25">
      <c r="A92" s="97" t="str">
        <f>'Data Vlaue (Cr)'!C87</f>
        <v>IDEA</v>
      </c>
      <c r="B92" s="140">
        <f>VLOOKUP($A92,'Data shares'!$C:$FB,7)</f>
        <v>10.18</v>
      </c>
      <c r="C92" s="140">
        <f>VLOOKUP($A92,'Data shares'!$C:$FB,3)</f>
        <v>10.220000000000001</v>
      </c>
      <c r="D92" s="140">
        <f>VLOOKUP($A92,'Data shares'!$C:$FB,4)</f>
        <v>10.15</v>
      </c>
      <c r="E92" s="50">
        <f t="shared" si="3"/>
        <v>0.68965517241379581</v>
      </c>
      <c r="F92" s="49">
        <f>VLOOKUP($A92,'Data shares'!$C:$FB,98)</f>
        <v>11928534225</v>
      </c>
      <c r="G92" s="49">
        <f>VLOOKUP($A92,'Data shares'!$C:$FB,99)</f>
        <v>12003082650</v>
      </c>
      <c r="H92" s="50">
        <f t="shared" si="4"/>
        <v>-0.62107732799790394</v>
      </c>
      <c r="I92" s="49">
        <f>VLOOKUP($A92,'Data shares'!$C:$FB,66)</f>
        <v>4225459050</v>
      </c>
      <c r="J92" s="49">
        <f>VLOOKUP($A92,'Data shares'!$C:$FB,67)</f>
        <v>7266362925</v>
      </c>
      <c r="K92" s="50">
        <f t="shared" si="5"/>
        <v>-71.966237017490442</v>
      </c>
      <c r="L92" s="50">
        <f>VLOOKUP($A92,'Data shares'!$C:$FB,118)</f>
        <v>0.55000000000000004</v>
      </c>
      <c r="M92" s="50">
        <f>VLOOKUP($A92,'Data shares'!$C:$FB,119)</f>
        <v>0.53</v>
      </c>
      <c r="N92" s="50">
        <f>VLOOKUP($A92,'Data shares'!$C:$FB,121)*100</f>
        <v>3.7699999999999996</v>
      </c>
      <c r="O92" s="50">
        <f>VLOOKUP($A92,'Data shares'!$C:$FB,124)</f>
        <v>0.48</v>
      </c>
      <c r="P92" s="50">
        <f>VLOOKUP($A92,'Data shares'!$C:$FB,125)</f>
        <v>0.47</v>
      </c>
      <c r="Q92" s="50">
        <f>VLOOKUP($A92,'Data shares'!$C:$FB,127)*100</f>
        <v>2.13</v>
      </c>
    </row>
    <row r="93" spans="1:17" x14ac:dyDescent="0.25">
      <c r="A93" s="97" t="str">
        <f>'Data Vlaue (Cr)'!C88</f>
        <v>IDFCFIRSTB</v>
      </c>
      <c r="B93" s="140">
        <f>VLOOKUP($A93,'Data shares'!$C:$FB,7)</f>
        <v>84.2</v>
      </c>
      <c r="C93" s="140">
        <f>VLOOKUP($A93,'Data shares'!$C:$FB,3)</f>
        <v>84.14</v>
      </c>
      <c r="D93" s="140">
        <f>VLOOKUP($A93,'Data shares'!$C:$FB,4)</f>
        <v>81.44</v>
      </c>
      <c r="E93" s="50">
        <f t="shared" si="3"/>
        <v>3.3153241650294736</v>
      </c>
      <c r="F93" s="49">
        <f>VLOOKUP($A93,'Data shares'!$C:$FB,98)</f>
        <v>535696175</v>
      </c>
      <c r="G93" s="49">
        <f>VLOOKUP($A93,'Data shares'!$C:$FB,99)</f>
        <v>554533700</v>
      </c>
      <c r="H93" s="50">
        <f t="shared" si="4"/>
        <v>-3.397002743025356</v>
      </c>
      <c r="I93" s="49">
        <f>VLOOKUP($A93,'Data shares'!$C:$FB,66)</f>
        <v>472876600</v>
      </c>
      <c r="J93" s="49">
        <f>VLOOKUP($A93,'Data shares'!$C:$FB,67)</f>
        <v>463462475</v>
      </c>
      <c r="K93" s="50">
        <f t="shared" si="5"/>
        <v>1.9908206496155656</v>
      </c>
      <c r="L93" s="50">
        <f>VLOOKUP($A93,'Data shares'!$C:$FB,118)</f>
        <v>0.6</v>
      </c>
      <c r="M93" s="50">
        <f>VLOOKUP($A93,'Data shares'!$C:$FB,119)</f>
        <v>0.55000000000000004</v>
      </c>
      <c r="N93" s="50">
        <f>VLOOKUP($A93,'Data shares'!$C:$FB,121)*100</f>
        <v>9.09</v>
      </c>
      <c r="O93" s="50">
        <f>VLOOKUP($A93,'Data shares'!$C:$FB,124)</f>
        <v>0.43</v>
      </c>
      <c r="P93" s="50">
        <f>VLOOKUP($A93,'Data shares'!$C:$FB,125)</f>
        <v>0.64</v>
      </c>
      <c r="Q93" s="50">
        <f>VLOOKUP($A93,'Data shares'!$C:$FB,127)*100</f>
        <v>-32.81</v>
      </c>
    </row>
    <row r="94" spans="1:17" x14ac:dyDescent="0.25">
      <c r="A94" s="97" t="str">
        <f>'Data Vlaue (Cr)'!C89</f>
        <v>IEX</v>
      </c>
      <c r="B94" s="140">
        <f>VLOOKUP($A94,'Data shares'!$C:$FB,7)</f>
        <v>131.06</v>
      </c>
      <c r="C94" s="140">
        <f>VLOOKUP($A94,'Data shares'!$C:$FB,3)</f>
        <v>131.43</v>
      </c>
      <c r="D94" s="140">
        <f>VLOOKUP($A94,'Data shares'!$C:$FB,4)</f>
        <v>128.44999999999999</v>
      </c>
      <c r="E94" s="50">
        <f t="shared" si="3"/>
        <v>2.3199688594784105</v>
      </c>
      <c r="F94" s="49">
        <f>VLOOKUP($A94,'Data shares'!$C:$FB,98)</f>
        <v>260216250</v>
      </c>
      <c r="G94" s="49">
        <f>VLOOKUP($A94,'Data shares'!$C:$FB,99)</f>
        <v>278808750</v>
      </c>
      <c r="H94" s="50">
        <f t="shared" si="4"/>
        <v>-6.6685496778705833</v>
      </c>
      <c r="I94" s="49">
        <f>VLOOKUP($A94,'Data shares'!$C:$FB,66)</f>
        <v>182801250</v>
      </c>
      <c r="J94" s="49">
        <f>VLOOKUP($A94,'Data shares'!$C:$FB,67)</f>
        <v>227778750</v>
      </c>
      <c r="K94" s="50">
        <f t="shared" si="5"/>
        <v>-24.60459105175703</v>
      </c>
      <c r="L94" s="50">
        <f>VLOOKUP($A94,'Data shares'!$C:$FB,118)</f>
        <v>0.67</v>
      </c>
      <c r="M94" s="50">
        <f>VLOOKUP($A94,'Data shares'!$C:$FB,119)</f>
        <v>0.65</v>
      </c>
      <c r="N94" s="50">
        <f>VLOOKUP($A94,'Data shares'!$C:$FB,121)*100</f>
        <v>3.08</v>
      </c>
      <c r="O94" s="50">
        <f>VLOOKUP($A94,'Data shares'!$C:$FB,124)</f>
        <v>0.5</v>
      </c>
      <c r="P94" s="50">
        <f>VLOOKUP($A94,'Data shares'!$C:$FB,125)</f>
        <v>0.6</v>
      </c>
      <c r="Q94" s="50">
        <f>VLOOKUP($A94,'Data shares'!$C:$FB,127)*100</f>
        <v>-16.669999999999998</v>
      </c>
    </row>
    <row r="95" spans="1:17" x14ac:dyDescent="0.25">
      <c r="A95" s="97" t="str">
        <f>'Data Vlaue (Cr)'!C90</f>
        <v>IIFL</v>
      </c>
      <c r="B95" s="140">
        <f>VLOOKUP($A95,'Data shares'!$C:$FB,7)</f>
        <v>538.75</v>
      </c>
      <c r="C95" s="140">
        <f>VLOOKUP($A95,'Data shares'!$C:$FB,3)</f>
        <v>542.70000000000005</v>
      </c>
      <c r="D95" s="140">
        <f>VLOOKUP($A95,'Data shares'!$C:$FB,4)</f>
        <v>624.5</v>
      </c>
      <c r="E95" s="50">
        <f t="shared" si="3"/>
        <v>-13.098478783026412</v>
      </c>
      <c r="F95" s="49">
        <f>VLOOKUP($A95,'Data shares'!$C:$FB,98)</f>
        <v>33198000</v>
      </c>
      <c r="G95" s="49">
        <f>VLOOKUP($A95,'Data shares'!$C:$FB,99)</f>
        <v>22697400</v>
      </c>
      <c r="H95" s="50">
        <f t="shared" si="4"/>
        <v>46.263448676940975</v>
      </c>
      <c r="I95" s="49">
        <f>VLOOKUP($A95,'Data shares'!$C:$FB,66)</f>
        <v>232026300</v>
      </c>
      <c r="J95" s="49">
        <f>VLOOKUP($A95,'Data shares'!$C:$FB,67)</f>
        <v>40530600</v>
      </c>
      <c r="K95" s="50">
        <f t="shared" si="5"/>
        <v>82.531894013738963</v>
      </c>
      <c r="L95" s="50">
        <f>VLOOKUP($A95,'Data shares'!$C:$FB,118)</f>
        <v>0.56000000000000005</v>
      </c>
      <c r="M95" s="50">
        <f>VLOOKUP($A95,'Data shares'!$C:$FB,119)</f>
        <v>0.64</v>
      </c>
      <c r="N95" s="50">
        <f>VLOOKUP($A95,'Data shares'!$C:$FB,121)*100</f>
        <v>-12.5</v>
      </c>
      <c r="O95" s="50">
        <f>VLOOKUP($A95,'Data shares'!$C:$FB,124)</f>
        <v>1.06</v>
      </c>
      <c r="P95" s="50">
        <f>VLOOKUP($A95,'Data shares'!$C:$FB,125)</f>
        <v>0.67</v>
      </c>
      <c r="Q95" s="50">
        <f>VLOOKUP($A95,'Data shares'!$C:$FB,127)*100</f>
        <v>58.209999999999994</v>
      </c>
    </row>
    <row r="96" spans="1:17" x14ac:dyDescent="0.25">
      <c r="A96" s="97" t="str">
        <f>'Data Vlaue (Cr)'!C91</f>
        <v>INDHOTEL</v>
      </c>
      <c r="B96" s="140">
        <f>VLOOKUP($A96,'Data shares'!$C:$FB,7)</f>
        <v>656.55</v>
      </c>
      <c r="C96" s="140">
        <f>VLOOKUP($A96,'Data shares'!$C:$FB,3)</f>
        <v>657.6</v>
      </c>
      <c r="D96" s="140">
        <f>VLOOKUP($A96,'Data shares'!$C:$FB,4)</f>
        <v>655.29999999999995</v>
      </c>
      <c r="E96" s="50">
        <f t="shared" si="3"/>
        <v>0.35098428200825094</v>
      </c>
      <c r="F96" s="49">
        <f>VLOOKUP($A96,'Data shares'!$C:$FB,98)</f>
        <v>51615000</v>
      </c>
      <c r="G96" s="49">
        <f>VLOOKUP($A96,'Data shares'!$C:$FB,99)</f>
        <v>51632000</v>
      </c>
      <c r="H96" s="50">
        <f t="shared" si="4"/>
        <v>-3.2925317632475984E-2</v>
      </c>
      <c r="I96" s="49">
        <f>VLOOKUP($A96,'Data shares'!$C:$FB,66)</f>
        <v>46528000</v>
      </c>
      <c r="J96" s="49">
        <f>VLOOKUP($A96,'Data shares'!$C:$FB,67)</f>
        <v>49291000</v>
      </c>
      <c r="K96" s="50">
        <f t="shared" si="5"/>
        <v>-5.9383596973865203</v>
      </c>
      <c r="L96" s="50">
        <f>VLOOKUP($A96,'Data shares'!$C:$FB,118)</f>
        <v>0.67</v>
      </c>
      <c r="M96" s="50">
        <f>VLOOKUP($A96,'Data shares'!$C:$FB,119)</f>
        <v>0.61</v>
      </c>
      <c r="N96" s="50">
        <f>VLOOKUP($A96,'Data shares'!$C:$FB,121)*100</f>
        <v>9.84</v>
      </c>
      <c r="O96" s="50">
        <f>VLOOKUP($A96,'Data shares'!$C:$FB,124)</f>
        <v>0.42</v>
      </c>
      <c r="P96" s="50">
        <f>VLOOKUP($A96,'Data shares'!$C:$FB,125)</f>
        <v>0.53</v>
      </c>
      <c r="Q96" s="50">
        <f>VLOOKUP($A96,'Data shares'!$C:$FB,127)*100</f>
        <v>-20.75</v>
      </c>
    </row>
    <row r="97" spans="1:17" x14ac:dyDescent="0.25">
      <c r="A97" s="97" t="str">
        <f>'Data Vlaue (Cr)'!C92</f>
        <v>INDIANB</v>
      </c>
      <c r="B97" s="140">
        <f>VLOOKUP($A97,'Data shares'!$C:$FB,7)</f>
        <v>896.75</v>
      </c>
      <c r="C97" s="140">
        <f>VLOOKUP($A97,'Data shares'!$C:$FB,3)</f>
        <v>897.1</v>
      </c>
      <c r="D97" s="140">
        <f>VLOOKUP($A97,'Data shares'!$C:$FB,4)</f>
        <v>850.1</v>
      </c>
      <c r="E97" s="50">
        <f t="shared" si="3"/>
        <v>5.5287613221973881</v>
      </c>
      <c r="F97" s="49">
        <f>VLOOKUP($A97,'Data shares'!$C:$FB,98)</f>
        <v>25837000</v>
      </c>
      <c r="G97" s="49">
        <f>VLOOKUP($A97,'Data shares'!$C:$FB,99)</f>
        <v>22758000</v>
      </c>
      <c r="H97" s="50">
        <f t="shared" si="4"/>
        <v>13.529308375076896</v>
      </c>
      <c r="I97" s="49">
        <f>VLOOKUP($A97,'Data shares'!$C:$FB,66)</f>
        <v>90693000</v>
      </c>
      <c r="J97" s="49">
        <f>VLOOKUP($A97,'Data shares'!$C:$FB,67)</f>
        <v>19758000</v>
      </c>
      <c r="K97" s="50">
        <f t="shared" si="5"/>
        <v>78.214415666038178</v>
      </c>
      <c r="L97" s="50">
        <f>VLOOKUP($A97,'Data shares'!$C:$FB,118)</f>
        <v>0.78</v>
      </c>
      <c r="M97" s="50">
        <f>VLOOKUP($A97,'Data shares'!$C:$FB,119)</f>
        <v>0.83</v>
      </c>
      <c r="N97" s="50">
        <f>VLOOKUP($A97,'Data shares'!$C:$FB,121)*100</f>
        <v>-6.02</v>
      </c>
      <c r="O97" s="50">
        <f>VLOOKUP($A97,'Data shares'!$C:$FB,124)</f>
        <v>0.32</v>
      </c>
      <c r="P97" s="50">
        <f>VLOOKUP($A97,'Data shares'!$C:$FB,125)</f>
        <v>0.5</v>
      </c>
      <c r="Q97" s="50">
        <f>VLOOKUP($A97,'Data shares'!$C:$FB,127)*100</f>
        <v>-36</v>
      </c>
    </row>
    <row r="98" spans="1:17" x14ac:dyDescent="0.25">
      <c r="A98" s="97" t="str">
        <f>'Data Vlaue (Cr)'!C93</f>
        <v>INDIAVIX</v>
      </c>
      <c r="B98" s="140">
        <f>VLOOKUP($A98,'Data shares'!$C:$FB,7)</f>
        <v>13.35</v>
      </c>
      <c r="C98" s="140">
        <f>VLOOKUP($A98,'Data shares'!$C:$FB,3)</f>
        <v>13.35</v>
      </c>
      <c r="D98" s="140">
        <f>VLOOKUP($A98,'Data shares'!$C:$FB,4)</f>
        <v>13.78</v>
      </c>
      <c r="E98" s="50">
        <f t="shared" si="3"/>
        <v>-3.1204644412191564</v>
      </c>
      <c r="F98" s="49">
        <f>VLOOKUP($A98,'Data shares'!$C:$FB,98)</f>
        <v>0</v>
      </c>
      <c r="G98" s="49">
        <f>VLOOKUP($A98,'Data shares'!$C:$FB,99)</f>
        <v>0</v>
      </c>
      <c r="H98" s="50" t="e">
        <f t="shared" si="4"/>
        <v>#DIV/0!</v>
      </c>
      <c r="I98" s="49">
        <f>VLOOKUP($A98,'Data shares'!$C:$FB,66)</f>
        <v>0</v>
      </c>
      <c r="J98" s="49">
        <f>VLOOKUP($A98,'Data shares'!$C:$FB,67)</f>
        <v>0</v>
      </c>
      <c r="K98" s="50" t="e">
        <f t="shared" si="5"/>
        <v>#DIV/0!</v>
      </c>
      <c r="L98" s="50">
        <f>VLOOKUP($A98,'Data shares'!$C:$FB,118)</f>
        <v>0</v>
      </c>
      <c r="M98" s="50">
        <f>VLOOKUP($A98,'Data shares'!$C:$FB,119)</f>
        <v>0</v>
      </c>
      <c r="N98" s="50">
        <f>VLOOKUP($A98,'Data shares'!$C:$FB,121)*100</f>
        <v>0</v>
      </c>
      <c r="O98" s="50">
        <f>VLOOKUP($A98,'Data shares'!$C:$FB,124)</f>
        <v>0</v>
      </c>
      <c r="P98" s="50">
        <f>VLOOKUP($A98,'Data shares'!$C:$FB,125)</f>
        <v>0</v>
      </c>
      <c r="Q98" s="50">
        <f>VLOOKUP($A98,'Data shares'!$C:$FB,127)*100</f>
        <v>0</v>
      </c>
    </row>
    <row r="99" spans="1:17" x14ac:dyDescent="0.25">
      <c r="A99" s="97" t="str">
        <f>'Data Vlaue (Cr)'!C94</f>
        <v>INDIGO</v>
      </c>
      <c r="B99" s="140">
        <f>VLOOKUP($A99,'Data shares'!$C:$FB,7)</f>
        <v>4909</v>
      </c>
      <c r="C99" s="140">
        <f>VLOOKUP($A99,'Data shares'!$C:$FB,3)</f>
        <v>4916.5</v>
      </c>
      <c r="D99" s="140">
        <f>VLOOKUP($A99,'Data shares'!$C:$FB,4)</f>
        <v>4873.5</v>
      </c>
      <c r="E99" s="50">
        <f t="shared" si="3"/>
        <v>0.88232276597927561</v>
      </c>
      <c r="F99" s="49">
        <f>VLOOKUP($A99,'Data shares'!$C:$FB,98)</f>
        <v>18997500</v>
      </c>
      <c r="G99" s="49">
        <f>VLOOKUP($A99,'Data shares'!$C:$FB,99)</f>
        <v>18479250</v>
      </c>
      <c r="H99" s="50">
        <f t="shared" si="4"/>
        <v>2.8044969357522627</v>
      </c>
      <c r="I99" s="49">
        <f>VLOOKUP($A99,'Data shares'!$C:$FB,66)</f>
        <v>21894300</v>
      </c>
      <c r="J99" s="49">
        <f>VLOOKUP($A99,'Data shares'!$C:$FB,67)</f>
        <v>29390400</v>
      </c>
      <c r="K99" s="50">
        <f t="shared" si="5"/>
        <v>-34.237678299831465</v>
      </c>
      <c r="L99" s="50">
        <f>VLOOKUP($A99,'Data shares'!$C:$FB,118)</f>
        <v>0.69</v>
      </c>
      <c r="M99" s="50">
        <f>VLOOKUP($A99,'Data shares'!$C:$FB,119)</f>
        <v>0.68</v>
      </c>
      <c r="N99" s="50">
        <f>VLOOKUP($A99,'Data shares'!$C:$FB,121)*100</f>
        <v>1.47</v>
      </c>
      <c r="O99" s="50">
        <f>VLOOKUP($A99,'Data shares'!$C:$FB,124)</f>
        <v>0.88</v>
      </c>
      <c r="P99" s="50">
        <f>VLOOKUP($A99,'Data shares'!$C:$FB,125)</f>
        <v>0.66</v>
      </c>
      <c r="Q99" s="50">
        <f>VLOOKUP($A99,'Data shares'!$C:$FB,127)*100</f>
        <v>33.33</v>
      </c>
    </row>
    <row r="100" spans="1:17" x14ac:dyDescent="0.25">
      <c r="A100" s="97" t="str">
        <f>'Data Vlaue (Cr)'!C95</f>
        <v>INDUSINDBK</v>
      </c>
      <c r="B100" s="140">
        <f>VLOOKUP($A100,'Data shares'!$C:$FB,7)</f>
        <v>902.45</v>
      </c>
      <c r="C100" s="140">
        <f>VLOOKUP($A100,'Data shares'!$C:$FB,3)</f>
        <v>903.95</v>
      </c>
      <c r="D100" s="140">
        <f>VLOOKUP($A100,'Data shares'!$C:$FB,4)</f>
        <v>906.7</v>
      </c>
      <c r="E100" s="50">
        <f t="shared" si="3"/>
        <v>-0.30329767287967352</v>
      </c>
      <c r="F100" s="49">
        <f>VLOOKUP($A100,'Data shares'!$C:$FB,98)</f>
        <v>61406100</v>
      </c>
      <c r="G100" s="49">
        <f>VLOOKUP($A100,'Data shares'!$C:$FB,99)</f>
        <v>60718000</v>
      </c>
      <c r="H100" s="50">
        <f t="shared" si="4"/>
        <v>1.1332718468987779</v>
      </c>
      <c r="I100" s="49">
        <f>VLOOKUP($A100,'Data shares'!$C:$FB,66)</f>
        <v>50409800</v>
      </c>
      <c r="J100" s="49">
        <f>VLOOKUP($A100,'Data shares'!$C:$FB,67)</f>
        <v>50870400</v>
      </c>
      <c r="K100" s="50">
        <f t="shared" si="5"/>
        <v>-0.9137112228177855</v>
      </c>
      <c r="L100" s="50">
        <f>VLOOKUP($A100,'Data shares'!$C:$FB,118)</f>
        <v>0.95</v>
      </c>
      <c r="M100" s="50">
        <f>VLOOKUP($A100,'Data shares'!$C:$FB,119)</f>
        <v>0.98</v>
      </c>
      <c r="N100" s="50">
        <f>VLOOKUP($A100,'Data shares'!$C:$FB,121)*100</f>
        <v>-3.06</v>
      </c>
      <c r="O100" s="50">
        <f>VLOOKUP($A100,'Data shares'!$C:$FB,124)</f>
        <v>0.7</v>
      </c>
      <c r="P100" s="50">
        <f>VLOOKUP($A100,'Data shares'!$C:$FB,125)</f>
        <v>0.74</v>
      </c>
      <c r="Q100" s="50">
        <f>VLOOKUP($A100,'Data shares'!$C:$FB,127)*100</f>
        <v>-5.41</v>
      </c>
    </row>
    <row r="101" spans="1:17" x14ac:dyDescent="0.25">
      <c r="A101" s="97" t="str">
        <f>'Data Vlaue (Cr)'!C96</f>
        <v>INDUSTOWER</v>
      </c>
      <c r="B101" s="140">
        <f>VLOOKUP($A101,'Data shares'!$C:$FB,7)</f>
        <v>419.2</v>
      </c>
      <c r="C101" s="140">
        <f>VLOOKUP($A101,'Data shares'!$C:$FB,3)</f>
        <v>419.65</v>
      </c>
      <c r="D101" s="140">
        <f>VLOOKUP($A101,'Data shares'!$C:$FB,4)</f>
        <v>414.4</v>
      </c>
      <c r="E101" s="50">
        <f t="shared" si="3"/>
        <v>1.2668918918918919</v>
      </c>
      <c r="F101" s="49">
        <f>VLOOKUP($A101,'Data shares'!$C:$FB,98)</f>
        <v>147090800</v>
      </c>
      <c r="G101" s="49">
        <f>VLOOKUP($A101,'Data shares'!$C:$FB,99)</f>
        <v>148359000</v>
      </c>
      <c r="H101" s="50">
        <f t="shared" si="4"/>
        <v>-0.8548183797410337</v>
      </c>
      <c r="I101" s="49">
        <f>VLOOKUP($A101,'Data shares'!$C:$FB,66)</f>
        <v>96262500</v>
      </c>
      <c r="J101" s="49">
        <f>VLOOKUP($A101,'Data shares'!$C:$FB,67)</f>
        <v>158581100</v>
      </c>
      <c r="K101" s="50">
        <f t="shared" si="5"/>
        <v>-64.738189845474608</v>
      </c>
      <c r="L101" s="50">
        <f>VLOOKUP($A101,'Data shares'!$C:$FB,118)</f>
        <v>0.53</v>
      </c>
      <c r="M101" s="50">
        <f>VLOOKUP($A101,'Data shares'!$C:$FB,119)</f>
        <v>0.54</v>
      </c>
      <c r="N101" s="50">
        <f>VLOOKUP($A101,'Data shares'!$C:$FB,121)*100</f>
        <v>-1.8499999999999999</v>
      </c>
      <c r="O101" s="50">
        <f>VLOOKUP($A101,'Data shares'!$C:$FB,124)</f>
        <v>0.54</v>
      </c>
      <c r="P101" s="50">
        <f>VLOOKUP($A101,'Data shares'!$C:$FB,125)</f>
        <v>0.8</v>
      </c>
      <c r="Q101" s="50">
        <f>VLOOKUP($A101,'Data shares'!$C:$FB,127)*100</f>
        <v>-32.5</v>
      </c>
    </row>
    <row r="102" spans="1:17" x14ac:dyDescent="0.25">
      <c r="A102" s="97" t="str">
        <f>'Data Vlaue (Cr)'!C97</f>
        <v>INFY</v>
      </c>
      <c r="B102" s="140">
        <f>VLOOKUP($A102,'Data shares'!$C:$FB,7)</f>
        <v>1663.5</v>
      </c>
      <c r="C102" s="140">
        <f>VLOOKUP($A102,'Data shares'!$C:$FB,3)</f>
        <v>1667.4</v>
      </c>
      <c r="D102" s="140">
        <f>VLOOKUP($A102,'Data shares'!$C:$FB,4)</f>
        <v>1656.5</v>
      </c>
      <c r="E102" s="50">
        <f t="shared" si="3"/>
        <v>0.65801388469665512</v>
      </c>
      <c r="F102" s="49">
        <f>VLOOKUP($A102,'Data shares'!$C:$FB,98)</f>
        <v>120017200</v>
      </c>
      <c r="G102" s="49">
        <f>VLOOKUP($A102,'Data shares'!$C:$FB,99)</f>
        <v>120832400</v>
      </c>
      <c r="H102" s="50">
        <f t="shared" si="4"/>
        <v>-0.67465348697865801</v>
      </c>
      <c r="I102" s="49">
        <f>VLOOKUP($A102,'Data shares'!$C:$FB,66)</f>
        <v>145802400</v>
      </c>
      <c r="J102" s="49">
        <f>VLOOKUP($A102,'Data shares'!$C:$FB,67)</f>
        <v>140170400</v>
      </c>
      <c r="K102" s="50">
        <f t="shared" si="5"/>
        <v>3.8627622041886829</v>
      </c>
      <c r="L102" s="50">
        <f>VLOOKUP($A102,'Data shares'!$C:$FB,118)</f>
        <v>0.6</v>
      </c>
      <c r="M102" s="50">
        <f>VLOOKUP($A102,'Data shares'!$C:$FB,119)</f>
        <v>0.64</v>
      </c>
      <c r="N102" s="50">
        <f>VLOOKUP($A102,'Data shares'!$C:$FB,121)*100</f>
        <v>-6.25</v>
      </c>
      <c r="O102" s="50">
        <f>VLOOKUP($A102,'Data shares'!$C:$FB,124)</f>
        <v>0.56999999999999995</v>
      </c>
      <c r="P102" s="50">
        <f>VLOOKUP($A102,'Data shares'!$C:$FB,125)</f>
        <v>0.89</v>
      </c>
      <c r="Q102" s="50">
        <f>VLOOKUP($A102,'Data shares'!$C:$FB,127)*100</f>
        <v>-35.96</v>
      </c>
    </row>
    <row r="103" spans="1:17" x14ac:dyDescent="0.25">
      <c r="A103" s="97" t="str">
        <f>'Data Vlaue (Cr)'!C98</f>
        <v>INOXWIND</v>
      </c>
      <c r="B103" s="140">
        <f>VLOOKUP($A103,'Data shares'!$C:$FB,7)</f>
        <v>106.89</v>
      </c>
      <c r="C103" s="140">
        <f>VLOOKUP($A103,'Data shares'!$C:$FB,3)</f>
        <v>107.21</v>
      </c>
      <c r="D103" s="140">
        <f>VLOOKUP($A103,'Data shares'!$C:$FB,4)</f>
        <v>105.12</v>
      </c>
      <c r="E103" s="50">
        <f t="shared" si="3"/>
        <v>1.9882039573820292</v>
      </c>
      <c r="F103" s="49">
        <f>VLOOKUP($A103,'Data shares'!$C:$FB,98)</f>
        <v>182160550</v>
      </c>
      <c r="G103" s="49">
        <f>VLOOKUP($A103,'Data shares'!$C:$FB,99)</f>
        <v>181999675</v>
      </c>
      <c r="H103" s="50">
        <f t="shared" si="4"/>
        <v>8.8393014987526761E-2</v>
      </c>
      <c r="I103" s="49">
        <f>VLOOKUP($A103,'Data shares'!$C:$FB,66)</f>
        <v>102931400</v>
      </c>
      <c r="J103" s="49">
        <f>VLOOKUP($A103,'Data shares'!$C:$FB,67)</f>
        <v>151644350</v>
      </c>
      <c r="K103" s="50">
        <f t="shared" si="5"/>
        <v>-47.325646012781334</v>
      </c>
      <c r="L103" s="50">
        <f>VLOOKUP($A103,'Data shares'!$C:$FB,118)</f>
        <v>0.61</v>
      </c>
      <c r="M103" s="50">
        <f>VLOOKUP($A103,'Data shares'!$C:$FB,119)</f>
        <v>0.59</v>
      </c>
      <c r="N103" s="50">
        <f>VLOOKUP($A103,'Data shares'!$C:$FB,121)*100</f>
        <v>3.39</v>
      </c>
      <c r="O103" s="50">
        <f>VLOOKUP($A103,'Data shares'!$C:$FB,124)</f>
        <v>0.52</v>
      </c>
      <c r="P103" s="50">
        <f>VLOOKUP($A103,'Data shares'!$C:$FB,125)</f>
        <v>0.56999999999999995</v>
      </c>
      <c r="Q103" s="50">
        <f>VLOOKUP($A103,'Data shares'!$C:$FB,127)*100</f>
        <v>-8.77</v>
      </c>
    </row>
    <row r="104" spans="1:17" x14ac:dyDescent="0.25">
      <c r="A104" s="97" t="str">
        <f>'Data Vlaue (Cr)'!C99</f>
        <v>IOC</v>
      </c>
      <c r="B104" s="140">
        <f>VLOOKUP($A104,'Data shares'!$C:$FB,7)</f>
        <v>159.05000000000001</v>
      </c>
      <c r="C104" s="140">
        <f>VLOOKUP($A104,'Data shares'!$C:$FB,3)</f>
        <v>158.91999999999999</v>
      </c>
      <c r="D104" s="140">
        <f>VLOOKUP($A104,'Data shares'!$C:$FB,4)</f>
        <v>158.88999999999999</v>
      </c>
      <c r="E104" s="50">
        <f t="shared" si="3"/>
        <v>1.8880986846246547E-2</v>
      </c>
      <c r="F104" s="49">
        <f>VLOOKUP($A104,'Data shares'!$C:$FB,98)</f>
        <v>185757000</v>
      </c>
      <c r="G104" s="49">
        <f>VLOOKUP($A104,'Data shares'!$C:$FB,99)</f>
        <v>189174375</v>
      </c>
      <c r="H104" s="50">
        <f t="shared" si="4"/>
        <v>-1.8064682386290425</v>
      </c>
      <c r="I104" s="49">
        <f>VLOOKUP($A104,'Data shares'!$C:$FB,66)</f>
        <v>155532000</v>
      </c>
      <c r="J104" s="49">
        <f>VLOOKUP($A104,'Data shares'!$C:$FB,67)</f>
        <v>164009625</v>
      </c>
      <c r="K104" s="50">
        <f t="shared" si="5"/>
        <v>-5.4507271815446341</v>
      </c>
      <c r="L104" s="50">
        <f>VLOOKUP($A104,'Data shares'!$C:$FB,118)</f>
        <v>0.63</v>
      </c>
      <c r="M104" s="50">
        <f>VLOOKUP($A104,'Data shares'!$C:$FB,119)</f>
        <v>0.64</v>
      </c>
      <c r="N104" s="50">
        <f>VLOOKUP($A104,'Data shares'!$C:$FB,121)*100</f>
        <v>-1.5599999999999998</v>
      </c>
      <c r="O104" s="50">
        <f>VLOOKUP($A104,'Data shares'!$C:$FB,124)</f>
        <v>0.56000000000000005</v>
      </c>
      <c r="P104" s="50">
        <f>VLOOKUP($A104,'Data shares'!$C:$FB,125)</f>
        <v>0.72</v>
      </c>
      <c r="Q104" s="50">
        <f>VLOOKUP($A104,'Data shares'!$C:$FB,127)*100</f>
        <v>-22.220000000000002</v>
      </c>
    </row>
    <row r="105" spans="1:17" x14ac:dyDescent="0.25">
      <c r="A105" s="97" t="str">
        <f>'Data Vlaue (Cr)'!C100</f>
        <v>IRCTC</v>
      </c>
      <c r="B105" s="140">
        <f>VLOOKUP($A105,'Data shares'!$C:$FB,7)</f>
        <v>628.85</v>
      </c>
      <c r="C105" s="140">
        <f>VLOOKUP($A105,'Data shares'!$C:$FB,3)</f>
        <v>630.29999999999995</v>
      </c>
      <c r="D105" s="140">
        <f>VLOOKUP($A105,'Data shares'!$C:$FB,4)</f>
        <v>614.1</v>
      </c>
      <c r="E105" s="50">
        <f t="shared" si="3"/>
        <v>2.6380068392769793</v>
      </c>
      <c r="F105" s="49">
        <f>VLOOKUP($A105,'Data shares'!$C:$FB,98)</f>
        <v>63889875</v>
      </c>
      <c r="G105" s="49">
        <f>VLOOKUP($A105,'Data shares'!$C:$FB,99)</f>
        <v>63986125</v>
      </c>
      <c r="H105" s="50">
        <f t="shared" si="4"/>
        <v>-0.15042323628755452</v>
      </c>
      <c r="I105" s="49">
        <f>VLOOKUP($A105,'Data shares'!$C:$FB,66)</f>
        <v>58191000</v>
      </c>
      <c r="J105" s="49">
        <f>VLOOKUP($A105,'Data shares'!$C:$FB,67)</f>
        <v>60459000</v>
      </c>
      <c r="K105" s="50">
        <f t="shared" si="5"/>
        <v>-3.8975099242150848</v>
      </c>
      <c r="L105" s="50">
        <f>VLOOKUP($A105,'Data shares'!$C:$FB,118)</f>
        <v>0.48</v>
      </c>
      <c r="M105" s="50">
        <f>VLOOKUP($A105,'Data shares'!$C:$FB,119)</f>
        <v>0.45</v>
      </c>
      <c r="N105" s="50">
        <f>VLOOKUP($A105,'Data shares'!$C:$FB,121)*100</f>
        <v>6.67</v>
      </c>
      <c r="O105" s="50">
        <f>VLOOKUP($A105,'Data shares'!$C:$FB,124)</f>
        <v>0.43</v>
      </c>
      <c r="P105" s="50">
        <f>VLOOKUP($A105,'Data shares'!$C:$FB,125)</f>
        <v>0.38</v>
      </c>
      <c r="Q105" s="50">
        <f>VLOOKUP($A105,'Data shares'!$C:$FB,127)*100</f>
        <v>13.16</v>
      </c>
    </row>
    <row r="106" spans="1:17" x14ac:dyDescent="0.25">
      <c r="A106" s="97" t="str">
        <f>'Data Vlaue (Cr)'!C101</f>
        <v>IREDA</v>
      </c>
      <c r="B106" s="140">
        <f>VLOOKUP($A106,'Data shares'!$C:$FB,7)</f>
        <v>129.93</v>
      </c>
      <c r="C106" s="140">
        <f>VLOOKUP($A106,'Data shares'!$C:$FB,3)</f>
        <v>130.29</v>
      </c>
      <c r="D106" s="140">
        <f>VLOOKUP($A106,'Data shares'!$C:$FB,4)</f>
        <v>127.11</v>
      </c>
      <c r="E106" s="50">
        <f t="shared" si="3"/>
        <v>2.5017701203681795</v>
      </c>
      <c r="F106" s="49">
        <f>VLOOKUP($A106,'Data shares'!$C:$FB,98)</f>
        <v>159407250</v>
      </c>
      <c r="G106" s="49">
        <f>VLOOKUP($A106,'Data shares'!$C:$FB,99)</f>
        <v>174887400</v>
      </c>
      <c r="H106" s="50">
        <f t="shared" si="4"/>
        <v>-8.8514953049790908</v>
      </c>
      <c r="I106" s="49">
        <f>VLOOKUP($A106,'Data shares'!$C:$FB,66)</f>
        <v>136878750</v>
      </c>
      <c r="J106" s="49">
        <f>VLOOKUP($A106,'Data shares'!$C:$FB,67)</f>
        <v>137830950</v>
      </c>
      <c r="K106" s="50">
        <f t="shared" si="5"/>
        <v>-0.69565217391304346</v>
      </c>
      <c r="L106" s="50">
        <f>VLOOKUP($A106,'Data shares'!$C:$FB,118)</f>
        <v>0.5</v>
      </c>
      <c r="M106" s="50">
        <f>VLOOKUP($A106,'Data shares'!$C:$FB,119)</f>
        <v>0.46</v>
      </c>
      <c r="N106" s="50">
        <f>VLOOKUP($A106,'Data shares'!$C:$FB,121)*100</f>
        <v>8.6999999999999993</v>
      </c>
      <c r="O106" s="50">
        <f>VLOOKUP($A106,'Data shares'!$C:$FB,124)</f>
        <v>0.33</v>
      </c>
      <c r="P106" s="50">
        <f>VLOOKUP($A106,'Data shares'!$C:$FB,125)</f>
        <v>0.44</v>
      </c>
      <c r="Q106" s="50">
        <f>VLOOKUP($A106,'Data shares'!$C:$FB,127)*100</f>
        <v>-25</v>
      </c>
    </row>
    <row r="107" spans="1:17" x14ac:dyDescent="0.25">
      <c r="A107" s="97" t="str">
        <f>'Data Vlaue (Cr)'!C102</f>
        <v>IRFC</v>
      </c>
      <c r="B107" s="140">
        <f>VLOOKUP($A107,'Data shares'!$C:$FB,7)</f>
        <v>117.02</v>
      </c>
      <c r="C107" s="140">
        <f>VLOOKUP($A107,'Data shares'!$C:$FB,3)</f>
        <v>117.37</v>
      </c>
      <c r="D107" s="140">
        <f>VLOOKUP($A107,'Data shares'!$C:$FB,4)</f>
        <v>115.27</v>
      </c>
      <c r="E107" s="50">
        <f t="shared" si="3"/>
        <v>1.8218096642665123</v>
      </c>
      <c r="F107" s="49">
        <f>VLOOKUP($A107,'Data shares'!$C:$FB,98)</f>
        <v>226648250</v>
      </c>
      <c r="G107" s="49">
        <f>VLOOKUP($A107,'Data shares'!$C:$FB,99)</f>
        <v>233252750</v>
      </c>
      <c r="H107" s="50">
        <f t="shared" si="4"/>
        <v>-2.8314778711076292</v>
      </c>
      <c r="I107" s="49">
        <f>VLOOKUP($A107,'Data shares'!$C:$FB,66)</f>
        <v>281983250</v>
      </c>
      <c r="J107" s="49">
        <f>VLOOKUP($A107,'Data shares'!$C:$FB,67)</f>
        <v>274715750</v>
      </c>
      <c r="K107" s="50">
        <f t="shared" si="5"/>
        <v>2.577280742739152</v>
      </c>
      <c r="L107" s="50">
        <f>VLOOKUP($A107,'Data shares'!$C:$FB,118)</f>
        <v>0.37</v>
      </c>
      <c r="M107" s="50">
        <f>VLOOKUP($A107,'Data shares'!$C:$FB,119)</f>
        <v>0.36</v>
      </c>
      <c r="N107" s="50">
        <f>VLOOKUP($A107,'Data shares'!$C:$FB,121)*100</f>
        <v>2.78</v>
      </c>
      <c r="O107" s="50">
        <f>VLOOKUP($A107,'Data shares'!$C:$FB,124)</f>
        <v>0.2</v>
      </c>
      <c r="P107" s="50">
        <f>VLOOKUP($A107,'Data shares'!$C:$FB,125)</f>
        <v>0.3</v>
      </c>
      <c r="Q107" s="50">
        <f>VLOOKUP($A107,'Data shares'!$C:$FB,127)*100</f>
        <v>-33.33</v>
      </c>
    </row>
    <row r="108" spans="1:17" x14ac:dyDescent="0.25">
      <c r="A108" s="97" t="str">
        <f>'Data Vlaue (Cr)'!C103</f>
        <v>ITC</v>
      </c>
      <c r="B108" s="140">
        <f>VLOOKUP($A108,'Data shares'!$C:$FB,7)</f>
        <v>324.85000000000002</v>
      </c>
      <c r="C108" s="140">
        <f>VLOOKUP($A108,'Data shares'!$C:$FB,3)</f>
        <v>325.25</v>
      </c>
      <c r="D108" s="140">
        <f>VLOOKUP($A108,'Data shares'!$C:$FB,4)</f>
        <v>324.85000000000002</v>
      </c>
      <c r="E108" s="50">
        <f t="shared" si="3"/>
        <v>0.1231337540403193</v>
      </c>
      <c r="F108" s="49">
        <f>VLOOKUP($A108,'Data shares'!$C:$FB,98)</f>
        <v>649211200</v>
      </c>
      <c r="G108" s="49">
        <f>VLOOKUP($A108,'Data shares'!$C:$FB,99)</f>
        <v>677686400</v>
      </c>
      <c r="H108" s="50">
        <f t="shared" si="4"/>
        <v>-4.2018255051303965</v>
      </c>
      <c r="I108" s="49">
        <f>VLOOKUP($A108,'Data shares'!$C:$FB,66)</f>
        <v>515339200</v>
      </c>
      <c r="J108" s="49">
        <f>VLOOKUP($A108,'Data shares'!$C:$FB,67)</f>
        <v>436948800</v>
      </c>
      <c r="K108" s="50">
        <f t="shared" si="5"/>
        <v>15.211418033015924</v>
      </c>
      <c r="L108" s="50">
        <f>VLOOKUP($A108,'Data shares'!$C:$FB,118)</f>
        <v>0.4</v>
      </c>
      <c r="M108" s="50">
        <f>VLOOKUP($A108,'Data shares'!$C:$FB,119)</f>
        <v>0.38</v>
      </c>
      <c r="N108" s="50">
        <f>VLOOKUP($A108,'Data shares'!$C:$FB,121)*100</f>
        <v>5.26</v>
      </c>
      <c r="O108" s="50">
        <f>VLOOKUP($A108,'Data shares'!$C:$FB,124)</f>
        <v>0.69</v>
      </c>
      <c r="P108" s="50">
        <f>VLOOKUP($A108,'Data shares'!$C:$FB,125)</f>
        <v>0.5</v>
      </c>
      <c r="Q108" s="50">
        <f>VLOOKUP($A108,'Data shares'!$C:$FB,127)*100</f>
        <v>38</v>
      </c>
    </row>
    <row r="109" spans="1:17" x14ac:dyDescent="0.25">
      <c r="A109" s="97" t="str">
        <f>'Data Vlaue (Cr)'!C104</f>
        <v>JINDALSTEL</v>
      </c>
      <c r="B109" s="140">
        <f>VLOOKUP($A109,'Data shares'!$C:$FB,7)</f>
        <v>1076</v>
      </c>
      <c r="C109" s="140">
        <f>VLOOKUP($A109,'Data shares'!$C:$FB,3)</f>
        <v>1075.5999999999999</v>
      </c>
      <c r="D109" s="140">
        <f>VLOOKUP($A109,'Data shares'!$C:$FB,4)</f>
        <v>1041.4000000000001</v>
      </c>
      <c r="E109" s="50">
        <f t="shared" si="3"/>
        <v>3.2840407144228743</v>
      </c>
      <c r="F109" s="49">
        <f>VLOOKUP($A109,'Data shares'!$C:$FB,98)</f>
        <v>19980000</v>
      </c>
      <c r="G109" s="49">
        <f>VLOOKUP($A109,'Data shares'!$C:$FB,99)</f>
        <v>20395625</v>
      </c>
      <c r="H109" s="50">
        <f t="shared" si="4"/>
        <v>-2.0378144822725464</v>
      </c>
      <c r="I109" s="49">
        <f>VLOOKUP($A109,'Data shares'!$C:$FB,66)</f>
        <v>26635625</v>
      </c>
      <c r="J109" s="49">
        <f>VLOOKUP($A109,'Data shares'!$C:$FB,67)</f>
        <v>17447500</v>
      </c>
      <c r="K109" s="50">
        <f t="shared" si="5"/>
        <v>34.495623812093768</v>
      </c>
      <c r="L109" s="50">
        <f>VLOOKUP($A109,'Data shares'!$C:$FB,118)</f>
        <v>0.94</v>
      </c>
      <c r="M109" s="50">
        <f>VLOOKUP($A109,'Data shares'!$C:$FB,119)</f>
        <v>0.82</v>
      </c>
      <c r="N109" s="50">
        <f>VLOOKUP($A109,'Data shares'!$C:$FB,121)*100</f>
        <v>14.63</v>
      </c>
      <c r="O109" s="50">
        <f>VLOOKUP($A109,'Data shares'!$C:$FB,124)</f>
        <v>0.47</v>
      </c>
      <c r="P109" s="50">
        <f>VLOOKUP($A109,'Data shares'!$C:$FB,125)</f>
        <v>0.69</v>
      </c>
      <c r="Q109" s="50">
        <f>VLOOKUP($A109,'Data shares'!$C:$FB,127)*100</f>
        <v>-31.879999999999995</v>
      </c>
    </row>
    <row r="110" spans="1:17" x14ac:dyDescent="0.25">
      <c r="A110" s="97" t="str">
        <f>'Data Vlaue (Cr)'!C105</f>
        <v>JIOFIN</v>
      </c>
      <c r="B110" s="140">
        <f>VLOOKUP($A110,'Data shares'!$C:$FB,7)</f>
        <v>262.60000000000002</v>
      </c>
      <c r="C110" s="140">
        <f>VLOOKUP($A110,'Data shares'!$C:$FB,3)</f>
        <v>263.35000000000002</v>
      </c>
      <c r="D110" s="140">
        <f>VLOOKUP($A110,'Data shares'!$C:$FB,4)</f>
        <v>263.7</v>
      </c>
      <c r="E110" s="50">
        <f t="shared" si="3"/>
        <v>-0.13272658323851572</v>
      </c>
      <c r="F110" s="49">
        <f>VLOOKUP($A110,'Data shares'!$C:$FB,98)</f>
        <v>322469350</v>
      </c>
      <c r="G110" s="49">
        <f>VLOOKUP($A110,'Data shares'!$C:$FB,99)</f>
        <v>321512900</v>
      </c>
      <c r="H110" s="50">
        <f t="shared" si="4"/>
        <v>0.29748417559606471</v>
      </c>
      <c r="I110" s="49">
        <f>VLOOKUP($A110,'Data shares'!$C:$FB,66)</f>
        <v>248763950</v>
      </c>
      <c r="J110" s="49">
        <f>VLOOKUP($A110,'Data shares'!$C:$FB,67)</f>
        <v>285962100</v>
      </c>
      <c r="K110" s="50">
        <f t="shared" si="5"/>
        <v>-14.953191569759202</v>
      </c>
      <c r="L110" s="50">
        <f>VLOOKUP($A110,'Data shares'!$C:$FB,118)</f>
        <v>0.61</v>
      </c>
      <c r="M110" s="50">
        <f>VLOOKUP($A110,'Data shares'!$C:$FB,119)</f>
        <v>0.62</v>
      </c>
      <c r="N110" s="50">
        <f>VLOOKUP($A110,'Data shares'!$C:$FB,121)*100</f>
        <v>-1.6099999999999999</v>
      </c>
      <c r="O110" s="50">
        <f>VLOOKUP($A110,'Data shares'!$C:$FB,124)</f>
        <v>0.56999999999999995</v>
      </c>
      <c r="P110" s="50">
        <f>VLOOKUP($A110,'Data shares'!$C:$FB,125)</f>
        <v>0.62</v>
      </c>
      <c r="Q110" s="50">
        <f>VLOOKUP($A110,'Data shares'!$C:$FB,127)*100</f>
        <v>-8.06</v>
      </c>
    </row>
    <row r="111" spans="1:17" x14ac:dyDescent="0.25">
      <c r="A111" s="97" t="str">
        <f>'Data Vlaue (Cr)'!C106</f>
        <v>JSWENERGY</v>
      </c>
      <c r="B111" s="140">
        <f>VLOOKUP($A111,'Data shares'!$C:$FB,7)</f>
        <v>492.35</v>
      </c>
      <c r="C111" s="140">
        <f>VLOOKUP($A111,'Data shares'!$C:$FB,3)</f>
        <v>492.15</v>
      </c>
      <c r="D111" s="140">
        <f>VLOOKUP($A111,'Data shares'!$C:$FB,4)</f>
        <v>477.9</v>
      </c>
      <c r="E111" s="50">
        <f t="shared" si="3"/>
        <v>2.9817953546767106</v>
      </c>
      <c r="F111" s="49">
        <f>VLOOKUP($A111,'Data shares'!$C:$FB,98)</f>
        <v>53056000</v>
      </c>
      <c r="G111" s="49">
        <f>VLOOKUP($A111,'Data shares'!$C:$FB,99)</f>
        <v>54162000</v>
      </c>
      <c r="H111" s="50">
        <f t="shared" si="4"/>
        <v>-2.0420220819024406</v>
      </c>
      <c r="I111" s="49">
        <f>VLOOKUP($A111,'Data shares'!$C:$FB,66)</f>
        <v>29144000</v>
      </c>
      <c r="J111" s="49">
        <f>VLOOKUP($A111,'Data shares'!$C:$FB,67)</f>
        <v>32152000</v>
      </c>
      <c r="K111" s="50">
        <f t="shared" si="5"/>
        <v>-10.321163875926434</v>
      </c>
      <c r="L111" s="50">
        <f>VLOOKUP($A111,'Data shares'!$C:$FB,118)</f>
        <v>0.74</v>
      </c>
      <c r="M111" s="50">
        <f>VLOOKUP($A111,'Data shares'!$C:$FB,119)</f>
        <v>0.76</v>
      </c>
      <c r="N111" s="50">
        <f>VLOOKUP($A111,'Data shares'!$C:$FB,121)*100</f>
        <v>-2.63</v>
      </c>
      <c r="O111" s="50">
        <f>VLOOKUP($A111,'Data shares'!$C:$FB,124)</f>
        <v>0.45</v>
      </c>
      <c r="P111" s="50">
        <f>VLOOKUP($A111,'Data shares'!$C:$FB,125)</f>
        <v>0.8</v>
      </c>
      <c r="Q111" s="50">
        <f>VLOOKUP($A111,'Data shares'!$C:$FB,127)*100</f>
        <v>-43.75</v>
      </c>
    </row>
    <row r="112" spans="1:17" x14ac:dyDescent="0.25">
      <c r="A112" s="97" t="str">
        <f>'Data Vlaue (Cr)'!C107</f>
        <v>JSWSTEEL</v>
      </c>
      <c r="B112" s="140">
        <f>VLOOKUP($A112,'Data shares'!$C:$FB,7)</f>
        <v>1184.4000000000001</v>
      </c>
      <c r="C112" s="140">
        <f>VLOOKUP($A112,'Data shares'!$C:$FB,3)</f>
        <v>1187</v>
      </c>
      <c r="D112" s="140">
        <f>VLOOKUP($A112,'Data shares'!$C:$FB,4)</f>
        <v>1173.8</v>
      </c>
      <c r="E112" s="50">
        <f t="shared" si="3"/>
        <v>1.1245527347077906</v>
      </c>
      <c r="F112" s="49">
        <f>VLOOKUP($A112,'Data shares'!$C:$FB,98)</f>
        <v>63620775</v>
      </c>
      <c r="G112" s="49">
        <f>VLOOKUP($A112,'Data shares'!$C:$FB,99)</f>
        <v>63433800</v>
      </c>
      <c r="H112" s="50">
        <f t="shared" si="4"/>
        <v>0.29475610794245338</v>
      </c>
      <c r="I112" s="49">
        <f>VLOOKUP($A112,'Data shares'!$C:$FB,66)</f>
        <v>49271625</v>
      </c>
      <c r="J112" s="49">
        <f>VLOOKUP($A112,'Data shares'!$C:$FB,67)</f>
        <v>42051150</v>
      </c>
      <c r="K112" s="50">
        <f t="shared" si="5"/>
        <v>14.654428385505858</v>
      </c>
      <c r="L112" s="50">
        <f>VLOOKUP($A112,'Data shares'!$C:$FB,118)</f>
        <v>0.93</v>
      </c>
      <c r="M112" s="50">
        <f>VLOOKUP($A112,'Data shares'!$C:$FB,119)</f>
        <v>0.89</v>
      </c>
      <c r="N112" s="50">
        <f>VLOOKUP($A112,'Data shares'!$C:$FB,121)*100</f>
        <v>4.49</v>
      </c>
      <c r="O112" s="50">
        <f>VLOOKUP($A112,'Data shares'!$C:$FB,124)</f>
        <v>0.5</v>
      </c>
      <c r="P112" s="50">
        <f>VLOOKUP($A112,'Data shares'!$C:$FB,125)</f>
        <v>0.59</v>
      </c>
      <c r="Q112" s="50">
        <f>VLOOKUP($A112,'Data shares'!$C:$FB,127)*100</f>
        <v>-15.25</v>
      </c>
    </row>
    <row r="113" spans="1:17" x14ac:dyDescent="0.25">
      <c r="A113" s="97" t="str">
        <f>'Data Vlaue (Cr)'!C108</f>
        <v>JUBLFOOD</v>
      </c>
      <c r="B113" s="140">
        <f>VLOOKUP($A113,'Data shares'!$C:$FB,7)</f>
        <v>501</v>
      </c>
      <c r="C113" s="140">
        <f>VLOOKUP($A113,'Data shares'!$C:$FB,3)</f>
        <v>503.1</v>
      </c>
      <c r="D113" s="140">
        <f>VLOOKUP($A113,'Data shares'!$C:$FB,4)</f>
        <v>508.7</v>
      </c>
      <c r="E113" s="50">
        <f t="shared" si="3"/>
        <v>-1.1008452919205751</v>
      </c>
      <c r="F113" s="49">
        <f>VLOOKUP($A113,'Data shares'!$C:$FB,98)</f>
        <v>46830000</v>
      </c>
      <c r="G113" s="49">
        <f>VLOOKUP($A113,'Data shares'!$C:$FB,99)</f>
        <v>44437500</v>
      </c>
      <c r="H113" s="50">
        <f t="shared" si="4"/>
        <v>5.3839662447257384</v>
      </c>
      <c r="I113" s="49">
        <f>VLOOKUP($A113,'Data shares'!$C:$FB,66)</f>
        <v>42598750</v>
      </c>
      <c r="J113" s="49">
        <f>VLOOKUP($A113,'Data shares'!$C:$FB,67)</f>
        <v>37165000</v>
      </c>
      <c r="K113" s="50">
        <f t="shared" si="5"/>
        <v>12.755655975820886</v>
      </c>
      <c r="L113" s="50">
        <f>VLOOKUP($A113,'Data shares'!$C:$FB,118)</f>
        <v>0.61</v>
      </c>
      <c r="M113" s="50">
        <f>VLOOKUP($A113,'Data shares'!$C:$FB,119)</f>
        <v>0.6</v>
      </c>
      <c r="N113" s="50">
        <f>VLOOKUP($A113,'Data shares'!$C:$FB,121)*100</f>
        <v>1.67</v>
      </c>
      <c r="O113" s="50">
        <f>VLOOKUP($A113,'Data shares'!$C:$FB,124)</f>
        <v>0.5</v>
      </c>
      <c r="P113" s="50">
        <f>VLOOKUP($A113,'Data shares'!$C:$FB,125)</f>
        <v>0.52</v>
      </c>
      <c r="Q113" s="50">
        <f>VLOOKUP($A113,'Data shares'!$C:$FB,127)*100</f>
        <v>-3.85</v>
      </c>
    </row>
    <row r="114" spans="1:17" x14ac:dyDescent="0.25">
      <c r="A114" s="97" t="str">
        <f>'Data Vlaue (Cr)'!C109</f>
        <v>KALYANKJIL</v>
      </c>
      <c r="B114" s="140">
        <f>VLOOKUP($A114,'Data shares'!$C:$FB,7)</f>
        <v>373.55</v>
      </c>
      <c r="C114" s="140">
        <f>VLOOKUP($A114,'Data shares'!$C:$FB,3)</f>
        <v>375.1</v>
      </c>
      <c r="D114" s="140">
        <f>VLOOKUP($A114,'Data shares'!$C:$FB,4)</f>
        <v>396.85</v>
      </c>
      <c r="E114" s="50">
        <f t="shared" si="3"/>
        <v>-5.4806601990676569</v>
      </c>
      <c r="F114" s="49">
        <f>VLOOKUP($A114,'Data shares'!$C:$FB,98)</f>
        <v>81977400</v>
      </c>
      <c r="G114" s="49">
        <f>VLOOKUP($A114,'Data shares'!$C:$FB,99)</f>
        <v>81085575</v>
      </c>
      <c r="H114" s="50">
        <f t="shared" si="4"/>
        <v>1.0998565404512455</v>
      </c>
      <c r="I114" s="49">
        <f>VLOOKUP($A114,'Data shares'!$C:$FB,66)</f>
        <v>258102850</v>
      </c>
      <c r="J114" s="49">
        <f>VLOOKUP($A114,'Data shares'!$C:$FB,67)</f>
        <v>402383450</v>
      </c>
      <c r="K114" s="50">
        <f t="shared" si="5"/>
        <v>-55.900428840673399</v>
      </c>
      <c r="L114" s="50">
        <f>VLOOKUP($A114,'Data shares'!$C:$FB,118)</f>
        <v>0.56000000000000005</v>
      </c>
      <c r="M114" s="50">
        <f>VLOOKUP($A114,'Data shares'!$C:$FB,119)</f>
        <v>0.47</v>
      </c>
      <c r="N114" s="50">
        <f>VLOOKUP($A114,'Data shares'!$C:$FB,121)*100</f>
        <v>19.149999999999999</v>
      </c>
      <c r="O114" s="50">
        <f>VLOOKUP($A114,'Data shares'!$C:$FB,124)</f>
        <v>1.1599999999999999</v>
      </c>
      <c r="P114" s="50">
        <f>VLOOKUP($A114,'Data shares'!$C:$FB,125)</f>
        <v>0.94</v>
      </c>
      <c r="Q114" s="50">
        <f>VLOOKUP($A114,'Data shares'!$C:$FB,127)*100</f>
        <v>23.400000000000002</v>
      </c>
    </row>
    <row r="115" spans="1:17" x14ac:dyDescent="0.25">
      <c r="A115" s="97" t="str">
        <f>'Data Vlaue (Cr)'!C110</f>
        <v>KAYNES</v>
      </c>
      <c r="B115" s="140">
        <f>VLOOKUP($A115,'Data shares'!$C:$FB,7)</f>
        <v>3527.2</v>
      </c>
      <c r="C115" s="140">
        <f>VLOOKUP($A115,'Data shares'!$C:$FB,3)</f>
        <v>3536.8</v>
      </c>
      <c r="D115" s="140">
        <f>VLOOKUP($A115,'Data shares'!$C:$FB,4)</f>
        <v>3496</v>
      </c>
      <c r="E115" s="50">
        <f t="shared" si="3"/>
        <v>1.1670480549199136</v>
      </c>
      <c r="F115" s="49">
        <f>VLOOKUP($A115,'Data shares'!$C:$FB,98)</f>
        <v>8633200</v>
      </c>
      <c r="G115" s="49">
        <f>VLOOKUP($A115,'Data shares'!$C:$FB,99)</f>
        <v>8869200</v>
      </c>
      <c r="H115" s="50">
        <f t="shared" si="4"/>
        <v>-2.6608938799440764</v>
      </c>
      <c r="I115" s="49">
        <f>VLOOKUP($A115,'Data shares'!$C:$FB,66)</f>
        <v>7972400</v>
      </c>
      <c r="J115" s="49">
        <f>VLOOKUP($A115,'Data shares'!$C:$FB,67)</f>
        <v>9342100</v>
      </c>
      <c r="K115" s="50">
        <f t="shared" si="5"/>
        <v>-17.18052280367267</v>
      </c>
      <c r="L115" s="50">
        <f>VLOOKUP($A115,'Data shares'!$C:$FB,118)</f>
        <v>0.48</v>
      </c>
      <c r="M115" s="50">
        <f>VLOOKUP($A115,'Data shares'!$C:$FB,119)</f>
        <v>0.49</v>
      </c>
      <c r="N115" s="50">
        <f>VLOOKUP($A115,'Data shares'!$C:$FB,121)*100</f>
        <v>-2.04</v>
      </c>
      <c r="O115" s="50">
        <f>VLOOKUP($A115,'Data shares'!$C:$FB,124)</f>
        <v>0.43</v>
      </c>
      <c r="P115" s="50">
        <f>VLOOKUP($A115,'Data shares'!$C:$FB,125)</f>
        <v>0.53</v>
      </c>
      <c r="Q115" s="50">
        <f>VLOOKUP($A115,'Data shares'!$C:$FB,127)*100</f>
        <v>-18.87</v>
      </c>
    </row>
    <row r="116" spans="1:17" x14ac:dyDescent="0.25">
      <c r="A116" s="97" t="str">
        <f>'Data Vlaue (Cr)'!C111</f>
        <v>KEI</v>
      </c>
      <c r="B116" s="140">
        <f>VLOOKUP($A116,'Data shares'!$C:$FB,7)</f>
        <v>3848.4</v>
      </c>
      <c r="C116" s="140">
        <f>VLOOKUP($A116,'Data shares'!$C:$FB,3)</f>
        <v>3855.7</v>
      </c>
      <c r="D116" s="140">
        <f>VLOOKUP($A116,'Data shares'!$C:$FB,4)</f>
        <v>3936.6</v>
      </c>
      <c r="E116" s="50">
        <f t="shared" si="3"/>
        <v>-2.0550729055530179</v>
      </c>
      <c r="F116" s="49">
        <f>VLOOKUP($A116,'Data shares'!$C:$FB,98)</f>
        <v>3058300</v>
      </c>
      <c r="G116" s="49">
        <f>VLOOKUP($A116,'Data shares'!$C:$FB,99)</f>
        <v>2627975</v>
      </c>
      <c r="H116" s="50">
        <f t="shared" si="4"/>
        <v>16.374775254711327</v>
      </c>
      <c r="I116" s="49">
        <f>VLOOKUP($A116,'Data shares'!$C:$FB,66)</f>
        <v>17473750</v>
      </c>
      <c r="J116" s="49">
        <f>VLOOKUP($A116,'Data shares'!$C:$FB,67)</f>
        <v>6963075</v>
      </c>
      <c r="K116" s="50">
        <f t="shared" si="5"/>
        <v>60.151226840260385</v>
      </c>
      <c r="L116" s="50">
        <f>VLOOKUP($A116,'Data shares'!$C:$FB,118)</f>
        <v>0.6</v>
      </c>
      <c r="M116" s="50">
        <f>VLOOKUP($A116,'Data shares'!$C:$FB,119)</f>
        <v>0.79</v>
      </c>
      <c r="N116" s="50">
        <f>VLOOKUP($A116,'Data shares'!$C:$FB,121)*100</f>
        <v>-24.05</v>
      </c>
      <c r="O116" s="50">
        <f>VLOOKUP($A116,'Data shares'!$C:$FB,124)</f>
        <v>0.8</v>
      </c>
      <c r="P116" s="50">
        <f>VLOOKUP($A116,'Data shares'!$C:$FB,125)</f>
        <v>0.89</v>
      </c>
      <c r="Q116" s="50">
        <f>VLOOKUP($A116,'Data shares'!$C:$FB,127)*100</f>
        <v>-10.11</v>
      </c>
    </row>
    <row r="117" spans="1:17" x14ac:dyDescent="0.25">
      <c r="A117" s="97" t="str">
        <f>'Data Vlaue (Cr)'!C112</f>
        <v>KFINTECH</v>
      </c>
      <c r="B117" s="140">
        <f>VLOOKUP($A117,'Data shares'!$C:$FB,7)</f>
        <v>1033.5</v>
      </c>
      <c r="C117" s="140">
        <f>VLOOKUP($A117,'Data shares'!$C:$FB,3)</f>
        <v>1035.3</v>
      </c>
      <c r="D117" s="140">
        <f>VLOOKUP($A117,'Data shares'!$C:$FB,4)</f>
        <v>996.8</v>
      </c>
      <c r="E117" s="50">
        <f t="shared" si="3"/>
        <v>3.862359550561798</v>
      </c>
      <c r="F117" s="49">
        <f>VLOOKUP($A117,'Data shares'!$C:$FB,98)</f>
        <v>10355000</v>
      </c>
      <c r="G117" s="49">
        <f>VLOOKUP($A117,'Data shares'!$C:$FB,99)</f>
        <v>11420000</v>
      </c>
      <c r="H117" s="50">
        <f t="shared" si="4"/>
        <v>-9.3257443082311742</v>
      </c>
      <c r="I117" s="49">
        <f>VLOOKUP($A117,'Data shares'!$C:$FB,66)</f>
        <v>15728500</v>
      </c>
      <c r="J117" s="49">
        <f>VLOOKUP($A117,'Data shares'!$C:$FB,67)</f>
        <v>13582000</v>
      </c>
      <c r="K117" s="50">
        <f t="shared" si="5"/>
        <v>13.647200940967034</v>
      </c>
      <c r="L117" s="50">
        <f>VLOOKUP($A117,'Data shares'!$C:$FB,118)</f>
        <v>0.9</v>
      </c>
      <c r="M117" s="50">
        <f>VLOOKUP($A117,'Data shares'!$C:$FB,119)</f>
        <v>0.81</v>
      </c>
      <c r="N117" s="50">
        <f>VLOOKUP($A117,'Data shares'!$C:$FB,121)*100</f>
        <v>11.110000000000001</v>
      </c>
      <c r="O117" s="50">
        <f>VLOOKUP($A117,'Data shares'!$C:$FB,124)</f>
        <v>0.48</v>
      </c>
      <c r="P117" s="50">
        <f>VLOOKUP($A117,'Data shares'!$C:$FB,125)</f>
        <v>1.66</v>
      </c>
      <c r="Q117" s="50">
        <f>VLOOKUP($A117,'Data shares'!$C:$FB,127)*100</f>
        <v>-71.08</v>
      </c>
    </row>
    <row r="118" spans="1:17" x14ac:dyDescent="0.25">
      <c r="A118" s="97" t="str">
        <f>'Data Vlaue (Cr)'!C113</f>
        <v>KOTAKBANK</v>
      </c>
      <c r="B118" s="140">
        <f>VLOOKUP($A118,'Data shares'!$C:$FB,7)</f>
        <v>426</v>
      </c>
      <c r="C118" s="140">
        <f>VLOOKUP($A118,'Data shares'!$C:$FB,3)</f>
        <v>426.2</v>
      </c>
      <c r="D118" s="140">
        <f>VLOOKUP($A118,'Data shares'!$C:$FB,4)</f>
        <v>422.1</v>
      </c>
      <c r="E118" s="50">
        <f t="shared" si="3"/>
        <v>0.97133380715469453</v>
      </c>
      <c r="F118" s="49">
        <f>VLOOKUP($A118,'Data shares'!$C:$FB,98)</f>
        <v>267124000</v>
      </c>
      <c r="G118" s="49">
        <f>VLOOKUP($A118,'Data shares'!$C:$FB,99)</f>
        <v>268996000</v>
      </c>
      <c r="H118" s="50">
        <f t="shared" si="4"/>
        <v>-0.69592112893872027</v>
      </c>
      <c r="I118" s="49">
        <f>VLOOKUP($A118,'Data shares'!$C:$FB,66)</f>
        <v>158942000</v>
      </c>
      <c r="J118" s="49">
        <f>VLOOKUP($A118,'Data shares'!$C:$FB,67)</f>
        <v>176714000</v>
      </c>
      <c r="K118" s="50">
        <f t="shared" si="5"/>
        <v>-11.181437253841024</v>
      </c>
      <c r="L118" s="50">
        <f>VLOOKUP($A118,'Data shares'!$C:$FB,118)</f>
        <v>0.63</v>
      </c>
      <c r="M118" s="50">
        <f>VLOOKUP($A118,'Data shares'!$C:$FB,119)</f>
        <v>0.64</v>
      </c>
      <c r="N118" s="50">
        <f>VLOOKUP($A118,'Data shares'!$C:$FB,121)*100</f>
        <v>-1.5599999999999998</v>
      </c>
      <c r="O118" s="50">
        <f>VLOOKUP($A118,'Data shares'!$C:$FB,124)</f>
        <v>0.64</v>
      </c>
      <c r="P118" s="50">
        <f>VLOOKUP($A118,'Data shares'!$C:$FB,125)</f>
        <v>0.55000000000000004</v>
      </c>
      <c r="Q118" s="50">
        <f>VLOOKUP($A118,'Data shares'!$C:$FB,127)*100</f>
        <v>16.36</v>
      </c>
    </row>
    <row r="119" spans="1:17" x14ac:dyDescent="0.25">
      <c r="A119" s="97" t="str">
        <f>'Data Vlaue (Cr)'!C114</f>
        <v>KPITTECH</v>
      </c>
      <c r="B119" s="140">
        <f>VLOOKUP($A119,'Data shares'!$C:$FB,7)</f>
        <v>1109.2</v>
      </c>
      <c r="C119" s="140">
        <f>VLOOKUP($A119,'Data shares'!$C:$FB,3)</f>
        <v>1113.3</v>
      </c>
      <c r="D119" s="140">
        <f>VLOOKUP($A119,'Data shares'!$C:$FB,4)</f>
        <v>1119</v>
      </c>
      <c r="E119" s="50">
        <f t="shared" si="3"/>
        <v>-0.50938337801608979</v>
      </c>
      <c r="F119" s="49">
        <f>VLOOKUP($A119,'Data shares'!$C:$FB,98)</f>
        <v>9022750</v>
      </c>
      <c r="G119" s="49">
        <f>VLOOKUP($A119,'Data shares'!$C:$FB,99)</f>
        <v>9066100</v>
      </c>
      <c r="H119" s="50">
        <f t="shared" si="4"/>
        <v>-0.47815488468029255</v>
      </c>
      <c r="I119" s="49">
        <f>VLOOKUP($A119,'Data shares'!$C:$FB,66)</f>
        <v>8966225</v>
      </c>
      <c r="J119" s="49">
        <f>VLOOKUP($A119,'Data shares'!$C:$FB,67)</f>
        <v>11881725</v>
      </c>
      <c r="K119" s="50">
        <f t="shared" si="5"/>
        <v>-32.516471536237376</v>
      </c>
      <c r="L119" s="50">
        <f>VLOOKUP($A119,'Data shares'!$C:$FB,118)</f>
        <v>0.68</v>
      </c>
      <c r="M119" s="50">
        <f>VLOOKUP($A119,'Data shares'!$C:$FB,119)</f>
        <v>0.68</v>
      </c>
      <c r="N119" s="50">
        <f>VLOOKUP($A119,'Data shares'!$C:$FB,121)*100</f>
        <v>0</v>
      </c>
      <c r="O119" s="50">
        <f>VLOOKUP($A119,'Data shares'!$C:$FB,124)</f>
        <v>0.42</v>
      </c>
      <c r="P119" s="50">
        <f>VLOOKUP($A119,'Data shares'!$C:$FB,125)</f>
        <v>0.89</v>
      </c>
      <c r="Q119" s="50">
        <f>VLOOKUP($A119,'Data shares'!$C:$FB,127)*100</f>
        <v>-52.81</v>
      </c>
    </row>
    <row r="120" spans="1:17" x14ac:dyDescent="0.25">
      <c r="A120" s="97" t="str">
        <f>'Data Vlaue (Cr)'!C115</f>
        <v>LAURUSLABS</v>
      </c>
      <c r="B120" s="140">
        <f>VLOOKUP($A120,'Data shares'!$C:$FB,7)</f>
        <v>1005.8</v>
      </c>
      <c r="C120" s="140">
        <f>VLOOKUP($A120,'Data shares'!$C:$FB,3)</f>
        <v>1009.8</v>
      </c>
      <c r="D120" s="140">
        <f>VLOOKUP($A120,'Data shares'!$C:$FB,4)</f>
        <v>990.4</v>
      </c>
      <c r="E120" s="50">
        <f t="shared" si="3"/>
        <v>1.9588045234248765</v>
      </c>
      <c r="F120" s="49">
        <f>VLOOKUP($A120,'Data shares'!$C:$FB,98)</f>
        <v>42481300</v>
      </c>
      <c r="G120" s="49">
        <f>VLOOKUP($A120,'Data shares'!$C:$FB,99)</f>
        <v>41174000</v>
      </c>
      <c r="H120" s="50">
        <f t="shared" si="4"/>
        <v>3.1750619322873659</v>
      </c>
      <c r="I120" s="49">
        <f>VLOOKUP($A120,'Data shares'!$C:$FB,66)</f>
        <v>42012950</v>
      </c>
      <c r="J120" s="49">
        <f>VLOOKUP($A120,'Data shares'!$C:$FB,67)</f>
        <v>55148000</v>
      </c>
      <c r="K120" s="50">
        <f t="shared" si="5"/>
        <v>-31.264288749064278</v>
      </c>
      <c r="L120" s="50">
        <f>VLOOKUP($A120,'Data shares'!$C:$FB,118)</f>
        <v>0.52</v>
      </c>
      <c r="M120" s="50">
        <f>VLOOKUP($A120,'Data shares'!$C:$FB,119)</f>
        <v>0.54</v>
      </c>
      <c r="N120" s="50">
        <f>VLOOKUP($A120,'Data shares'!$C:$FB,121)*100</f>
        <v>-3.6999999999999997</v>
      </c>
      <c r="O120" s="50">
        <f>VLOOKUP($A120,'Data shares'!$C:$FB,124)</f>
        <v>0.43</v>
      </c>
      <c r="P120" s="50">
        <f>VLOOKUP($A120,'Data shares'!$C:$FB,125)</f>
        <v>0.66</v>
      </c>
      <c r="Q120" s="50">
        <f>VLOOKUP($A120,'Data shares'!$C:$FB,127)*100</f>
        <v>-34.849999999999994</v>
      </c>
    </row>
    <row r="121" spans="1:17" x14ac:dyDescent="0.25">
      <c r="A121" s="97" t="str">
        <f>'Data Vlaue (Cr)'!C116</f>
        <v>LICHSGFIN</v>
      </c>
      <c r="B121" s="140">
        <f>VLOOKUP($A121,'Data shares'!$C:$FB,7)</f>
        <v>517.1</v>
      </c>
      <c r="C121" s="140">
        <f>VLOOKUP($A121,'Data shares'!$C:$FB,3)</f>
        <v>517.54999999999995</v>
      </c>
      <c r="D121" s="140">
        <f>VLOOKUP($A121,'Data shares'!$C:$FB,4)</f>
        <v>507.3</v>
      </c>
      <c r="E121" s="50">
        <f t="shared" si="3"/>
        <v>2.0205006899270539</v>
      </c>
      <c r="F121" s="49">
        <f>VLOOKUP($A121,'Data shares'!$C:$FB,98)</f>
        <v>49135000</v>
      </c>
      <c r="G121" s="49">
        <f>VLOOKUP($A121,'Data shares'!$C:$FB,99)</f>
        <v>50574000</v>
      </c>
      <c r="H121" s="50">
        <f t="shared" si="4"/>
        <v>-2.8453355479099933</v>
      </c>
      <c r="I121" s="49">
        <f>VLOOKUP($A121,'Data shares'!$C:$FB,66)</f>
        <v>35012000</v>
      </c>
      <c r="J121" s="49">
        <f>VLOOKUP($A121,'Data shares'!$C:$FB,67)</f>
        <v>39940000</v>
      </c>
      <c r="K121" s="50">
        <f t="shared" si="5"/>
        <v>-14.075174225979664</v>
      </c>
      <c r="L121" s="50">
        <f>VLOOKUP($A121,'Data shares'!$C:$FB,118)</f>
        <v>1.0900000000000001</v>
      </c>
      <c r="M121" s="50">
        <f>VLOOKUP($A121,'Data shares'!$C:$FB,119)</f>
        <v>0.97</v>
      </c>
      <c r="N121" s="50">
        <f>VLOOKUP($A121,'Data shares'!$C:$FB,121)*100</f>
        <v>12.370000000000001</v>
      </c>
      <c r="O121" s="50">
        <f>VLOOKUP($A121,'Data shares'!$C:$FB,124)</f>
        <v>0.87</v>
      </c>
      <c r="P121" s="50">
        <f>VLOOKUP($A121,'Data shares'!$C:$FB,125)</f>
        <v>0.71</v>
      </c>
      <c r="Q121" s="50">
        <f>VLOOKUP($A121,'Data shares'!$C:$FB,127)*100</f>
        <v>22.54</v>
      </c>
    </row>
    <row r="122" spans="1:17" x14ac:dyDescent="0.25">
      <c r="A122" s="97" t="str">
        <f>'Data Vlaue (Cr)'!C117</f>
        <v>LICI</v>
      </c>
      <c r="B122" s="140">
        <f>VLOOKUP($A122,'Data shares'!$C:$FB,7)</f>
        <v>819.3</v>
      </c>
      <c r="C122" s="140">
        <f>VLOOKUP($A122,'Data shares'!$C:$FB,3)</f>
        <v>821.15</v>
      </c>
      <c r="D122" s="140">
        <f>VLOOKUP($A122,'Data shares'!$C:$FB,4)</f>
        <v>809.5</v>
      </c>
      <c r="E122" s="50">
        <f t="shared" si="3"/>
        <v>1.4391599752933881</v>
      </c>
      <c r="F122" s="49">
        <f>VLOOKUP($A122,'Data shares'!$C:$FB,98)</f>
        <v>22969100</v>
      </c>
      <c r="G122" s="49">
        <f>VLOOKUP($A122,'Data shares'!$C:$FB,99)</f>
        <v>23653700</v>
      </c>
      <c r="H122" s="50">
        <f t="shared" si="4"/>
        <v>-2.8942617856825779</v>
      </c>
      <c r="I122" s="49">
        <f>VLOOKUP($A122,'Data shares'!$C:$FB,66)</f>
        <v>52350200</v>
      </c>
      <c r="J122" s="49">
        <f>VLOOKUP($A122,'Data shares'!$C:$FB,67)</f>
        <v>16866500</v>
      </c>
      <c r="K122" s="50">
        <f t="shared" si="5"/>
        <v>67.78140293637847</v>
      </c>
      <c r="L122" s="50">
        <f>VLOOKUP($A122,'Data shares'!$C:$FB,118)</f>
        <v>0.57999999999999996</v>
      </c>
      <c r="M122" s="50">
        <f>VLOOKUP($A122,'Data shares'!$C:$FB,119)</f>
        <v>0.6</v>
      </c>
      <c r="N122" s="50">
        <f>VLOOKUP($A122,'Data shares'!$C:$FB,121)*100</f>
        <v>-3.3300000000000005</v>
      </c>
      <c r="O122" s="50">
        <f>VLOOKUP($A122,'Data shares'!$C:$FB,124)</f>
        <v>0.67</v>
      </c>
      <c r="P122" s="50">
        <f>VLOOKUP($A122,'Data shares'!$C:$FB,125)</f>
        <v>0.68</v>
      </c>
      <c r="Q122" s="50">
        <f>VLOOKUP($A122,'Data shares'!$C:$FB,127)*100</f>
        <v>-1.47</v>
      </c>
    </row>
    <row r="123" spans="1:17" x14ac:dyDescent="0.25">
      <c r="A123" s="97" t="str">
        <f>'Data Vlaue (Cr)'!C118</f>
        <v>LODHA</v>
      </c>
      <c r="B123" s="140">
        <f>VLOOKUP($A123,'Data shares'!$C:$FB,7)</f>
        <v>945.5</v>
      </c>
      <c r="C123" s="140">
        <f>VLOOKUP($A123,'Data shares'!$C:$FB,3)</f>
        <v>950</v>
      </c>
      <c r="D123" s="140">
        <f>VLOOKUP($A123,'Data shares'!$C:$FB,4)</f>
        <v>980.6</v>
      </c>
      <c r="E123" s="50">
        <f t="shared" si="3"/>
        <v>-3.120538445849482</v>
      </c>
      <c r="F123" s="49">
        <f>VLOOKUP($A123,'Data shares'!$C:$FB,98)</f>
        <v>18966150</v>
      </c>
      <c r="G123" s="49">
        <f>VLOOKUP($A123,'Data shares'!$C:$FB,99)</f>
        <v>18147150</v>
      </c>
      <c r="H123" s="50">
        <f t="shared" si="4"/>
        <v>4.5131053636521434</v>
      </c>
      <c r="I123" s="49">
        <f>VLOOKUP($A123,'Data shares'!$C:$FB,66)</f>
        <v>20866050</v>
      </c>
      <c r="J123" s="49">
        <f>VLOOKUP($A123,'Data shares'!$C:$FB,67)</f>
        <v>17842050</v>
      </c>
      <c r="K123" s="50">
        <f t="shared" si="5"/>
        <v>14.492441070542819</v>
      </c>
      <c r="L123" s="50">
        <f>VLOOKUP($A123,'Data shares'!$C:$FB,118)</f>
        <v>0.52</v>
      </c>
      <c r="M123" s="50">
        <f>VLOOKUP($A123,'Data shares'!$C:$FB,119)</f>
        <v>0.51</v>
      </c>
      <c r="N123" s="50">
        <f>VLOOKUP($A123,'Data shares'!$C:$FB,121)*100</f>
        <v>1.96</v>
      </c>
      <c r="O123" s="50">
        <f>VLOOKUP($A123,'Data shares'!$C:$FB,124)</f>
        <v>0.85</v>
      </c>
      <c r="P123" s="50">
        <f>VLOOKUP($A123,'Data shares'!$C:$FB,125)</f>
        <v>0.62</v>
      </c>
      <c r="Q123" s="50">
        <f>VLOOKUP($A123,'Data shares'!$C:$FB,127)*100</f>
        <v>37.1</v>
      </c>
    </row>
    <row r="124" spans="1:17" x14ac:dyDescent="0.25">
      <c r="A124" s="97" t="str">
        <f>'Data Vlaue (Cr)'!C119</f>
        <v>LT</v>
      </c>
      <c r="B124" s="140">
        <f>VLOOKUP($A124,'Data shares'!$C:$FB,7)</f>
        <v>3793.8</v>
      </c>
      <c r="C124" s="140">
        <f>VLOOKUP($A124,'Data shares'!$C:$FB,3)</f>
        <v>3800.6</v>
      </c>
      <c r="D124" s="140">
        <f>VLOOKUP($A124,'Data shares'!$C:$FB,4)</f>
        <v>3765.6</v>
      </c>
      <c r="E124" s="50">
        <f t="shared" si="3"/>
        <v>0.92946675164648396</v>
      </c>
      <c r="F124" s="49">
        <f>VLOOKUP($A124,'Data shares'!$C:$FB,98)</f>
        <v>25759475</v>
      </c>
      <c r="G124" s="49">
        <f>VLOOKUP($A124,'Data shares'!$C:$FB,99)</f>
        <v>25696650</v>
      </c>
      <c r="H124" s="50">
        <f t="shared" si="4"/>
        <v>0.24448712186218827</v>
      </c>
      <c r="I124" s="49">
        <f>VLOOKUP($A124,'Data shares'!$C:$FB,66)</f>
        <v>22926575</v>
      </c>
      <c r="J124" s="49">
        <f>VLOOKUP($A124,'Data shares'!$C:$FB,67)</f>
        <v>24208800</v>
      </c>
      <c r="K124" s="50">
        <f t="shared" si="5"/>
        <v>-5.5927455365661904</v>
      </c>
      <c r="L124" s="50">
        <f>VLOOKUP($A124,'Data shares'!$C:$FB,118)</f>
        <v>0.48</v>
      </c>
      <c r="M124" s="50">
        <f>VLOOKUP($A124,'Data shares'!$C:$FB,119)</f>
        <v>0.46</v>
      </c>
      <c r="N124" s="50">
        <f>VLOOKUP($A124,'Data shares'!$C:$FB,121)*100</f>
        <v>4.3499999999999996</v>
      </c>
      <c r="O124" s="50">
        <f>VLOOKUP($A124,'Data shares'!$C:$FB,124)</f>
        <v>0.36</v>
      </c>
      <c r="P124" s="50">
        <f>VLOOKUP($A124,'Data shares'!$C:$FB,125)</f>
        <v>0.49</v>
      </c>
      <c r="Q124" s="50">
        <f>VLOOKUP($A124,'Data shares'!$C:$FB,127)*100</f>
        <v>-26.529999999999998</v>
      </c>
    </row>
    <row r="125" spans="1:17" x14ac:dyDescent="0.25">
      <c r="A125" s="97" t="str">
        <f>'Data Vlaue (Cr)'!C120</f>
        <v>LTF</v>
      </c>
      <c r="B125" s="140">
        <f>VLOOKUP($A125,'Data shares'!$C:$FB,7)</f>
        <v>287.3</v>
      </c>
      <c r="C125" s="140">
        <f>VLOOKUP($A125,'Data shares'!$C:$FB,3)</f>
        <v>287.35000000000002</v>
      </c>
      <c r="D125" s="140">
        <f>VLOOKUP($A125,'Data shares'!$C:$FB,4)</f>
        <v>282.55</v>
      </c>
      <c r="E125" s="50">
        <f t="shared" si="3"/>
        <v>1.6988143691382094</v>
      </c>
      <c r="F125" s="49">
        <f>VLOOKUP($A125,'Data shares'!$C:$FB,98)</f>
        <v>129132000</v>
      </c>
      <c r="G125" s="49">
        <f>VLOOKUP($A125,'Data shares'!$C:$FB,99)</f>
        <v>134646750</v>
      </c>
      <c r="H125" s="50">
        <f t="shared" si="4"/>
        <v>-4.0957171264809586</v>
      </c>
      <c r="I125" s="49">
        <f>VLOOKUP($A125,'Data shares'!$C:$FB,66)</f>
        <v>141282000</v>
      </c>
      <c r="J125" s="49">
        <f>VLOOKUP($A125,'Data shares'!$C:$FB,67)</f>
        <v>373639500</v>
      </c>
      <c r="K125" s="50">
        <f t="shared" si="5"/>
        <v>-164.46362593961015</v>
      </c>
      <c r="L125" s="50">
        <f>VLOOKUP($A125,'Data shares'!$C:$FB,118)</f>
        <v>0.46</v>
      </c>
      <c r="M125" s="50">
        <f>VLOOKUP($A125,'Data shares'!$C:$FB,119)</f>
        <v>0.44</v>
      </c>
      <c r="N125" s="50">
        <f>VLOOKUP($A125,'Data shares'!$C:$FB,121)*100</f>
        <v>4.55</v>
      </c>
      <c r="O125" s="50">
        <f>VLOOKUP($A125,'Data shares'!$C:$FB,124)</f>
        <v>0.35</v>
      </c>
      <c r="P125" s="50">
        <f>VLOOKUP($A125,'Data shares'!$C:$FB,125)</f>
        <v>0.51</v>
      </c>
      <c r="Q125" s="50">
        <f>VLOOKUP($A125,'Data shares'!$C:$FB,127)*100</f>
        <v>-31.369999999999997</v>
      </c>
    </row>
    <row r="126" spans="1:17" x14ac:dyDescent="0.25">
      <c r="A126" s="97" t="str">
        <f>'Data Vlaue (Cr)'!C121</f>
        <v>LTIM</v>
      </c>
      <c r="B126" s="140">
        <f>VLOOKUP($A126,'Data shares'!$C:$FB,7)</f>
        <v>5947</v>
      </c>
      <c r="C126" s="140">
        <f>VLOOKUP($A126,'Data shares'!$C:$FB,3)</f>
        <v>5949</v>
      </c>
      <c r="D126" s="140">
        <f>VLOOKUP($A126,'Data shares'!$C:$FB,4)</f>
        <v>5860</v>
      </c>
      <c r="E126" s="50">
        <f t="shared" si="3"/>
        <v>1.5187713310580204</v>
      </c>
      <c r="F126" s="49">
        <f>VLOOKUP($A126,'Data shares'!$C:$FB,98)</f>
        <v>5721000</v>
      </c>
      <c r="G126" s="49">
        <f>VLOOKUP($A126,'Data shares'!$C:$FB,99)</f>
        <v>6248550</v>
      </c>
      <c r="H126" s="50">
        <f t="shared" si="4"/>
        <v>-8.4427587200230452</v>
      </c>
      <c r="I126" s="49">
        <f>VLOOKUP($A126,'Data shares'!$C:$FB,66)</f>
        <v>12945450</v>
      </c>
      <c r="J126" s="49">
        <f>VLOOKUP($A126,'Data shares'!$C:$FB,67)</f>
        <v>20427000</v>
      </c>
      <c r="K126" s="50">
        <f t="shared" si="5"/>
        <v>-57.792892483459433</v>
      </c>
      <c r="L126" s="50">
        <f>VLOOKUP($A126,'Data shares'!$C:$FB,118)</f>
        <v>0.59</v>
      </c>
      <c r="M126" s="50">
        <f>VLOOKUP($A126,'Data shares'!$C:$FB,119)</f>
        <v>0.5</v>
      </c>
      <c r="N126" s="50">
        <f>VLOOKUP($A126,'Data shares'!$C:$FB,121)*100</f>
        <v>18</v>
      </c>
      <c r="O126" s="50">
        <f>VLOOKUP($A126,'Data shares'!$C:$FB,124)</f>
        <v>0.46</v>
      </c>
      <c r="P126" s="50">
        <f>VLOOKUP($A126,'Data shares'!$C:$FB,125)</f>
        <v>0.8</v>
      </c>
      <c r="Q126" s="50">
        <f>VLOOKUP($A126,'Data shares'!$C:$FB,127)*100</f>
        <v>-42.5</v>
      </c>
    </row>
    <row r="127" spans="1:17" x14ac:dyDescent="0.25">
      <c r="A127" s="97" t="str">
        <f>'Data Vlaue (Cr)'!C122</f>
        <v>LUPIN</v>
      </c>
      <c r="B127" s="140">
        <f>VLOOKUP($A127,'Data shares'!$C:$FB,7)</f>
        <v>2163.1999999999998</v>
      </c>
      <c r="C127" s="140">
        <f>VLOOKUP($A127,'Data shares'!$C:$FB,3)</f>
        <v>2161.6</v>
      </c>
      <c r="D127" s="140">
        <f>VLOOKUP($A127,'Data shares'!$C:$FB,4)</f>
        <v>2145.5</v>
      </c>
      <c r="E127" s="50">
        <f t="shared" si="3"/>
        <v>0.75040783034257319</v>
      </c>
      <c r="F127" s="49">
        <f>VLOOKUP($A127,'Data shares'!$C:$FB,98)</f>
        <v>11141800</v>
      </c>
      <c r="G127" s="49">
        <f>VLOOKUP($A127,'Data shares'!$C:$FB,99)</f>
        <v>11389150</v>
      </c>
      <c r="H127" s="50">
        <f t="shared" si="4"/>
        <v>-2.1718038659601464</v>
      </c>
      <c r="I127" s="49">
        <f>VLOOKUP($A127,'Data shares'!$C:$FB,66)</f>
        <v>10340675</v>
      </c>
      <c r="J127" s="49">
        <f>VLOOKUP($A127,'Data shares'!$C:$FB,67)</f>
        <v>13414700</v>
      </c>
      <c r="K127" s="50">
        <f t="shared" si="5"/>
        <v>-29.727508117216722</v>
      </c>
      <c r="L127" s="50">
        <f>VLOOKUP($A127,'Data shares'!$C:$FB,118)</f>
        <v>0.59</v>
      </c>
      <c r="M127" s="50">
        <f>VLOOKUP($A127,'Data shares'!$C:$FB,119)</f>
        <v>0.6</v>
      </c>
      <c r="N127" s="50">
        <f>VLOOKUP($A127,'Data shares'!$C:$FB,121)*100</f>
        <v>-1.67</v>
      </c>
      <c r="O127" s="50">
        <f>VLOOKUP($A127,'Data shares'!$C:$FB,124)</f>
        <v>0.55000000000000004</v>
      </c>
      <c r="P127" s="50">
        <f>VLOOKUP($A127,'Data shares'!$C:$FB,125)</f>
        <v>0.4</v>
      </c>
      <c r="Q127" s="50">
        <f>VLOOKUP($A127,'Data shares'!$C:$FB,127)*100</f>
        <v>37.5</v>
      </c>
    </row>
    <row r="128" spans="1:17" x14ac:dyDescent="0.25">
      <c r="A128" s="97" t="str">
        <f>'Data Vlaue (Cr)'!C123</f>
        <v>M&amp;M</v>
      </c>
      <c r="B128" s="140">
        <f>VLOOKUP($A128,'Data shares'!$C:$FB,7)</f>
        <v>3573.7</v>
      </c>
      <c r="C128" s="140">
        <f>VLOOKUP($A128,'Data shares'!$C:$FB,3)</f>
        <v>3579.7</v>
      </c>
      <c r="D128" s="140">
        <f>VLOOKUP($A128,'Data shares'!$C:$FB,4)</f>
        <v>3551.7</v>
      </c>
      <c r="E128" s="50">
        <f t="shared" si="3"/>
        <v>0.78835487231466628</v>
      </c>
      <c r="F128" s="49">
        <f>VLOOKUP($A128,'Data shares'!$C:$FB,98)</f>
        <v>24416000</v>
      </c>
      <c r="G128" s="49">
        <f>VLOOKUP($A128,'Data shares'!$C:$FB,99)</f>
        <v>24625800</v>
      </c>
      <c r="H128" s="50">
        <f t="shared" si="4"/>
        <v>-0.85195201780246743</v>
      </c>
      <c r="I128" s="49">
        <f>VLOOKUP($A128,'Data shares'!$C:$FB,66)</f>
        <v>29263800</v>
      </c>
      <c r="J128" s="49">
        <f>VLOOKUP($A128,'Data shares'!$C:$FB,67)</f>
        <v>21883400</v>
      </c>
      <c r="K128" s="50">
        <f t="shared" si="5"/>
        <v>25.220237973195552</v>
      </c>
      <c r="L128" s="50">
        <f>VLOOKUP($A128,'Data shares'!$C:$FB,118)</f>
        <v>0.6</v>
      </c>
      <c r="M128" s="50">
        <f>VLOOKUP($A128,'Data shares'!$C:$FB,119)</f>
        <v>0.54</v>
      </c>
      <c r="N128" s="50">
        <f>VLOOKUP($A128,'Data shares'!$C:$FB,121)*100</f>
        <v>11.110000000000001</v>
      </c>
      <c r="O128" s="50">
        <f>VLOOKUP($A128,'Data shares'!$C:$FB,124)</f>
        <v>0.49</v>
      </c>
      <c r="P128" s="50">
        <f>VLOOKUP($A128,'Data shares'!$C:$FB,125)</f>
        <v>0.69</v>
      </c>
      <c r="Q128" s="50">
        <f>VLOOKUP($A128,'Data shares'!$C:$FB,127)*100</f>
        <v>-28.99</v>
      </c>
    </row>
    <row r="129" spans="1:17" x14ac:dyDescent="0.25">
      <c r="A129" s="97" t="str">
        <f>'Data Vlaue (Cr)'!C124</f>
        <v>MANAPPURAM</v>
      </c>
      <c r="B129" s="140">
        <f>VLOOKUP($A129,'Data shares'!$C:$FB,7)</f>
        <v>300.2</v>
      </c>
      <c r="C129" s="140">
        <f>VLOOKUP($A129,'Data shares'!$C:$FB,3)</f>
        <v>300.75</v>
      </c>
      <c r="D129" s="140">
        <f>VLOOKUP($A129,'Data shares'!$C:$FB,4)</f>
        <v>298.5</v>
      </c>
      <c r="E129" s="50">
        <f t="shared" si="3"/>
        <v>0.75376884422110546</v>
      </c>
      <c r="F129" s="49">
        <f>VLOOKUP($A129,'Data shares'!$C:$FB,98)</f>
        <v>94983000</v>
      </c>
      <c r="G129" s="49">
        <f>VLOOKUP($A129,'Data shares'!$C:$FB,99)</f>
        <v>103170000</v>
      </c>
      <c r="H129" s="50">
        <f t="shared" si="4"/>
        <v>-7.9354463506833381</v>
      </c>
      <c r="I129" s="49">
        <f>VLOOKUP($A129,'Data shares'!$C:$FB,66)</f>
        <v>102852000</v>
      </c>
      <c r="J129" s="49">
        <f>VLOOKUP($A129,'Data shares'!$C:$FB,67)</f>
        <v>128775000</v>
      </c>
      <c r="K129" s="50">
        <f t="shared" si="5"/>
        <v>-25.204176875510441</v>
      </c>
      <c r="L129" s="50">
        <f>VLOOKUP($A129,'Data shares'!$C:$FB,118)</f>
        <v>0.75</v>
      </c>
      <c r="M129" s="50">
        <f>VLOOKUP($A129,'Data shares'!$C:$FB,119)</f>
        <v>0.62</v>
      </c>
      <c r="N129" s="50">
        <f>VLOOKUP($A129,'Data shares'!$C:$FB,121)*100</f>
        <v>20.97</v>
      </c>
      <c r="O129" s="50">
        <f>VLOOKUP($A129,'Data shares'!$C:$FB,124)</f>
        <v>0.42</v>
      </c>
      <c r="P129" s="50">
        <f>VLOOKUP($A129,'Data shares'!$C:$FB,125)</f>
        <v>0.43</v>
      </c>
      <c r="Q129" s="50">
        <f>VLOOKUP($A129,'Data shares'!$C:$FB,127)*100</f>
        <v>-2.33</v>
      </c>
    </row>
    <row r="130" spans="1:17" x14ac:dyDescent="0.25">
      <c r="A130" s="97" t="str">
        <f>'Data Vlaue (Cr)'!C125</f>
        <v>MANKIND</v>
      </c>
      <c r="B130" s="140">
        <f>VLOOKUP($A130,'Data shares'!$C:$FB,7)</f>
        <v>2147</v>
      </c>
      <c r="C130" s="140">
        <f>VLOOKUP($A130,'Data shares'!$C:$FB,3)</f>
        <v>2152.1999999999998</v>
      </c>
      <c r="D130" s="140">
        <f>VLOOKUP($A130,'Data shares'!$C:$FB,4)</f>
        <v>2099.9</v>
      </c>
      <c r="E130" s="50">
        <f t="shared" si="3"/>
        <v>2.4905947902280934</v>
      </c>
      <c r="F130" s="49">
        <f>VLOOKUP($A130,'Data shares'!$C:$FB,98)</f>
        <v>3824325</v>
      </c>
      <c r="G130" s="49">
        <f>VLOOKUP($A130,'Data shares'!$C:$FB,99)</f>
        <v>4045050</v>
      </c>
      <c r="H130" s="50">
        <f t="shared" si="4"/>
        <v>-5.4566692624318609</v>
      </c>
      <c r="I130" s="49">
        <f>VLOOKUP($A130,'Data shares'!$C:$FB,66)</f>
        <v>3631275</v>
      </c>
      <c r="J130" s="49">
        <f>VLOOKUP($A130,'Data shares'!$C:$FB,67)</f>
        <v>3374325</v>
      </c>
      <c r="K130" s="50">
        <f t="shared" si="5"/>
        <v>7.0760270153045424</v>
      </c>
      <c r="L130" s="50">
        <f>VLOOKUP($A130,'Data shares'!$C:$FB,118)</f>
        <v>0.57999999999999996</v>
      </c>
      <c r="M130" s="50">
        <f>VLOOKUP($A130,'Data shares'!$C:$FB,119)</f>
        <v>0.6</v>
      </c>
      <c r="N130" s="50">
        <f>VLOOKUP($A130,'Data shares'!$C:$FB,121)*100</f>
        <v>-3.3300000000000005</v>
      </c>
      <c r="O130" s="50">
        <f>VLOOKUP($A130,'Data shares'!$C:$FB,124)</f>
        <v>0.37</v>
      </c>
      <c r="P130" s="50">
        <f>VLOOKUP($A130,'Data shares'!$C:$FB,125)</f>
        <v>0.76</v>
      </c>
      <c r="Q130" s="50">
        <f>VLOOKUP($A130,'Data shares'!$C:$FB,127)*100</f>
        <v>-51.32</v>
      </c>
    </row>
    <row r="131" spans="1:17" x14ac:dyDescent="0.25">
      <c r="A131" s="97" t="str">
        <f>'Data Vlaue (Cr)'!C126</f>
        <v>MARICO</v>
      </c>
      <c r="B131" s="140">
        <f>VLOOKUP($A131,'Data shares'!$C:$FB,7)</f>
        <v>751.75</v>
      </c>
      <c r="C131" s="140">
        <f>VLOOKUP($A131,'Data shares'!$C:$FB,3)</f>
        <v>752.25</v>
      </c>
      <c r="D131" s="140">
        <f>VLOOKUP($A131,'Data shares'!$C:$FB,4)</f>
        <v>747.95</v>
      </c>
      <c r="E131" s="50">
        <f t="shared" si="3"/>
        <v>0.57490473962162636</v>
      </c>
      <c r="F131" s="49">
        <f>VLOOKUP($A131,'Data shares'!$C:$FB,98)</f>
        <v>43974000</v>
      </c>
      <c r="G131" s="49">
        <f>VLOOKUP($A131,'Data shares'!$C:$FB,99)</f>
        <v>43990800</v>
      </c>
      <c r="H131" s="50">
        <f t="shared" si="4"/>
        <v>-3.8189803322512893E-2</v>
      </c>
      <c r="I131" s="49">
        <f>VLOOKUP($A131,'Data shares'!$C:$FB,66)</f>
        <v>35433600</v>
      </c>
      <c r="J131" s="49">
        <f>VLOOKUP($A131,'Data shares'!$C:$FB,67)</f>
        <v>26112000</v>
      </c>
      <c r="K131" s="50">
        <f t="shared" si="5"/>
        <v>26.307233811975074</v>
      </c>
      <c r="L131" s="50">
        <f>VLOOKUP($A131,'Data shares'!$C:$FB,118)</f>
        <v>0.52</v>
      </c>
      <c r="M131" s="50">
        <f>VLOOKUP($A131,'Data shares'!$C:$FB,119)</f>
        <v>0.55000000000000004</v>
      </c>
      <c r="N131" s="50">
        <f>VLOOKUP($A131,'Data shares'!$C:$FB,121)*100</f>
        <v>-5.45</v>
      </c>
      <c r="O131" s="50">
        <f>VLOOKUP($A131,'Data shares'!$C:$FB,124)</f>
        <v>0.31</v>
      </c>
      <c r="P131" s="50">
        <f>VLOOKUP($A131,'Data shares'!$C:$FB,125)</f>
        <v>0.4</v>
      </c>
      <c r="Q131" s="50">
        <f>VLOOKUP($A131,'Data shares'!$C:$FB,127)*100</f>
        <v>-22.5</v>
      </c>
    </row>
    <row r="132" spans="1:17" x14ac:dyDescent="0.25">
      <c r="A132" s="97" t="str">
        <f>'Data Vlaue (Cr)'!C127</f>
        <v>MARUTI</v>
      </c>
      <c r="B132" s="140">
        <f>VLOOKUP($A132,'Data shares'!$C:$FB,7)</f>
        <v>15765</v>
      </c>
      <c r="C132" s="140">
        <f>VLOOKUP($A132,'Data shares'!$C:$FB,3)</f>
        <v>15752</v>
      </c>
      <c r="D132" s="140">
        <f>VLOOKUP($A132,'Data shares'!$C:$FB,4)</f>
        <v>15793</v>
      </c>
      <c r="E132" s="50">
        <f t="shared" si="3"/>
        <v>-0.25960868739314885</v>
      </c>
      <c r="F132" s="49">
        <f>VLOOKUP($A132,'Data shares'!$C:$FB,98)</f>
        <v>6778000</v>
      </c>
      <c r="G132" s="49">
        <f>VLOOKUP($A132,'Data shares'!$C:$FB,99)</f>
        <v>7046550</v>
      </c>
      <c r="H132" s="50">
        <f t="shared" si="4"/>
        <v>-3.811084857128666</v>
      </c>
      <c r="I132" s="49">
        <f>VLOOKUP($A132,'Data shares'!$C:$FB,66)</f>
        <v>11011050</v>
      </c>
      <c r="J132" s="49">
        <f>VLOOKUP($A132,'Data shares'!$C:$FB,67)</f>
        <v>10650400</v>
      </c>
      <c r="K132" s="50">
        <f t="shared" si="5"/>
        <v>3.2753461295698414</v>
      </c>
      <c r="L132" s="50">
        <f>VLOOKUP($A132,'Data shares'!$C:$FB,118)</f>
        <v>0.36</v>
      </c>
      <c r="M132" s="50">
        <f>VLOOKUP($A132,'Data shares'!$C:$FB,119)</f>
        <v>0.36</v>
      </c>
      <c r="N132" s="50">
        <f>VLOOKUP($A132,'Data shares'!$C:$FB,121)*100</f>
        <v>0</v>
      </c>
      <c r="O132" s="50">
        <f>VLOOKUP($A132,'Data shares'!$C:$FB,124)</f>
        <v>0.43</v>
      </c>
      <c r="P132" s="50">
        <f>VLOOKUP($A132,'Data shares'!$C:$FB,125)</f>
        <v>0.55000000000000004</v>
      </c>
      <c r="Q132" s="50">
        <f>VLOOKUP($A132,'Data shares'!$C:$FB,127)*100</f>
        <v>-21.82</v>
      </c>
    </row>
    <row r="133" spans="1:17" x14ac:dyDescent="0.25">
      <c r="A133" s="97" t="str">
        <f>'Data Vlaue (Cr)'!C128</f>
        <v>MAXHEALTH</v>
      </c>
      <c r="B133" s="140">
        <f>VLOOKUP($A133,'Data shares'!$C:$FB,7)</f>
        <v>998.8</v>
      </c>
      <c r="C133" s="140">
        <f>VLOOKUP($A133,'Data shares'!$C:$FB,3)</f>
        <v>998.4</v>
      </c>
      <c r="D133" s="140">
        <f>VLOOKUP($A133,'Data shares'!$C:$FB,4)</f>
        <v>1003.5</v>
      </c>
      <c r="E133" s="50">
        <f t="shared" si="3"/>
        <v>-0.50822122571001715</v>
      </c>
      <c r="F133" s="49">
        <f>VLOOKUP($A133,'Data shares'!$C:$FB,98)</f>
        <v>25438350</v>
      </c>
      <c r="G133" s="49">
        <f>VLOOKUP($A133,'Data shares'!$C:$FB,99)</f>
        <v>25509225</v>
      </c>
      <c r="H133" s="50">
        <f t="shared" si="4"/>
        <v>-0.27784066352466608</v>
      </c>
      <c r="I133" s="49">
        <f>VLOOKUP($A133,'Data shares'!$C:$FB,66)</f>
        <v>22173375</v>
      </c>
      <c r="J133" s="49">
        <f>VLOOKUP($A133,'Data shares'!$C:$FB,67)</f>
        <v>21783825</v>
      </c>
      <c r="K133" s="50">
        <f t="shared" si="5"/>
        <v>1.7568367467740025</v>
      </c>
      <c r="L133" s="50">
        <f>VLOOKUP($A133,'Data shares'!$C:$FB,118)</f>
        <v>0.64</v>
      </c>
      <c r="M133" s="50">
        <f>VLOOKUP($A133,'Data shares'!$C:$FB,119)</f>
        <v>0.71</v>
      </c>
      <c r="N133" s="50">
        <f>VLOOKUP($A133,'Data shares'!$C:$FB,121)*100</f>
        <v>-9.86</v>
      </c>
      <c r="O133" s="50">
        <f>VLOOKUP($A133,'Data shares'!$C:$FB,124)</f>
        <v>0.42</v>
      </c>
      <c r="P133" s="50">
        <f>VLOOKUP($A133,'Data shares'!$C:$FB,125)</f>
        <v>0.56999999999999995</v>
      </c>
      <c r="Q133" s="50">
        <f>VLOOKUP($A133,'Data shares'!$C:$FB,127)*100</f>
        <v>-26.32</v>
      </c>
    </row>
    <row r="134" spans="1:17" x14ac:dyDescent="0.25">
      <c r="A134" s="97" t="str">
        <f>'Data Vlaue (Cr)'!C129</f>
        <v>MAZDOCK</v>
      </c>
      <c r="B134" s="140">
        <f>VLOOKUP($A134,'Data shares'!$C:$FB,7)</f>
        <v>2369</v>
      </c>
      <c r="C134" s="140">
        <f>VLOOKUP($A134,'Data shares'!$C:$FB,3)</f>
        <v>2366.6999999999998</v>
      </c>
      <c r="D134" s="140">
        <f>VLOOKUP($A134,'Data shares'!$C:$FB,4)</f>
        <v>2329.5</v>
      </c>
      <c r="E134" s="50">
        <f t="shared" si="3"/>
        <v>1.5969092079845382</v>
      </c>
      <c r="F134" s="49">
        <f>VLOOKUP($A134,'Data shares'!$C:$FB,98)</f>
        <v>11896400</v>
      </c>
      <c r="G134" s="49">
        <f>VLOOKUP($A134,'Data shares'!$C:$FB,99)</f>
        <v>12880000</v>
      </c>
      <c r="H134" s="50">
        <f t="shared" si="4"/>
        <v>-7.6366459627329188</v>
      </c>
      <c r="I134" s="49">
        <f>VLOOKUP($A134,'Data shares'!$C:$FB,66)</f>
        <v>10602600</v>
      </c>
      <c r="J134" s="49">
        <f>VLOOKUP($A134,'Data shares'!$C:$FB,67)</f>
        <v>9736800</v>
      </c>
      <c r="K134" s="50">
        <f t="shared" si="5"/>
        <v>8.1659215664082385</v>
      </c>
      <c r="L134" s="50">
        <f>VLOOKUP($A134,'Data shares'!$C:$FB,118)</f>
        <v>0.47</v>
      </c>
      <c r="M134" s="50">
        <f>VLOOKUP($A134,'Data shares'!$C:$FB,119)</f>
        <v>0.43</v>
      </c>
      <c r="N134" s="50">
        <f>VLOOKUP($A134,'Data shares'!$C:$FB,121)*100</f>
        <v>9.3000000000000007</v>
      </c>
      <c r="O134" s="50">
        <f>VLOOKUP($A134,'Data shares'!$C:$FB,124)</f>
        <v>0.27</v>
      </c>
      <c r="P134" s="50">
        <f>VLOOKUP($A134,'Data shares'!$C:$FB,125)</f>
        <v>0.36</v>
      </c>
      <c r="Q134" s="50">
        <f>VLOOKUP($A134,'Data shares'!$C:$FB,127)*100</f>
        <v>-25</v>
      </c>
    </row>
    <row r="135" spans="1:17" x14ac:dyDescent="0.25">
      <c r="A135" s="97" t="str">
        <f>'Data Vlaue (Cr)'!C130</f>
        <v>MCX</v>
      </c>
      <c r="B135" s="140">
        <f>VLOOKUP($A135,'Data shares'!$C:$FB,7)</f>
        <v>2314</v>
      </c>
      <c r="C135" s="140">
        <f>VLOOKUP($A135,'Data shares'!$C:$FB,3)</f>
        <v>2319</v>
      </c>
      <c r="D135" s="140">
        <f>VLOOKUP($A135,'Data shares'!$C:$FB,4)</f>
        <v>2329</v>
      </c>
      <c r="E135" s="50">
        <f t="shared" si="3"/>
        <v>-0.42936882782310004</v>
      </c>
      <c r="F135" s="49">
        <f>VLOOKUP($A135,'Data shares'!$C:$FB,98)</f>
        <v>43815625</v>
      </c>
      <c r="G135" s="49">
        <f>VLOOKUP($A135,'Data shares'!$C:$FB,99)</f>
        <v>41367500</v>
      </c>
      <c r="H135" s="50">
        <f t="shared" si="4"/>
        <v>5.9179911766483349</v>
      </c>
      <c r="I135" s="49">
        <f>VLOOKUP($A135,'Data shares'!$C:$FB,66)</f>
        <v>94131250</v>
      </c>
      <c r="J135" s="49">
        <f>VLOOKUP($A135,'Data shares'!$C:$FB,67)</f>
        <v>60497500</v>
      </c>
      <c r="K135" s="50">
        <f t="shared" si="5"/>
        <v>35.730695172963287</v>
      </c>
      <c r="L135" s="50">
        <f>VLOOKUP($A135,'Data shares'!$C:$FB,118)</f>
        <v>0.45</v>
      </c>
      <c r="M135" s="50">
        <f>VLOOKUP($A135,'Data shares'!$C:$FB,119)</f>
        <v>0.49</v>
      </c>
      <c r="N135" s="50">
        <f>VLOOKUP($A135,'Data shares'!$C:$FB,121)*100</f>
        <v>-8.16</v>
      </c>
      <c r="O135" s="50">
        <f>VLOOKUP($A135,'Data shares'!$C:$FB,124)</f>
        <v>0.44</v>
      </c>
      <c r="P135" s="50">
        <f>VLOOKUP($A135,'Data shares'!$C:$FB,125)</f>
        <v>0.47</v>
      </c>
      <c r="Q135" s="50">
        <f>VLOOKUP($A135,'Data shares'!$C:$FB,127)*100</f>
        <v>-6.38</v>
      </c>
    </row>
    <row r="136" spans="1:17" x14ac:dyDescent="0.25">
      <c r="A136" s="97" t="str">
        <f>'Data Vlaue (Cr)'!C131</f>
        <v>MFSL</v>
      </c>
      <c r="B136" s="140">
        <f>VLOOKUP($A136,'Data shares'!$C:$FB,7)</f>
        <v>1627.7</v>
      </c>
      <c r="C136" s="140">
        <f>VLOOKUP($A136,'Data shares'!$C:$FB,3)</f>
        <v>1626.7</v>
      </c>
      <c r="D136" s="140">
        <f>VLOOKUP($A136,'Data shares'!$C:$FB,4)</f>
        <v>1618.4</v>
      </c>
      <c r="E136" s="50">
        <f t="shared" ref="E136:E172" si="6">(C136-D136)/D136*100</f>
        <v>0.5128521997034079</v>
      </c>
      <c r="F136" s="49">
        <f>VLOOKUP($A136,'Data shares'!$C:$FB,98)</f>
        <v>11514400</v>
      </c>
      <c r="G136" s="49">
        <f>VLOOKUP($A136,'Data shares'!$C:$FB,99)</f>
        <v>11909200</v>
      </c>
      <c r="H136" s="50">
        <f t="shared" ref="H136:H172" si="7">(F136-G136)/G136*100</f>
        <v>-3.3150841366338626</v>
      </c>
      <c r="I136" s="49">
        <f>VLOOKUP($A136,'Data shares'!$C:$FB,66)</f>
        <v>10291200</v>
      </c>
      <c r="J136" s="49">
        <f>VLOOKUP($A136,'Data shares'!$C:$FB,67)</f>
        <v>9980800</v>
      </c>
      <c r="K136" s="50">
        <f t="shared" ref="K136:K172" si="8">(I136-J136)/I136*100</f>
        <v>3.016169154228856</v>
      </c>
      <c r="L136" s="50">
        <f>VLOOKUP($A136,'Data shares'!$C:$FB,118)</f>
        <v>0.69</v>
      </c>
      <c r="M136" s="50">
        <f>VLOOKUP($A136,'Data shares'!$C:$FB,119)</f>
        <v>0.68</v>
      </c>
      <c r="N136" s="50">
        <f>VLOOKUP($A136,'Data shares'!$C:$FB,121)*100</f>
        <v>1.47</v>
      </c>
      <c r="O136" s="50">
        <f>VLOOKUP($A136,'Data shares'!$C:$FB,124)</f>
        <v>0.56000000000000005</v>
      </c>
      <c r="P136" s="50">
        <f>VLOOKUP($A136,'Data shares'!$C:$FB,125)</f>
        <v>1.01</v>
      </c>
      <c r="Q136" s="50">
        <f>VLOOKUP($A136,'Data shares'!$C:$FB,127)*100</f>
        <v>-44.55</v>
      </c>
    </row>
    <row r="137" spans="1:17" x14ac:dyDescent="0.25">
      <c r="A137" s="97" t="str">
        <f>'Data Vlaue (Cr)'!C132</f>
        <v>MIDCPNIFTY</v>
      </c>
      <c r="B137" s="140">
        <f>VLOOKUP($A137,'Data shares'!$C:$FB,7)</f>
        <v>13325.45</v>
      </c>
      <c r="C137" s="140">
        <f>VLOOKUP($A137,'Data shares'!$C:$FB,3)</f>
        <v>13337.15</v>
      </c>
      <c r="D137" s="140">
        <f>VLOOKUP($A137,'Data shares'!$C:$FB,4)</f>
        <v>13141.2</v>
      </c>
      <c r="E137" s="50">
        <f t="shared" si="6"/>
        <v>1.4911119228076499</v>
      </c>
      <c r="F137" s="49">
        <f>VLOOKUP($A137,'Data shares'!$C:$FB,98)</f>
        <v>29907600</v>
      </c>
      <c r="G137" s="49">
        <f>VLOOKUP($A137,'Data shares'!$C:$FB,99)</f>
        <v>28961520</v>
      </c>
      <c r="H137" s="50">
        <f t="shared" si="7"/>
        <v>3.2666793731820709</v>
      </c>
      <c r="I137" s="49">
        <f>VLOOKUP($A137,'Data shares'!$C:$FB,66)</f>
        <v>161059800</v>
      </c>
      <c r="J137" s="49">
        <f>VLOOKUP($A137,'Data shares'!$C:$FB,67)</f>
        <v>230258280</v>
      </c>
      <c r="K137" s="50">
        <f t="shared" si="8"/>
        <v>-42.964464130714184</v>
      </c>
      <c r="L137" s="50">
        <f>VLOOKUP($A137,'Data shares'!$C:$FB,118)</f>
        <v>0.74</v>
      </c>
      <c r="M137" s="50">
        <f>VLOOKUP($A137,'Data shares'!$C:$FB,119)</f>
        <v>0.67</v>
      </c>
      <c r="N137" s="50">
        <f>VLOOKUP($A137,'Data shares'!$C:$FB,121)*100</f>
        <v>10.45</v>
      </c>
      <c r="O137" s="50">
        <f>VLOOKUP($A137,'Data shares'!$C:$FB,124)</f>
        <v>0.83</v>
      </c>
      <c r="P137" s="50">
        <f>VLOOKUP($A137,'Data shares'!$C:$FB,125)</f>
        <v>0.89</v>
      </c>
      <c r="Q137" s="50">
        <f>VLOOKUP($A137,'Data shares'!$C:$FB,127)*100</f>
        <v>-6.74</v>
      </c>
    </row>
    <row r="138" spans="1:17" x14ac:dyDescent="0.25">
      <c r="A138" s="97" t="str">
        <f>'Data Vlaue (Cr)'!C133</f>
        <v>MOTHERSON</v>
      </c>
      <c r="B138" s="140">
        <f>VLOOKUP($A138,'Data shares'!$C:$FB,7)</f>
        <v>111.33</v>
      </c>
      <c r="C138" s="140">
        <f>VLOOKUP($A138,'Data shares'!$C:$FB,3)</f>
        <v>111.52</v>
      </c>
      <c r="D138" s="140">
        <f>VLOOKUP($A138,'Data shares'!$C:$FB,4)</f>
        <v>109.66</v>
      </c>
      <c r="E138" s="50">
        <f t="shared" si="6"/>
        <v>1.6961517417472181</v>
      </c>
      <c r="F138" s="49">
        <f>VLOOKUP($A138,'Data shares'!$C:$FB,98)</f>
        <v>285329250</v>
      </c>
      <c r="G138" s="49">
        <f>VLOOKUP($A138,'Data shares'!$C:$FB,99)</f>
        <v>289283700</v>
      </c>
      <c r="H138" s="50">
        <f t="shared" si="7"/>
        <v>-1.3669798886007059</v>
      </c>
      <c r="I138" s="49">
        <f>VLOOKUP($A138,'Data shares'!$C:$FB,66)</f>
        <v>265169550</v>
      </c>
      <c r="J138" s="49">
        <f>VLOOKUP($A138,'Data shares'!$C:$FB,67)</f>
        <v>308557800</v>
      </c>
      <c r="K138" s="50">
        <f t="shared" si="8"/>
        <v>-16.362455643945545</v>
      </c>
      <c r="L138" s="50">
        <f>VLOOKUP($A138,'Data shares'!$C:$FB,118)</f>
        <v>0.54</v>
      </c>
      <c r="M138" s="50">
        <f>VLOOKUP($A138,'Data shares'!$C:$FB,119)</f>
        <v>0.49</v>
      </c>
      <c r="N138" s="50">
        <f>VLOOKUP($A138,'Data shares'!$C:$FB,121)*100</f>
        <v>10.199999999999999</v>
      </c>
      <c r="O138" s="50">
        <f>VLOOKUP($A138,'Data shares'!$C:$FB,124)</f>
        <v>0.36</v>
      </c>
      <c r="P138" s="50">
        <f>VLOOKUP($A138,'Data shares'!$C:$FB,125)</f>
        <v>0.41</v>
      </c>
      <c r="Q138" s="50">
        <f>VLOOKUP($A138,'Data shares'!$C:$FB,127)*100</f>
        <v>-12.2</v>
      </c>
    </row>
    <row r="139" spans="1:17" x14ac:dyDescent="0.25">
      <c r="A139" s="97" t="str">
        <f>'Data Vlaue (Cr)'!C134</f>
        <v>MPHASIS</v>
      </c>
      <c r="B139" s="140">
        <f>VLOOKUP($A139,'Data shares'!$C:$FB,7)</f>
        <v>2810.1</v>
      </c>
      <c r="C139" s="140">
        <f>VLOOKUP($A139,'Data shares'!$C:$FB,3)</f>
        <v>2808.2</v>
      </c>
      <c r="D139" s="140">
        <f>VLOOKUP($A139,'Data shares'!$C:$FB,4)</f>
        <v>2792.6</v>
      </c>
      <c r="E139" s="50">
        <f t="shared" si="6"/>
        <v>0.55861920790660713</v>
      </c>
      <c r="F139" s="49">
        <f>VLOOKUP($A139,'Data shares'!$C:$FB,98)</f>
        <v>7047425</v>
      </c>
      <c r="G139" s="49">
        <f>VLOOKUP($A139,'Data shares'!$C:$FB,99)</f>
        <v>6919275</v>
      </c>
      <c r="H139" s="50">
        <f t="shared" si="7"/>
        <v>1.852072652120345</v>
      </c>
      <c r="I139" s="49">
        <f>VLOOKUP($A139,'Data shares'!$C:$FB,66)</f>
        <v>10783575</v>
      </c>
      <c r="J139" s="49">
        <f>VLOOKUP($A139,'Data shares'!$C:$FB,67)</f>
        <v>11068200</v>
      </c>
      <c r="K139" s="50">
        <f t="shared" si="8"/>
        <v>-2.639430801009869</v>
      </c>
      <c r="L139" s="50">
        <f>VLOOKUP($A139,'Data shares'!$C:$FB,118)</f>
        <v>0.75</v>
      </c>
      <c r="M139" s="50">
        <f>VLOOKUP($A139,'Data shares'!$C:$FB,119)</f>
        <v>0.81</v>
      </c>
      <c r="N139" s="50">
        <f>VLOOKUP($A139,'Data shares'!$C:$FB,121)*100</f>
        <v>-7.41</v>
      </c>
      <c r="O139" s="50">
        <f>VLOOKUP($A139,'Data shares'!$C:$FB,124)</f>
        <v>0.76</v>
      </c>
      <c r="P139" s="50">
        <f>VLOOKUP($A139,'Data shares'!$C:$FB,125)</f>
        <v>1.57</v>
      </c>
      <c r="Q139" s="50">
        <f>VLOOKUP($A139,'Data shares'!$C:$FB,127)*100</f>
        <v>-51.59</v>
      </c>
    </row>
    <row r="140" spans="1:17" x14ac:dyDescent="0.25">
      <c r="A140" s="97" t="str">
        <f>'Data Vlaue (Cr)'!C135</f>
        <v>MUTHOOTFIN</v>
      </c>
      <c r="B140" s="140">
        <f>VLOOKUP($A140,'Data shares'!$C:$FB,7)</f>
        <v>3861.9</v>
      </c>
      <c r="C140" s="140">
        <f>VLOOKUP($A140,'Data shares'!$C:$FB,3)</f>
        <v>3865.6</v>
      </c>
      <c r="D140" s="140">
        <f>VLOOKUP($A140,'Data shares'!$C:$FB,4)</f>
        <v>3918.8</v>
      </c>
      <c r="E140" s="50">
        <f t="shared" si="6"/>
        <v>-1.3575584362560036</v>
      </c>
      <c r="F140" s="49">
        <f>VLOOKUP($A140,'Data shares'!$C:$FB,98)</f>
        <v>8045400</v>
      </c>
      <c r="G140" s="49">
        <f>VLOOKUP($A140,'Data shares'!$C:$FB,99)</f>
        <v>7879575</v>
      </c>
      <c r="H140" s="50">
        <f t="shared" si="7"/>
        <v>2.1044916762642654</v>
      </c>
      <c r="I140" s="49">
        <f>VLOOKUP($A140,'Data shares'!$C:$FB,66)</f>
        <v>22200200</v>
      </c>
      <c r="J140" s="49">
        <f>VLOOKUP($A140,'Data shares'!$C:$FB,67)</f>
        <v>22754600</v>
      </c>
      <c r="K140" s="50">
        <f t="shared" si="8"/>
        <v>-2.4972747993261319</v>
      </c>
      <c r="L140" s="50">
        <f>VLOOKUP($A140,'Data shares'!$C:$FB,118)</f>
        <v>0.64</v>
      </c>
      <c r="M140" s="50">
        <f>VLOOKUP($A140,'Data shares'!$C:$FB,119)</f>
        <v>0.6</v>
      </c>
      <c r="N140" s="50">
        <f>VLOOKUP($A140,'Data shares'!$C:$FB,121)*100</f>
        <v>6.67</v>
      </c>
      <c r="O140" s="50">
        <f>VLOOKUP($A140,'Data shares'!$C:$FB,124)</f>
        <v>1.02</v>
      </c>
      <c r="P140" s="50">
        <f>VLOOKUP($A140,'Data shares'!$C:$FB,125)</f>
        <v>0.41</v>
      </c>
      <c r="Q140" s="50">
        <f>VLOOKUP($A140,'Data shares'!$C:$FB,127)*100</f>
        <v>148.78</v>
      </c>
    </row>
    <row r="141" spans="1:17" x14ac:dyDescent="0.25">
      <c r="A141" s="97" t="str">
        <f>'Data Vlaue (Cr)'!C136</f>
        <v>NATIONALUM</v>
      </c>
      <c r="B141" s="140">
        <f>VLOOKUP($A141,'Data shares'!$C:$FB,7)</f>
        <v>364.6</v>
      </c>
      <c r="C141" s="140">
        <f>VLOOKUP($A141,'Data shares'!$C:$FB,3)</f>
        <v>364.2</v>
      </c>
      <c r="D141" s="140">
        <f>VLOOKUP($A141,'Data shares'!$C:$FB,4)</f>
        <v>361.75</v>
      </c>
      <c r="E141" s="50">
        <f t="shared" si="6"/>
        <v>0.67726330338631335</v>
      </c>
      <c r="F141" s="49">
        <f>VLOOKUP($A141,'Data shares'!$C:$FB,98)</f>
        <v>139117500</v>
      </c>
      <c r="G141" s="49">
        <f>VLOOKUP($A141,'Data shares'!$C:$FB,99)</f>
        <v>141618750</v>
      </c>
      <c r="H141" s="50">
        <f t="shared" si="7"/>
        <v>-1.7661856216073084</v>
      </c>
      <c r="I141" s="49">
        <f>VLOOKUP($A141,'Data shares'!$C:$FB,66)</f>
        <v>173223750</v>
      </c>
      <c r="J141" s="49">
        <f>VLOOKUP($A141,'Data shares'!$C:$FB,67)</f>
        <v>228900000</v>
      </c>
      <c r="K141" s="50">
        <f t="shared" si="8"/>
        <v>-32.141233520230337</v>
      </c>
      <c r="L141" s="50">
        <f>VLOOKUP($A141,'Data shares'!$C:$FB,118)</f>
        <v>0.84</v>
      </c>
      <c r="M141" s="50">
        <f>VLOOKUP($A141,'Data shares'!$C:$FB,119)</f>
        <v>0.79</v>
      </c>
      <c r="N141" s="50">
        <f>VLOOKUP($A141,'Data shares'!$C:$FB,121)*100</f>
        <v>6.3299999999999992</v>
      </c>
      <c r="O141" s="50">
        <f>VLOOKUP($A141,'Data shares'!$C:$FB,124)</f>
        <v>0.68</v>
      </c>
      <c r="P141" s="50">
        <f>VLOOKUP($A141,'Data shares'!$C:$FB,125)</f>
        <v>0.52</v>
      </c>
      <c r="Q141" s="50">
        <f>VLOOKUP($A141,'Data shares'!$C:$FB,127)*100</f>
        <v>30.769999999999996</v>
      </c>
    </row>
    <row r="142" spans="1:17" x14ac:dyDescent="0.25">
      <c r="A142" s="97" t="str">
        <f>'Data Vlaue (Cr)'!C137</f>
        <v>NAUKRI</v>
      </c>
      <c r="B142" s="140">
        <f>VLOOKUP($A142,'Data shares'!$C:$FB,7)</f>
        <v>1319.5</v>
      </c>
      <c r="C142" s="140">
        <f>VLOOKUP($A142,'Data shares'!$C:$FB,3)</f>
        <v>1317.2</v>
      </c>
      <c r="D142" s="140">
        <f>VLOOKUP($A142,'Data shares'!$C:$FB,4)</f>
        <v>1337.7</v>
      </c>
      <c r="E142" s="50">
        <f t="shared" si="6"/>
        <v>-1.5324811243178589</v>
      </c>
      <c r="F142" s="49">
        <f>VLOOKUP($A142,'Data shares'!$C:$FB,98)</f>
        <v>13254750</v>
      </c>
      <c r="G142" s="49">
        <f>VLOOKUP($A142,'Data shares'!$C:$FB,99)</f>
        <v>13881000</v>
      </c>
      <c r="H142" s="50">
        <f t="shared" si="7"/>
        <v>-4.5115625675383617</v>
      </c>
      <c r="I142" s="49">
        <f>VLOOKUP($A142,'Data shares'!$C:$FB,66)</f>
        <v>19640250</v>
      </c>
      <c r="J142" s="49">
        <f>VLOOKUP($A142,'Data shares'!$C:$FB,67)</f>
        <v>25260750</v>
      </c>
      <c r="K142" s="50">
        <f t="shared" si="8"/>
        <v>-28.617252835376334</v>
      </c>
      <c r="L142" s="50">
        <f>VLOOKUP($A142,'Data shares'!$C:$FB,118)</f>
        <v>0.57999999999999996</v>
      </c>
      <c r="M142" s="50">
        <f>VLOOKUP($A142,'Data shares'!$C:$FB,119)</f>
        <v>0.57999999999999996</v>
      </c>
      <c r="N142" s="50">
        <f>VLOOKUP($A142,'Data shares'!$C:$FB,121)*100</f>
        <v>0</v>
      </c>
      <c r="O142" s="50">
        <f>VLOOKUP($A142,'Data shares'!$C:$FB,124)</f>
        <v>0.74</v>
      </c>
      <c r="P142" s="50">
        <f>VLOOKUP($A142,'Data shares'!$C:$FB,125)</f>
        <v>0.66</v>
      </c>
      <c r="Q142" s="50">
        <f>VLOOKUP($A142,'Data shares'!$C:$FB,127)*100</f>
        <v>12.120000000000001</v>
      </c>
    </row>
    <row r="143" spans="1:17" x14ac:dyDescent="0.25">
      <c r="A143" s="97" t="str">
        <f>'Data Vlaue (Cr)'!C138</f>
        <v>NBCC</v>
      </c>
      <c r="B143" s="140">
        <f>VLOOKUP($A143,'Data shares'!$C:$FB,7)</f>
        <v>98.68</v>
      </c>
      <c r="C143" s="140">
        <f>VLOOKUP($A143,'Data shares'!$C:$FB,3)</f>
        <v>98.76</v>
      </c>
      <c r="D143" s="140">
        <f>VLOOKUP($A143,'Data shares'!$C:$FB,4)</f>
        <v>96.61</v>
      </c>
      <c r="E143" s="50">
        <f t="shared" si="6"/>
        <v>2.2254425007763228</v>
      </c>
      <c r="F143" s="49">
        <f>VLOOKUP($A143,'Data shares'!$C:$FB,98)</f>
        <v>202013500</v>
      </c>
      <c r="G143" s="49">
        <f>VLOOKUP($A143,'Data shares'!$C:$FB,99)</f>
        <v>205406500</v>
      </c>
      <c r="H143" s="50">
        <f t="shared" si="7"/>
        <v>-1.6518464605550458</v>
      </c>
      <c r="I143" s="49">
        <f>VLOOKUP($A143,'Data shares'!$C:$FB,66)</f>
        <v>129935000</v>
      </c>
      <c r="J143" s="49">
        <f>VLOOKUP($A143,'Data shares'!$C:$FB,67)</f>
        <v>150338500</v>
      </c>
      <c r="K143" s="50">
        <f t="shared" si="8"/>
        <v>-15.702851425712858</v>
      </c>
      <c r="L143" s="50">
        <f>VLOOKUP($A143,'Data shares'!$C:$FB,118)</f>
        <v>0.39</v>
      </c>
      <c r="M143" s="50">
        <f>VLOOKUP($A143,'Data shares'!$C:$FB,119)</f>
        <v>0.38</v>
      </c>
      <c r="N143" s="50">
        <f>VLOOKUP($A143,'Data shares'!$C:$FB,121)*100</f>
        <v>2.63</v>
      </c>
      <c r="O143" s="50">
        <f>VLOOKUP($A143,'Data shares'!$C:$FB,124)</f>
        <v>0.31</v>
      </c>
      <c r="P143" s="50">
        <f>VLOOKUP($A143,'Data shares'!$C:$FB,125)</f>
        <v>0.4</v>
      </c>
      <c r="Q143" s="50">
        <f>VLOOKUP($A143,'Data shares'!$C:$FB,127)*100</f>
        <v>-22.5</v>
      </c>
    </row>
    <row r="144" spans="1:17" x14ac:dyDescent="0.25">
      <c r="A144" s="97" t="str">
        <f>'Data Vlaue (Cr)'!C139</f>
        <v>NESTLEIND</v>
      </c>
      <c r="B144" s="140">
        <f>VLOOKUP($A144,'Data shares'!$C:$FB,7)</f>
        <v>1306</v>
      </c>
      <c r="C144" s="140">
        <f>VLOOKUP($A144,'Data shares'!$C:$FB,3)</f>
        <v>1306.5</v>
      </c>
      <c r="D144" s="140">
        <f>VLOOKUP($A144,'Data shares'!$C:$FB,4)</f>
        <v>1283.5999999999999</v>
      </c>
      <c r="E144" s="50">
        <f t="shared" si="6"/>
        <v>1.7840448737924661</v>
      </c>
      <c r="F144" s="49">
        <f>VLOOKUP($A144,'Data shares'!$C:$FB,98)</f>
        <v>22797000</v>
      </c>
      <c r="G144" s="49">
        <f>VLOOKUP($A144,'Data shares'!$C:$FB,99)</f>
        <v>23334000</v>
      </c>
      <c r="H144" s="50">
        <f t="shared" si="7"/>
        <v>-2.3013628182051939</v>
      </c>
      <c r="I144" s="49">
        <f>VLOOKUP($A144,'Data shares'!$C:$FB,66)</f>
        <v>20458500</v>
      </c>
      <c r="J144" s="49">
        <f>VLOOKUP($A144,'Data shares'!$C:$FB,67)</f>
        <v>18163000</v>
      </c>
      <c r="K144" s="50">
        <f t="shared" si="8"/>
        <v>11.220275191240804</v>
      </c>
      <c r="L144" s="50">
        <f>VLOOKUP($A144,'Data shares'!$C:$FB,118)</f>
        <v>0.56000000000000005</v>
      </c>
      <c r="M144" s="50">
        <f>VLOOKUP($A144,'Data shares'!$C:$FB,119)</f>
        <v>0.48</v>
      </c>
      <c r="N144" s="50">
        <f>VLOOKUP($A144,'Data shares'!$C:$FB,121)*100</f>
        <v>16.669999999999998</v>
      </c>
      <c r="O144" s="50">
        <f>VLOOKUP($A144,'Data shares'!$C:$FB,124)</f>
        <v>0.56999999999999995</v>
      </c>
      <c r="P144" s="50">
        <f>VLOOKUP($A144,'Data shares'!$C:$FB,125)</f>
        <v>0.61</v>
      </c>
      <c r="Q144" s="50">
        <f>VLOOKUP($A144,'Data shares'!$C:$FB,127)*100</f>
        <v>-6.5600000000000005</v>
      </c>
    </row>
    <row r="145" spans="1:17" x14ac:dyDescent="0.25">
      <c r="A145" s="97" t="str">
        <f>'Data Vlaue (Cr)'!C140</f>
        <v>NHPC</v>
      </c>
      <c r="B145" s="140">
        <f>VLOOKUP($A145,'Data shares'!$C:$FB,7)</f>
        <v>77.45</v>
      </c>
      <c r="C145" s="140">
        <f>VLOOKUP($A145,'Data shares'!$C:$FB,3)</f>
        <v>77.709999999999994</v>
      </c>
      <c r="D145" s="140">
        <f>VLOOKUP($A145,'Data shares'!$C:$FB,4)</f>
        <v>76.33</v>
      </c>
      <c r="E145" s="50">
        <f t="shared" si="6"/>
        <v>1.8079392113192656</v>
      </c>
      <c r="F145" s="49">
        <f>VLOOKUP($A145,'Data shares'!$C:$FB,98)</f>
        <v>142092800</v>
      </c>
      <c r="G145" s="49">
        <f>VLOOKUP($A145,'Data shares'!$C:$FB,99)</f>
        <v>151020800</v>
      </c>
      <c r="H145" s="50">
        <f t="shared" si="7"/>
        <v>-5.9117684451413313</v>
      </c>
      <c r="I145" s="49">
        <f>VLOOKUP($A145,'Data shares'!$C:$FB,66)</f>
        <v>112800000</v>
      </c>
      <c r="J145" s="49">
        <f>VLOOKUP($A145,'Data shares'!$C:$FB,67)</f>
        <v>162329600</v>
      </c>
      <c r="K145" s="50">
        <f t="shared" si="8"/>
        <v>-43.909219858156028</v>
      </c>
      <c r="L145" s="50">
        <f>VLOOKUP($A145,'Data shares'!$C:$FB,118)</f>
        <v>0.51</v>
      </c>
      <c r="M145" s="50">
        <f>VLOOKUP($A145,'Data shares'!$C:$FB,119)</f>
        <v>0.47</v>
      </c>
      <c r="N145" s="50">
        <f>VLOOKUP($A145,'Data shares'!$C:$FB,121)*100</f>
        <v>8.51</v>
      </c>
      <c r="O145" s="50">
        <f>VLOOKUP($A145,'Data shares'!$C:$FB,124)</f>
        <v>0.41</v>
      </c>
      <c r="P145" s="50">
        <f>VLOOKUP($A145,'Data shares'!$C:$FB,125)</f>
        <v>0.65</v>
      </c>
      <c r="Q145" s="50">
        <f>VLOOKUP($A145,'Data shares'!$C:$FB,127)*100</f>
        <v>-36.919999999999995</v>
      </c>
    </row>
    <row r="146" spans="1:17" x14ac:dyDescent="0.25">
      <c r="A146" s="97" t="str">
        <f>'Data Vlaue (Cr)'!C141</f>
        <v>NIFTY</v>
      </c>
      <c r="B146" s="140">
        <f>VLOOKUP($A146,'Data shares'!$C:$FB,7)</f>
        <v>25289.9</v>
      </c>
      <c r="C146" s="140">
        <f>VLOOKUP($A146,'Data shares'!$C:$FB,3)</f>
        <v>25349.8</v>
      </c>
      <c r="D146" s="140">
        <f>VLOOKUP($A146,'Data shares'!$C:$FB,4)</f>
        <v>25178.2</v>
      </c>
      <c r="E146" s="50">
        <f t="shared" si="6"/>
        <v>0.68154196884605944</v>
      </c>
      <c r="F146" s="49">
        <f>VLOOKUP($A146,'Data shares'!$C:$FB,98)</f>
        <v>488519765</v>
      </c>
      <c r="G146" s="49">
        <f>VLOOKUP($A146,'Data shares'!$C:$FB,99)</f>
        <v>453937700</v>
      </c>
      <c r="H146" s="50">
        <f t="shared" si="7"/>
        <v>7.6182403444349305</v>
      </c>
      <c r="I146" s="49">
        <f>VLOOKUP($A146,'Data shares'!$C:$FB,66)</f>
        <v>6044020450</v>
      </c>
      <c r="J146" s="49">
        <f>VLOOKUP($A146,'Data shares'!$C:$FB,67)</f>
        <v>6695602810</v>
      </c>
      <c r="K146" s="50">
        <f t="shared" si="8"/>
        <v>-10.780611438864341</v>
      </c>
      <c r="L146" s="50">
        <f>VLOOKUP($A146,'Data shares'!$C:$FB,118)</f>
        <v>0.87</v>
      </c>
      <c r="M146" s="50">
        <f>VLOOKUP($A146,'Data shares'!$C:$FB,119)</f>
        <v>0.78</v>
      </c>
      <c r="N146" s="50">
        <f>VLOOKUP($A146,'Data shares'!$C:$FB,121)*100</f>
        <v>11.540000000000001</v>
      </c>
      <c r="O146" s="50">
        <f>VLOOKUP($A146,'Data shares'!$C:$FB,124)</f>
        <v>1.05</v>
      </c>
      <c r="P146" s="50">
        <f>VLOOKUP($A146,'Data shares'!$C:$FB,125)</f>
        <v>1.04</v>
      </c>
      <c r="Q146" s="50">
        <f>VLOOKUP($A146,'Data shares'!$C:$FB,127)*100</f>
        <v>0.96</v>
      </c>
    </row>
    <row r="147" spans="1:17" x14ac:dyDescent="0.25">
      <c r="A147" s="97" t="str">
        <f>'Data Vlaue (Cr)'!C142</f>
        <v>NIFTYNXT50</v>
      </c>
      <c r="B147" s="140">
        <f>VLOOKUP($A147,'Data shares'!$C:$FB,7)</f>
        <v>67592.800000000003</v>
      </c>
      <c r="C147" s="140">
        <f>VLOOKUP($A147,'Data shares'!$C:$FB,3)</f>
        <v>67754</v>
      </c>
      <c r="D147" s="140">
        <f>VLOOKUP($A147,'Data shares'!$C:$FB,4)</f>
        <v>66991.199999999997</v>
      </c>
      <c r="E147" s="50">
        <f t="shared" si="6"/>
        <v>1.1386570176381421</v>
      </c>
      <c r="F147" s="49">
        <f>VLOOKUP($A147,'Data shares'!$C:$FB,98)</f>
        <v>54875</v>
      </c>
      <c r="G147" s="49">
        <f>VLOOKUP($A147,'Data shares'!$C:$FB,99)</f>
        <v>54500</v>
      </c>
      <c r="H147" s="50">
        <f t="shared" si="7"/>
        <v>0.68807339449541294</v>
      </c>
      <c r="I147" s="49">
        <f>VLOOKUP($A147,'Data shares'!$C:$FB,66)</f>
        <v>49475</v>
      </c>
      <c r="J147" s="49">
        <f>VLOOKUP($A147,'Data shares'!$C:$FB,67)</f>
        <v>35800</v>
      </c>
      <c r="K147" s="50">
        <f t="shared" si="8"/>
        <v>27.640222334512384</v>
      </c>
      <c r="L147" s="50">
        <f>VLOOKUP($A147,'Data shares'!$C:$FB,118)</f>
        <v>0.3</v>
      </c>
      <c r="M147" s="50">
        <f>VLOOKUP($A147,'Data shares'!$C:$FB,119)</f>
        <v>0.3</v>
      </c>
      <c r="N147" s="50">
        <f>VLOOKUP($A147,'Data shares'!$C:$FB,121)*100</f>
        <v>0</v>
      </c>
      <c r="O147" s="50">
        <f>VLOOKUP($A147,'Data shares'!$C:$FB,124)</f>
        <v>0.4</v>
      </c>
      <c r="P147" s="50">
        <f>VLOOKUP($A147,'Data shares'!$C:$FB,125)</f>
        <v>0.37</v>
      </c>
      <c r="Q147" s="50">
        <f>VLOOKUP($A147,'Data shares'!$C:$FB,127)*100</f>
        <v>8.1100000000000012</v>
      </c>
    </row>
    <row r="148" spans="1:17" x14ac:dyDescent="0.25">
      <c r="A148" s="97" t="str">
        <f>'Data Vlaue (Cr)'!C143</f>
        <v>NMDC</v>
      </c>
      <c r="B148" s="140">
        <f>VLOOKUP($A148,'Data shares'!$C:$FB,7)</f>
        <v>78.23</v>
      </c>
      <c r="C148" s="140">
        <f>VLOOKUP($A148,'Data shares'!$C:$FB,3)</f>
        <v>78.39</v>
      </c>
      <c r="D148" s="140">
        <f>VLOOKUP($A148,'Data shares'!$C:$FB,4)</f>
        <v>78.58</v>
      </c>
      <c r="E148" s="50">
        <f t="shared" si="6"/>
        <v>-0.24179180453041196</v>
      </c>
      <c r="F148" s="49">
        <f>VLOOKUP($A148,'Data shares'!$C:$FB,98)</f>
        <v>560742750</v>
      </c>
      <c r="G148" s="49">
        <f>VLOOKUP($A148,'Data shares'!$C:$FB,99)</f>
        <v>563955750</v>
      </c>
      <c r="H148" s="50">
        <f t="shared" si="7"/>
        <v>-0.56972555027588601</v>
      </c>
      <c r="I148" s="49">
        <f>VLOOKUP($A148,'Data shares'!$C:$FB,66)</f>
        <v>290749500</v>
      </c>
      <c r="J148" s="49">
        <f>VLOOKUP($A148,'Data shares'!$C:$FB,67)</f>
        <v>353396250</v>
      </c>
      <c r="K148" s="50">
        <f t="shared" si="8"/>
        <v>-21.546640664902263</v>
      </c>
      <c r="L148" s="50">
        <f>VLOOKUP($A148,'Data shares'!$C:$FB,118)</f>
        <v>0.39</v>
      </c>
      <c r="M148" s="50">
        <f>VLOOKUP($A148,'Data shares'!$C:$FB,119)</f>
        <v>0.39</v>
      </c>
      <c r="N148" s="50">
        <f>VLOOKUP($A148,'Data shares'!$C:$FB,121)*100</f>
        <v>0</v>
      </c>
      <c r="O148" s="50">
        <f>VLOOKUP($A148,'Data shares'!$C:$FB,124)</f>
        <v>0.4</v>
      </c>
      <c r="P148" s="50">
        <f>VLOOKUP($A148,'Data shares'!$C:$FB,125)</f>
        <v>0.52</v>
      </c>
      <c r="Q148" s="50">
        <f>VLOOKUP($A148,'Data shares'!$C:$FB,127)*100</f>
        <v>-23.080000000000002</v>
      </c>
    </row>
    <row r="149" spans="1:17" x14ac:dyDescent="0.25">
      <c r="A149" s="97" t="str">
        <f>'Data Vlaue (Cr)'!C144</f>
        <v>NTPC</v>
      </c>
      <c r="B149" s="140">
        <f>VLOOKUP($A149,'Data shares'!$C:$FB,7)</f>
        <v>342.45</v>
      </c>
      <c r="C149" s="140">
        <f>VLOOKUP($A149,'Data shares'!$C:$FB,3)</f>
        <v>342.8</v>
      </c>
      <c r="D149" s="140">
        <f>VLOOKUP($A149,'Data shares'!$C:$FB,4)</f>
        <v>338.55</v>
      </c>
      <c r="E149" s="50">
        <f t="shared" si="6"/>
        <v>1.2553537143701077</v>
      </c>
      <c r="F149" s="49">
        <f>VLOOKUP($A149,'Data shares'!$C:$FB,98)</f>
        <v>181783500</v>
      </c>
      <c r="G149" s="49">
        <f>VLOOKUP($A149,'Data shares'!$C:$FB,99)</f>
        <v>180816000</v>
      </c>
      <c r="H149" s="50">
        <f t="shared" si="7"/>
        <v>0.53507432970533586</v>
      </c>
      <c r="I149" s="49">
        <f>VLOOKUP($A149,'Data shares'!$C:$FB,66)</f>
        <v>157974000</v>
      </c>
      <c r="J149" s="49">
        <f>VLOOKUP($A149,'Data shares'!$C:$FB,67)</f>
        <v>149140500</v>
      </c>
      <c r="K149" s="50">
        <f t="shared" si="8"/>
        <v>5.591742945041589</v>
      </c>
      <c r="L149" s="50">
        <f>VLOOKUP($A149,'Data shares'!$C:$FB,118)</f>
        <v>0.43</v>
      </c>
      <c r="M149" s="50">
        <f>VLOOKUP($A149,'Data shares'!$C:$FB,119)</f>
        <v>0.4</v>
      </c>
      <c r="N149" s="50">
        <f>VLOOKUP($A149,'Data shares'!$C:$FB,121)*100</f>
        <v>7.5</v>
      </c>
      <c r="O149" s="50">
        <f>VLOOKUP($A149,'Data shares'!$C:$FB,124)</f>
        <v>0.65</v>
      </c>
      <c r="P149" s="50">
        <f>VLOOKUP($A149,'Data shares'!$C:$FB,125)</f>
        <v>0.65</v>
      </c>
      <c r="Q149" s="50">
        <f>VLOOKUP($A149,'Data shares'!$C:$FB,127)*100</f>
        <v>0</v>
      </c>
    </row>
    <row r="150" spans="1:17" x14ac:dyDescent="0.25">
      <c r="A150" s="97" t="str">
        <f>'Data Vlaue (Cr)'!C145</f>
        <v>NUVAMA</v>
      </c>
      <c r="B150" s="140">
        <f>VLOOKUP($A150,'Data shares'!$C:$FB,7)</f>
        <v>1383.3</v>
      </c>
      <c r="C150" s="140">
        <f>VLOOKUP($A150,'Data shares'!$C:$FB,3)</f>
        <v>1383.4</v>
      </c>
      <c r="D150" s="140">
        <f>VLOOKUP($A150,'Data shares'!$C:$FB,4)</f>
        <v>1365.7</v>
      </c>
      <c r="E150" s="50">
        <f t="shared" si="6"/>
        <v>1.2960386614922783</v>
      </c>
      <c r="F150" s="49">
        <f>VLOOKUP($A150,'Data shares'!$C:$FB,98)</f>
        <v>4783500</v>
      </c>
      <c r="G150" s="49">
        <f>VLOOKUP($A150,'Data shares'!$C:$FB,99)</f>
        <v>4872500</v>
      </c>
      <c r="H150" s="50">
        <f t="shared" si="7"/>
        <v>-1.8265777321703438</v>
      </c>
      <c r="I150" s="49">
        <f>VLOOKUP($A150,'Data shares'!$C:$FB,66)</f>
        <v>3677500</v>
      </c>
      <c r="J150" s="49">
        <f>VLOOKUP($A150,'Data shares'!$C:$FB,67)</f>
        <v>4873000</v>
      </c>
      <c r="K150" s="50">
        <f t="shared" si="8"/>
        <v>-32.508497620666219</v>
      </c>
      <c r="L150" s="50">
        <f>VLOOKUP($A150,'Data shares'!$C:$FB,118)</f>
        <v>0.41</v>
      </c>
      <c r="M150" s="50">
        <f>VLOOKUP($A150,'Data shares'!$C:$FB,119)</f>
        <v>0.39</v>
      </c>
      <c r="N150" s="50">
        <f>VLOOKUP($A150,'Data shares'!$C:$FB,121)*100</f>
        <v>5.13</v>
      </c>
      <c r="O150" s="50">
        <f>VLOOKUP($A150,'Data shares'!$C:$FB,124)</f>
        <v>0.57999999999999996</v>
      </c>
      <c r="P150" s="50">
        <f>VLOOKUP($A150,'Data shares'!$C:$FB,125)</f>
        <v>0.63</v>
      </c>
      <c r="Q150" s="50">
        <f>VLOOKUP($A150,'Data shares'!$C:$FB,127)*100</f>
        <v>-7.9399999999999995</v>
      </c>
    </row>
    <row r="151" spans="1:17" x14ac:dyDescent="0.25">
      <c r="A151" s="97" t="str">
        <f>'Data Vlaue (Cr)'!C146</f>
        <v>NYKAA</v>
      </c>
      <c r="B151" s="140">
        <f>VLOOKUP($A151,'Data shares'!$C:$FB,7)</f>
        <v>239.45</v>
      </c>
      <c r="C151" s="140">
        <f>VLOOKUP($A151,'Data shares'!$C:$FB,3)</f>
        <v>239.8</v>
      </c>
      <c r="D151" s="140">
        <f>VLOOKUP($A151,'Data shares'!$C:$FB,4)</f>
        <v>242.2</v>
      </c>
      <c r="E151" s="50">
        <f t="shared" si="6"/>
        <v>-0.99091659785300457</v>
      </c>
      <c r="F151" s="49">
        <f>VLOOKUP($A151,'Data shares'!$C:$FB,98)</f>
        <v>76953125</v>
      </c>
      <c r="G151" s="49">
        <f>VLOOKUP($A151,'Data shares'!$C:$FB,99)</f>
        <v>75159375</v>
      </c>
      <c r="H151" s="50">
        <f t="shared" si="7"/>
        <v>2.386595151968733</v>
      </c>
      <c r="I151" s="49">
        <f>VLOOKUP($A151,'Data shares'!$C:$FB,66)</f>
        <v>78315625</v>
      </c>
      <c r="J151" s="49">
        <f>VLOOKUP($A151,'Data shares'!$C:$FB,67)</f>
        <v>57759375</v>
      </c>
      <c r="K151" s="50">
        <f t="shared" si="8"/>
        <v>26.24795498982483</v>
      </c>
      <c r="L151" s="50">
        <f>VLOOKUP($A151,'Data shares'!$C:$FB,118)</f>
        <v>0.68</v>
      </c>
      <c r="M151" s="50">
        <f>VLOOKUP($A151,'Data shares'!$C:$FB,119)</f>
        <v>0.64</v>
      </c>
      <c r="N151" s="50">
        <f>VLOOKUP($A151,'Data shares'!$C:$FB,121)*100</f>
        <v>6.25</v>
      </c>
      <c r="O151" s="50">
        <f>VLOOKUP($A151,'Data shares'!$C:$FB,124)</f>
        <v>0.71</v>
      </c>
      <c r="P151" s="50">
        <f>VLOOKUP($A151,'Data shares'!$C:$FB,125)</f>
        <v>0.52</v>
      </c>
      <c r="Q151" s="50">
        <f>VLOOKUP($A151,'Data shares'!$C:$FB,127)*100</f>
        <v>36.54</v>
      </c>
    </row>
    <row r="152" spans="1:17" x14ac:dyDescent="0.25">
      <c r="A152" s="97" t="str">
        <f>'Data Vlaue (Cr)'!C147</f>
        <v>OBEROIRLTY</v>
      </c>
      <c r="B152" s="140">
        <f>VLOOKUP($A152,'Data shares'!$C:$FB,7)</f>
        <v>1480.2</v>
      </c>
      <c r="C152" s="140">
        <f>VLOOKUP($A152,'Data shares'!$C:$FB,3)</f>
        <v>1477.9</v>
      </c>
      <c r="D152" s="140">
        <f>VLOOKUP($A152,'Data shares'!$C:$FB,4)</f>
        <v>1502.3</v>
      </c>
      <c r="E152" s="50">
        <f t="shared" si="6"/>
        <v>-1.6241762630632939</v>
      </c>
      <c r="F152" s="49">
        <f>VLOOKUP($A152,'Data shares'!$C:$FB,98)</f>
        <v>10156300</v>
      </c>
      <c r="G152" s="49">
        <f>VLOOKUP($A152,'Data shares'!$C:$FB,99)</f>
        <v>10981250</v>
      </c>
      <c r="H152" s="50">
        <f t="shared" si="7"/>
        <v>-7.5123505976095615</v>
      </c>
      <c r="I152" s="49">
        <f>VLOOKUP($A152,'Data shares'!$C:$FB,66)</f>
        <v>12983600</v>
      </c>
      <c r="J152" s="49">
        <f>VLOOKUP($A152,'Data shares'!$C:$FB,67)</f>
        <v>22963500</v>
      </c>
      <c r="K152" s="50">
        <f t="shared" si="8"/>
        <v>-76.865430235065773</v>
      </c>
      <c r="L152" s="50">
        <f>VLOOKUP($A152,'Data shares'!$C:$FB,118)</f>
        <v>0.53</v>
      </c>
      <c r="M152" s="50">
        <f>VLOOKUP($A152,'Data shares'!$C:$FB,119)</f>
        <v>0.51</v>
      </c>
      <c r="N152" s="50">
        <f>VLOOKUP($A152,'Data shares'!$C:$FB,121)*100</f>
        <v>3.92</v>
      </c>
      <c r="O152" s="50">
        <f>VLOOKUP($A152,'Data shares'!$C:$FB,124)</f>
        <v>0.6</v>
      </c>
      <c r="P152" s="50">
        <f>VLOOKUP($A152,'Data shares'!$C:$FB,125)</f>
        <v>0.69</v>
      </c>
      <c r="Q152" s="50">
        <f>VLOOKUP($A152,'Data shares'!$C:$FB,127)*100</f>
        <v>-13.04</v>
      </c>
    </row>
    <row r="153" spans="1:17" x14ac:dyDescent="0.25">
      <c r="A153" s="97" t="str">
        <f>'Data Vlaue (Cr)'!C148</f>
        <v>OFSS</v>
      </c>
      <c r="B153" s="140">
        <f>VLOOKUP($A153,'Data shares'!$C:$FB,7)</f>
        <v>7897</v>
      </c>
      <c r="C153" s="140">
        <f>VLOOKUP($A153,'Data shares'!$C:$FB,3)</f>
        <v>7895</v>
      </c>
      <c r="D153" s="140">
        <f>VLOOKUP($A153,'Data shares'!$C:$FB,4)</f>
        <v>7696</v>
      </c>
      <c r="E153" s="50">
        <f t="shared" si="6"/>
        <v>2.5857588357588357</v>
      </c>
      <c r="F153" s="49">
        <f>VLOOKUP($A153,'Data shares'!$C:$FB,98)</f>
        <v>2469900</v>
      </c>
      <c r="G153" s="49">
        <f>VLOOKUP($A153,'Data shares'!$C:$FB,99)</f>
        <v>2981775</v>
      </c>
      <c r="H153" s="50">
        <f t="shared" si="7"/>
        <v>-17.166788238549184</v>
      </c>
      <c r="I153" s="49">
        <f>VLOOKUP($A153,'Data shares'!$C:$FB,66)</f>
        <v>8612325</v>
      </c>
      <c r="J153" s="49">
        <f>VLOOKUP($A153,'Data shares'!$C:$FB,67)</f>
        <v>5604000</v>
      </c>
      <c r="K153" s="50">
        <f t="shared" si="8"/>
        <v>34.930463028276336</v>
      </c>
      <c r="L153" s="50">
        <f>VLOOKUP($A153,'Data shares'!$C:$FB,118)</f>
        <v>0.79</v>
      </c>
      <c r="M153" s="50">
        <f>VLOOKUP($A153,'Data shares'!$C:$FB,119)</f>
        <v>0.8</v>
      </c>
      <c r="N153" s="50">
        <f>VLOOKUP($A153,'Data shares'!$C:$FB,121)*100</f>
        <v>-1.25</v>
      </c>
      <c r="O153" s="50">
        <f>VLOOKUP($A153,'Data shares'!$C:$FB,124)</f>
        <v>0.45</v>
      </c>
      <c r="P153" s="50">
        <f>VLOOKUP($A153,'Data shares'!$C:$FB,125)</f>
        <v>0.83</v>
      </c>
      <c r="Q153" s="50">
        <f>VLOOKUP($A153,'Data shares'!$C:$FB,127)*100</f>
        <v>-45.78</v>
      </c>
    </row>
    <row r="154" spans="1:17" x14ac:dyDescent="0.25">
      <c r="A154" s="97" t="str">
        <f>'Data Vlaue (Cr)'!C149</f>
        <v>OIL</v>
      </c>
      <c r="B154" s="140">
        <f>VLOOKUP($A154,'Data shares'!$C:$FB,7)</f>
        <v>436.45</v>
      </c>
      <c r="C154" s="140">
        <f>VLOOKUP($A154,'Data shares'!$C:$FB,3)</f>
        <v>438.05</v>
      </c>
      <c r="D154" s="140">
        <f>VLOOKUP($A154,'Data shares'!$C:$FB,4)</f>
        <v>433.55</v>
      </c>
      <c r="E154" s="50">
        <f t="shared" si="6"/>
        <v>1.0379425671779494</v>
      </c>
      <c r="F154" s="49">
        <f>VLOOKUP($A154,'Data shares'!$C:$FB,98)</f>
        <v>28165200</v>
      </c>
      <c r="G154" s="49">
        <f>VLOOKUP($A154,'Data shares'!$C:$FB,99)</f>
        <v>29657600</v>
      </c>
      <c r="H154" s="50">
        <f t="shared" si="7"/>
        <v>-5.0320996978851964</v>
      </c>
      <c r="I154" s="49">
        <f>VLOOKUP($A154,'Data shares'!$C:$FB,66)</f>
        <v>33433400</v>
      </c>
      <c r="J154" s="49">
        <f>VLOOKUP($A154,'Data shares'!$C:$FB,67)</f>
        <v>29183000</v>
      </c>
      <c r="K154" s="50">
        <f t="shared" si="8"/>
        <v>12.713035467526485</v>
      </c>
      <c r="L154" s="50">
        <f>VLOOKUP($A154,'Data shares'!$C:$FB,118)</f>
        <v>0.64</v>
      </c>
      <c r="M154" s="50">
        <f>VLOOKUP($A154,'Data shares'!$C:$FB,119)</f>
        <v>0.61</v>
      </c>
      <c r="N154" s="50">
        <f>VLOOKUP($A154,'Data shares'!$C:$FB,121)*100</f>
        <v>4.92</v>
      </c>
      <c r="O154" s="50">
        <f>VLOOKUP($A154,'Data shares'!$C:$FB,124)</f>
        <v>0.35</v>
      </c>
      <c r="P154" s="50">
        <f>VLOOKUP($A154,'Data shares'!$C:$FB,125)</f>
        <v>0.43</v>
      </c>
      <c r="Q154" s="50">
        <f>VLOOKUP($A154,'Data shares'!$C:$FB,127)*100</f>
        <v>-18.600000000000001</v>
      </c>
    </row>
    <row r="155" spans="1:17" x14ac:dyDescent="0.25">
      <c r="A155" s="97" t="str">
        <f>'Data Vlaue (Cr)'!C150</f>
        <v>ONGC</v>
      </c>
      <c r="B155" s="140">
        <f>VLOOKUP($A155,'Data shares'!$C:$FB,7)</f>
        <v>244.01</v>
      </c>
      <c r="C155" s="140">
        <f>VLOOKUP($A155,'Data shares'!$C:$FB,3)</f>
        <v>243.78</v>
      </c>
      <c r="D155" s="140">
        <f>VLOOKUP($A155,'Data shares'!$C:$FB,4)</f>
        <v>242.14</v>
      </c>
      <c r="E155" s="50">
        <f t="shared" si="6"/>
        <v>0.6772941273643408</v>
      </c>
      <c r="F155" s="49">
        <f>VLOOKUP($A155,'Data shares'!$C:$FB,98)</f>
        <v>261234000</v>
      </c>
      <c r="G155" s="49">
        <f>VLOOKUP($A155,'Data shares'!$C:$FB,99)</f>
        <v>259746750</v>
      </c>
      <c r="H155" s="50">
        <f t="shared" si="7"/>
        <v>0.57257694273364346</v>
      </c>
      <c r="I155" s="49">
        <f>VLOOKUP($A155,'Data shares'!$C:$FB,66)</f>
        <v>195516000</v>
      </c>
      <c r="J155" s="49">
        <f>VLOOKUP($A155,'Data shares'!$C:$FB,67)</f>
        <v>191747250</v>
      </c>
      <c r="K155" s="50">
        <f t="shared" si="8"/>
        <v>1.9275916037562144</v>
      </c>
      <c r="L155" s="50">
        <f>VLOOKUP($A155,'Data shares'!$C:$FB,118)</f>
        <v>0.45</v>
      </c>
      <c r="M155" s="50">
        <f>VLOOKUP($A155,'Data shares'!$C:$FB,119)</f>
        <v>0.44</v>
      </c>
      <c r="N155" s="50">
        <f>VLOOKUP($A155,'Data shares'!$C:$FB,121)*100</f>
        <v>2.27</v>
      </c>
      <c r="O155" s="50">
        <f>VLOOKUP($A155,'Data shares'!$C:$FB,124)</f>
        <v>0.69</v>
      </c>
      <c r="P155" s="50">
        <f>VLOOKUP($A155,'Data shares'!$C:$FB,125)</f>
        <v>0.7</v>
      </c>
      <c r="Q155" s="50">
        <f>VLOOKUP($A155,'Data shares'!$C:$FB,127)*100</f>
        <v>-1.43</v>
      </c>
    </row>
    <row r="156" spans="1:17" x14ac:dyDescent="0.25">
      <c r="A156" s="97" t="str">
        <f>'Data Vlaue (Cr)'!C151</f>
        <v>PAGEIND</v>
      </c>
      <c r="B156" s="140">
        <f>VLOOKUP($A156,'Data shares'!$C:$FB,7)</f>
        <v>32875</v>
      </c>
      <c r="C156" s="140">
        <f>VLOOKUP($A156,'Data shares'!$C:$FB,3)</f>
        <v>33005</v>
      </c>
      <c r="D156" s="140">
        <f>VLOOKUP($A156,'Data shares'!$C:$FB,4)</f>
        <v>33050</v>
      </c>
      <c r="E156" s="50">
        <f t="shared" si="6"/>
        <v>-0.13615733736762481</v>
      </c>
      <c r="F156" s="49">
        <f>VLOOKUP($A156,'Data shares'!$C:$FB,98)</f>
        <v>471465</v>
      </c>
      <c r="G156" s="49">
        <f>VLOOKUP($A156,'Data shares'!$C:$FB,99)</f>
        <v>450960</v>
      </c>
      <c r="H156" s="50">
        <f t="shared" si="7"/>
        <v>4.5469664715274085</v>
      </c>
      <c r="I156" s="49">
        <f>VLOOKUP($A156,'Data shares'!$C:$FB,66)</f>
        <v>573690</v>
      </c>
      <c r="J156" s="49">
        <f>VLOOKUP($A156,'Data shares'!$C:$FB,67)</f>
        <v>545385</v>
      </c>
      <c r="K156" s="50">
        <f t="shared" si="8"/>
        <v>4.9338492914291692</v>
      </c>
      <c r="L156" s="50">
        <f>VLOOKUP($A156,'Data shares'!$C:$FB,118)</f>
        <v>0.47</v>
      </c>
      <c r="M156" s="50">
        <f>VLOOKUP($A156,'Data shares'!$C:$FB,119)</f>
        <v>0.49</v>
      </c>
      <c r="N156" s="50">
        <f>VLOOKUP($A156,'Data shares'!$C:$FB,121)*100</f>
        <v>-4.08</v>
      </c>
      <c r="O156" s="50">
        <f>VLOOKUP($A156,'Data shares'!$C:$FB,124)</f>
        <v>0.37</v>
      </c>
      <c r="P156" s="50">
        <f>VLOOKUP($A156,'Data shares'!$C:$FB,125)</f>
        <v>0.37</v>
      </c>
      <c r="Q156" s="50">
        <f>VLOOKUP($A156,'Data shares'!$C:$FB,127)*100</f>
        <v>0</v>
      </c>
    </row>
    <row r="157" spans="1:17" x14ac:dyDescent="0.25">
      <c r="A157" s="97" t="str">
        <f>'Data Vlaue (Cr)'!C152</f>
        <v>PATANJALI</v>
      </c>
      <c r="B157" s="140">
        <f>VLOOKUP($A157,'Data shares'!$C:$FB,7)</f>
        <v>511</v>
      </c>
      <c r="C157" s="140">
        <f>VLOOKUP($A157,'Data shares'!$C:$FB,3)</f>
        <v>510.55</v>
      </c>
      <c r="D157" s="140">
        <f>VLOOKUP($A157,'Data shares'!$C:$FB,4)</f>
        <v>503.55</v>
      </c>
      <c r="E157" s="50">
        <f t="shared" si="6"/>
        <v>1.3901300764571543</v>
      </c>
      <c r="F157" s="49">
        <f>VLOOKUP($A157,'Data shares'!$C:$FB,98)</f>
        <v>48560400</v>
      </c>
      <c r="G157" s="49">
        <f>VLOOKUP($A157,'Data shares'!$C:$FB,99)</f>
        <v>49959000</v>
      </c>
      <c r="H157" s="50">
        <f t="shared" si="7"/>
        <v>-2.7994955863808322</v>
      </c>
      <c r="I157" s="49">
        <f>VLOOKUP($A157,'Data shares'!$C:$FB,66)</f>
        <v>31750200</v>
      </c>
      <c r="J157" s="49">
        <f>VLOOKUP($A157,'Data shares'!$C:$FB,67)</f>
        <v>40482900</v>
      </c>
      <c r="K157" s="50">
        <f t="shared" si="8"/>
        <v>-27.504393673110723</v>
      </c>
      <c r="L157" s="50">
        <f>VLOOKUP($A157,'Data shares'!$C:$FB,118)</f>
        <v>0.47</v>
      </c>
      <c r="M157" s="50">
        <f>VLOOKUP($A157,'Data shares'!$C:$FB,119)</f>
        <v>0.45</v>
      </c>
      <c r="N157" s="50">
        <f>VLOOKUP($A157,'Data shares'!$C:$FB,121)*100</f>
        <v>4.4400000000000004</v>
      </c>
      <c r="O157" s="50">
        <f>VLOOKUP($A157,'Data shares'!$C:$FB,124)</f>
        <v>0.39</v>
      </c>
      <c r="P157" s="50">
        <f>VLOOKUP($A157,'Data shares'!$C:$FB,125)</f>
        <v>0.6</v>
      </c>
      <c r="Q157" s="50">
        <f>VLOOKUP($A157,'Data shares'!$C:$FB,127)*100</f>
        <v>-35</v>
      </c>
    </row>
    <row r="158" spans="1:17" x14ac:dyDescent="0.25">
      <c r="A158" s="97" t="str">
        <f>'Data Vlaue (Cr)'!C153</f>
        <v>PAYTM</v>
      </c>
      <c r="B158" s="140">
        <f>VLOOKUP($A158,'Data shares'!$C:$FB,7)</f>
        <v>1260.5</v>
      </c>
      <c r="C158" s="140">
        <f>VLOOKUP($A158,'Data shares'!$C:$FB,3)</f>
        <v>1262.5999999999999</v>
      </c>
      <c r="D158" s="140">
        <f>VLOOKUP($A158,'Data shares'!$C:$FB,4)</f>
        <v>1234.7</v>
      </c>
      <c r="E158" s="50">
        <f t="shared" si="6"/>
        <v>2.2596582165708159</v>
      </c>
      <c r="F158" s="49">
        <f>VLOOKUP($A158,'Data shares'!$C:$FB,98)</f>
        <v>27159225</v>
      </c>
      <c r="G158" s="49">
        <f>VLOOKUP($A158,'Data shares'!$C:$FB,99)</f>
        <v>28366350</v>
      </c>
      <c r="H158" s="50">
        <f t="shared" si="7"/>
        <v>-4.2554822879926393</v>
      </c>
      <c r="I158" s="49">
        <f>VLOOKUP($A158,'Data shares'!$C:$FB,66)</f>
        <v>30186100</v>
      </c>
      <c r="J158" s="49">
        <f>VLOOKUP($A158,'Data shares'!$C:$FB,67)</f>
        <v>54864375</v>
      </c>
      <c r="K158" s="50">
        <f t="shared" si="8"/>
        <v>-81.753770775290619</v>
      </c>
      <c r="L158" s="50">
        <f>VLOOKUP($A158,'Data shares'!$C:$FB,118)</f>
        <v>0.74</v>
      </c>
      <c r="M158" s="50">
        <f>VLOOKUP($A158,'Data shares'!$C:$FB,119)</f>
        <v>0.62</v>
      </c>
      <c r="N158" s="50">
        <f>VLOOKUP($A158,'Data shares'!$C:$FB,121)*100</f>
        <v>19.350000000000001</v>
      </c>
      <c r="O158" s="50">
        <f>VLOOKUP($A158,'Data shares'!$C:$FB,124)</f>
        <v>0.63</v>
      </c>
      <c r="P158" s="50">
        <f>VLOOKUP($A158,'Data shares'!$C:$FB,125)</f>
        <v>0.9</v>
      </c>
      <c r="Q158" s="50">
        <f>VLOOKUP($A158,'Data shares'!$C:$FB,127)*100</f>
        <v>-30</v>
      </c>
    </row>
    <row r="159" spans="1:17" x14ac:dyDescent="0.25">
      <c r="A159" s="97" t="str">
        <f>'Data Vlaue (Cr)'!C154</f>
        <v>PERSISTENT</v>
      </c>
      <c r="B159" s="140">
        <f>VLOOKUP($A159,'Data shares'!$C:$FB,7)</f>
        <v>6320.5</v>
      </c>
      <c r="C159" s="140">
        <f>VLOOKUP($A159,'Data shares'!$C:$FB,3)</f>
        <v>6297.5</v>
      </c>
      <c r="D159" s="140">
        <f>VLOOKUP($A159,'Data shares'!$C:$FB,4)</f>
        <v>6219.5</v>
      </c>
      <c r="E159" s="50">
        <f t="shared" si="6"/>
        <v>1.2541201061178553</v>
      </c>
      <c r="F159" s="49">
        <f>VLOOKUP($A159,'Data shares'!$C:$FB,98)</f>
        <v>4844000</v>
      </c>
      <c r="G159" s="49">
        <f>VLOOKUP($A159,'Data shares'!$C:$FB,99)</f>
        <v>5650800</v>
      </c>
      <c r="H159" s="50">
        <f t="shared" si="7"/>
        <v>-14.277624407163589</v>
      </c>
      <c r="I159" s="49">
        <f>VLOOKUP($A159,'Data shares'!$C:$FB,66)</f>
        <v>9510000</v>
      </c>
      <c r="J159" s="49">
        <f>VLOOKUP($A159,'Data shares'!$C:$FB,67)</f>
        <v>31996700</v>
      </c>
      <c r="K159" s="50">
        <f t="shared" si="8"/>
        <v>-236.45320715036803</v>
      </c>
      <c r="L159" s="50">
        <f>VLOOKUP($A159,'Data shares'!$C:$FB,118)</f>
        <v>0.83</v>
      </c>
      <c r="M159" s="50">
        <f>VLOOKUP($A159,'Data shares'!$C:$FB,119)</f>
        <v>0.75</v>
      </c>
      <c r="N159" s="50">
        <f>VLOOKUP($A159,'Data shares'!$C:$FB,121)*100</f>
        <v>10.67</v>
      </c>
      <c r="O159" s="50">
        <f>VLOOKUP($A159,'Data shares'!$C:$FB,124)</f>
        <v>0.73</v>
      </c>
      <c r="P159" s="50">
        <f>VLOOKUP($A159,'Data shares'!$C:$FB,125)</f>
        <v>1.05</v>
      </c>
      <c r="Q159" s="50">
        <f>VLOOKUP($A159,'Data shares'!$C:$FB,127)*100</f>
        <v>-30.48</v>
      </c>
    </row>
    <row r="160" spans="1:17" x14ac:dyDescent="0.25">
      <c r="A160" s="97" t="str">
        <f>'Data Vlaue (Cr)'!C155</f>
        <v>PETRONET</v>
      </c>
      <c r="B160" s="140">
        <f>VLOOKUP($A160,'Data shares'!$C:$FB,7)</f>
        <v>275.05</v>
      </c>
      <c r="C160" s="140">
        <f>VLOOKUP($A160,'Data shares'!$C:$FB,3)</f>
        <v>275.14999999999998</v>
      </c>
      <c r="D160" s="140">
        <f>VLOOKUP($A160,'Data shares'!$C:$FB,4)</f>
        <v>275.64999999999998</v>
      </c>
      <c r="E160" s="50">
        <f t="shared" si="6"/>
        <v>-0.18138944313440961</v>
      </c>
      <c r="F160" s="49">
        <f>VLOOKUP($A160,'Data shares'!$C:$FB,98)</f>
        <v>72439400</v>
      </c>
      <c r="G160" s="49">
        <f>VLOOKUP($A160,'Data shares'!$C:$FB,99)</f>
        <v>72838400</v>
      </c>
      <c r="H160" s="50">
        <f t="shared" si="7"/>
        <v>-0.54778797996661099</v>
      </c>
      <c r="I160" s="49">
        <f>VLOOKUP($A160,'Data shares'!$C:$FB,66)</f>
        <v>41399100</v>
      </c>
      <c r="J160" s="49">
        <f>VLOOKUP($A160,'Data shares'!$C:$FB,67)</f>
        <v>44976800</v>
      </c>
      <c r="K160" s="50">
        <f t="shared" si="8"/>
        <v>-8.6419753086419746</v>
      </c>
      <c r="L160" s="50">
        <f>VLOOKUP($A160,'Data shares'!$C:$FB,118)</f>
        <v>1.39</v>
      </c>
      <c r="M160" s="50">
        <f>VLOOKUP($A160,'Data shares'!$C:$FB,119)</f>
        <v>1.33</v>
      </c>
      <c r="N160" s="50">
        <f>VLOOKUP($A160,'Data shares'!$C:$FB,121)*100</f>
        <v>4.51</v>
      </c>
      <c r="O160" s="50">
        <f>VLOOKUP($A160,'Data shares'!$C:$FB,124)</f>
        <v>1.28</v>
      </c>
      <c r="P160" s="50">
        <f>VLOOKUP($A160,'Data shares'!$C:$FB,125)</f>
        <v>0.61</v>
      </c>
      <c r="Q160" s="50">
        <f>VLOOKUP($A160,'Data shares'!$C:$FB,127)*100</f>
        <v>109.84</v>
      </c>
    </row>
    <row r="161" spans="1:17" x14ac:dyDescent="0.25">
      <c r="A161" s="97" t="str">
        <f>'Data Vlaue (Cr)'!C156</f>
        <v>PFC</v>
      </c>
      <c r="B161" s="140">
        <f>VLOOKUP($A161,'Data shares'!$C:$FB,7)</f>
        <v>364.7</v>
      </c>
      <c r="C161" s="140">
        <f>VLOOKUP($A161,'Data shares'!$C:$FB,3)</f>
        <v>364.6</v>
      </c>
      <c r="D161" s="140">
        <f>VLOOKUP($A161,'Data shares'!$C:$FB,4)</f>
        <v>357.4</v>
      </c>
      <c r="E161" s="50">
        <f t="shared" si="6"/>
        <v>2.0145495243424865</v>
      </c>
      <c r="F161" s="49">
        <f>VLOOKUP($A161,'Data shares'!$C:$FB,98)</f>
        <v>135343000</v>
      </c>
      <c r="G161" s="49">
        <f>VLOOKUP($A161,'Data shares'!$C:$FB,99)</f>
        <v>139478300</v>
      </c>
      <c r="H161" s="50">
        <f t="shared" si="7"/>
        <v>-2.9648339562498252</v>
      </c>
      <c r="I161" s="49">
        <f>VLOOKUP($A161,'Data shares'!$C:$FB,66)</f>
        <v>96759000</v>
      </c>
      <c r="J161" s="49">
        <f>VLOOKUP($A161,'Data shares'!$C:$FB,67)</f>
        <v>126742200</v>
      </c>
      <c r="K161" s="50">
        <f t="shared" si="8"/>
        <v>-30.987505038291012</v>
      </c>
      <c r="L161" s="50">
        <f>VLOOKUP($A161,'Data shares'!$C:$FB,118)</f>
        <v>0.75</v>
      </c>
      <c r="M161" s="50">
        <f>VLOOKUP($A161,'Data shares'!$C:$FB,119)</f>
        <v>0.72</v>
      </c>
      <c r="N161" s="50">
        <f>VLOOKUP($A161,'Data shares'!$C:$FB,121)*100</f>
        <v>4.17</v>
      </c>
      <c r="O161" s="50">
        <f>VLOOKUP($A161,'Data shares'!$C:$FB,124)</f>
        <v>0.62</v>
      </c>
      <c r="P161" s="50">
        <f>VLOOKUP($A161,'Data shares'!$C:$FB,125)</f>
        <v>0.68</v>
      </c>
      <c r="Q161" s="50">
        <f>VLOOKUP($A161,'Data shares'!$C:$FB,127)*100</f>
        <v>-8.82</v>
      </c>
    </row>
    <row r="162" spans="1:17" x14ac:dyDescent="0.25">
      <c r="A162" s="97" t="str">
        <f>'Data Vlaue (Cr)'!C157</f>
        <v>PGEL</v>
      </c>
      <c r="B162" s="140">
        <f>VLOOKUP($A162,'Data shares'!$C:$FB,7)</f>
        <v>530.4</v>
      </c>
      <c r="C162" s="140">
        <f>VLOOKUP($A162,'Data shares'!$C:$FB,3)</f>
        <v>532.04999999999995</v>
      </c>
      <c r="D162" s="140">
        <f>VLOOKUP($A162,'Data shares'!$C:$FB,4)</f>
        <v>535.70000000000005</v>
      </c>
      <c r="E162" s="50">
        <f t="shared" si="6"/>
        <v>-0.68135150270675571</v>
      </c>
      <c r="F162" s="49">
        <f>VLOOKUP($A162,'Data shares'!$C:$FB,98)</f>
        <v>24494800</v>
      </c>
      <c r="G162" s="49">
        <f>VLOOKUP($A162,'Data shares'!$C:$FB,99)</f>
        <v>26670300</v>
      </c>
      <c r="H162" s="50">
        <f t="shared" si="7"/>
        <v>-8.1570136068960597</v>
      </c>
      <c r="I162" s="49">
        <f>VLOOKUP($A162,'Data shares'!$C:$FB,66)</f>
        <v>32050150</v>
      </c>
      <c r="J162" s="49">
        <f>VLOOKUP($A162,'Data shares'!$C:$FB,67)</f>
        <v>55082900</v>
      </c>
      <c r="K162" s="50">
        <f t="shared" si="8"/>
        <v>-71.864718261849006</v>
      </c>
      <c r="L162" s="50">
        <f>VLOOKUP($A162,'Data shares'!$C:$FB,118)</f>
        <v>0.52</v>
      </c>
      <c r="M162" s="50">
        <f>VLOOKUP($A162,'Data shares'!$C:$FB,119)</f>
        <v>0.56000000000000005</v>
      </c>
      <c r="N162" s="50">
        <f>VLOOKUP($A162,'Data shares'!$C:$FB,121)*100</f>
        <v>-7.1400000000000006</v>
      </c>
      <c r="O162" s="50">
        <f>VLOOKUP($A162,'Data shares'!$C:$FB,124)</f>
        <v>0.5</v>
      </c>
      <c r="P162" s="50">
        <f>VLOOKUP($A162,'Data shares'!$C:$FB,125)</f>
        <v>1.0900000000000001</v>
      </c>
      <c r="Q162" s="50">
        <f>VLOOKUP($A162,'Data shares'!$C:$FB,127)*100</f>
        <v>-54.13</v>
      </c>
    </row>
    <row r="163" spans="1:17" x14ac:dyDescent="0.25">
      <c r="A163" s="97" t="str">
        <f>'Data Vlaue (Cr)'!C158</f>
        <v>PHOENIXLTD</v>
      </c>
      <c r="B163" s="140">
        <f>VLOOKUP($A163,'Data shares'!$C:$FB,7)</f>
        <v>1768.2</v>
      </c>
      <c r="C163" s="140">
        <f>VLOOKUP($A163,'Data shares'!$C:$FB,3)</f>
        <v>1770.7</v>
      </c>
      <c r="D163" s="140">
        <f>VLOOKUP($A163,'Data shares'!$C:$FB,4)</f>
        <v>1749.4</v>
      </c>
      <c r="E163" s="50">
        <f t="shared" si="6"/>
        <v>1.2175603063907599</v>
      </c>
      <c r="F163" s="49">
        <f>VLOOKUP($A163,'Data shares'!$C:$FB,98)</f>
        <v>5939150</v>
      </c>
      <c r="G163" s="49">
        <f>VLOOKUP($A163,'Data shares'!$C:$FB,99)</f>
        <v>5991300</v>
      </c>
      <c r="H163" s="50">
        <f t="shared" si="7"/>
        <v>-0.87042878840986104</v>
      </c>
      <c r="I163" s="49">
        <f>VLOOKUP($A163,'Data shares'!$C:$FB,66)</f>
        <v>6746950</v>
      </c>
      <c r="J163" s="49">
        <f>VLOOKUP($A163,'Data shares'!$C:$FB,67)</f>
        <v>6688500</v>
      </c>
      <c r="K163" s="50">
        <f t="shared" si="8"/>
        <v>0.86631737303522338</v>
      </c>
      <c r="L163" s="50">
        <f>VLOOKUP($A163,'Data shares'!$C:$FB,118)</f>
        <v>0.66</v>
      </c>
      <c r="M163" s="50">
        <f>VLOOKUP($A163,'Data shares'!$C:$FB,119)</f>
        <v>0.65</v>
      </c>
      <c r="N163" s="50">
        <f>VLOOKUP($A163,'Data shares'!$C:$FB,121)*100</f>
        <v>1.54</v>
      </c>
      <c r="O163" s="50">
        <f>VLOOKUP($A163,'Data shares'!$C:$FB,124)</f>
        <v>0.25</v>
      </c>
      <c r="P163" s="50">
        <f>VLOOKUP($A163,'Data shares'!$C:$FB,125)</f>
        <v>1.1200000000000001</v>
      </c>
      <c r="Q163" s="50">
        <f>VLOOKUP($A163,'Data shares'!$C:$FB,127)*100</f>
        <v>-77.680000000000007</v>
      </c>
    </row>
    <row r="164" spans="1:17" x14ac:dyDescent="0.25">
      <c r="A164" s="97" t="str">
        <f>'Data Vlaue (Cr)'!C159</f>
        <v>PIDILITIND</v>
      </c>
      <c r="B164" s="140">
        <f>VLOOKUP($A164,'Data shares'!$C:$FB,7)</f>
        <v>1452.8</v>
      </c>
      <c r="C164" s="140">
        <f>VLOOKUP($A164,'Data shares'!$C:$FB,3)</f>
        <v>1455.2</v>
      </c>
      <c r="D164" s="140">
        <f>VLOOKUP($A164,'Data shares'!$C:$FB,4)</f>
        <v>1423.2</v>
      </c>
      <c r="E164" s="50">
        <f t="shared" si="6"/>
        <v>2.2484541877459243</v>
      </c>
      <c r="F164" s="49">
        <f>VLOOKUP($A164,'Data shares'!$C:$FB,98)</f>
        <v>10764500</v>
      </c>
      <c r="G164" s="49">
        <f>VLOOKUP($A164,'Data shares'!$C:$FB,99)</f>
        <v>10857000</v>
      </c>
      <c r="H164" s="50">
        <f t="shared" si="7"/>
        <v>-0.85198489453808601</v>
      </c>
      <c r="I164" s="49">
        <f>VLOOKUP($A164,'Data shares'!$C:$FB,66)</f>
        <v>10569500</v>
      </c>
      <c r="J164" s="49">
        <f>VLOOKUP($A164,'Data shares'!$C:$FB,67)</f>
        <v>8588500</v>
      </c>
      <c r="K164" s="50">
        <f t="shared" si="8"/>
        <v>18.742608448838642</v>
      </c>
      <c r="L164" s="50">
        <f>VLOOKUP($A164,'Data shares'!$C:$FB,118)</f>
        <v>0.98</v>
      </c>
      <c r="M164" s="50">
        <f>VLOOKUP($A164,'Data shares'!$C:$FB,119)</f>
        <v>0.94</v>
      </c>
      <c r="N164" s="50">
        <f>VLOOKUP($A164,'Data shares'!$C:$FB,121)*100</f>
        <v>4.26</v>
      </c>
      <c r="O164" s="50">
        <f>VLOOKUP($A164,'Data shares'!$C:$FB,124)</f>
        <v>0.99</v>
      </c>
      <c r="P164" s="50">
        <f>VLOOKUP($A164,'Data shares'!$C:$FB,125)</f>
        <v>0.99</v>
      </c>
      <c r="Q164" s="50">
        <f>VLOOKUP($A164,'Data shares'!$C:$FB,127)*100</f>
        <v>0</v>
      </c>
    </row>
    <row r="165" spans="1:17" x14ac:dyDescent="0.25">
      <c r="A165" s="97" t="str">
        <f>'Data Vlaue (Cr)'!C160</f>
        <v>PIIND</v>
      </c>
      <c r="B165" s="140">
        <f>VLOOKUP($A165,'Data shares'!$C:$FB,7)</f>
        <v>3170.4</v>
      </c>
      <c r="C165" s="140">
        <f>VLOOKUP($A165,'Data shares'!$C:$FB,3)</f>
        <v>3173.6</v>
      </c>
      <c r="D165" s="140">
        <f>VLOOKUP($A165,'Data shares'!$C:$FB,4)</f>
        <v>3116.6</v>
      </c>
      <c r="E165" s="50">
        <f t="shared" si="6"/>
        <v>1.8289161265481615</v>
      </c>
      <c r="F165" s="49">
        <f>VLOOKUP($A165,'Data shares'!$C:$FB,98)</f>
        <v>4171825</v>
      </c>
      <c r="G165" s="49">
        <f>VLOOKUP($A165,'Data shares'!$C:$FB,99)</f>
        <v>4367300</v>
      </c>
      <c r="H165" s="50">
        <f t="shared" si="7"/>
        <v>-4.4758775444782817</v>
      </c>
      <c r="I165" s="49">
        <f>VLOOKUP($A165,'Data shares'!$C:$FB,66)</f>
        <v>3874500</v>
      </c>
      <c r="J165" s="49">
        <f>VLOOKUP($A165,'Data shares'!$C:$FB,67)</f>
        <v>3427900</v>
      </c>
      <c r="K165" s="50">
        <f t="shared" si="8"/>
        <v>11.526648599819332</v>
      </c>
      <c r="L165" s="50">
        <f>VLOOKUP($A165,'Data shares'!$C:$FB,118)</f>
        <v>0.56000000000000005</v>
      </c>
      <c r="M165" s="50">
        <f>VLOOKUP($A165,'Data shares'!$C:$FB,119)</f>
        <v>0.56000000000000005</v>
      </c>
      <c r="N165" s="50">
        <f>VLOOKUP($A165,'Data shares'!$C:$FB,121)*100</f>
        <v>0</v>
      </c>
      <c r="O165" s="50">
        <f>VLOOKUP($A165,'Data shares'!$C:$FB,124)</f>
        <v>0.52</v>
      </c>
      <c r="P165" s="50">
        <f>VLOOKUP($A165,'Data shares'!$C:$FB,125)</f>
        <v>0.8</v>
      </c>
      <c r="Q165" s="50">
        <f>VLOOKUP($A165,'Data shares'!$C:$FB,127)*100</f>
        <v>-35</v>
      </c>
    </row>
    <row r="166" spans="1:17" x14ac:dyDescent="0.25">
      <c r="A166" s="97" t="str">
        <f>'Data Vlaue (Cr)'!C161</f>
        <v>PNB</v>
      </c>
      <c r="B166" s="140">
        <f>VLOOKUP($A166,'Data shares'!$C:$FB,7)</f>
        <v>125.16</v>
      </c>
      <c r="C166" s="140">
        <f>VLOOKUP($A166,'Data shares'!$C:$FB,3)</f>
        <v>125.29</v>
      </c>
      <c r="D166" s="140">
        <f>VLOOKUP($A166,'Data shares'!$C:$FB,4)</f>
        <v>124.08</v>
      </c>
      <c r="E166" s="50">
        <f t="shared" si="6"/>
        <v>0.97517730496454547</v>
      </c>
      <c r="F166" s="49">
        <f>VLOOKUP($A166,'Data shares'!$C:$FB,98)</f>
        <v>479784000</v>
      </c>
      <c r="G166" s="49">
        <f>VLOOKUP($A166,'Data shares'!$C:$FB,99)</f>
        <v>493576000</v>
      </c>
      <c r="H166" s="50">
        <f t="shared" si="7"/>
        <v>-2.794301181580952</v>
      </c>
      <c r="I166" s="49">
        <f>VLOOKUP($A166,'Data shares'!$C:$FB,66)</f>
        <v>452984000</v>
      </c>
      <c r="J166" s="49">
        <f>VLOOKUP($A166,'Data shares'!$C:$FB,67)</f>
        <v>583840000</v>
      </c>
      <c r="K166" s="50">
        <f t="shared" si="8"/>
        <v>-28.887554527312219</v>
      </c>
      <c r="L166" s="50">
        <f>VLOOKUP($A166,'Data shares'!$C:$FB,118)</f>
        <v>0.63</v>
      </c>
      <c r="M166" s="50">
        <f>VLOOKUP($A166,'Data shares'!$C:$FB,119)</f>
        <v>0.59</v>
      </c>
      <c r="N166" s="50">
        <f>VLOOKUP($A166,'Data shares'!$C:$FB,121)*100</f>
        <v>6.78</v>
      </c>
      <c r="O166" s="50">
        <f>VLOOKUP($A166,'Data shares'!$C:$FB,124)</f>
        <v>0.56999999999999995</v>
      </c>
      <c r="P166" s="50">
        <f>VLOOKUP($A166,'Data shares'!$C:$FB,125)</f>
        <v>0.71</v>
      </c>
      <c r="Q166" s="50">
        <f>VLOOKUP($A166,'Data shares'!$C:$FB,127)*100</f>
        <v>-19.72</v>
      </c>
    </row>
    <row r="167" spans="1:17" x14ac:dyDescent="0.25">
      <c r="A167" s="97" t="str">
        <f>'Data Vlaue (Cr)'!C162</f>
        <v>PNBHOUSING</v>
      </c>
      <c r="B167" s="140">
        <f>VLOOKUP($A167,'Data shares'!$C:$FB,7)</f>
        <v>860.25</v>
      </c>
      <c r="C167" s="140">
        <f>VLOOKUP($A167,'Data shares'!$C:$FB,3)</f>
        <v>859.7</v>
      </c>
      <c r="D167" s="140">
        <f>VLOOKUP($A167,'Data shares'!$C:$FB,4)</f>
        <v>932.35</v>
      </c>
      <c r="E167" s="50">
        <f t="shared" si="6"/>
        <v>-7.7921381455461969</v>
      </c>
      <c r="F167" s="49">
        <f>VLOOKUP($A167,'Data shares'!$C:$FB,98)</f>
        <v>24762400</v>
      </c>
      <c r="G167" s="49">
        <f>VLOOKUP($A167,'Data shares'!$C:$FB,99)</f>
        <v>19078150</v>
      </c>
      <c r="H167" s="50">
        <f t="shared" si="7"/>
        <v>29.794555551769957</v>
      </c>
      <c r="I167" s="49">
        <f>VLOOKUP($A167,'Data shares'!$C:$FB,66)</f>
        <v>99245900</v>
      </c>
      <c r="J167" s="49">
        <f>VLOOKUP($A167,'Data shares'!$C:$FB,67)</f>
        <v>25181650</v>
      </c>
      <c r="K167" s="50">
        <f t="shared" si="8"/>
        <v>74.627012299752437</v>
      </c>
      <c r="L167" s="50">
        <f>VLOOKUP($A167,'Data shares'!$C:$FB,118)</f>
        <v>0.7</v>
      </c>
      <c r="M167" s="50">
        <f>VLOOKUP($A167,'Data shares'!$C:$FB,119)</f>
        <v>0.75</v>
      </c>
      <c r="N167" s="50">
        <f>VLOOKUP($A167,'Data shares'!$C:$FB,121)*100</f>
        <v>-6.67</v>
      </c>
      <c r="O167" s="50">
        <f>VLOOKUP($A167,'Data shares'!$C:$FB,124)</f>
        <v>1.08</v>
      </c>
      <c r="P167" s="50">
        <f>VLOOKUP($A167,'Data shares'!$C:$FB,125)</f>
        <v>0.68</v>
      </c>
      <c r="Q167" s="50">
        <f>VLOOKUP($A167,'Data shares'!$C:$FB,127)*100</f>
        <v>58.819999999999993</v>
      </c>
    </row>
    <row r="168" spans="1:17" x14ac:dyDescent="0.25">
      <c r="A168" s="97" t="str">
        <f>'Data Vlaue (Cr)'!C163</f>
        <v>POLICYBZR</v>
      </c>
      <c r="B168" s="140">
        <f>VLOOKUP($A168,'Data shares'!$C:$FB,7)</f>
        <v>1714.6</v>
      </c>
      <c r="C168" s="140">
        <f>VLOOKUP($A168,'Data shares'!$C:$FB,3)</f>
        <v>1713.9</v>
      </c>
      <c r="D168" s="140">
        <f>VLOOKUP($A168,'Data shares'!$C:$FB,4)</f>
        <v>1662.2</v>
      </c>
      <c r="E168" s="50">
        <f t="shared" si="6"/>
        <v>3.1103356996751321</v>
      </c>
      <c r="F168" s="49">
        <f>VLOOKUP($A168,'Data shares'!$C:$FB,98)</f>
        <v>10921750</v>
      </c>
      <c r="G168" s="49">
        <f>VLOOKUP($A168,'Data shares'!$C:$FB,99)</f>
        <v>11539150</v>
      </c>
      <c r="H168" s="50">
        <f t="shared" si="7"/>
        <v>-5.3504807546483057</v>
      </c>
      <c r="I168" s="49">
        <f>VLOOKUP($A168,'Data shares'!$C:$FB,66)</f>
        <v>12929700</v>
      </c>
      <c r="J168" s="49">
        <f>VLOOKUP($A168,'Data shares'!$C:$FB,67)</f>
        <v>9638650</v>
      </c>
      <c r="K168" s="50">
        <f t="shared" si="8"/>
        <v>25.453413458935632</v>
      </c>
      <c r="L168" s="50">
        <f>VLOOKUP($A168,'Data shares'!$C:$FB,118)</f>
        <v>0.62</v>
      </c>
      <c r="M168" s="50">
        <f>VLOOKUP($A168,'Data shares'!$C:$FB,119)</f>
        <v>0.54</v>
      </c>
      <c r="N168" s="50">
        <f>VLOOKUP($A168,'Data shares'!$C:$FB,121)*100</f>
        <v>14.81</v>
      </c>
      <c r="O168" s="50">
        <f>VLOOKUP($A168,'Data shares'!$C:$FB,124)</f>
        <v>0.44</v>
      </c>
      <c r="P168" s="50">
        <f>VLOOKUP($A168,'Data shares'!$C:$FB,125)</f>
        <v>0.66</v>
      </c>
      <c r="Q168" s="50">
        <f>VLOOKUP($A168,'Data shares'!$C:$FB,127)*100</f>
        <v>-33.33</v>
      </c>
    </row>
    <row r="169" spans="1:17" x14ac:dyDescent="0.25">
      <c r="A169" s="97" t="str">
        <f>'Data Vlaue (Cr)'!C164</f>
        <v>POLYCAB</v>
      </c>
      <c r="B169" s="140">
        <f>VLOOKUP($A169,'Data shares'!$C:$FB,7)</f>
        <v>6999</v>
      </c>
      <c r="C169" s="140">
        <f>VLOOKUP($A169,'Data shares'!$C:$FB,3)</f>
        <v>7014.5</v>
      </c>
      <c r="D169" s="140">
        <f>VLOOKUP($A169,'Data shares'!$C:$FB,4)</f>
        <v>6973.5</v>
      </c>
      <c r="E169" s="50">
        <f t="shared" si="6"/>
        <v>0.5879400587940059</v>
      </c>
      <c r="F169" s="49">
        <f>VLOOKUP($A169,'Data shares'!$C:$FB,98)</f>
        <v>7548500</v>
      </c>
      <c r="G169" s="49">
        <f>VLOOKUP($A169,'Data shares'!$C:$FB,99)</f>
        <v>7762250</v>
      </c>
      <c r="H169" s="50">
        <f t="shared" si="7"/>
        <v>-2.7537118747785758</v>
      </c>
      <c r="I169" s="49">
        <f>VLOOKUP($A169,'Data shares'!$C:$FB,66)</f>
        <v>8922625</v>
      </c>
      <c r="J169" s="49">
        <f>VLOOKUP($A169,'Data shares'!$C:$FB,67)</f>
        <v>15472500</v>
      </c>
      <c r="K169" s="50">
        <f t="shared" si="8"/>
        <v>-73.407489387932372</v>
      </c>
      <c r="L169" s="50">
        <f>VLOOKUP($A169,'Data shares'!$C:$FB,118)</f>
        <v>0.43</v>
      </c>
      <c r="M169" s="50">
        <f>VLOOKUP($A169,'Data shares'!$C:$FB,119)</f>
        <v>0.42</v>
      </c>
      <c r="N169" s="50">
        <f>VLOOKUP($A169,'Data shares'!$C:$FB,121)*100</f>
        <v>2.3800000000000003</v>
      </c>
      <c r="O169" s="50">
        <f>VLOOKUP($A169,'Data shares'!$C:$FB,124)</f>
        <v>0.48</v>
      </c>
      <c r="P169" s="50">
        <f>VLOOKUP($A169,'Data shares'!$C:$FB,125)</f>
        <v>0.68</v>
      </c>
      <c r="Q169" s="50">
        <f>VLOOKUP($A169,'Data shares'!$C:$FB,127)*100</f>
        <v>-29.409999999999997</v>
      </c>
    </row>
    <row r="170" spans="1:17" x14ac:dyDescent="0.25">
      <c r="A170" s="97" t="str">
        <f>'Data Vlaue (Cr)'!C165</f>
        <v>POWERGRID</v>
      </c>
      <c r="B170" s="140">
        <f>VLOOKUP($A170,'Data shares'!$C:$FB,7)</f>
        <v>259.25</v>
      </c>
      <c r="C170" s="140">
        <f>VLOOKUP($A170,'Data shares'!$C:$FB,3)</f>
        <v>259.14999999999998</v>
      </c>
      <c r="D170" s="140">
        <f>VLOOKUP($A170,'Data shares'!$C:$FB,4)</f>
        <v>255.65</v>
      </c>
      <c r="E170" s="50">
        <f t="shared" si="6"/>
        <v>1.3690592607079881</v>
      </c>
      <c r="F170" s="49">
        <f>VLOOKUP($A170,'Data shares'!$C:$FB,98)</f>
        <v>171038000</v>
      </c>
      <c r="G170" s="49">
        <f>VLOOKUP($A170,'Data shares'!$C:$FB,99)</f>
        <v>172556100</v>
      </c>
      <c r="H170" s="50">
        <f t="shared" si="7"/>
        <v>-0.87977185390722201</v>
      </c>
      <c r="I170" s="49">
        <f>VLOOKUP($A170,'Data shares'!$C:$FB,66)</f>
        <v>80465000</v>
      </c>
      <c r="J170" s="49">
        <f>VLOOKUP($A170,'Data shares'!$C:$FB,67)</f>
        <v>119069200</v>
      </c>
      <c r="K170" s="50">
        <f t="shared" si="8"/>
        <v>-47.976387249114524</v>
      </c>
      <c r="L170" s="50">
        <f>VLOOKUP($A170,'Data shares'!$C:$FB,118)</f>
        <v>0.62</v>
      </c>
      <c r="M170" s="50">
        <f>VLOOKUP($A170,'Data shares'!$C:$FB,119)</f>
        <v>0.6</v>
      </c>
      <c r="N170" s="50">
        <f>VLOOKUP($A170,'Data shares'!$C:$FB,121)*100</f>
        <v>3.3300000000000005</v>
      </c>
      <c r="O170" s="50">
        <f>VLOOKUP($A170,'Data shares'!$C:$FB,124)</f>
        <v>0.52</v>
      </c>
      <c r="P170" s="50">
        <f>VLOOKUP($A170,'Data shares'!$C:$FB,125)</f>
        <v>0.6</v>
      </c>
      <c r="Q170" s="50">
        <f>VLOOKUP($A170,'Data shares'!$C:$FB,127)*100</f>
        <v>-13.33</v>
      </c>
    </row>
    <row r="171" spans="1:17" x14ac:dyDescent="0.25">
      <c r="A171" s="97" t="str">
        <f>'Data Vlaue (Cr)'!C166</f>
        <v>POWERINDIA</v>
      </c>
      <c r="B171" s="140">
        <f>VLOOKUP($A171,'Data shares'!$C:$FB,7)</f>
        <v>16847</v>
      </c>
      <c r="C171" s="140">
        <f>VLOOKUP($A171,'Data shares'!$C:$FB,3)</f>
        <v>16841</v>
      </c>
      <c r="D171" s="140">
        <f>VLOOKUP($A171,'Data shares'!$C:$FB,4)</f>
        <v>16685</v>
      </c>
      <c r="E171" s="50">
        <f t="shared" si="6"/>
        <v>0.93497153131555288</v>
      </c>
      <c r="F171" s="49">
        <f>VLOOKUP($A171,'Data shares'!$C:$FB,98)</f>
        <v>847950</v>
      </c>
      <c r="G171" s="49">
        <f>VLOOKUP($A171,'Data shares'!$C:$FB,99)</f>
        <v>916150</v>
      </c>
      <c r="H171" s="50">
        <f t="shared" si="7"/>
        <v>-7.4441958194618785</v>
      </c>
      <c r="I171" s="49">
        <f>VLOOKUP($A171,'Data shares'!$C:$FB,66)</f>
        <v>998550</v>
      </c>
      <c r="J171" s="49">
        <f>VLOOKUP($A171,'Data shares'!$C:$FB,67)</f>
        <v>1257600</v>
      </c>
      <c r="K171" s="50">
        <f t="shared" si="8"/>
        <v>-25.942616794351807</v>
      </c>
      <c r="L171" s="50">
        <f>VLOOKUP($A171,'Data shares'!$C:$FB,118)</f>
        <v>0.59</v>
      </c>
      <c r="M171" s="50">
        <f>VLOOKUP($A171,'Data shares'!$C:$FB,119)</f>
        <v>0.53</v>
      </c>
      <c r="N171" s="50">
        <f>VLOOKUP($A171,'Data shares'!$C:$FB,121)*100</f>
        <v>11.32</v>
      </c>
      <c r="O171" s="50">
        <f>VLOOKUP($A171,'Data shares'!$C:$FB,124)</f>
        <v>0.28999999999999998</v>
      </c>
      <c r="P171" s="50">
        <f>VLOOKUP($A171,'Data shares'!$C:$FB,125)</f>
        <v>0.32</v>
      </c>
      <c r="Q171" s="50">
        <f>VLOOKUP($A171,'Data shares'!$C:$FB,127)*100</f>
        <v>-9.379999999999999</v>
      </c>
    </row>
    <row r="172" spans="1:17" x14ac:dyDescent="0.25">
      <c r="A172" s="97" t="str">
        <f>'Data Vlaue (Cr)'!C167</f>
        <v>PPLPHARMA</v>
      </c>
      <c r="B172" s="140">
        <f>VLOOKUP($A172,'Data shares'!$C:$FB,7)</f>
        <v>156.5</v>
      </c>
      <c r="C172" s="140">
        <f>VLOOKUP($A172,'Data shares'!$C:$FB,3)</f>
        <v>156.82</v>
      </c>
      <c r="D172" s="140">
        <f>VLOOKUP($A172,'Data shares'!$C:$FB,4)</f>
        <v>155.16999999999999</v>
      </c>
      <c r="E172" s="50">
        <f t="shared" si="6"/>
        <v>1.0633498743313823</v>
      </c>
      <c r="F172" s="49">
        <f>VLOOKUP($A172,'Data shares'!$C:$FB,98)</f>
        <v>48454875</v>
      </c>
      <c r="G172" s="49">
        <f>VLOOKUP($A172,'Data shares'!$C:$FB,99)</f>
        <v>50757000</v>
      </c>
      <c r="H172" s="50">
        <f t="shared" si="7"/>
        <v>-4.5355812991311542</v>
      </c>
      <c r="I172" s="49">
        <f>VLOOKUP($A172,'Data shares'!$C:$FB,66)</f>
        <v>32397750</v>
      </c>
      <c r="J172" s="49">
        <f>VLOOKUP($A172,'Data shares'!$C:$FB,67)</f>
        <v>45031875</v>
      </c>
      <c r="K172" s="50">
        <f t="shared" si="8"/>
        <v>-38.996921082482579</v>
      </c>
      <c r="L172" s="50">
        <f>VLOOKUP($A172,'Data shares'!$C:$FB,118)</f>
        <v>0.43</v>
      </c>
      <c r="M172" s="50">
        <f>VLOOKUP($A172,'Data shares'!$C:$FB,119)</f>
        <v>0.4</v>
      </c>
      <c r="N172" s="50">
        <f>VLOOKUP($A172,'Data shares'!$C:$FB,121)*100</f>
        <v>7.5</v>
      </c>
      <c r="O172" s="50">
        <f>VLOOKUP($A172,'Data shares'!$C:$FB,124)</f>
        <v>0.43</v>
      </c>
      <c r="P172" s="50">
        <f>VLOOKUP($A172,'Data shares'!$C:$FB,125)</f>
        <v>0.75</v>
      </c>
      <c r="Q172" s="50">
        <f>VLOOKUP($A172,'Data shares'!$C:$FB,127)*100</f>
        <v>-42.67</v>
      </c>
    </row>
    <row r="173" spans="1:17" x14ac:dyDescent="0.25">
      <c r="A173" s="97" t="str">
        <f>'Data Vlaue (Cr)'!C168</f>
        <v>PREMIERENE</v>
      </c>
      <c r="B173" s="140">
        <f>VLOOKUP($A173,'Data shares'!$C:$FB,7)</f>
        <v>739.75</v>
      </c>
      <c r="C173" s="140">
        <f>VLOOKUP($A173,'Data shares'!$C:$FB,3)</f>
        <v>742.5</v>
      </c>
      <c r="D173" s="140">
        <f>VLOOKUP($A173,'Data shares'!$C:$FB,4)</f>
        <v>714.1</v>
      </c>
      <c r="E173" s="50">
        <f t="shared" ref="E173:E182" si="9">(C173-D173)/D173*100</f>
        <v>3.9770340288474966</v>
      </c>
      <c r="F173" s="49">
        <f>VLOOKUP($A173,'Data shares'!$C:$FB,98)</f>
        <v>13756875</v>
      </c>
      <c r="G173" s="49">
        <f>VLOOKUP($A173,'Data shares'!$C:$FB,99)</f>
        <v>12686225</v>
      </c>
      <c r="H173" s="50">
        <f t="shared" ref="H173:H182" si="10">(F173-G173)/G173*100</f>
        <v>8.4394687939083521</v>
      </c>
      <c r="I173" s="49">
        <f>VLOOKUP($A173,'Data shares'!$C:$FB,66)</f>
        <v>32908400</v>
      </c>
      <c r="J173" s="49">
        <f>VLOOKUP($A173,'Data shares'!$C:$FB,67)</f>
        <v>8567500</v>
      </c>
      <c r="K173" s="50">
        <f t="shared" ref="K173:K182" si="11">(I173-J173)/I173*100</f>
        <v>73.965613642717358</v>
      </c>
      <c r="L173" s="50">
        <f>VLOOKUP($A173,'Data shares'!$C:$FB,118)</f>
        <v>0.53</v>
      </c>
      <c r="M173" s="50">
        <f>VLOOKUP($A173,'Data shares'!$C:$FB,119)</f>
        <v>0.61</v>
      </c>
      <c r="N173" s="50">
        <f>VLOOKUP($A173,'Data shares'!$C:$FB,121)*100</f>
        <v>-13.11</v>
      </c>
      <c r="O173" s="50">
        <f>VLOOKUP($A173,'Data shares'!$C:$FB,124)</f>
        <v>0.44</v>
      </c>
      <c r="P173" s="50">
        <f>VLOOKUP($A173,'Data shares'!$C:$FB,125)</f>
        <v>1.1299999999999999</v>
      </c>
      <c r="Q173" s="50">
        <f>VLOOKUP($A173,'Data shares'!$C:$FB,127)*100</f>
        <v>-61.06</v>
      </c>
    </row>
    <row r="174" spans="1:17" x14ac:dyDescent="0.25">
      <c r="A174" s="97" t="str">
        <f>'Data Vlaue (Cr)'!C169</f>
        <v>PRESTIGE</v>
      </c>
      <c r="B174" s="140">
        <f>VLOOKUP($A174,'Data shares'!$C:$FB,7)</f>
        <v>1422.6</v>
      </c>
      <c r="C174" s="140">
        <f>VLOOKUP($A174,'Data shares'!$C:$FB,3)</f>
        <v>1422.6</v>
      </c>
      <c r="D174" s="140">
        <f>VLOOKUP($A174,'Data shares'!$C:$FB,4)</f>
        <v>1438.1</v>
      </c>
      <c r="E174" s="50">
        <f t="shared" si="9"/>
        <v>-1.0778110006258259</v>
      </c>
      <c r="F174" s="49">
        <f>VLOOKUP($A174,'Data shares'!$C:$FB,98)</f>
        <v>8302500</v>
      </c>
      <c r="G174" s="49">
        <f>VLOOKUP($A174,'Data shares'!$C:$FB,99)</f>
        <v>8456400</v>
      </c>
      <c r="H174" s="50">
        <f t="shared" si="10"/>
        <v>-1.8199233716475096</v>
      </c>
      <c r="I174" s="49">
        <f>VLOOKUP($A174,'Data shares'!$C:$FB,66)</f>
        <v>6925950</v>
      </c>
      <c r="J174" s="49">
        <f>VLOOKUP($A174,'Data shares'!$C:$FB,67)</f>
        <v>9222300</v>
      </c>
      <c r="K174" s="50">
        <f t="shared" si="11"/>
        <v>-33.155740367747384</v>
      </c>
      <c r="L174" s="50">
        <f>VLOOKUP($A174,'Data shares'!$C:$FB,118)</f>
        <v>0.45</v>
      </c>
      <c r="M174" s="50">
        <f>VLOOKUP($A174,'Data shares'!$C:$FB,119)</f>
        <v>0.47</v>
      </c>
      <c r="N174" s="50">
        <f>VLOOKUP($A174,'Data shares'!$C:$FB,121)*100</f>
        <v>-4.26</v>
      </c>
      <c r="O174" s="50">
        <f>VLOOKUP($A174,'Data shares'!$C:$FB,124)</f>
        <v>0.38</v>
      </c>
      <c r="P174" s="50">
        <f>VLOOKUP($A174,'Data shares'!$C:$FB,125)</f>
        <v>0.66</v>
      </c>
      <c r="Q174" s="50">
        <f>VLOOKUP($A174,'Data shares'!$C:$FB,127)*100</f>
        <v>-42.42</v>
      </c>
    </row>
    <row r="175" spans="1:17" x14ac:dyDescent="0.25">
      <c r="A175" s="97" t="str">
        <f>'Data Vlaue (Cr)'!C170</f>
        <v>RBLBANK</v>
      </c>
      <c r="B175" s="140">
        <f>VLOOKUP($A175,'Data shares'!$C:$FB,7)</f>
        <v>296.2</v>
      </c>
      <c r="C175" s="140">
        <f>VLOOKUP($A175,'Data shares'!$C:$FB,3)</f>
        <v>297</v>
      </c>
      <c r="D175" s="140">
        <f>VLOOKUP($A175,'Data shares'!$C:$FB,4)</f>
        <v>297.75</v>
      </c>
      <c r="E175" s="50">
        <f t="shared" si="9"/>
        <v>-0.25188916876574308</v>
      </c>
      <c r="F175" s="49">
        <f>VLOOKUP($A175,'Data shares'!$C:$FB,98)</f>
        <v>140290550</v>
      </c>
      <c r="G175" s="49">
        <f>VLOOKUP($A175,'Data shares'!$C:$FB,99)</f>
        <v>144329150</v>
      </c>
      <c r="H175" s="50">
        <f t="shared" si="10"/>
        <v>-2.7981873377623301</v>
      </c>
      <c r="I175" s="49">
        <f>VLOOKUP($A175,'Data shares'!$C:$FB,66)</f>
        <v>101069775</v>
      </c>
      <c r="J175" s="49">
        <f>VLOOKUP($A175,'Data shares'!$C:$FB,67)</f>
        <v>178419125</v>
      </c>
      <c r="K175" s="50">
        <f t="shared" si="11"/>
        <v>-76.530644299940306</v>
      </c>
      <c r="L175" s="50">
        <f>VLOOKUP($A175,'Data shares'!$C:$FB,118)</f>
        <v>0.61</v>
      </c>
      <c r="M175" s="50">
        <f>VLOOKUP($A175,'Data shares'!$C:$FB,119)</f>
        <v>0.61</v>
      </c>
      <c r="N175" s="50">
        <f>VLOOKUP($A175,'Data shares'!$C:$FB,121)*100</f>
        <v>0</v>
      </c>
      <c r="O175" s="50">
        <f>VLOOKUP($A175,'Data shares'!$C:$FB,124)</f>
        <v>0.56000000000000005</v>
      </c>
      <c r="P175" s="50">
        <f>VLOOKUP($A175,'Data shares'!$C:$FB,125)</f>
        <v>0.51</v>
      </c>
      <c r="Q175" s="50">
        <f>VLOOKUP($A175,'Data shares'!$C:$FB,127)*100</f>
        <v>9.8000000000000007</v>
      </c>
    </row>
    <row r="176" spans="1:17" x14ac:dyDescent="0.25">
      <c r="A176" s="97" t="str">
        <f>'Data Vlaue (Cr)'!C171</f>
        <v>RECLTD</v>
      </c>
      <c r="B176" s="140">
        <f>VLOOKUP($A176,'Data shares'!$C:$FB,7)</f>
        <v>366.2</v>
      </c>
      <c r="C176" s="140">
        <f>VLOOKUP($A176,'Data shares'!$C:$FB,3)</f>
        <v>366</v>
      </c>
      <c r="D176" s="140">
        <f>VLOOKUP($A176,'Data shares'!$C:$FB,4)</f>
        <v>355.5</v>
      </c>
      <c r="E176" s="50">
        <f t="shared" si="9"/>
        <v>2.9535864978902953</v>
      </c>
      <c r="F176" s="49">
        <f>VLOOKUP($A176,'Data shares'!$C:$FB,98)</f>
        <v>159632200</v>
      </c>
      <c r="G176" s="49">
        <f>VLOOKUP($A176,'Data shares'!$C:$FB,99)</f>
        <v>168652400</v>
      </c>
      <c r="H176" s="50">
        <f t="shared" si="10"/>
        <v>-5.3483970580910798</v>
      </c>
      <c r="I176" s="49">
        <f>VLOOKUP($A176,'Data shares'!$C:$FB,66)</f>
        <v>141559600</v>
      </c>
      <c r="J176" s="49">
        <f>VLOOKUP($A176,'Data shares'!$C:$FB,67)</f>
        <v>151461800</v>
      </c>
      <c r="K176" s="50">
        <f t="shared" si="11"/>
        <v>-6.9950748659928399</v>
      </c>
      <c r="L176" s="50">
        <f>VLOOKUP($A176,'Data shares'!$C:$FB,118)</f>
        <v>0.74</v>
      </c>
      <c r="M176" s="50">
        <f>VLOOKUP($A176,'Data shares'!$C:$FB,119)</f>
        <v>0.74</v>
      </c>
      <c r="N176" s="50">
        <f>VLOOKUP($A176,'Data shares'!$C:$FB,121)*100</f>
        <v>0</v>
      </c>
      <c r="O176" s="50">
        <f>VLOOKUP($A176,'Data shares'!$C:$FB,124)</f>
        <v>0.79</v>
      </c>
      <c r="P176" s="50">
        <f>VLOOKUP($A176,'Data shares'!$C:$FB,125)</f>
        <v>0.72</v>
      </c>
      <c r="Q176" s="50">
        <f>VLOOKUP($A176,'Data shares'!$C:$FB,127)*100</f>
        <v>9.7199999999999989</v>
      </c>
    </row>
    <row r="177" spans="1:17" x14ac:dyDescent="0.25">
      <c r="A177" s="97" t="str">
        <f>'Data Vlaue (Cr)'!C172</f>
        <v>RELIANCE</v>
      </c>
      <c r="B177" s="140">
        <f>VLOOKUP($A177,'Data shares'!$C:$FB,7)</f>
        <v>1402.5</v>
      </c>
      <c r="C177" s="140">
        <f>VLOOKUP($A177,'Data shares'!$C:$FB,3)</f>
        <v>1405.4</v>
      </c>
      <c r="D177" s="140">
        <f>VLOOKUP($A177,'Data shares'!$C:$FB,4)</f>
        <v>1405.3</v>
      </c>
      <c r="E177" s="50">
        <f t="shared" si="9"/>
        <v>7.1159183092675176E-3</v>
      </c>
      <c r="F177" s="49">
        <f>VLOOKUP($A177,'Data shares'!$C:$FB,98)</f>
        <v>274206000</v>
      </c>
      <c r="G177" s="49">
        <f>VLOOKUP($A177,'Data shares'!$C:$FB,99)</f>
        <v>277820500</v>
      </c>
      <c r="H177" s="50">
        <f t="shared" si="10"/>
        <v>-1.3010199031388974</v>
      </c>
      <c r="I177" s="49">
        <f>VLOOKUP($A177,'Data shares'!$C:$FB,66)</f>
        <v>302702000</v>
      </c>
      <c r="J177" s="49">
        <f>VLOOKUP($A177,'Data shares'!$C:$FB,67)</f>
        <v>391172000</v>
      </c>
      <c r="K177" s="50">
        <f t="shared" si="11"/>
        <v>-29.226764276417072</v>
      </c>
      <c r="L177" s="50">
        <f>VLOOKUP($A177,'Data shares'!$C:$FB,118)</f>
        <v>0.42</v>
      </c>
      <c r="M177" s="50">
        <f>VLOOKUP($A177,'Data shares'!$C:$FB,119)</f>
        <v>0.42</v>
      </c>
      <c r="N177" s="50">
        <f>VLOOKUP($A177,'Data shares'!$C:$FB,121)*100</f>
        <v>0</v>
      </c>
      <c r="O177" s="50">
        <f>VLOOKUP($A177,'Data shares'!$C:$FB,124)</f>
        <v>0.53</v>
      </c>
      <c r="P177" s="50">
        <f>VLOOKUP($A177,'Data shares'!$C:$FB,125)</f>
        <v>0.5</v>
      </c>
      <c r="Q177" s="50">
        <f>VLOOKUP($A177,'Data shares'!$C:$FB,127)*100</f>
        <v>6</v>
      </c>
    </row>
    <row r="178" spans="1:17" x14ac:dyDescent="0.25">
      <c r="A178" s="97" t="str">
        <f>'Data Vlaue (Cr)'!C173</f>
        <v>RVNL</v>
      </c>
      <c r="B178" s="140">
        <f>VLOOKUP($A178,'Data shares'!$C:$FB,7)</f>
        <v>329</v>
      </c>
      <c r="C178" s="140">
        <f>VLOOKUP($A178,'Data shares'!$C:$FB,3)</f>
        <v>329.75</v>
      </c>
      <c r="D178" s="140">
        <f>VLOOKUP($A178,'Data shares'!$C:$FB,4)</f>
        <v>317.10000000000002</v>
      </c>
      <c r="E178" s="50">
        <f t="shared" si="9"/>
        <v>3.9892778303374254</v>
      </c>
      <c r="F178" s="49">
        <f>VLOOKUP($A178,'Data shares'!$C:$FB,98)</f>
        <v>125452600</v>
      </c>
      <c r="G178" s="49">
        <f>VLOOKUP($A178,'Data shares'!$C:$FB,99)</f>
        <v>129461825</v>
      </c>
      <c r="H178" s="50">
        <f t="shared" si="10"/>
        <v>-3.0968395509641549</v>
      </c>
      <c r="I178" s="49">
        <f>VLOOKUP($A178,'Data shares'!$C:$FB,66)</f>
        <v>136124550</v>
      </c>
      <c r="J178" s="49">
        <f>VLOOKUP($A178,'Data shares'!$C:$FB,67)</f>
        <v>115584325</v>
      </c>
      <c r="K178" s="50">
        <f t="shared" si="11"/>
        <v>15.089287714817058</v>
      </c>
      <c r="L178" s="50">
        <f>VLOOKUP($A178,'Data shares'!$C:$FB,118)</f>
        <v>0.32</v>
      </c>
      <c r="M178" s="50">
        <f>VLOOKUP($A178,'Data shares'!$C:$FB,119)</f>
        <v>0.3</v>
      </c>
      <c r="N178" s="50">
        <f>VLOOKUP($A178,'Data shares'!$C:$FB,121)*100</f>
        <v>6.67</v>
      </c>
      <c r="O178" s="50">
        <f>VLOOKUP($A178,'Data shares'!$C:$FB,124)</f>
        <v>0.23</v>
      </c>
      <c r="P178" s="50">
        <f>VLOOKUP($A178,'Data shares'!$C:$FB,125)</f>
        <v>0.42</v>
      </c>
      <c r="Q178" s="50">
        <f>VLOOKUP($A178,'Data shares'!$C:$FB,127)*100</f>
        <v>-45.24</v>
      </c>
    </row>
    <row r="179" spans="1:17" x14ac:dyDescent="0.25">
      <c r="A179" s="97" t="str">
        <f>'Data Vlaue (Cr)'!C174</f>
        <v>SAIL</v>
      </c>
      <c r="B179" s="140">
        <f>VLOOKUP($A179,'Data shares'!$C:$FB,7)</f>
        <v>151.65</v>
      </c>
      <c r="C179" s="140">
        <f>VLOOKUP($A179,'Data shares'!$C:$FB,3)</f>
        <v>152.09</v>
      </c>
      <c r="D179" s="140">
        <f>VLOOKUP($A179,'Data shares'!$C:$FB,4)</f>
        <v>146.38999999999999</v>
      </c>
      <c r="E179" s="50">
        <f t="shared" si="9"/>
        <v>3.8937085866521057</v>
      </c>
      <c r="F179" s="49">
        <f>VLOOKUP($A179,'Data shares'!$C:$FB,98)</f>
        <v>261423400</v>
      </c>
      <c r="G179" s="49">
        <f>VLOOKUP($A179,'Data shares'!$C:$FB,99)</f>
        <v>249363200</v>
      </c>
      <c r="H179" s="50">
        <f t="shared" si="10"/>
        <v>4.8363992762364294</v>
      </c>
      <c r="I179" s="49">
        <f>VLOOKUP($A179,'Data shares'!$C:$FB,66)</f>
        <v>485928300</v>
      </c>
      <c r="J179" s="49">
        <f>VLOOKUP($A179,'Data shares'!$C:$FB,67)</f>
        <v>20026700</v>
      </c>
      <c r="K179" s="50">
        <f t="shared" si="11"/>
        <v>95.878671812281766</v>
      </c>
      <c r="L179" s="50">
        <f>VLOOKUP($A179,'Data shares'!$C:$FB,118)</f>
        <v>0.78</v>
      </c>
      <c r="M179" s="50">
        <f>VLOOKUP($A179,'Data shares'!$C:$FB,119)</f>
        <v>0.79</v>
      </c>
      <c r="N179" s="50">
        <f>VLOOKUP($A179,'Data shares'!$C:$FB,121)*100</f>
        <v>-1.27</v>
      </c>
      <c r="O179" s="50">
        <f>VLOOKUP($A179,'Data shares'!$C:$FB,124)</f>
        <v>0.53</v>
      </c>
      <c r="P179" s="50">
        <f>VLOOKUP($A179,'Data shares'!$C:$FB,125)</f>
        <v>0.81</v>
      </c>
      <c r="Q179" s="50">
        <f>VLOOKUP($A179,'Data shares'!$C:$FB,127)*100</f>
        <v>-34.57</v>
      </c>
    </row>
    <row r="180" spans="1:17" x14ac:dyDescent="0.25">
      <c r="A180" s="97" t="str">
        <f>'Data Vlaue (Cr)'!C175</f>
        <v>SAMMAANCAP</v>
      </c>
      <c r="B180" s="140">
        <f>VLOOKUP($A180,'Data shares'!$C:$FB,7)</f>
        <v>139.97</v>
      </c>
      <c r="C180" s="140">
        <f>VLOOKUP($A180,'Data shares'!$C:$FB,3)</f>
        <v>140.81</v>
      </c>
      <c r="D180" s="140">
        <f>VLOOKUP($A180,'Data shares'!$C:$FB,4)</f>
        <v>137.94999999999999</v>
      </c>
      <c r="E180" s="50">
        <f t="shared" si="9"/>
        <v>2.0732149329467298</v>
      </c>
      <c r="F180" s="49">
        <f>VLOOKUP($A180,'Data shares'!$C:$FB,98)</f>
        <v>159977200</v>
      </c>
      <c r="G180" s="49">
        <f>VLOOKUP($A180,'Data shares'!$C:$FB,99)</f>
        <v>163546200</v>
      </c>
      <c r="H180" s="50">
        <f t="shared" si="10"/>
        <v>-2.1822579797023716</v>
      </c>
      <c r="I180" s="49">
        <f>VLOOKUP($A180,'Data shares'!$C:$FB,66)</f>
        <v>11571300</v>
      </c>
      <c r="J180" s="49">
        <f>VLOOKUP($A180,'Data shares'!$C:$FB,67)</f>
        <v>7838900</v>
      </c>
      <c r="K180" s="50">
        <f t="shared" si="11"/>
        <v>32.255667038275732</v>
      </c>
      <c r="L180" s="50">
        <f>VLOOKUP($A180,'Data shares'!$C:$FB,118)</f>
        <v>0.76</v>
      </c>
      <c r="M180" s="50">
        <f>VLOOKUP($A180,'Data shares'!$C:$FB,119)</f>
        <v>0.76</v>
      </c>
      <c r="N180" s="50">
        <f>VLOOKUP($A180,'Data shares'!$C:$FB,121)*100</f>
        <v>0</v>
      </c>
      <c r="O180" s="50">
        <f>VLOOKUP($A180,'Data shares'!$C:$FB,124)</f>
        <v>0.5</v>
      </c>
      <c r="P180" s="50">
        <f>VLOOKUP($A180,'Data shares'!$C:$FB,125)</f>
        <v>0.62</v>
      </c>
      <c r="Q180" s="50">
        <f>VLOOKUP($A180,'Data shares'!$C:$FB,127)*100</f>
        <v>-19.350000000000001</v>
      </c>
    </row>
    <row r="181" spans="1:17" x14ac:dyDescent="0.25">
      <c r="A181" s="97" t="str">
        <f>'Data Vlaue (Cr)'!C176</f>
        <v>SBICARD</v>
      </c>
      <c r="B181" s="140">
        <f>VLOOKUP($A181,'Data shares'!$C:$FB,7)</f>
        <v>789.1</v>
      </c>
      <c r="C181" s="140">
        <f>VLOOKUP($A181,'Data shares'!$C:$FB,3)</f>
        <v>792.05</v>
      </c>
      <c r="D181" s="140">
        <f>VLOOKUP($A181,'Data shares'!$C:$FB,4)</f>
        <v>786.6</v>
      </c>
      <c r="E181" s="50">
        <f t="shared" si="9"/>
        <v>0.69285532672259498</v>
      </c>
      <c r="F181" s="49">
        <f>VLOOKUP($A181,'Data shares'!$C:$FB,98)</f>
        <v>30984800</v>
      </c>
      <c r="G181" s="49">
        <f>VLOOKUP($A181,'Data shares'!$C:$FB,99)</f>
        <v>32028800</v>
      </c>
      <c r="H181" s="50">
        <f t="shared" si="10"/>
        <v>-3.2595663902487764</v>
      </c>
      <c r="I181" s="49">
        <f>VLOOKUP($A181,'Data shares'!$C:$FB,66)</f>
        <v>32810400</v>
      </c>
      <c r="J181" s="49">
        <f>VLOOKUP($A181,'Data shares'!$C:$FB,67)</f>
        <v>36559200</v>
      </c>
      <c r="K181" s="50">
        <f t="shared" si="11"/>
        <v>-11.425645527028015</v>
      </c>
      <c r="L181" s="50">
        <f>VLOOKUP($A181,'Data shares'!$C:$FB,118)</f>
        <v>0.7</v>
      </c>
      <c r="M181" s="50">
        <f>VLOOKUP($A181,'Data shares'!$C:$FB,119)</f>
        <v>0.63</v>
      </c>
      <c r="N181" s="50">
        <f>VLOOKUP($A181,'Data shares'!$C:$FB,121)*100</f>
        <v>11.110000000000001</v>
      </c>
      <c r="O181" s="50">
        <f>VLOOKUP($A181,'Data shares'!$C:$FB,124)</f>
        <v>0.69</v>
      </c>
      <c r="P181" s="50">
        <f>VLOOKUP($A181,'Data shares'!$C:$FB,125)</f>
        <v>0.76</v>
      </c>
      <c r="Q181" s="50">
        <f>VLOOKUP($A181,'Data shares'!$C:$FB,127)*100</f>
        <v>-9.2100000000000009</v>
      </c>
    </row>
    <row r="182" spans="1:17" x14ac:dyDescent="0.25">
      <c r="A182" s="97" t="str">
        <f>'Data Vlaue (Cr)'!C177</f>
        <v>SBILIFE</v>
      </c>
      <c r="B182" s="140">
        <f>VLOOKUP($A182,'Data shares'!$C:$FB,7)</f>
        <v>2022</v>
      </c>
      <c r="C182" s="140">
        <f>VLOOKUP($A182,'Data shares'!$C:$FB,3)</f>
        <v>2027.2</v>
      </c>
      <c r="D182" s="140">
        <f>VLOOKUP($A182,'Data shares'!$C:$FB,4)</f>
        <v>2053.1</v>
      </c>
      <c r="E182" s="50">
        <f t="shared" si="9"/>
        <v>-1.2615069894306103</v>
      </c>
      <c r="F182" s="49">
        <f>VLOOKUP($A182,'Data shares'!$C:$FB,98)</f>
        <v>20282250</v>
      </c>
      <c r="G182" s="49">
        <f>VLOOKUP($A182,'Data shares'!$C:$FB,99)</f>
        <v>19610250</v>
      </c>
      <c r="H182" s="50">
        <f t="shared" si="10"/>
        <v>3.4267793628332122</v>
      </c>
      <c r="I182" s="49">
        <f>VLOOKUP($A182,'Data shares'!$C:$FB,66)</f>
        <v>27417375</v>
      </c>
      <c r="J182" s="49">
        <f>VLOOKUP($A182,'Data shares'!$C:$FB,67)</f>
        <v>19668750</v>
      </c>
      <c r="K182" s="50">
        <f t="shared" si="11"/>
        <v>28.261731839754901</v>
      </c>
      <c r="L182" s="50">
        <f>VLOOKUP($A182,'Data shares'!$C:$FB,118)</f>
        <v>0.31</v>
      </c>
      <c r="M182" s="50">
        <f>VLOOKUP($A182,'Data shares'!$C:$FB,119)</f>
        <v>0.28000000000000003</v>
      </c>
      <c r="N182" s="50">
        <f>VLOOKUP($A182,'Data shares'!$C:$FB,121)*100</f>
        <v>10.71</v>
      </c>
      <c r="O182" s="50">
        <f>VLOOKUP($A182,'Data shares'!$C:$FB,124)</f>
        <v>0.9</v>
      </c>
      <c r="P182" s="50">
        <f>VLOOKUP($A182,'Data shares'!$C:$FB,125)</f>
        <v>0.51</v>
      </c>
      <c r="Q182" s="50">
        <f>VLOOKUP($A182,'Data shares'!$C:$FB,127)*100</f>
        <v>76.47</v>
      </c>
    </row>
    <row r="183" spans="1:17" x14ac:dyDescent="0.25">
      <c r="A183" s="97" t="str">
        <f>'Data Vlaue (Cr)'!C178</f>
        <v>SBIN</v>
      </c>
      <c r="B183" s="140">
        <f>VLOOKUP($A183,'Data shares'!$C:$FB,7)</f>
        <v>1048.3499999999999</v>
      </c>
      <c r="C183" s="140">
        <f>VLOOKUP($A183,'Data shares'!$C:$FB,3)</f>
        <v>1047.25</v>
      </c>
      <c r="D183" s="140">
        <f>VLOOKUP($A183,'Data shares'!$C:$FB,4)</f>
        <v>1030.25</v>
      </c>
      <c r="E183" s="50">
        <f>(C183-D183)/D183*100</f>
        <v>1.6500849308420287</v>
      </c>
      <c r="F183" s="49">
        <f>VLOOKUP($A183,'Data shares'!$C:$FB,98)</f>
        <v>161948250</v>
      </c>
      <c r="G183" s="49">
        <f>VLOOKUP($A183,'Data shares'!$C:$FB,99)</f>
        <v>162140250</v>
      </c>
      <c r="H183" s="50">
        <f>(F183-G183)/G183*100</f>
        <v>-0.11841600096213001</v>
      </c>
      <c r="I183" s="49">
        <f>VLOOKUP($A183,'Data shares'!$C:$FB,66)</f>
        <v>303967500</v>
      </c>
      <c r="J183" s="49">
        <f>VLOOKUP($A183,'Data shares'!$C:$FB,67)</f>
        <v>295823250</v>
      </c>
      <c r="K183" s="50">
        <f>(I183-J183)/I183*100</f>
        <v>2.6793160453008955</v>
      </c>
      <c r="L183" s="50">
        <f>VLOOKUP($A183,'Data shares'!$C:$FB,118)</f>
        <v>0.96</v>
      </c>
      <c r="M183" s="50">
        <f>VLOOKUP($A183,'Data shares'!$C:$FB,119)</f>
        <v>0.87</v>
      </c>
      <c r="N183" s="50">
        <f>VLOOKUP($A183,'Data shares'!$C:$FB,121)*100</f>
        <v>10.34</v>
      </c>
      <c r="O183" s="50">
        <f>VLOOKUP($A183,'Data shares'!$C:$FB,124)</f>
        <v>0.7</v>
      </c>
      <c r="P183" s="50">
        <f>VLOOKUP($A183,'Data shares'!$C:$FB,125)</f>
        <v>0.83</v>
      </c>
      <c r="Q183" s="50">
        <f>VLOOKUP($A183,'Data shares'!$C:$FB,127)*100</f>
        <v>-15.659999999999998</v>
      </c>
    </row>
    <row r="184" spans="1:17" x14ac:dyDescent="0.25">
      <c r="A184" s="97" t="str">
        <f>'Data Vlaue (Cr)'!C179</f>
        <v>SHREECEM</v>
      </c>
      <c r="B184" s="140">
        <f>VLOOKUP($A184,'Data shares'!$C:$FB,7)</f>
        <v>27430</v>
      </c>
      <c r="C184" s="140">
        <f>VLOOKUP($A184,'Data shares'!$C:$FB,3)</f>
        <v>27525</v>
      </c>
      <c r="D184" s="140">
        <f>VLOOKUP($A184,'Data shares'!$C:$FB,4)</f>
        <v>27440</v>
      </c>
      <c r="E184" s="50">
        <f t="shared" ref="E184:E188" si="12">(C184-D184)/D184*100</f>
        <v>0.30976676384839652</v>
      </c>
      <c r="F184" s="49">
        <f>VLOOKUP($A184,'Data shares'!$C:$FB,98)</f>
        <v>375400</v>
      </c>
      <c r="G184" s="49">
        <f>VLOOKUP($A184,'Data shares'!$C:$FB,99)</f>
        <v>391625</v>
      </c>
      <c r="H184" s="50">
        <f t="shared" ref="H184:H188" si="13">(F184-G184)/G184*100</f>
        <v>-4.1429939355250553</v>
      </c>
      <c r="I184" s="49">
        <f>VLOOKUP($A184,'Data shares'!$C:$FB,66)</f>
        <v>389000</v>
      </c>
      <c r="J184" s="49">
        <f>VLOOKUP($A184,'Data shares'!$C:$FB,67)</f>
        <v>461600</v>
      </c>
      <c r="K184" s="50">
        <f t="shared" ref="K184:K188" si="14">(I184-J184)/I184*100</f>
        <v>-18.663239074550127</v>
      </c>
      <c r="L184" s="50">
        <f>VLOOKUP($A184,'Data shares'!$C:$FB,118)</f>
        <v>0.73</v>
      </c>
      <c r="M184" s="50">
        <f>VLOOKUP($A184,'Data shares'!$C:$FB,119)</f>
        <v>0.76</v>
      </c>
      <c r="N184" s="50">
        <f>VLOOKUP($A184,'Data shares'!$C:$FB,121)*100</f>
        <v>-3.95</v>
      </c>
      <c r="O184" s="50">
        <f>VLOOKUP($A184,'Data shares'!$C:$FB,124)</f>
        <v>0.54</v>
      </c>
      <c r="P184" s="50">
        <f>VLOOKUP($A184,'Data shares'!$C:$FB,125)</f>
        <v>0.52</v>
      </c>
      <c r="Q184" s="50">
        <f>VLOOKUP($A184,'Data shares'!$C:$FB,127)*100</f>
        <v>3.85</v>
      </c>
    </row>
    <row r="185" spans="1:17" x14ac:dyDescent="0.25">
      <c r="A185" s="97" t="str">
        <f>'Data Vlaue (Cr)'!C180</f>
        <v>SHRIRAMFIN</v>
      </c>
      <c r="B185" s="140">
        <f>VLOOKUP($A185,'Data shares'!$C:$FB,7)</f>
        <v>1005.5</v>
      </c>
      <c r="C185" s="140">
        <f>VLOOKUP($A185,'Data shares'!$C:$FB,3)</f>
        <v>1005.15</v>
      </c>
      <c r="D185" s="140">
        <f>VLOOKUP($A185,'Data shares'!$C:$FB,4)</f>
        <v>985.7</v>
      </c>
      <c r="E185" s="50">
        <f t="shared" si="12"/>
        <v>1.9732170031449663</v>
      </c>
      <c r="F185" s="49">
        <f>VLOOKUP($A185,'Data shares'!$C:$FB,98)</f>
        <v>73063650</v>
      </c>
      <c r="G185" s="49">
        <f>VLOOKUP($A185,'Data shares'!$C:$FB,99)</f>
        <v>74035500</v>
      </c>
      <c r="H185" s="50">
        <f t="shared" si="13"/>
        <v>-1.3126810786717185</v>
      </c>
      <c r="I185" s="49">
        <f>VLOOKUP($A185,'Data shares'!$C:$FB,66)</f>
        <v>77126775</v>
      </c>
      <c r="J185" s="49">
        <f>VLOOKUP($A185,'Data shares'!$C:$FB,67)</f>
        <v>56906025</v>
      </c>
      <c r="K185" s="50">
        <f t="shared" si="14"/>
        <v>26.217548964027081</v>
      </c>
      <c r="L185" s="50">
        <f>VLOOKUP($A185,'Data shares'!$C:$FB,118)</f>
        <v>0.82</v>
      </c>
      <c r="M185" s="50">
        <f>VLOOKUP($A185,'Data shares'!$C:$FB,119)</f>
        <v>0.73</v>
      </c>
      <c r="N185" s="50">
        <f>VLOOKUP($A185,'Data shares'!$C:$FB,121)*100</f>
        <v>12.33</v>
      </c>
      <c r="O185" s="50">
        <f>VLOOKUP($A185,'Data shares'!$C:$FB,124)</f>
        <v>0.47</v>
      </c>
      <c r="P185" s="50">
        <f>VLOOKUP($A185,'Data shares'!$C:$FB,125)</f>
        <v>0.54</v>
      </c>
      <c r="Q185" s="50">
        <f>VLOOKUP($A185,'Data shares'!$C:$FB,127)*100</f>
        <v>-12.959999999999999</v>
      </c>
    </row>
    <row r="186" spans="1:17" x14ac:dyDescent="0.25">
      <c r="A186" s="97" t="str">
        <f>'Data Vlaue (Cr)'!C181</f>
        <v>SIEMENS</v>
      </c>
      <c r="B186" s="140">
        <f>VLOOKUP($A186,'Data shares'!$C:$FB,7)</f>
        <v>2928.2</v>
      </c>
      <c r="C186" s="140">
        <f>VLOOKUP($A186,'Data shares'!$C:$FB,3)</f>
        <v>2931.2</v>
      </c>
      <c r="D186" s="140">
        <f>VLOOKUP($A186,'Data shares'!$C:$FB,4)</f>
        <v>2885</v>
      </c>
      <c r="E186" s="50">
        <f t="shared" si="12"/>
        <v>1.6013864818024199</v>
      </c>
      <c r="F186" s="49">
        <f>VLOOKUP($A186,'Data shares'!$C:$FB,98)</f>
        <v>4576950</v>
      </c>
      <c r="G186" s="49">
        <f>VLOOKUP($A186,'Data shares'!$C:$FB,99)</f>
        <v>4835075</v>
      </c>
      <c r="H186" s="50">
        <f t="shared" si="13"/>
        <v>-5.3385935068225416</v>
      </c>
      <c r="I186" s="49">
        <f>VLOOKUP($A186,'Data shares'!$C:$FB,66)</f>
        <v>4382875</v>
      </c>
      <c r="J186" s="49">
        <f>VLOOKUP($A186,'Data shares'!$C:$FB,67)</f>
        <v>5128900</v>
      </c>
      <c r="K186" s="50">
        <f t="shared" si="14"/>
        <v>-17.02136154921142</v>
      </c>
      <c r="L186" s="50">
        <f>VLOOKUP($A186,'Data shares'!$C:$FB,118)</f>
        <v>0.55000000000000004</v>
      </c>
      <c r="M186" s="50">
        <f>VLOOKUP($A186,'Data shares'!$C:$FB,119)</f>
        <v>0.56999999999999995</v>
      </c>
      <c r="N186" s="50">
        <f>VLOOKUP($A186,'Data shares'!$C:$FB,121)*100</f>
        <v>-3.51</v>
      </c>
      <c r="O186" s="50">
        <f>VLOOKUP($A186,'Data shares'!$C:$FB,124)</f>
        <v>0.4</v>
      </c>
      <c r="P186" s="50">
        <f>VLOOKUP($A186,'Data shares'!$C:$FB,125)</f>
        <v>0.44</v>
      </c>
      <c r="Q186" s="50">
        <f>VLOOKUP($A186,'Data shares'!$C:$FB,127)*100</f>
        <v>-9.09</v>
      </c>
    </row>
    <row r="187" spans="1:17" x14ac:dyDescent="0.25">
      <c r="A187" s="97" t="str">
        <f>'Data Vlaue (Cr)'!C182</f>
        <v>SOLARINDS</v>
      </c>
      <c r="B187" s="140">
        <f>VLOOKUP($A187,'Data shares'!$C:$FB,7)</f>
        <v>12901</v>
      </c>
      <c r="C187" s="140">
        <f>VLOOKUP($A187,'Data shares'!$C:$FB,3)</f>
        <v>12886</v>
      </c>
      <c r="D187" s="140">
        <f>VLOOKUP($A187,'Data shares'!$C:$FB,4)</f>
        <v>12532</v>
      </c>
      <c r="E187" s="50">
        <f t="shared" si="12"/>
        <v>2.8247685924034474</v>
      </c>
      <c r="F187" s="49">
        <f>VLOOKUP($A187,'Data shares'!$C:$FB,98)</f>
        <v>1811050</v>
      </c>
      <c r="G187" s="49">
        <f>VLOOKUP($A187,'Data shares'!$C:$FB,99)</f>
        <v>1934450</v>
      </c>
      <c r="H187" s="50">
        <f t="shared" si="13"/>
        <v>-6.3790741554446999</v>
      </c>
      <c r="I187" s="49">
        <f>VLOOKUP($A187,'Data shares'!$C:$FB,66)</f>
        <v>1531250</v>
      </c>
      <c r="J187" s="49">
        <f>VLOOKUP($A187,'Data shares'!$C:$FB,67)</f>
        <v>1080550</v>
      </c>
      <c r="K187" s="50">
        <f t="shared" si="14"/>
        <v>29.4334693877551</v>
      </c>
      <c r="L187" s="50">
        <f>VLOOKUP($A187,'Data shares'!$C:$FB,118)</f>
        <v>0.7</v>
      </c>
      <c r="M187" s="50">
        <f>VLOOKUP($A187,'Data shares'!$C:$FB,119)</f>
        <v>0.63</v>
      </c>
      <c r="N187" s="50">
        <f>VLOOKUP($A187,'Data shares'!$C:$FB,121)*100</f>
        <v>11.110000000000001</v>
      </c>
      <c r="O187" s="50">
        <f>VLOOKUP($A187,'Data shares'!$C:$FB,124)</f>
        <v>0.46</v>
      </c>
      <c r="P187" s="50">
        <f>VLOOKUP($A187,'Data shares'!$C:$FB,125)</f>
        <v>0.32</v>
      </c>
      <c r="Q187" s="50">
        <f>VLOOKUP($A187,'Data shares'!$C:$FB,127)*100</f>
        <v>43.75</v>
      </c>
    </row>
    <row r="188" spans="1:17" x14ac:dyDescent="0.25">
      <c r="A188" s="97" t="str">
        <f>'Data Vlaue (Cr)'!C183</f>
        <v>SONACOMS</v>
      </c>
      <c r="B188" s="140">
        <f>VLOOKUP($A188,'Data shares'!$C:$FB,7)</f>
        <v>469.1</v>
      </c>
      <c r="C188" s="140">
        <f>VLOOKUP($A188,'Data shares'!$C:$FB,3)</f>
        <v>469.75</v>
      </c>
      <c r="D188" s="140">
        <f>VLOOKUP($A188,'Data shares'!$C:$FB,4)</f>
        <v>443.95</v>
      </c>
      <c r="E188" s="50">
        <f t="shared" si="12"/>
        <v>5.8114652550962971</v>
      </c>
      <c r="F188" s="49">
        <f>VLOOKUP($A188,'Data shares'!$C:$FB,98)</f>
        <v>26289725</v>
      </c>
      <c r="G188" s="49">
        <f>VLOOKUP($A188,'Data shares'!$C:$FB,99)</f>
        <v>26484500</v>
      </c>
      <c r="H188" s="50">
        <f t="shared" si="13"/>
        <v>-0.73543015726179473</v>
      </c>
      <c r="I188" s="49">
        <f>VLOOKUP($A188,'Data shares'!$C:$FB,66)</f>
        <v>39653250</v>
      </c>
      <c r="J188" s="49">
        <f>VLOOKUP($A188,'Data shares'!$C:$FB,67)</f>
        <v>15852725</v>
      </c>
      <c r="K188" s="50">
        <f t="shared" si="14"/>
        <v>60.021624961383999</v>
      </c>
      <c r="L188" s="50">
        <f>VLOOKUP($A188,'Data shares'!$C:$FB,118)</f>
        <v>0.68</v>
      </c>
      <c r="M188" s="50">
        <f>VLOOKUP($A188,'Data shares'!$C:$FB,119)</f>
        <v>0.57999999999999996</v>
      </c>
      <c r="N188" s="50">
        <f>VLOOKUP($A188,'Data shares'!$C:$FB,121)*100</f>
        <v>17.239999999999998</v>
      </c>
      <c r="O188" s="50">
        <f>VLOOKUP($A188,'Data shares'!$C:$FB,124)</f>
        <v>0.45</v>
      </c>
      <c r="P188" s="50">
        <f>VLOOKUP($A188,'Data shares'!$C:$FB,125)</f>
        <v>0.5</v>
      </c>
      <c r="Q188" s="50">
        <f>VLOOKUP($A188,'Data shares'!$C:$FB,127)*100</f>
        <v>-10</v>
      </c>
    </row>
    <row r="189" spans="1:17" x14ac:dyDescent="0.25">
      <c r="A189" s="97" t="str">
        <f>'Data Vlaue (Cr)'!C184</f>
        <v>SRF</v>
      </c>
      <c r="B189" s="140">
        <f>VLOOKUP($A189,'Data shares'!$C:$FB,7)</f>
        <v>2735.9</v>
      </c>
      <c r="C189" s="140">
        <f>VLOOKUP($A189,'Data shares'!$C:$FB,3)</f>
        <v>2729.6</v>
      </c>
      <c r="D189" s="140">
        <f>VLOOKUP($A189,'Data shares'!$C:$FB,4)</f>
        <v>2680.3</v>
      </c>
      <c r="E189" s="50">
        <f t="shared" ref="E189:E220" si="15">(C189-D189)/D189*100</f>
        <v>1.839346341827397</v>
      </c>
      <c r="F189" s="49">
        <f>VLOOKUP($A189,'Data shares'!$C:$FB,98)</f>
        <v>8099400</v>
      </c>
      <c r="G189" s="49">
        <f>VLOOKUP($A189,'Data shares'!$C:$FB,99)</f>
        <v>9403000</v>
      </c>
      <c r="H189" s="50">
        <f t="shared" ref="H189:H220" si="16">(F189-G189)/G189*100</f>
        <v>-13.863660533872169</v>
      </c>
      <c r="I189" s="49">
        <f>VLOOKUP($A189,'Data shares'!$C:$FB,66)</f>
        <v>12121200</v>
      </c>
      <c r="J189" s="49">
        <f>VLOOKUP($A189,'Data shares'!$C:$FB,67)</f>
        <v>44449000</v>
      </c>
      <c r="K189" s="50">
        <f t="shared" ref="K189:K220" si="17">(I189-J189)/I189*100</f>
        <v>-266.70461670461674</v>
      </c>
      <c r="L189" s="50">
        <f>VLOOKUP($A189,'Data shares'!$C:$FB,118)</f>
        <v>0.5</v>
      </c>
      <c r="M189" s="50">
        <f>VLOOKUP($A189,'Data shares'!$C:$FB,119)</f>
        <v>0.45</v>
      </c>
      <c r="N189" s="50">
        <f>VLOOKUP($A189,'Data shares'!$C:$FB,121)*100</f>
        <v>11.110000000000001</v>
      </c>
      <c r="O189" s="50">
        <f>VLOOKUP($A189,'Data shares'!$C:$FB,124)</f>
        <v>0.54</v>
      </c>
      <c r="P189" s="50">
        <f>VLOOKUP($A189,'Data shares'!$C:$FB,125)</f>
        <v>1.1000000000000001</v>
      </c>
      <c r="Q189" s="50">
        <f>VLOOKUP($A189,'Data shares'!$C:$FB,127)*100</f>
        <v>-50.91</v>
      </c>
    </row>
    <row r="190" spans="1:17" x14ac:dyDescent="0.25">
      <c r="A190" s="97" t="str">
        <f>'Data Vlaue (Cr)'!C185</f>
        <v>SUNPHARMA</v>
      </c>
      <c r="B190" s="140">
        <f>VLOOKUP($A190,'Data shares'!$C:$FB,7)</f>
        <v>1634.2</v>
      </c>
      <c r="C190" s="140">
        <f>VLOOKUP($A190,'Data shares'!$C:$FB,3)</f>
        <v>1635.4</v>
      </c>
      <c r="D190" s="140">
        <f>VLOOKUP($A190,'Data shares'!$C:$FB,4)</f>
        <v>1616.4</v>
      </c>
      <c r="E190" s="50">
        <f t="shared" si="15"/>
        <v>1.1754516208859194</v>
      </c>
      <c r="F190" s="49">
        <f>VLOOKUP($A190,'Data shares'!$C:$FB,98)</f>
        <v>37797550</v>
      </c>
      <c r="G190" s="49">
        <f>VLOOKUP($A190,'Data shares'!$C:$FB,99)</f>
        <v>38319050</v>
      </c>
      <c r="H190" s="50">
        <f t="shared" si="16"/>
        <v>-1.3609418813879781</v>
      </c>
      <c r="I190" s="49">
        <f>VLOOKUP($A190,'Data shares'!$C:$FB,66)</f>
        <v>32144700</v>
      </c>
      <c r="J190" s="49">
        <f>VLOOKUP($A190,'Data shares'!$C:$FB,67)</f>
        <v>33892600</v>
      </c>
      <c r="K190" s="50">
        <f t="shared" si="17"/>
        <v>-5.4375993554147337</v>
      </c>
      <c r="L190" s="50">
        <f>VLOOKUP($A190,'Data shares'!$C:$FB,118)</f>
        <v>0.4</v>
      </c>
      <c r="M190" s="50">
        <f>VLOOKUP($A190,'Data shares'!$C:$FB,119)</f>
        <v>0.43</v>
      </c>
      <c r="N190" s="50">
        <f>VLOOKUP($A190,'Data shares'!$C:$FB,121)*100</f>
        <v>-6.98</v>
      </c>
      <c r="O190" s="50">
        <f>VLOOKUP($A190,'Data shares'!$C:$FB,124)</f>
        <v>0.89</v>
      </c>
      <c r="P190" s="50">
        <f>VLOOKUP($A190,'Data shares'!$C:$FB,125)</f>
        <v>0.56000000000000005</v>
      </c>
      <c r="Q190" s="50">
        <f>VLOOKUP($A190,'Data shares'!$C:$FB,127)*100</f>
        <v>58.930000000000007</v>
      </c>
    </row>
    <row r="191" spans="1:17" x14ac:dyDescent="0.25">
      <c r="A191" s="97" t="str">
        <f>'Data Vlaue (Cr)'!C186</f>
        <v>SUPREMEIND</v>
      </c>
      <c r="B191" s="140">
        <f>VLOOKUP($A191,'Data shares'!$C:$FB,7)</f>
        <v>3487.8</v>
      </c>
      <c r="C191" s="140">
        <f>VLOOKUP($A191,'Data shares'!$C:$FB,3)</f>
        <v>3487.1</v>
      </c>
      <c r="D191" s="140">
        <f>VLOOKUP($A191,'Data shares'!$C:$FB,4)</f>
        <v>3349.8</v>
      </c>
      <c r="E191" s="50">
        <f t="shared" si="15"/>
        <v>4.0987521643083085</v>
      </c>
      <c r="F191" s="49">
        <f>VLOOKUP($A191,'Data shares'!$C:$FB,98)</f>
        <v>3751475</v>
      </c>
      <c r="G191" s="49">
        <f>VLOOKUP($A191,'Data shares'!$C:$FB,99)</f>
        <v>4192475</v>
      </c>
      <c r="H191" s="50">
        <f t="shared" si="16"/>
        <v>-10.518846266226991</v>
      </c>
      <c r="I191" s="49">
        <f>VLOOKUP($A191,'Data shares'!$C:$FB,66)</f>
        <v>8686475</v>
      </c>
      <c r="J191" s="49">
        <f>VLOOKUP($A191,'Data shares'!$C:$FB,67)</f>
        <v>14411075</v>
      </c>
      <c r="K191" s="50">
        <f t="shared" si="17"/>
        <v>-65.902451800068491</v>
      </c>
      <c r="L191" s="50">
        <f>VLOOKUP($A191,'Data shares'!$C:$FB,118)</f>
        <v>0.98</v>
      </c>
      <c r="M191" s="50">
        <f>VLOOKUP($A191,'Data shares'!$C:$FB,119)</f>
        <v>0.94</v>
      </c>
      <c r="N191" s="50">
        <f>VLOOKUP($A191,'Data shares'!$C:$FB,121)*100</f>
        <v>4.26</v>
      </c>
      <c r="O191" s="50">
        <f>VLOOKUP($A191,'Data shares'!$C:$FB,124)</f>
        <v>0.57999999999999996</v>
      </c>
      <c r="P191" s="50">
        <f>VLOOKUP($A191,'Data shares'!$C:$FB,125)</f>
        <v>0.81</v>
      </c>
      <c r="Q191" s="50">
        <f>VLOOKUP($A191,'Data shares'!$C:$FB,127)*100</f>
        <v>-28.4</v>
      </c>
    </row>
    <row r="192" spans="1:17" x14ac:dyDescent="0.25">
      <c r="A192" s="97" t="str">
        <f>'Data Vlaue (Cr)'!C187</f>
        <v>SUZLON</v>
      </c>
      <c r="B192" s="140">
        <f>VLOOKUP($A192,'Data shares'!$C:$FB,7)</f>
        <v>46.99</v>
      </c>
      <c r="C192" s="140">
        <f>VLOOKUP($A192,'Data shares'!$C:$FB,3)</f>
        <v>47.01</v>
      </c>
      <c r="D192" s="140">
        <f>VLOOKUP($A192,'Data shares'!$C:$FB,4)</f>
        <v>45.65</v>
      </c>
      <c r="E192" s="50">
        <f t="shared" si="15"/>
        <v>2.9791894852135807</v>
      </c>
      <c r="F192" s="49">
        <f>VLOOKUP($A192,'Data shares'!$C:$FB,98)</f>
        <v>665368125</v>
      </c>
      <c r="G192" s="49">
        <f>VLOOKUP($A192,'Data shares'!$C:$FB,99)</f>
        <v>686333200</v>
      </c>
      <c r="H192" s="50">
        <f t="shared" si="16"/>
        <v>-3.0546496949295183</v>
      </c>
      <c r="I192" s="49">
        <f>VLOOKUP($A192,'Data shares'!$C:$FB,66)</f>
        <v>385620200</v>
      </c>
      <c r="J192" s="49">
        <f>VLOOKUP($A192,'Data shares'!$C:$FB,67)</f>
        <v>468830700</v>
      </c>
      <c r="K192" s="50">
        <f t="shared" si="17"/>
        <v>-21.578356113087438</v>
      </c>
      <c r="L192" s="50">
        <f>VLOOKUP($A192,'Data shares'!$C:$FB,118)</f>
        <v>0.45</v>
      </c>
      <c r="M192" s="50">
        <f>VLOOKUP($A192,'Data shares'!$C:$FB,119)</f>
        <v>0.41</v>
      </c>
      <c r="N192" s="50">
        <f>VLOOKUP($A192,'Data shares'!$C:$FB,121)*100</f>
        <v>9.76</v>
      </c>
      <c r="O192" s="50">
        <f>VLOOKUP($A192,'Data shares'!$C:$FB,124)</f>
        <v>0.36</v>
      </c>
      <c r="P192" s="50">
        <f>VLOOKUP($A192,'Data shares'!$C:$FB,125)</f>
        <v>0.62</v>
      </c>
      <c r="Q192" s="50">
        <f>VLOOKUP($A192,'Data shares'!$C:$FB,127)*100</f>
        <v>-41.94</v>
      </c>
    </row>
    <row r="193" spans="1:17" x14ac:dyDescent="0.25">
      <c r="A193" s="97" t="str">
        <f>'Data Vlaue (Cr)'!C188</f>
        <v>SWIGGY</v>
      </c>
      <c r="B193" s="140">
        <f>VLOOKUP($A193,'Data shares'!$C:$FB,7)</f>
        <v>320.3</v>
      </c>
      <c r="C193" s="140">
        <f>VLOOKUP($A193,'Data shares'!$C:$FB,3)</f>
        <v>319.8</v>
      </c>
      <c r="D193" s="140">
        <f>VLOOKUP($A193,'Data shares'!$C:$FB,4)</f>
        <v>336.25</v>
      </c>
      <c r="E193" s="50">
        <f t="shared" si="15"/>
        <v>-4.8921933085501825</v>
      </c>
      <c r="F193" s="49">
        <f>VLOOKUP($A193,'Data shares'!$C:$FB,98)</f>
        <v>48726600</v>
      </c>
      <c r="G193" s="49">
        <f>VLOOKUP($A193,'Data shares'!$C:$FB,99)</f>
        <v>49301200</v>
      </c>
      <c r="H193" s="50">
        <f t="shared" si="16"/>
        <v>-1.1654888724818058</v>
      </c>
      <c r="I193" s="49">
        <f>VLOOKUP($A193,'Data shares'!$C:$FB,66)</f>
        <v>88299900</v>
      </c>
      <c r="J193" s="49">
        <f>VLOOKUP($A193,'Data shares'!$C:$FB,67)</f>
        <v>61834500</v>
      </c>
      <c r="K193" s="50">
        <f t="shared" si="17"/>
        <v>29.972174373923416</v>
      </c>
      <c r="L193" s="50">
        <f>VLOOKUP($A193,'Data shares'!$C:$FB,118)</f>
        <v>0.63</v>
      </c>
      <c r="M193" s="50">
        <f>VLOOKUP($A193,'Data shares'!$C:$FB,119)</f>
        <v>0.6</v>
      </c>
      <c r="N193" s="50">
        <f>VLOOKUP($A193,'Data shares'!$C:$FB,121)*100</f>
        <v>5</v>
      </c>
      <c r="O193" s="50">
        <f>VLOOKUP($A193,'Data shares'!$C:$FB,124)</f>
        <v>0.79</v>
      </c>
      <c r="P193" s="50">
        <f>VLOOKUP($A193,'Data shares'!$C:$FB,125)</f>
        <v>0.45</v>
      </c>
      <c r="Q193" s="50">
        <f>VLOOKUP($A193,'Data shares'!$C:$FB,127)*100</f>
        <v>75.56</v>
      </c>
    </row>
    <row r="194" spans="1:17" x14ac:dyDescent="0.25">
      <c r="A194" s="97" t="str">
        <f>'Data Vlaue (Cr)'!C189</f>
        <v>SYNGENE</v>
      </c>
      <c r="B194" s="140">
        <f>VLOOKUP($A194,'Data shares'!$C:$FB,7)</f>
        <v>592.6</v>
      </c>
      <c r="C194" s="140">
        <f>VLOOKUP($A194,'Data shares'!$C:$FB,3)</f>
        <v>591.35</v>
      </c>
      <c r="D194" s="140">
        <f>VLOOKUP($A194,'Data shares'!$C:$FB,4)</f>
        <v>601.54999999999995</v>
      </c>
      <c r="E194" s="50">
        <f t="shared" si="15"/>
        <v>-1.6956196492394535</v>
      </c>
      <c r="F194" s="49">
        <f>VLOOKUP($A194,'Data shares'!$C:$FB,98)</f>
        <v>18460000</v>
      </c>
      <c r="G194" s="49">
        <f>VLOOKUP($A194,'Data shares'!$C:$FB,99)</f>
        <v>17924000</v>
      </c>
      <c r="H194" s="50">
        <f t="shared" si="16"/>
        <v>2.990403927694711</v>
      </c>
      <c r="I194" s="49">
        <f>VLOOKUP($A194,'Data shares'!$C:$FB,66)</f>
        <v>24126000</v>
      </c>
      <c r="J194" s="49">
        <f>VLOOKUP($A194,'Data shares'!$C:$FB,67)</f>
        <v>11825000</v>
      </c>
      <c r="K194" s="50">
        <f t="shared" si="17"/>
        <v>50.986487606731323</v>
      </c>
      <c r="L194" s="50">
        <f>VLOOKUP($A194,'Data shares'!$C:$FB,118)</f>
        <v>0.66</v>
      </c>
      <c r="M194" s="50">
        <f>VLOOKUP($A194,'Data shares'!$C:$FB,119)</f>
        <v>0.56000000000000005</v>
      </c>
      <c r="N194" s="50">
        <f>VLOOKUP($A194,'Data shares'!$C:$FB,121)*100</f>
        <v>17.86</v>
      </c>
      <c r="O194" s="50">
        <f>VLOOKUP($A194,'Data shares'!$C:$FB,124)</f>
        <v>1.21</v>
      </c>
      <c r="P194" s="50">
        <f>VLOOKUP($A194,'Data shares'!$C:$FB,125)</f>
        <v>0.59</v>
      </c>
      <c r="Q194" s="50">
        <f>VLOOKUP($A194,'Data shares'!$C:$FB,127)*100</f>
        <v>105.08</v>
      </c>
    </row>
    <row r="195" spans="1:17" x14ac:dyDescent="0.25">
      <c r="A195" s="97" t="str">
        <f>'Data Vlaue (Cr)'!C190</f>
        <v>TATACONSUM</v>
      </c>
      <c r="B195" s="140">
        <f>VLOOKUP($A195,'Data shares'!$C:$FB,7)</f>
        <v>1175.2</v>
      </c>
      <c r="C195" s="140">
        <f>VLOOKUP($A195,'Data shares'!$C:$FB,3)</f>
        <v>1177.8</v>
      </c>
      <c r="D195" s="140">
        <f>VLOOKUP($A195,'Data shares'!$C:$FB,4)</f>
        <v>1164.5999999999999</v>
      </c>
      <c r="E195" s="50">
        <f t="shared" si="15"/>
        <v>1.1334363730036106</v>
      </c>
      <c r="F195" s="49">
        <f>VLOOKUP($A195,'Data shares'!$C:$FB,98)</f>
        <v>18491550</v>
      </c>
      <c r="G195" s="49">
        <f>VLOOKUP($A195,'Data shares'!$C:$FB,99)</f>
        <v>19168600</v>
      </c>
      <c r="H195" s="50">
        <f t="shared" si="16"/>
        <v>-3.5320785033857454</v>
      </c>
      <c r="I195" s="49">
        <f>VLOOKUP($A195,'Data shares'!$C:$FB,66)</f>
        <v>19568450</v>
      </c>
      <c r="J195" s="49">
        <f>VLOOKUP($A195,'Data shares'!$C:$FB,67)</f>
        <v>19023400</v>
      </c>
      <c r="K195" s="50">
        <f t="shared" si="17"/>
        <v>2.785350909244217</v>
      </c>
      <c r="L195" s="50">
        <f>VLOOKUP($A195,'Data shares'!$C:$FB,118)</f>
        <v>0.72</v>
      </c>
      <c r="M195" s="50">
        <f>VLOOKUP($A195,'Data shares'!$C:$FB,119)</f>
        <v>0.69</v>
      </c>
      <c r="N195" s="50">
        <f>VLOOKUP($A195,'Data shares'!$C:$FB,121)*100</f>
        <v>4.3499999999999996</v>
      </c>
      <c r="O195" s="50">
        <f>VLOOKUP($A195,'Data shares'!$C:$FB,124)</f>
        <v>0.62</v>
      </c>
      <c r="P195" s="50">
        <f>VLOOKUP($A195,'Data shares'!$C:$FB,125)</f>
        <v>0.47</v>
      </c>
      <c r="Q195" s="50">
        <f>VLOOKUP($A195,'Data shares'!$C:$FB,127)*100</f>
        <v>31.91</v>
      </c>
    </row>
    <row r="196" spans="1:17" x14ac:dyDescent="0.25">
      <c r="A196" s="97" t="str">
        <f>'Data Vlaue (Cr)'!C191</f>
        <v>TATAELXSI</v>
      </c>
      <c r="B196" s="140">
        <f>VLOOKUP($A196,'Data shares'!$C:$FB,7)</f>
        <v>5464</v>
      </c>
      <c r="C196" s="140">
        <f>VLOOKUP($A196,'Data shares'!$C:$FB,3)</f>
        <v>5462</v>
      </c>
      <c r="D196" s="140">
        <f>VLOOKUP($A196,'Data shares'!$C:$FB,4)</f>
        <v>5342</v>
      </c>
      <c r="E196" s="50">
        <f t="shared" si="15"/>
        <v>2.2463496817671285</v>
      </c>
      <c r="F196" s="49">
        <f>VLOOKUP($A196,'Data shares'!$C:$FB,98)</f>
        <v>4266000</v>
      </c>
      <c r="G196" s="49">
        <f>VLOOKUP($A196,'Data shares'!$C:$FB,99)</f>
        <v>4665100</v>
      </c>
      <c r="H196" s="50">
        <f t="shared" si="16"/>
        <v>-8.5550148978585661</v>
      </c>
      <c r="I196" s="49">
        <f>VLOOKUP($A196,'Data shares'!$C:$FB,66)</f>
        <v>7698100</v>
      </c>
      <c r="J196" s="49">
        <f>VLOOKUP($A196,'Data shares'!$C:$FB,67)</f>
        <v>6677500</v>
      </c>
      <c r="K196" s="50">
        <f t="shared" si="17"/>
        <v>13.25781686390148</v>
      </c>
      <c r="L196" s="50">
        <f>VLOOKUP($A196,'Data shares'!$C:$FB,118)</f>
        <v>0.53</v>
      </c>
      <c r="M196" s="50">
        <f>VLOOKUP($A196,'Data shares'!$C:$FB,119)</f>
        <v>0.54</v>
      </c>
      <c r="N196" s="50">
        <f>VLOOKUP($A196,'Data shares'!$C:$FB,121)*100</f>
        <v>-1.8499999999999999</v>
      </c>
      <c r="O196" s="50">
        <f>VLOOKUP($A196,'Data shares'!$C:$FB,124)</f>
        <v>0.48</v>
      </c>
      <c r="P196" s="50">
        <f>VLOOKUP($A196,'Data shares'!$C:$FB,125)</f>
        <v>0.6</v>
      </c>
      <c r="Q196" s="50">
        <f>VLOOKUP($A196,'Data shares'!$C:$FB,127)*100</f>
        <v>-20</v>
      </c>
    </row>
    <row r="197" spans="1:17" x14ac:dyDescent="0.25">
      <c r="A197" s="97" t="str">
        <f>'Data Vlaue (Cr)'!C192</f>
        <v>TATAPOWER</v>
      </c>
      <c r="B197" s="140">
        <f>VLOOKUP($A197,'Data shares'!$C:$FB,7)</f>
        <v>353.3</v>
      </c>
      <c r="C197" s="140">
        <f>VLOOKUP($A197,'Data shares'!$C:$FB,3)</f>
        <v>353.5</v>
      </c>
      <c r="D197" s="140">
        <f>VLOOKUP($A197,'Data shares'!$C:$FB,4)</f>
        <v>350.15</v>
      </c>
      <c r="E197" s="50">
        <f t="shared" si="15"/>
        <v>0.95673282878766897</v>
      </c>
      <c r="F197" s="49">
        <f>VLOOKUP($A197,'Data shares'!$C:$FB,98)</f>
        <v>134158350</v>
      </c>
      <c r="G197" s="49">
        <f>VLOOKUP($A197,'Data shares'!$C:$FB,99)</f>
        <v>130262200</v>
      </c>
      <c r="H197" s="50">
        <f t="shared" si="16"/>
        <v>2.991005832850973</v>
      </c>
      <c r="I197" s="49">
        <f>VLOOKUP($A197,'Data shares'!$C:$FB,66)</f>
        <v>91271700</v>
      </c>
      <c r="J197" s="49">
        <f>VLOOKUP($A197,'Data shares'!$C:$FB,67)</f>
        <v>99802050</v>
      </c>
      <c r="K197" s="50">
        <f t="shared" si="17"/>
        <v>-9.3461061862548842</v>
      </c>
      <c r="L197" s="50">
        <f>VLOOKUP($A197,'Data shares'!$C:$FB,118)</f>
        <v>0.8</v>
      </c>
      <c r="M197" s="50">
        <f>VLOOKUP($A197,'Data shares'!$C:$FB,119)</f>
        <v>0.76</v>
      </c>
      <c r="N197" s="50">
        <f>VLOOKUP($A197,'Data shares'!$C:$FB,121)*100</f>
        <v>5.26</v>
      </c>
      <c r="O197" s="50">
        <f>VLOOKUP($A197,'Data shares'!$C:$FB,124)</f>
        <v>0.56000000000000005</v>
      </c>
      <c r="P197" s="50">
        <f>VLOOKUP($A197,'Data shares'!$C:$FB,125)</f>
        <v>0.57999999999999996</v>
      </c>
      <c r="Q197" s="50">
        <f>VLOOKUP($A197,'Data shares'!$C:$FB,127)*100</f>
        <v>-3.45</v>
      </c>
    </row>
    <row r="198" spans="1:17" x14ac:dyDescent="0.25">
      <c r="A198" s="97" t="str">
        <f>'Data Vlaue (Cr)'!C193</f>
        <v>TATASTEEL</v>
      </c>
      <c r="B198" s="140">
        <f>VLOOKUP($A198,'Data shares'!$C:$FB,7)</f>
        <v>189.1</v>
      </c>
      <c r="C198" s="140">
        <f>VLOOKUP($A198,'Data shares'!$C:$FB,3)</f>
        <v>189.15</v>
      </c>
      <c r="D198" s="140">
        <f>VLOOKUP($A198,'Data shares'!$C:$FB,4)</f>
        <v>184.56</v>
      </c>
      <c r="E198" s="50">
        <f t="shared" si="15"/>
        <v>2.4869960988296507</v>
      </c>
      <c r="F198" s="49">
        <f>VLOOKUP($A198,'Data shares'!$C:$FB,98)</f>
        <v>516378500</v>
      </c>
      <c r="G198" s="49">
        <f>VLOOKUP($A198,'Data shares'!$C:$FB,99)</f>
        <v>508282500</v>
      </c>
      <c r="H198" s="50">
        <f t="shared" si="16"/>
        <v>1.5928150192068387</v>
      </c>
      <c r="I198" s="49">
        <f>VLOOKUP($A198,'Data shares'!$C:$FB,66)</f>
        <v>728695000</v>
      </c>
      <c r="J198" s="49">
        <f>VLOOKUP($A198,'Data shares'!$C:$FB,67)</f>
        <v>527983500</v>
      </c>
      <c r="K198" s="50">
        <f t="shared" si="17"/>
        <v>27.5439655823081</v>
      </c>
      <c r="L198" s="50">
        <f>VLOOKUP($A198,'Data shares'!$C:$FB,118)</f>
        <v>0.82</v>
      </c>
      <c r="M198" s="50">
        <f>VLOOKUP($A198,'Data shares'!$C:$FB,119)</f>
        <v>0.7</v>
      </c>
      <c r="N198" s="50">
        <f>VLOOKUP($A198,'Data shares'!$C:$FB,121)*100</f>
        <v>17.14</v>
      </c>
      <c r="O198" s="50">
        <f>VLOOKUP($A198,'Data shares'!$C:$FB,124)</f>
        <v>0.56999999999999995</v>
      </c>
      <c r="P198" s="50">
        <f>VLOOKUP($A198,'Data shares'!$C:$FB,125)</f>
        <v>0.56999999999999995</v>
      </c>
      <c r="Q198" s="50">
        <f>VLOOKUP($A198,'Data shares'!$C:$FB,127)*100</f>
        <v>0</v>
      </c>
    </row>
    <row r="199" spans="1:17" x14ac:dyDescent="0.25">
      <c r="A199" s="97" t="str">
        <f>'Data Vlaue (Cr)'!C194</f>
        <v>TATATECH</v>
      </c>
      <c r="B199" s="140">
        <f>VLOOKUP($A199,'Data shares'!$C:$FB,7)</f>
        <v>652.15</v>
      </c>
      <c r="C199" s="140">
        <f>VLOOKUP($A199,'Data shares'!$C:$FB,3)</f>
        <v>654.20000000000005</v>
      </c>
      <c r="D199" s="140">
        <f>VLOOKUP($A199,'Data shares'!$C:$FB,4)</f>
        <v>646</v>
      </c>
      <c r="E199" s="50">
        <f t="shared" si="15"/>
        <v>1.2693498452012455</v>
      </c>
      <c r="F199" s="49">
        <f>VLOOKUP($A199,'Data shares'!$C:$FB,98)</f>
        <v>24107200</v>
      </c>
      <c r="G199" s="49">
        <f>VLOOKUP($A199,'Data shares'!$C:$FB,99)</f>
        <v>24537600</v>
      </c>
      <c r="H199" s="50">
        <f t="shared" si="16"/>
        <v>-1.7540427751695356</v>
      </c>
      <c r="I199" s="49">
        <f>VLOOKUP($A199,'Data shares'!$C:$FB,66)</f>
        <v>21852800</v>
      </c>
      <c r="J199" s="49">
        <f>VLOOKUP($A199,'Data shares'!$C:$FB,67)</f>
        <v>26108000</v>
      </c>
      <c r="K199" s="50">
        <f t="shared" si="17"/>
        <v>-19.472104261238833</v>
      </c>
      <c r="L199" s="50">
        <f>VLOOKUP($A199,'Data shares'!$C:$FB,118)</f>
        <v>0.62</v>
      </c>
      <c r="M199" s="50">
        <f>VLOOKUP($A199,'Data shares'!$C:$FB,119)</f>
        <v>0.64</v>
      </c>
      <c r="N199" s="50">
        <f>VLOOKUP($A199,'Data shares'!$C:$FB,121)*100</f>
        <v>-3.1300000000000003</v>
      </c>
      <c r="O199" s="50">
        <f>VLOOKUP($A199,'Data shares'!$C:$FB,124)</f>
        <v>0.65</v>
      </c>
      <c r="P199" s="50">
        <f>VLOOKUP($A199,'Data shares'!$C:$FB,125)</f>
        <v>0.74</v>
      </c>
      <c r="Q199" s="50">
        <f>VLOOKUP($A199,'Data shares'!$C:$FB,127)*100</f>
        <v>-12.16</v>
      </c>
    </row>
    <row r="200" spans="1:17" x14ac:dyDescent="0.25">
      <c r="A200" s="97" t="str">
        <f>'Data Vlaue (Cr)'!C195</f>
        <v>TCS</v>
      </c>
      <c r="B200" s="140">
        <f>VLOOKUP($A200,'Data shares'!$C:$FB,7)</f>
        <v>3150.4</v>
      </c>
      <c r="C200" s="140">
        <f>VLOOKUP($A200,'Data shares'!$C:$FB,3)</f>
        <v>3152.7</v>
      </c>
      <c r="D200" s="140">
        <f>VLOOKUP($A200,'Data shares'!$C:$FB,4)</f>
        <v>3125.2</v>
      </c>
      <c r="E200" s="50">
        <f t="shared" si="15"/>
        <v>0.87994368360424935</v>
      </c>
      <c r="F200" s="49">
        <f>VLOOKUP($A200,'Data shares'!$C:$FB,98)</f>
        <v>43653400</v>
      </c>
      <c r="G200" s="49">
        <f>VLOOKUP($A200,'Data shares'!$C:$FB,99)</f>
        <v>45120250</v>
      </c>
      <c r="H200" s="50">
        <f t="shared" si="16"/>
        <v>-3.250979327463833</v>
      </c>
      <c r="I200" s="49">
        <f>VLOOKUP($A200,'Data shares'!$C:$FB,66)</f>
        <v>40762925</v>
      </c>
      <c r="J200" s="49">
        <f>VLOOKUP($A200,'Data shares'!$C:$FB,67)</f>
        <v>58798075</v>
      </c>
      <c r="K200" s="50">
        <f t="shared" si="17"/>
        <v>-44.244003589045683</v>
      </c>
      <c r="L200" s="50">
        <f>VLOOKUP($A200,'Data shares'!$C:$FB,118)</f>
        <v>0.52</v>
      </c>
      <c r="M200" s="50">
        <f>VLOOKUP($A200,'Data shares'!$C:$FB,119)</f>
        <v>0.5</v>
      </c>
      <c r="N200" s="50">
        <f>VLOOKUP($A200,'Data shares'!$C:$FB,121)*100</f>
        <v>4</v>
      </c>
      <c r="O200" s="50">
        <f>VLOOKUP($A200,'Data shares'!$C:$FB,124)</f>
        <v>0.6</v>
      </c>
      <c r="P200" s="50">
        <f>VLOOKUP($A200,'Data shares'!$C:$FB,125)</f>
        <v>0.65</v>
      </c>
      <c r="Q200" s="50">
        <f>VLOOKUP($A200,'Data shares'!$C:$FB,127)*100</f>
        <v>-7.6899999999999995</v>
      </c>
    </row>
    <row r="201" spans="1:17" x14ac:dyDescent="0.25">
      <c r="A201" s="97" t="str">
        <f>'Data Vlaue (Cr)'!C196</f>
        <v>TECHM</v>
      </c>
      <c r="B201" s="140">
        <f>VLOOKUP($A201,'Data shares'!$C:$FB,7)</f>
        <v>1687.4</v>
      </c>
      <c r="C201" s="140">
        <f>VLOOKUP($A201,'Data shares'!$C:$FB,3)</f>
        <v>1690.4</v>
      </c>
      <c r="D201" s="140">
        <f>VLOOKUP($A201,'Data shares'!$C:$FB,4)</f>
        <v>1687.7</v>
      </c>
      <c r="E201" s="50">
        <f t="shared" si="15"/>
        <v>0.15998103928423565</v>
      </c>
      <c r="F201" s="49">
        <f>VLOOKUP($A201,'Data shares'!$C:$FB,98)</f>
        <v>31823400</v>
      </c>
      <c r="G201" s="49">
        <f>VLOOKUP($A201,'Data shares'!$C:$FB,99)</f>
        <v>31782600</v>
      </c>
      <c r="H201" s="50">
        <f t="shared" si="16"/>
        <v>0.1283721281455891</v>
      </c>
      <c r="I201" s="49">
        <f>VLOOKUP($A201,'Data shares'!$C:$FB,66)</f>
        <v>44214000</v>
      </c>
      <c r="J201" s="49">
        <f>VLOOKUP($A201,'Data shares'!$C:$FB,67)</f>
        <v>30587400</v>
      </c>
      <c r="K201" s="50">
        <f t="shared" si="17"/>
        <v>30.819649884651923</v>
      </c>
      <c r="L201" s="50">
        <f>VLOOKUP($A201,'Data shares'!$C:$FB,118)</f>
        <v>0.73</v>
      </c>
      <c r="M201" s="50">
        <f>VLOOKUP($A201,'Data shares'!$C:$FB,119)</f>
        <v>0.76</v>
      </c>
      <c r="N201" s="50">
        <f>VLOOKUP($A201,'Data shares'!$C:$FB,121)*100</f>
        <v>-3.95</v>
      </c>
      <c r="O201" s="50">
        <f>VLOOKUP($A201,'Data shares'!$C:$FB,124)</f>
        <v>0.52</v>
      </c>
      <c r="P201" s="50">
        <f>VLOOKUP($A201,'Data shares'!$C:$FB,125)</f>
        <v>0.74</v>
      </c>
      <c r="Q201" s="50">
        <f>VLOOKUP($A201,'Data shares'!$C:$FB,127)*100</f>
        <v>-29.73</v>
      </c>
    </row>
    <row r="202" spans="1:17" x14ac:dyDescent="0.25">
      <c r="A202" s="97" t="str">
        <f>'Data Vlaue (Cr)'!C197</f>
        <v>TIINDIA</v>
      </c>
      <c r="B202" s="140">
        <f>VLOOKUP($A202,'Data shares'!$C:$FB,7)</f>
        <v>2296.8000000000002</v>
      </c>
      <c r="C202" s="140">
        <f>VLOOKUP($A202,'Data shares'!$C:$FB,3)</f>
        <v>2302.1999999999998</v>
      </c>
      <c r="D202" s="140">
        <f>VLOOKUP($A202,'Data shares'!$C:$FB,4)</f>
        <v>2274</v>
      </c>
      <c r="E202" s="50">
        <f t="shared" si="15"/>
        <v>1.2401055408970896</v>
      </c>
      <c r="F202" s="49">
        <f>VLOOKUP($A202,'Data shares'!$C:$FB,98)</f>
        <v>5759000</v>
      </c>
      <c r="G202" s="49">
        <f>VLOOKUP($A202,'Data shares'!$C:$FB,99)</f>
        <v>5856400</v>
      </c>
      <c r="H202" s="50">
        <f t="shared" si="16"/>
        <v>-1.6631377638139471</v>
      </c>
      <c r="I202" s="49">
        <f>VLOOKUP($A202,'Data shares'!$C:$FB,66)</f>
        <v>3826000</v>
      </c>
      <c r="J202" s="49">
        <f>VLOOKUP($A202,'Data shares'!$C:$FB,67)</f>
        <v>4090400</v>
      </c>
      <c r="K202" s="50">
        <f t="shared" si="17"/>
        <v>-6.9106116048091994</v>
      </c>
      <c r="L202" s="50">
        <f>VLOOKUP($A202,'Data shares'!$C:$FB,118)</f>
        <v>0.83</v>
      </c>
      <c r="M202" s="50">
        <f>VLOOKUP($A202,'Data shares'!$C:$FB,119)</f>
        <v>0.79</v>
      </c>
      <c r="N202" s="50">
        <f>VLOOKUP($A202,'Data shares'!$C:$FB,121)*100</f>
        <v>5.0599999999999996</v>
      </c>
      <c r="O202" s="50">
        <f>VLOOKUP($A202,'Data shares'!$C:$FB,124)</f>
        <v>0.49</v>
      </c>
      <c r="P202" s="50">
        <f>VLOOKUP($A202,'Data shares'!$C:$FB,125)</f>
        <v>0.66</v>
      </c>
      <c r="Q202" s="50">
        <f>VLOOKUP($A202,'Data shares'!$C:$FB,127)*100</f>
        <v>-25.759999999999998</v>
      </c>
    </row>
    <row r="203" spans="1:17" x14ac:dyDescent="0.25">
      <c r="A203" s="97" t="str">
        <f>'Data Vlaue (Cr)'!C198</f>
        <v>TITAN</v>
      </c>
      <c r="B203" s="140">
        <f>VLOOKUP($A203,'Data shares'!$C:$FB,7)</f>
        <v>4018.6</v>
      </c>
      <c r="C203" s="140">
        <f>VLOOKUP($A203,'Data shares'!$C:$FB,3)</f>
        <v>4015.9</v>
      </c>
      <c r="D203" s="140">
        <f>VLOOKUP($A203,'Data shares'!$C:$FB,4)</f>
        <v>4076</v>
      </c>
      <c r="E203" s="50">
        <f t="shared" si="15"/>
        <v>-1.47448478900883</v>
      </c>
      <c r="F203" s="49">
        <f>VLOOKUP($A203,'Data shares'!$C:$FB,98)</f>
        <v>18085550</v>
      </c>
      <c r="G203" s="49">
        <f>VLOOKUP($A203,'Data shares'!$C:$FB,99)</f>
        <v>17637200</v>
      </c>
      <c r="H203" s="50">
        <f t="shared" si="16"/>
        <v>2.5420701698682331</v>
      </c>
      <c r="I203" s="49">
        <f>VLOOKUP($A203,'Data shares'!$C:$FB,66)</f>
        <v>26336450</v>
      </c>
      <c r="J203" s="49">
        <f>VLOOKUP($A203,'Data shares'!$C:$FB,67)</f>
        <v>15237950</v>
      </c>
      <c r="K203" s="50">
        <f t="shared" si="17"/>
        <v>42.141214932156764</v>
      </c>
      <c r="L203" s="50">
        <f>VLOOKUP($A203,'Data shares'!$C:$FB,118)</f>
        <v>0.56999999999999995</v>
      </c>
      <c r="M203" s="50">
        <f>VLOOKUP($A203,'Data shares'!$C:$FB,119)</f>
        <v>0.63</v>
      </c>
      <c r="N203" s="50">
        <f>VLOOKUP($A203,'Data shares'!$C:$FB,121)*100</f>
        <v>-9.5200000000000014</v>
      </c>
      <c r="O203" s="50">
        <f>VLOOKUP($A203,'Data shares'!$C:$FB,124)</f>
        <v>0.74</v>
      </c>
      <c r="P203" s="50">
        <f>VLOOKUP($A203,'Data shares'!$C:$FB,125)</f>
        <v>0.78</v>
      </c>
      <c r="Q203" s="50">
        <f>VLOOKUP($A203,'Data shares'!$C:$FB,127)*100</f>
        <v>-5.13</v>
      </c>
    </row>
    <row r="204" spans="1:17" x14ac:dyDescent="0.25">
      <c r="A204" s="97" t="str">
        <f>'Data Vlaue (Cr)'!C199</f>
        <v>TMPV</v>
      </c>
      <c r="B204" s="140">
        <f>VLOOKUP($A204,'Data shares'!$C:$FB,7)</f>
        <v>347.3</v>
      </c>
      <c r="C204" s="140">
        <f>VLOOKUP($A204,'Data shares'!$C:$FB,3)</f>
        <v>348.3</v>
      </c>
      <c r="D204" s="140">
        <f>VLOOKUP($A204,'Data shares'!$C:$FB,4)</f>
        <v>339.1</v>
      </c>
      <c r="E204" s="50">
        <f t="shared" si="15"/>
        <v>2.7130639929224385</v>
      </c>
      <c r="F204" s="49">
        <f>VLOOKUP($A204,'Data shares'!$C:$FB,98)</f>
        <v>169262400</v>
      </c>
      <c r="G204" s="49">
        <f>VLOOKUP($A204,'Data shares'!$C:$FB,99)</f>
        <v>173548000</v>
      </c>
      <c r="H204" s="50">
        <f t="shared" si="16"/>
        <v>-2.4694032774794294</v>
      </c>
      <c r="I204" s="49">
        <f>VLOOKUP($A204,'Data shares'!$C:$FB,66)</f>
        <v>218515200</v>
      </c>
      <c r="J204" s="49">
        <f>VLOOKUP($A204,'Data shares'!$C:$FB,67)</f>
        <v>174445600</v>
      </c>
      <c r="K204" s="50">
        <f t="shared" si="17"/>
        <v>20.167750344140821</v>
      </c>
      <c r="L204" s="50">
        <f>VLOOKUP($A204,'Data shares'!$C:$FB,118)</f>
        <v>0.56000000000000005</v>
      </c>
      <c r="M204" s="50">
        <f>VLOOKUP($A204,'Data shares'!$C:$FB,119)</f>
        <v>0.51</v>
      </c>
      <c r="N204" s="50">
        <f>VLOOKUP($A204,'Data shares'!$C:$FB,121)*100</f>
        <v>9.8000000000000007</v>
      </c>
      <c r="O204" s="50">
        <f>VLOOKUP($A204,'Data shares'!$C:$FB,124)</f>
        <v>0.47</v>
      </c>
      <c r="P204" s="50">
        <f>VLOOKUP($A204,'Data shares'!$C:$FB,125)</f>
        <v>0.61</v>
      </c>
      <c r="Q204" s="50">
        <f>VLOOKUP($A204,'Data shares'!$C:$FB,127)*100</f>
        <v>-22.95</v>
      </c>
    </row>
    <row r="205" spans="1:17" x14ac:dyDescent="0.25">
      <c r="A205" s="97" t="str">
        <f>'Data Vlaue (Cr)'!C200</f>
        <v>TORNTPHARM</v>
      </c>
      <c r="B205" s="140">
        <f>VLOOKUP($A205,'Data shares'!$C:$FB,7)</f>
        <v>4020.5</v>
      </c>
      <c r="C205" s="140">
        <f>VLOOKUP($A205,'Data shares'!$C:$FB,3)</f>
        <v>4019.7</v>
      </c>
      <c r="D205" s="140">
        <f>VLOOKUP($A205,'Data shares'!$C:$FB,4)</f>
        <v>3977.3</v>
      </c>
      <c r="E205" s="50">
        <f t="shared" si="15"/>
        <v>1.0660498328011372</v>
      </c>
      <c r="F205" s="49">
        <f>VLOOKUP($A205,'Data shares'!$C:$FB,98)</f>
        <v>3540750</v>
      </c>
      <c r="G205" s="49">
        <f>VLOOKUP($A205,'Data shares'!$C:$FB,99)</f>
        <v>3473250</v>
      </c>
      <c r="H205" s="50">
        <f t="shared" si="16"/>
        <v>1.9434247462751026</v>
      </c>
      <c r="I205" s="49">
        <f>VLOOKUP($A205,'Data shares'!$C:$FB,66)</f>
        <v>2840750</v>
      </c>
      <c r="J205" s="49">
        <f>VLOOKUP($A205,'Data shares'!$C:$FB,67)</f>
        <v>3169250</v>
      </c>
      <c r="K205" s="50">
        <f t="shared" si="17"/>
        <v>-11.563847575464226</v>
      </c>
      <c r="L205" s="50">
        <f>VLOOKUP($A205,'Data shares'!$C:$FB,118)</f>
        <v>0.84</v>
      </c>
      <c r="M205" s="50">
        <f>VLOOKUP($A205,'Data shares'!$C:$FB,119)</f>
        <v>0.76</v>
      </c>
      <c r="N205" s="50">
        <f>VLOOKUP($A205,'Data shares'!$C:$FB,121)*100</f>
        <v>10.530000000000001</v>
      </c>
      <c r="O205" s="50">
        <f>VLOOKUP($A205,'Data shares'!$C:$FB,124)</f>
        <v>0.77</v>
      </c>
      <c r="P205" s="50">
        <f>VLOOKUP($A205,'Data shares'!$C:$FB,125)</f>
        <v>0.56000000000000005</v>
      </c>
      <c r="Q205" s="50">
        <f>VLOOKUP($A205,'Data shares'!$C:$FB,127)*100</f>
        <v>37.5</v>
      </c>
    </row>
    <row r="206" spans="1:17" x14ac:dyDescent="0.25">
      <c r="A206" s="97" t="str">
        <f>'Data Vlaue (Cr)'!C201</f>
        <v>TORNTPOWER</v>
      </c>
      <c r="B206" s="140">
        <f>VLOOKUP($A206,'Data shares'!$C:$FB,7)</f>
        <v>1321.4</v>
      </c>
      <c r="C206" s="140">
        <f>VLOOKUP($A206,'Data shares'!$C:$FB,3)</f>
        <v>1322.1</v>
      </c>
      <c r="D206" s="140">
        <f>VLOOKUP($A206,'Data shares'!$C:$FB,4)</f>
        <v>1303.3</v>
      </c>
      <c r="E206" s="50">
        <f t="shared" si="15"/>
        <v>1.4424921353487268</v>
      </c>
      <c r="F206" s="49">
        <f>VLOOKUP($A206,'Data shares'!$C:$FB,98)</f>
        <v>5654625</v>
      </c>
      <c r="G206" s="49">
        <f>VLOOKUP($A206,'Data shares'!$C:$FB,99)</f>
        <v>5829300</v>
      </c>
      <c r="H206" s="50">
        <f t="shared" si="16"/>
        <v>-2.9965004374453192</v>
      </c>
      <c r="I206" s="49">
        <f>VLOOKUP($A206,'Data shares'!$C:$FB,66)</f>
        <v>4079575</v>
      </c>
      <c r="J206" s="49">
        <f>VLOOKUP($A206,'Data shares'!$C:$FB,67)</f>
        <v>5578125</v>
      </c>
      <c r="K206" s="50">
        <f t="shared" si="17"/>
        <v>-36.732993020106264</v>
      </c>
      <c r="L206" s="50">
        <f>VLOOKUP($A206,'Data shares'!$C:$FB,118)</f>
        <v>0.73</v>
      </c>
      <c r="M206" s="50">
        <f>VLOOKUP($A206,'Data shares'!$C:$FB,119)</f>
        <v>0.69</v>
      </c>
      <c r="N206" s="50">
        <f>VLOOKUP($A206,'Data shares'!$C:$FB,121)*100</f>
        <v>5.8000000000000007</v>
      </c>
      <c r="O206" s="50">
        <f>VLOOKUP($A206,'Data shares'!$C:$FB,124)</f>
        <v>0.39</v>
      </c>
      <c r="P206" s="50">
        <f>VLOOKUP($A206,'Data shares'!$C:$FB,125)</f>
        <v>0.88</v>
      </c>
      <c r="Q206" s="50">
        <f>VLOOKUP($A206,'Data shares'!$C:$FB,127)*100</f>
        <v>-55.679999999999993</v>
      </c>
    </row>
    <row r="207" spans="1:17" x14ac:dyDescent="0.25">
      <c r="A207" s="97" t="str">
        <f>'Data Vlaue (Cr)'!C202</f>
        <v>TRENT</v>
      </c>
      <c r="B207" s="140">
        <f>VLOOKUP($A207,'Data shares'!$C:$FB,7)</f>
        <v>3803.8</v>
      </c>
      <c r="C207" s="140">
        <f>VLOOKUP($A207,'Data shares'!$C:$FB,3)</f>
        <v>3810.1</v>
      </c>
      <c r="D207" s="140">
        <f>VLOOKUP($A207,'Data shares'!$C:$FB,4)</f>
        <v>3768.8</v>
      </c>
      <c r="E207" s="50">
        <f t="shared" si="15"/>
        <v>1.0958395245170802</v>
      </c>
      <c r="F207" s="49">
        <f>VLOOKUP($A207,'Data shares'!$C:$FB,98)</f>
        <v>19497500</v>
      </c>
      <c r="G207" s="49">
        <f>VLOOKUP($A207,'Data shares'!$C:$FB,99)</f>
        <v>19610300</v>
      </c>
      <c r="H207" s="50">
        <f t="shared" si="16"/>
        <v>-0.57520792644681618</v>
      </c>
      <c r="I207" s="49">
        <f>VLOOKUP($A207,'Data shares'!$C:$FB,66)</f>
        <v>19358400</v>
      </c>
      <c r="J207" s="49">
        <f>VLOOKUP($A207,'Data shares'!$C:$FB,67)</f>
        <v>23017500</v>
      </c>
      <c r="K207" s="50">
        <f t="shared" si="17"/>
        <v>-18.90187205554178</v>
      </c>
      <c r="L207" s="50">
        <f>VLOOKUP($A207,'Data shares'!$C:$FB,118)</f>
        <v>0.55000000000000004</v>
      </c>
      <c r="M207" s="50">
        <f>VLOOKUP($A207,'Data shares'!$C:$FB,119)</f>
        <v>0.55000000000000004</v>
      </c>
      <c r="N207" s="50">
        <f>VLOOKUP($A207,'Data shares'!$C:$FB,121)*100</f>
        <v>0</v>
      </c>
      <c r="O207" s="50">
        <f>VLOOKUP($A207,'Data shares'!$C:$FB,124)</f>
        <v>0.44</v>
      </c>
      <c r="P207" s="50">
        <f>VLOOKUP($A207,'Data shares'!$C:$FB,125)</f>
        <v>0.64</v>
      </c>
      <c r="Q207" s="50">
        <f>VLOOKUP($A207,'Data shares'!$C:$FB,127)*100</f>
        <v>-31.25</v>
      </c>
    </row>
    <row r="208" spans="1:17" x14ac:dyDescent="0.25">
      <c r="A208" s="97" t="str">
        <f>'Data Vlaue (Cr)'!C203</f>
        <v>TVSMOTOR</v>
      </c>
      <c r="B208" s="140">
        <f>VLOOKUP($A208,'Data shares'!$C:$FB,7)</f>
        <v>3570.1</v>
      </c>
      <c r="C208" s="140">
        <f>VLOOKUP($A208,'Data shares'!$C:$FB,3)</f>
        <v>3567.8</v>
      </c>
      <c r="D208" s="140">
        <f>VLOOKUP($A208,'Data shares'!$C:$FB,4)</f>
        <v>3602.4</v>
      </c>
      <c r="E208" s="50">
        <f t="shared" si="15"/>
        <v>-0.96047079724627771</v>
      </c>
      <c r="F208" s="49">
        <f>VLOOKUP($A208,'Data shares'!$C:$FB,98)</f>
        <v>12141500</v>
      </c>
      <c r="G208" s="49">
        <f>VLOOKUP($A208,'Data shares'!$C:$FB,99)</f>
        <v>12368125</v>
      </c>
      <c r="H208" s="50">
        <f t="shared" si="16"/>
        <v>-1.832331093031482</v>
      </c>
      <c r="I208" s="49">
        <f>VLOOKUP($A208,'Data shares'!$C:$FB,66)</f>
        <v>10631600</v>
      </c>
      <c r="J208" s="49">
        <f>VLOOKUP($A208,'Data shares'!$C:$FB,67)</f>
        <v>10418625</v>
      </c>
      <c r="K208" s="50">
        <f t="shared" si="17"/>
        <v>2.0032262312351858</v>
      </c>
      <c r="L208" s="50">
        <f>VLOOKUP($A208,'Data shares'!$C:$FB,118)</f>
        <v>0.66</v>
      </c>
      <c r="M208" s="50">
        <f>VLOOKUP($A208,'Data shares'!$C:$FB,119)</f>
        <v>0.61</v>
      </c>
      <c r="N208" s="50">
        <f>VLOOKUP($A208,'Data shares'!$C:$FB,121)*100</f>
        <v>8.2000000000000011</v>
      </c>
      <c r="O208" s="50">
        <f>VLOOKUP($A208,'Data shares'!$C:$FB,124)</f>
        <v>0.41</v>
      </c>
      <c r="P208" s="50">
        <f>VLOOKUP($A208,'Data shares'!$C:$FB,125)</f>
        <v>0.49</v>
      </c>
      <c r="Q208" s="50">
        <f>VLOOKUP($A208,'Data shares'!$C:$FB,127)*100</f>
        <v>-16.329999999999998</v>
      </c>
    </row>
    <row r="209" spans="1:17" x14ac:dyDescent="0.25">
      <c r="A209" s="97" t="str">
        <f>'Data Vlaue (Cr)'!C204</f>
        <v>ULTRACEMCO</v>
      </c>
      <c r="B209" s="140">
        <f>VLOOKUP($A209,'Data shares'!$C:$FB,7)</f>
        <v>12364</v>
      </c>
      <c r="C209" s="140">
        <f>VLOOKUP($A209,'Data shares'!$C:$FB,3)</f>
        <v>12379</v>
      </c>
      <c r="D209" s="140">
        <f>VLOOKUP($A209,'Data shares'!$C:$FB,4)</f>
        <v>12224</v>
      </c>
      <c r="E209" s="50">
        <f t="shared" si="15"/>
        <v>1.267997382198953</v>
      </c>
      <c r="F209" s="49">
        <f>VLOOKUP($A209,'Data shares'!$C:$FB,98)</f>
        <v>3985650</v>
      </c>
      <c r="G209" s="49">
        <f>VLOOKUP($A209,'Data shares'!$C:$FB,99)</f>
        <v>3920650</v>
      </c>
      <c r="H209" s="50">
        <f t="shared" si="16"/>
        <v>1.6578883603484116</v>
      </c>
      <c r="I209" s="49">
        <f>VLOOKUP($A209,'Data shares'!$C:$FB,66)</f>
        <v>4701900</v>
      </c>
      <c r="J209" s="49">
        <f>VLOOKUP($A209,'Data shares'!$C:$FB,67)</f>
        <v>3960950</v>
      </c>
      <c r="K209" s="50">
        <f t="shared" si="17"/>
        <v>15.75852315021587</v>
      </c>
      <c r="L209" s="50">
        <f>VLOOKUP($A209,'Data shares'!$C:$FB,118)</f>
        <v>0.83</v>
      </c>
      <c r="M209" s="50">
        <f>VLOOKUP($A209,'Data shares'!$C:$FB,119)</f>
        <v>0.73</v>
      </c>
      <c r="N209" s="50">
        <f>VLOOKUP($A209,'Data shares'!$C:$FB,121)*100</f>
        <v>13.700000000000001</v>
      </c>
      <c r="O209" s="50">
        <f>VLOOKUP($A209,'Data shares'!$C:$FB,124)</f>
        <v>0.44</v>
      </c>
      <c r="P209" s="50">
        <f>VLOOKUP($A209,'Data shares'!$C:$FB,125)</f>
        <v>0.59</v>
      </c>
      <c r="Q209" s="50">
        <f>VLOOKUP($A209,'Data shares'!$C:$FB,127)*100</f>
        <v>-25.419999999999998</v>
      </c>
    </row>
    <row r="210" spans="1:17" x14ac:dyDescent="0.25">
      <c r="A210" s="97" t="str">
        <f>'Data Vlaue (Cr)'!C205</f>
        <v>UNIONBANK</v>
      </c>
      <c r="B210" s="140">
        <f>VLOOKUP($A210,'Data shares'!$C:$FB,7)</f>
        <v>174.78</v>
      </c>
      <c r="C210" s="140">
        <f>VLOOKUP($A210,'Data shares'!$C:$FB,3)</f>
        <v>175.06</v>
      </c>
      <c r="D210" s="140">
        <f>VLOOKUP($A210,'Data shares'!$C:$FB,4)</f>
        <v>172.41</v>
      </c>
      <c r="E210" s="50">
        <f t="shared" si="15"/>
        <v>1.5370338147439278</v>
      </c>
      <c r="F210" s="49">
        <f>VLOOKUP($A210,'Data shares'!$C:$FB,98)</f>
        <v>174260925</v>
      </c>
      <c r="G210" s="49">
        <f>VLOOKUP($A210,'Data shares'!$C:$FB,99)</f>
        <v>176008800</v>
      </c>
      <c r="H210" s="50">
        <f t="shared" si="16"/>
        <v>-0.9930611423974256</v>
      </c>
      <c r="I210" s="49">
        <f>VLOOKUP($A210,'Data shares'!$C:$FB,66)</f>
        <v>218271975</v>
      </c>
      <c r="J210" s="49">
        <f>VLOOKUP($A210,'Data shares'!$C:$FB,67)</f>
        <v>242910375</v>
      </c>
      <c r="K210" s="50">
        <f t="shared" si="17"/>
        <v>-11.287935613355769</v>
      </c>
      <c r="L210" s="50">
        <f>VLOOKUP($A210,'Data shares'!$C:$FB,118)</f>
        <v>0.8</v>
      </c>
      <c r="M210" s="50">
        <f>VLOOKUP($A210,'Data shares'!$C:$FB,119)</f>
        <v>0.79</v>
      </c>
      <c r="N210" s="50">
        <f>VLOOKUP($A210,'Data shares'!$C:$FB,121)*100</f>
        <v>1.27</v>
      </c>
      <c r="O210" s="50">
        <f>VLOOKUP($A210,'Data shares'!$C:$FB,124)</f>
        <v>0.56000000000000005</v>
      </c>
      <c r="P210" s="50">
        <f>VLOOKUP($A210,'Data shares'!$C:$FB,125)</f>
        <v>0.62</v>
      </c>
      <c r="Q210" s="50">
        <f>VLOOKUP($A210,'Data shares'!$C:$FB,127)*100</f>
        <v>-9.68</v>
      </c>
    </row>
    <row r="211" spans="1:17" x14ac:dyDescent="0.25">
      <c r="A211" s="97" t="str">
        <f>'Data Vlaue (Cr)'!C206</f>
        <v>UNITDSPR</v>
      </c>
      <c r="B211" s="140">
        <f>VLOOKUP($A211,'Data shares'!$C:$FB,7)</f>
        <v>1338.4</v>
      </c>
      <c r="C211" s="140">
        <f>VLOOKUP($A211,'Data shares'!$C:$FB,3)</f>
        <v>1333.6</v>
      </c>
      <c r="D211" s="140">
        <f>VLOOKUP($A211,'Data shares'!$C:$FB,4)</f>
        <v>1313.5</v>
      </c>
      <c r="E211" s="50">
        <f t="shared" si="15"/>
        <v>1.5302626570232136</v>
      </c>
      <c r="F211" s="49">
        <f>VLOOKUP($A211,'Data shares'!$C:$FB,98)</f>
        <v>20827600</v>
      </c>
      <c r="G211" s="49">
        <f>VLOOKUP($A211,'Data shares'!$C:$FB,99)</f>
        <v>21827200</v>
      </c>
      <c r="H211" s="50">
        <f t="shared" si="16"/>
        <v>-4.5796070957337633</v>
      </c>
      <c r="I211" s="49">
        <f>VLOOKUP($A211,'Data shares'!$C:$FB,66)</f>
        <v>23589600</v>
      </c>
      <c r="J211" s="49">
        <f>VLOOKUP($A211,'Data shares'!$C:$FB,67)</f>
        <v>34764800</v>
      </c>
      <c r="K211" s="50">
        <f t="shared" si="17"/>
        <v>-47.373418794723101</v>
      </c>
      <c r="L211" s="50">
        <f>VLOOKUP($A211,'Data shares'!$C:$FB,118)</f>
        <v>0.76</v>
      </c>
      <c r="M211" s="50">
        <f>VLOOKUP($A211,'Data shares'!$C:$FB,119)</f>
        <v>0.7</v>
      </c>
      <c r="N211" s="50">
        <f>VLOOKUP($A211,'Data shares'!$C:$FB,121)*100</f>
        <v>8.57</v>
      </c>
      <c r="O211" s="50">
        <f>VLOOKUP($A211,'Data shares'!$C:$FB,124)</f>
        <v>0.56999999999999995</v>
      </c>
      <c r="P211" s="50">
        <f>VLOOKUP($A211,'Data shares'!$C:$FB,125)</f>
        <v>0.78</v>
      </c>
      <c r="Q211" s="50">
        <f>VLOOKUP($A211,'Data shares'!$C:$FB,127)*100</f>
        <v>-26.919999999999998</v>
      </c>
    </row>
    <row r="212" spans="1:17" x14ac:dyDescent="0.25">
      <c r="A212" s="97" t="str">
        <f>'Data Vlaue (Cr)'!C207</f>
        <v>UNOMINDA</v>
      </c>
      <c r="B212" s="140">
        <f>VLOOKUP($A212,'Data shares'!$C:$FB,7)</f>
        <v>1173.5</v>
      </c>
      <c r="C212" s="140">
        <f>VLOOKUP($A212,'Data shares'!$C:$FB,3)</f>
        <v>1172.7</v>
      </c>
      <c r="D212" s="140">
        <f>VLOOKUP($A212,'Data shares'!$C:$FB,4)</f>
        <v>1128.9000000000001</v>
      </c>
      <c r="E212" s="50">
        <f t="shared" si="15"/>
        <v>3.8798830720170034</v>
      </c>
      <c r="F212" s="49">
        <f>VLOOKUP($A212,'Data shares'!$C:$FB,98)</f>
        <v>8707600</v>
      </c>
      <c r="G212" s="49">
        <f>VLOOKUP($A212,'Data shares'!$C:$FB,99)</f>
        <v>8317100</v>
      </c>
      <c r="H212" s="50">
        <f t="shared" si="16"/>
        <v>4.6951461446898559</v>
      </c>
      <c r="I212" s="49">
        <f>VLOOKUP($A212,'Data shares'!$C:$FB,66)</f>
        <v>9886250</v>
      </c>
      <c r="J212" s="49">
        <f>VLOOKUP($A212,'Data shares'!$C:$FB,67)</f>
        <v>5066600</v>
      </c>
      <c r="K212" s="50">
        <f t="shared" si="17"/>
        <v>48.751043115438108</v>
      </c>
      <c r="L212" s="50">
        <f>VLOOKUP($A212,'Data shares'!$C:$FB,118)</f>
        <v>0.66</v>
      </c>
      <c r="M212" s="50">
        <f>VLOOKUP($A212,'Data shares'!$C:$FB,119)</f>
        <v>0.63</v>
      </c>
      <c r="N212" s="50">
        <f>VLOOKUP($A212,'Data shares'!$C:$FB,121)*100</f>
        <v>4.7600000000000007</v>
      </c>
      <c r="O212" s="50">
        <f>VLOOKUP($A212,'Data shares'!$C:$FB,124)</f>
        <v>0.42</v>
      </c>
      <c r="P212" s="50">
        <f>VLOOKUP($A212,'Data shares'!$C:$FB,125)</f>
        <v>0.37</v>
      </c>
      <c r="Q212" s="50">
        <f>VLOOKUP($A212,'Data shares'!$C:$FB,127)*100</f>
        <v>13.51</v>
      </c>
    </row>
    <row r="213" spans="1:17" x14ac:dyDescent="0.25">
      <c r="A213" s="97" t="str">
        <f>'Data Vlaue (Cr)'!C208</f>
        <v>UPL</v>
      </c>
      <c r="B213" s="140">
        <f>VLOOKUP($A213,'Data shares'!$C:$FB,7)</f>
        <v>700.5</v>
      </c>
      <c r="C213" s="140">
        <f>VLOOKUP($A213,'Data shares'!$C:$FB,3)</f>
        <v>701.15</v>
      </c>
      <c r="D213" s="140">
        <f>VLOOKUP($A213,'Data shares'!$C:$FB,4)</f>
        <v>691.75</v>
      </c>
      <c r="E213" s="50">
        <f t="shared" si="15"/>
        <v>1.3588724250090318</v>
      </c>
      <c r="F213" s="49">
        <f>VLOOKUP($A213,'Data shares'!$C:$FB,98)</f>
        <v>73492490</v>
      </c>
      <c r="G213" s="49">
        <f>VLOOKUP($A213,'Data shares'!$C:$FB,99)</f>
        <v>74569715</v>
      </c>
      <c r="H213" s="50">
        <f t="shared" si="16"/>
        <v>-1.4445877927788782</v>
      </c>
      <c r="I213" s="49">
        <f>VLOOKUP($A213,'Data shares'!$C:$FB,66)</f>
        <v>80520875</v>
      </c>
      <c r="J213" s="49">
        <f>VLOOKUP($A213,'Data shares'!$C:$FB,67)</f>
        <v>192313795</v>
      </c>
      <c r="K213" s="50">
        <f t="shared" si="17"/>
        <v>-138.83718973496005</v>
      </c>
      <c r="L213" s="50">
        <f>VLOOKUP($A213,'Data shares'!$C:$FB,118)</f>
        <v>0.56000000000000005</v>
      </c>
      <c r="M213" s="50">
        <f>VLOOKUP($A213,'Data shares'!$C:$FB,119)</f>
        <v>0.61</v>
      </c>
      <c r="N213" s="50">
        <f>VLOOKUP($A213,'Data shares'!$C:$FB,121)*100</f>
        <v>-8.2000000000000011</v>
      </c>
      <c r="O213" s="50">
        <f>VLOOKUP($A213,'Data shares'!$C:$FB,124)</f>
        <v>0.56000000000000005</v>
      </c>
      <c r="P213" s="50">
        <f>VLOOKUP($A213,'Data shares'!$C:$FB,125)</f>
        <v>0.88</v>
      </c>
      <c r="Q213" s="50">
        <f>VLOOKUP($A213,'Data shares'!$C:$FB,127)*100</f>
        <v>-36.36</v>
      </c>
    </row>
    <row r="214" spans="1:17" x14ac:dyDescent="0.25">
      <c r="A214" s="97" t="str">
        <f>'Data Vlaue (Cr)'!C209</f>
        <v>VBL</v>
      </c>
      <c r="B214" s="140">
        <f>VLOOKUP($A214,'Data shares'!$C:$FB,7)</f>
        <v>487.1</v>
      </c>
      <c r="C214" s="140">
        <f>VLOOKUP($A214,'Data shares'!$C:$FB,3)</f>
        <v>486.85</v>
      </c>
      <c r="D214" s="140">
        <f>VLOOKUP($A214,'Data shares'!$C:$FB,4)</f>
        <v>478.2</v>
      </c>
      <c r="E214" s="50">
        <f t="shared" si="15"/>
        <v>1.8088665830196642</v>
      </c>
      <c r="F214" s="49">
        <f>VLOOKUP($A214,'Data shares'!$C:$FB,98)</f>
        <v>67763250</v>
      </c>
      <c r="G214" s="49">
        <f>VLOOKUP($A214,'Data shares'!$C:$FB,99)</f>
        <v>68230125</v>
      </c>
      <c r="H214" s="50">
        <f t="shared" si="16"/>
        <v>-0.68426519810714104</v>
      </c>
      <c r="I214" s="49">
        <f>VLOOKUP($A214,'Data shares'!$C:$FB,66)</f>
        <v>55738125</v>
      </c>
      <c r="J214" s="49">
        <f>VLOOKUP($A214,'Data shares'!$C:$FB,67)</f>
        <v>67028625</v>
      </c>
      <c r="K214" s="50">
        <f t="shared" si="17"/>
        <v>-20.256332626904832</v>
      </c>
      <c r="L214" s="50">
        <f>VLOOKUP($A214,'Data shares'!$C:$FB,118)</f>
        <v>0.76</v>
      </c>
      <c r="M214" s="50">
        <f>VLOOKUP($A214,'Data shares'!$C:$FB,119)</f>
        <v>0.71</v>
      </c>
      <c r="N214" s="50">
        <f>VLOOKUP($A214,'Data shares'!$C:$FB,121)*100</f>
        <v>7.04</v>
      </c>
      <c r="O214" s="50">
        <f>VLOOKUP($A214,'Data shares'!$C:$FB,124)</f>
        <v>0.69</v>
      </c>
      <c r="P214" s="50">
        <f>VLOOKUP($A214,'Data shares'!$C:$FB,125)</f>
        <v>0.85</v>
      </c>
      <c r="Q214" s="50">
        <f>VLOOKUP($A214,'Data shares'!$C:$FB,127)*100</f>
        <v>-18.82</v>
      </c>
    </row>
    <row r="215" spans="1:17" x14ac:dyDescent="0.25">
      <c r="A215" s="97" t="str">
        <f>'Data Vlaue (Cr)'!C210</f>
        <v>VEDL</v>
      </c>
      <c r="B215" s="140">
        <f>VLOOKUP($A215,'Data shares'!$C:$FB,7)</f>
        <v>678.65</v>
      </c>
      <c r="C215" s="140">
        <f>VLOOKUP($A215,'Data shares'!$C:$FB,3)</f>
        <v>677.7</v>
      </c>
      <c r="D215" s="140">
        <f>VLOOKUP($A215,'Data shares'!$C:$FB,4)</f>
        <v>677.4</v>
      </c>
      <c r="E215" s="50">
        <f t="shared" si="15"/>
        <v>4.4286979627999448E-2</v>
      </c>
      <c r="F215" s="49">
        <f>VLOOKUP($A215,'Data shares'!$C:$FB,98)</f>
        <v>180758150</v>
      </c>
      <c r="G215" s="49">
        <f>VLOOKUP($A215,'Data shares'!$C:$FB,99)</f>
        <v>185435200</v>
      </c>
      <c r="H215" s="50">
        <f t="shared" si="16"/>
        <v>-2.5222018257590793</v>
      </c>
      <c r="I215" s="49">
        <f>VLOOKUP($A215,'Data shares'!$C:$FB,66)</f>
        <v>332685800</v>
      </c>
      <c r="J215" s="49">
        <f>VLOOKUP($A215,'Data shares'!$C:$FB,67)</f>
        <v>333942750</v>
      </c>
      <c r="K215" s="50">
        <f t="shared" si="17"/>
        <v>-0.377818951094396</v>
      </c>
      <c r="L215" s="50">
        <f>VLOOKUP($A215,'Data shares'!$C:$FB,118)</f>
        <v>0.65</v>
      </c>
      <c r="M215" s="50">
        <f>VLOOKUP($A215,'Data shares'!$C:$FB,119)</f>
        <v>0.65</v>
      </c>
      <c r="N215" s="50">
        <f>VLOOKUP($A215,'Data shares'!$C:$FB,121)*100</f>
        <v>0</v>
      </c>
      <c r="O215" s="50">
        <f>VLOOKUP($A215,'Data shares'!$C:$FB,124)</f>
        <v>0.52</v>
      </c>
      <c r="P215" s="50">
        <f>VLOOKUP($A215,'Data shares'!$C:$FB,125)</f>
        <v>0.39</v>
      </c>
      <c r="Q215" s="50">
        <f>VLOOKUP($A215,'Data shares'!$C:$FB,127)*100</f>
        <v>33.33</v>
      </c>
    </row>
    <row r="216" spans="1:17" x14ac:dyDescent="0.25">
      <c r="A216" s="97" t="str">
        <f>'Data Vlaue (Cr)'!C211</f>
        <v>VOLTAS</v>
      </c>
      <c r="B216" s="140">
        <f>VLOOKUP($A216,'Data shares'!$C:$FB,7)</f>
        <v>1293.5</v>
      </c>
      <c r="C216" s="140">
        <f>VLOOKUP($A216,'Data shares'!$C:$FB,3)</f>
        <v>1295.2</v>
      </c>
      <c r="D216" s="140">
        <f>VLOOKUP($A216,'Data shares'!$C:$FB,4)</f>
        <v>1290.5999999999999</v>
      </c>
      <c r="E216" s="50">
        <f t="shared" si="15"/>
        <v>0.35642336897568083</v>
      </c>
      <c r="F216" s="49">
        <f>VLOOKUP($A216,'Data shares'!$C:$FB,98)</f>
        <v>20389500</v>
      </c>
      <c r="G216" s="49">
        <f>VLOOKUP($A216,'Data shares'!$C:$FB,99)</f>
        <v>20277750</v>
      </c>
      <c r="H216" s="50">
        <f t="shared" si="16"/>
        <v>0.55109664533787039</v>
      </c>
      <c r="I216" s="49">
        <f>VLOOKUP($A216,'Data shares'!$C:$FB,66)</f>
        <v>21135375</v>
      </c>
      <c r="J216" s="49">
        <f>VLOOKUP($A216,'Data shares'!$C:$FB,67)</f>
        <v>35733000</v>
      </c>
      <c r="K216" s="50">
        <f t="shared" si="17"/>
        <v>-69.06726282358369</v>
      </c>
      <c r="L216" s="50">
        <f>VLOOKUP($A216,'Data shares'!$C:$FB,118)</f>
        <v>0.77</v>
      </c>
      <c r="M216" s="50">
        <f>VLOOKUP($A216,'Data shares'!$C:$FB,119)</f>
        <v>0.72</v>
      </c>
      <c r="N216" s="50">
        <f>VLOOKUP($A216,'Data shares'!$C:$FB,121)*100</f>
        <v>6.94</v>
      </c>
      <c r="O216" s="50">
        <f>VLOOKUP($A216,'Data shares'!$C:$FB,124)</f>
        <v>0.62</v>
      </c>
      <c r="P216" s="50">
        <f>VLOOKUP($A216,'Data shares'!$C:$FB,125)</f>
        <v>0.79</v>
      </c>
      <c r="Q216" s="50">
        <f>VLOOKUP($A216,'Data shares'!$C:$FB,127)*100</f>
        <v>-21.52</v>
      </c>
    </row>
    <row r="217" spans="1:17" x14ac:dyDescent="0.25">
      <c r="A217" s="97" t="str">
        <f>'Data Vlaue (Cr)'!C212</f>
        <v>WAAREEENER</v>
      </c>
      <c r="B217" s="140">
        <f>VLOOKUP($A217,'Data shares'!$C:$FB,7)</f>
        <v>2641.7</v>
      </c>
      <c r="C217" s="140">
        <f>VLOOKUP($A217,'Data shares'!$C:$FB,3)</f>
        <v>2649.5</v>
      </c>
      <c r="D217" s="140">
        <f>VLOOKUP($A217,'Data shares'!$C:$FB,4)</f>
        <v>2427.4</v>
      </c>
      <c r="E217" s="50">
        <f t="shared" si="15"/>
        <v>9.1497075059734652</v>
      </c>
      <c r="F217" s="49">
        <f>VLOOKUP($A217,'Data shares'!$C:$FB,98)</f>
        <v>7385700</v>
      </c>
      <c r="G217" s="49">
        <f>VLOOKUP($A217,'Data shares'!$C:$FB,99)</f>
        <v>7193200</v>
      </c>
      <c r="H217" s="50">
        <f t="shared" si="16"/>
        <v>2.6761385753211369</v>
      </c>
      <c r="I217" s="49">
        <f>VLOOKUP($A217,'Data shares'!$C:$FB,66)</f>
        <v>54910450</v>
      </c>
      <c r="J217" s="49">
        <f>VLOOKUP($A217,'Data shares'!$C:$FB,67)</f>
        <v>10890250</v>
      </c>
      <c r="K217" s="50">
        <f t="shared" si="17"/>
        <v>80.167254138328857</v>
      </c>
      <c r="L217" s="50">
        <f>VLOOKUP($A217,'Data shares'!$C:$FB,118)</f>
        <v>0.57999999999999996</v>
      </c>
      <c r="M217" s="50">
        <f>VLOOKUP($A217,'Data shares'!$C:$FB,119)</f>
        <v>0.5</v>
      </c>
      <c r="N217" s="50">
        <f>VLOOKUP($A217,'Data shares'!$C:$FB,121)*100</f>
        <v>16</v>
      </c>
      <c r="O217" s="50">
        <f>VLOOKUP($A217,'Data shares'!$C:$FB,124)</f>
        <v>0.39</v>
      </c>
      <c r="P217" s="50">
        <f>VLOOKUP($A217,'Data shares'!$C:$FB,125)</f>
        <v>0.83</v>
      </c>
      <c r="Q217" s="50">
        <f>VLOOKUP($A217,'Data shares'!$C:$FB,127)*100</f>
        <v>-53.010000000000005</v>
      </c>
    </row>
    <row r="218" spans="1:17" x14ac:dyDescent="0.25">
      <c r="A218" s="97" t="str">
        <f>'Data Vlaue (Cr)'!C213</f>
        <v>WIPRO</v>
      </c>
      <c r="B218" s="140">
        <f>VLOOKUP($A218,'Data shares'!$C:$FB,7)</f>
        <v>240.65</v>
      </c>
      <c r="C218" s="140">
        <f>VLOOKUP($A218,'Data shares'!$C:$FB,3)</f>
        <v>240.95</v>
      </c>
      <c r="D218" s="140">
        <f>VLOOKUP($A218,'Data shares'!$C:$FB,4)</f>
        <v>240.15</v>
      </c>
      <c r="E218" s="50">
        <f t="shared" si="15"/>
        <v>0.33312513012699685</v>
      </c>
      <c r="F218" s="49">
        <f>VLOOKUP($A218,'Data shares'!$C:$FB,98)</f>
        <v>297153000</v>
      </c>
      <c r="G218" s="49">
        <f>VLOOKUP($A218,'Data shares'!$C:$FB,99)</f>
        <v>302685000</v>
      </c>
      <c r="H218" s="50">
        <f t="shared" si="16"/>
        <v>-1.8276425987412657</v>
      </c>
      <c r="I218" s="49">
        <f>VLOOKUP($A218,'Data shares'!$C:$FB,66)</f>
        <v>213525000</v>
      </c>
      <c r="J218" s="49">
        <f>VLOOKUP($A218,'Data shares'!$C:$FB,67)</f>
        <v>311175000</v>
      </c>
      <c r="K218" s="50">
        <f t="shared" si="17"/>
        <v>-45.732349841938884</v>
      </c>
      <c r="L218" s="50">
        <f>VLOOKUP($A218,'Data shares'!$C:$FB,118)</f>
        <v>0.53</v>
      </c>
      <c r="M218" s="50">
        <f>VLOOKUP($A218,'Data shares'!$C:$FB,119)</f>
        <v>0.52</v>
      </c>
      <c r="N218" s="50">
        <f>VLOOKUP($A218,'Data shares'!$C:$FB,121)*100</f>
        <v>1.92</v>
      </c>
      <c r="O218" s="50">
        <f>VLOOKUP($A218,'Data shares'!$C:$FB,124)</f>
        <v>0.48</v>
      </c>
      <c r="P218" s="50">
        <f>VLOOKUP($A218,'Data shares'!$C:$FB,125)</f>
        <v>0.54</v>
      </c>
      <c r="Q218" s="50">
        <f>VLOOKUP($A218,'Data shares'!$C:$FB,127)*100</f>
        <v>-11.110000000000001</v>
      </c>
    </row>
    <row r="219" spans="1:17" x14ac:dyDescent="0.25">
      <c r="A219" s="97" t="str">
        <f>'Data Vlaue (Cr)'!C214</f>
        <v>YESBANK</v>
      </c>
      <c r="B219" s="140">
        <f>VLOOKUP($A219,'Data shares'!$C:$FB,7)</f>
        <v>21.63</v>
      </c>
      <c r="C219" s="140">
        <f>VLOOKUP($A219,'Data shares'!$C:$FB,3)</f>
        <v>21.64</v>
      </c>
      <c r="D219" s="140">
        <f>VLOOKUP($A219,'Data shares'!$C:$FB,4)</f>
        <v>21.64</v>
      </c>
      <c r="E219" s="50">
        <f t="shared" si="15"/>
        <v>0</v>
      </c>
      <c r="F219" s="49">
        <f>VLOOKUP($A219,'Data shares'!$C:$FB,98)</f>
        <v>2009184400</v>
      </c>
      <c r="G219" s="49">
        <f>VLOOKUP($A219,'Data shares'!$C:$FB,99)</f>
        <v>1984522100</v>
      </c>
      <c r="H219" s="50">
        <f t="shared" si="16"/>
        <v>1.2427324442494241</v>
      </c>
      <c r="I219" s="49">
        <f>VLOOKUP($A219,'Data shares'!$C:$FB,66)</f>
        <v>1220084100</v>
      </c>
      <c r="J219" s="49">
        <f>VLOOKUP($A219,'Data shares'!$C:$FB,67)</f>
        <v>1568124200</v>
      </c>
      <c r="K219" s="50">
        <f t="shared" si="17"/>
        <v>-28.525910631898242</v>
      </c>
      <c r="L219" s="50">
        <f>VLOOKUP($A219,'Data shares'!$C:$FB,118)</f>
        <v>0.49</v>
      </c>
      <c r="M219" s="50">
        <f>VLOOKUP($A219,'Data shares'!$C:$FB,119)</f>
        <v>0.51</v>
      </c>
      <c r="N219" s="50">
        <f>VLOOKUP($A219,'Data shares'!$C:$FB,121)*100</f>
        <v>-3.92</v>
      </c>
      <c r="O219" s="50">
        <f>VLOOKUP($A219,'Data shares'!$C:$FB,124)</f>
        <v>0.39</v>
      </c>
      <c r="P219" s="50">
        <f>VLOOKUP($A219,'Data shares'!$C:$FB,125)</f>
        <v>0.47</v>
      </c>
      <c r="Q219" s="50">
        <f>VLOOKUP($A219,'Data shares'!$C:$FB,127)*100</f>
        <v>-17.02</v>
      </c>
    </row>
    <row r="220" spans="1:17" x14ac:dyDescent="0.25">
      <c r="A220" s="97" t="str">
        <f>'Data Vlaue (Cr)'!C215</f>
        <v>ZYDUSLIFE</v>
      </c>
      <c r="B220" s="140">
        <f>VLOOKUP($A220,'Data shares'!$C:$FB,7)</f>
        <v>885.3</v>
      </c>
      <c r="C220" s="140">
        <f>VLOOKUP($A220,'Data shares'!$C:$FB,3)</f>
        <v>886.75</v>
      </c>
      <c r="D220" s="140">
        <f>VLOOKUP($A220,'Data shares'!$C:$FB,4)</f>
        <v>875.25</v>
      </c>
      <c r="E220" s="50">
        <f t="shared" si="15"/>
        <v>1.3139103113396171</v>
      </c>
      <c r="F220" s="49">
        <f>VLOOKUP($A220,'Data shares'!$C:$FB,98)</f>
        <v>17699400</v>
      </c>
      <c r="G220" s="49">
        <f>VLOOKUP($A220,'Data shares'!$C:$FB,99)</f>
        <v>17934300</v>
      </c>
      <c r="H220" s="50">
        <f t="shared" si="16"/>
        <v>-1.3097806995533696</v>
      </c>
      <c r="I220" s="49">
        <f>VLOOKUP($A220,'Data shares'!$C:$FB,66)</f>
        <v>11968200</v>
      </c>
      <c r="J220" s="49">
        <f>VLOOKUP($A220,'Data shares'!$C:$FB,67)</f>
        <v>16900200</v>
      </c>
      <c r="K220" s="50">
        <f t="shared" si="17"/>
        <v>-41.20920439163784</v>
      </c>
      <c r="L220" s="50">
        <f>VLOOKUP($A220,'Data shares'!$C:$FB,118)</f>
        <v>0.71</v>
      </c>
      <c r="M220" s="50">
        <f>VLOOKUP($A220,'Data shares'!$C:$FB,119)</f>
        <v>0.71</v>
      </c>
      <c r="N220" s="50">
        <f>VLOOKUP($A220,'Data shares'!$C:$FB,121)*100</f>
        <v>0</v>
      </c>
      <c r="O220" s="50">
        <f>VLOOKUP($A220,'Data shares'!$C:$FB,124)</f>
        <v>0.36</v>
      </c>
      <c r="P220" s="50">
        <f>VLOOKUP($A220,'Data shares'!$C:$FB,125)</f>
        <v>0.55000000000000004</v>
      </c>
      <c r="Q220" s="50">
        <f>VLOOKUP($A220,'Data shares'!$C:$FB,127)*100</f>
        <v>-34.549999999999997</v>
      </c>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63" t="s">
        <v>391</v>
      </c>
      <c r="B231" s="263"/>
      <c r="C231" s="263"/>
      <c r="D231" s="263"/>
      <c r="E231" s="263"/>
      <c r="F231" s="113">
        <f>SUM(F7:F221)</f>
        <v>34749696695</v>
      </c>
      <c r="G231" s="113">
        <f>SUM(G7:G223)</f>
        <v>35008328475</v>
      </c>
      <c r="H231" s="114">
        <f>(F231-G231)/G231*100</f>
        <v>-0.73877214727544915</v>
      </c>
      <c r="I231" s="113">
        <f>SUM(I7:I222)</f>
        <v>34395103696</v>
      </c>
      <c r="J231" s="113">
        <f>SUM(J7:J223)</f>
        <v>37835686490</v>
      </c>
      <c r="K231" s="114">
        <f>(I231-J231)/J231*100</f>
        <v>-9.0934858414934503</v>
      </c>
      <c r="L231" s="113"/>
      <c r="M231" s="113"/>
      <c r="N231" s="113"/>
      <c r="O231" s="113"/>
      <c r="P231" s="263"/>
      <c r="Q231" s="263"/>
    </row>
    <row r="232" spans="1:17" s="64" customFormat="1" x14ac:dyDescent="0.25">
      <c r="A232" s="263" t="s">
        <v>398</v>
      </c>
      <c r="B232" s="263"/>
      <c r="C232" s="263"/>
      <c r="D232" s="263"/>
      <c r="E232" s="263"/>
      <c r="F232" s="113">
        <f>F231/10000000</f>
        <v>3474.9696694999998</v>
      </c>
      <c r="G232" s="113">
        <f>G231/10000000</f>
        <v>3500.8328474999998</v>
      </c>
      <c r="H232" s="114">
        <f>(F232-G232)/G232*100</f>
        <v>-0.73877214727545093</v>
      </c>
      <c r="I232" s="113">
        <f>I231/10000000</f>
        <v>3439.5103696000001</v>
      </c>
      <c r="J232" s="113">
        <f>J231/10000000</f>
        <v>3783.5686489999998</v>
      </c>
      <c r="K232" s="114">
        <f>(I232-J232)/J232*100</f>
        <v>-9.0934858414934432</v>
      </c>
      <c r="L232" s="113"/>
      <c r="M232" s="113"/>
      <c r="N232" s="113"/>
      <c r="O232" s="113"/>
      <c r="P232" s="263"/>
      <c r="Q232" s="263"/>
    </row>
  </sheetData>
  <mergeCells count="15">
    <mergeCell ref="A232:E232"/>
    <mergeCell ref="P231:Q231"/>
    <mergeCell ref="P232:Q232"/>
    <mergeCell ref="A231:E231"/>
    <mergeCell ref="O5:Q5"/>
    <mergeCell ref="C5:E5"/>
    <mergeCell ref="F5:H5"/>
    <mergeCell ref="I5:K5"/>
    <mergeCell ref="L5:N5"/>
    <mergeCell ref="A3:Q3"/>
    <mergeCell ref="A4:A5"/>
    <mergeCell ref="B4:E4"/>
    <mergeCell ref="F4:H4"/>
    <mergeCell ref="I4:K4"/>
    <mergeCell ref="L4:Q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K13" sqref="K13"/>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(Value)'!H150</f>
        <v>1238388</v>
      </c>
      <c r="C3" s="159">
        <f>'OI(Volume)'!G146</f>
        <v>4.1599999999999998E-2</v>
      </c>
      <c r="D3" s="153">
        <f>'Snapshot (Value)'!P146</f>
        <v>0.57999999999999996</v>
      </c>
      <c r="E3" s="153">
        <f>'Snapshot (Value)'!R146</f>
        <v>0.74</v>
      </c>
      <c r="F3" s="153">
        <f>IV!E146</f>
        <v>13.75</v>
      </c>
      <c r="G3" s="153">
        <f>IV!B146</f>
        <v>14.72</v>
      </c>
      <c r="H3" s="153">
        <f>'Snapshot (Value)'!C150</f>
        <v>25289.9</v>
      </c>
      <c r="I3" s="153">
        <f>'Snapshot (Value)'!D150</f>
        <v>25349.8</v>
      </c>
      <c r="J3" s="153">
        <f>'Snapshot (Value)'!E150</f>
        <v>25178.2</v>
      </c>
      <c r="K3" s="153">
        <f>(I3-H3)</f>
        <v>59.899999999997817</v>
      </c>
      <c r="L3" s="232">
        <f>'Data Vlaue (Cr)'!V141</f>
        <v>25688.400000000001</v>
      </c>
    </row>
    <row r="4" spans="1:12" x14ac:dyDescent="0.25">
      <c r="A4" t="s">
        <v>464</v>
      </c>
      <c r="B4" s="154">
        <f>'Snapshot (Value)'!H37</f>
        <v>242463</v>
      </c>
      <c r="C4" s="159">
        <f>'OI(Volume)'!G33</f>
        <v>-9.7000000000000003E-3</v>
      </c>
      <c r="D4" s="153">
        <f>'Snapshot (Value)'!P37</f>
        <v>0.81</v>
      </c>
      <c r="E4" s="153">
        <f>'Snapshot (Value)'!R37</f>
        <v>0.9</v>
      </c>
      <c r="F4" s="153">
        <f>IV!E33</f>
        <v>15.41</v>
      </c>
      <c r="G4" s="153">
        <f>IV!B33</f>
        <v>13.84</v>
      </c>
      <c r="H4" s="153">
        <f>'Snapshot (Value)'!C37</f>
        <v>59200.1</v>
      </c>
      <c r="I4" s="153">
        <f>'Snapshot (Value)'!D37</f>
        <v>59343.199999999997</v>
      </c>
      <c r="J4" s="153">
        <f>'Snapshot (Value)'!E37</f>
        <v>58855.8</v>
      </c>
      <c r="K4" s="153">
        <f>(I4-H4)</f>
        <v>143.09999999999854</v>
      </c>
      <c r="L4" s="232">
        <f>'Data Vlaue (Cr)'!V28</f>
        <v>60035.4</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N13" sqref="N13"/>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27" t="s">
        <v>393</v>
      </c>
      <c r="B1" s="329" t="s">
        <v>632</v>
      </c>
      <c r="C1" s="330"/>
      <c r="D1" s="331"/>
      <c r="E1" s="332" t="s">
        <v>633</v>
      </c>
      <c r="F1" s="333"/>
      <c r="G1" s="334"/>
      <c r="H1" s="335" t="s">
        <v>634</v>
      </c>
      <c r="I1" s="336"/>
      <c r="J1" s="337"/>
      <c r="K1" s="338" t="s">
        <v>635</v>
      </c>
      <c r="L1" s="339"/>
      <c r="M1" s="340"/>
    </row>
    <row r="2" spans="1:13" ht="26.25" thickBot="1" x14ac:dyDescent="0.25">
      <c r="A2" s="328"/>
      <c r="B2" s="201" t="s">
        <v>636</v>
      </c>
      <c r="C2" s="201" t="s">
        <v>637</v>
      </c>
      <c r="D2" s="201" t="s">
        <v>369</v>
      </c>
      <c r="E2" s="202" t="s">
        <v>636</v>
      </c>
      <c r="F2" s="202" t="s">
        <v>637</v>
      </c>
      <c r="G2" s="202" t="s">
        <v>369</v>
      </c>
      <c r="H2" s="203" t="s">
        <v>636</v>
      </c>
      <c r="I2" s="203" t="s">
        <v>637</v>
      </c>
      <c r="J2" s="203" t="s">
        <v>369</v>
      </c>
      <c r="K2" s="204" t="s">
        <v>636</v>
      </c>
      <c r="L2" s="204" t="s">
        <v>637</v>
      </c>
      <c r="M2" s="204" t="s">
        <v>369</v>
      </c>
    </row>
    <row r="3" spans="1:13" x14ac:dyDescent="0.2">
      <c r="A3" s="205" t="s">
        <v>638</v>
      </c>
      <c r="B3" s="206">
        <v>195075</v>
      </c>
      <c r="C3" s="206">
        <v>189243</v>
      </c>
      <c r="D3" s="207">
        <v>-5832</v>
      </c>
      <c r="E3" s="206">
        <v>81097</v>
      </c>
      <c r="F3" s="206">
        <v>83380</v>
      </c>
      <c r="G3" s="207">
        <v>2283</v>
      </c>
      <c r="H3" s="206">
        <v>27064</v>
      </c>
      <c r="I3" s="206">
        <v>27813</v>
      </c>
      <c r="J3" s="207">
        <v>749</v>
      </c>
      <c r="K3" s="206">
        <v>30122</v>
      </c>
      <c r="L3" s="206">
        <v>29876</v>
      </c>
      <c r="M3" s="207">
        <v>-246</v>
      </c>
    </row>
    <row r="4" spans="1:13" x14ac:dyDescent="0.2">
      <c r="A4" s="208" t="s">
        <v>639</v>
      </c>
      <c r="B4" s="206">
        <v>82257</v>
      </c>
      <c r="C4" s="206">
        <v>80314</v>
      </c>
      <c r="D4" s="207">
        <v>-1943</v>
      </c>
      <c r="E4" s="206">
        <v>39971</v>
      </c>
      <c r="F4" s="206">
        <v>39971</v>
      </c>
      <c r="G4" s="207">
        <v>0</v>
      </c>
      <c r="H4" s="206">
        <v>177724</v>
      </c>
      <c r="I4" s="206">
        <v>171472</v>
      </c>
      <c r="J4" s="207">
        <v>-6252</v>
      </c>
      <c r="K4" s="206">
        <v>33406</v>
      </c>
      <c r="L4" s="206">
        <v>38555</v>
      </c>
      <c r="M4" s="207">
        <v>5149</v>
      </c>
    </row>
    <row r="5" spans="1:13" ht="13.5" thickBot="1" x14ac:dyDescent="0.25">
      <c r="A5" s="205" t="s">
        <v>640</v>
      </c>
      <c r="B5" s="206">
        <v>112818</v>
      </c>
      <c r="C5" s="206">
        <v>108929</v>
      </c>
      <c r="D5" s="209">
        <v>-3889</v>
      </c>
      <c r="E5" s="206">
        <v>41126</v>
      </c>
      <c r="F5" s="206">
        <v>43409</v>
      </c>
      <c r="G5" s="209">
        <v>2283</v>
      </c>
      <c r="H5" s="210">
        <v>-150660</v>
      </c>
      <c r="I5" s="210">
        <v>-143659</v>
      </c>
      <c r="J5" s="209">
        <v>7001</v>
      </c>
      <c r="K5" s="210">
        <v>-3284</v>
      </c>
      <c r="L5" s="210">
        <v>-8679</v>
      </c>
      <c r="M5" s="209">
        <v>-5395</v>
      </c>
    </row>
    <row r="6" spans="1:13" ht="13.5" customHeight="1" thickBot="1" x14ac:dyDescent="0.25">
      <c r="A6" s="327" t="s">
        <v>641</v>
      </c>
      <c r="B6" s="329" t="s">
        <v>632</v>
      </c>
      <c r="C6" s="330"/>
      <c r="D6" s="331"/>
      <c r="E6" s="332" t="s">
        <v>633</v>
      </c>
      <c r="F6" s="333"/>
      <c r="G6" s="334"/>
      <c r="H6" s="335" t="s">
        <v>634</v>
      </c>
      <c r="I6" s="336"/>
      <c r="J6" s="337"/>
      <c r="K6" s="338" t="s">
        <v>635</v>
      </c>
      <c r="L6" s="339"/>
      <c r="M6" s="340"/>
    </row>
    <row r="7" spans="1:13" ht="26.25" thickBot="1" x14ac:dyDescent="0.25">
      <c r="A7" s="328"/>
      <c r="B7" s="201" t="s">
        <v>636</v>
      </c>
      <c r="C7" s="201" t="s">
        <v>637</v>
      </c>
      <c r="D7" s="201" t="s">
        <v>369</v>
      </c>
      <c r="E7" s="202" t="s">
        <v>636</v>
      </c>
      <c r="F7" s="202" t="s">
        <v>637</v>
      </c>
      <c r="G7" s="202" t="s">
        <v>369</v>
      </c>
      <c r="H7" s="203" t="s">
        <v>636</v>
      </c>
      <c r="I7" s="203" t="s">
        <v>637</v>
      </c>
      <c r="J7" s="203" t="s">
        <v>369</v>
      </c>
      <c r="K7" s="204" t="s">
        <v>636</v>
      </c>
      <c r="L7" s="204" t="s">
        <v>637</v>
      </c>
      <c r="M7" s="204" t="s">
        <v>369</v>
      </c>
    </row>
    <row r="8" spans="1:13" x14ac:dyDescent="0.2">
      <c r="A8" s="205" t="s">
        <v>638</v>
      </c>
      <c r="B8" s="206">
        <v>1750202</v>
      </c>
      <c r="C8" s="206">
        <v>2157714</v>
      </c>
      <c r="D8" s="207">
        <v>407512</v>
      </c>
      <c r="E8" s="206">
        <v>970</v>
      </c>
      <c r="F8" s="206">
        <v>963</v>
      </c>
      <c r="G8" s="207">
        <v>-7</v>
      </c>
      <c r="H8" s="206">
        <v>375596</v>
      </c>
      <c r="I8" s="206">
        <v>431295</v>
      </c>
      <c r="J8" s="207">
        <v>55699</v>
      </c>
      <c r="K8" s="206">
        <v>809404</v>
      </c>
      <c r="L8" s="206">
        <v>949095</v>
      </c>
      <c r="M8" s="207">
        <v>139691</v>
      </c>
    </row>
    <row r="9" spans="1:13" x14ac:dyDescent="0.2">
      <c r="A9" s="208" t="s">
        <v>639</v>
      </c>
      <c r="B9" s="206">
        <v>1852984</v>
      </c>
      <c r="C9" s="206">
        <v>2307126</v>
      </c>
      <c r="D9" s="207">
        <v>454142</v>
      </c>
      <c r="E9" s="206">
        <v>0</v>
      </c>
      <c r="F9" s="206">
        <v>0</v>
      </c>
      <c r="G9" s="207">
        <v>0</v>
      </c>
      <c r="H9" s="206">
        <v>386440</v>
      </c>
      <c r="I9" s="206">
        <v>419058</v>
      </c>
      <c r="J9" s="207">
        <v>32618</v>
      </c>
      <c r="K9" s="206">
        <v>696749</v>
      </c>
      <c r="L9" s="206">
        <v>812883</v>
      </c>
      <c r="M9" s="207">
        <v>116134</v>
      </c>
    </row>
    <row r="10" spans="1:13" ht="13.5" thickBot="1" x14ac:dyDescent="0.25">
      <c r="A10" s="205" t="s">
        <v>640</v>
      </c>
      <c r="B10" s="206">
        <v>-102782</v>
      </c>
      <c r="C10" s="206">
        <v>-149412</v>
      </c>
      <c r="D10" s="209">
        <v>-46630</v>
      </c>
      <c r="E10" s="206">
        <v>970</v>
      </c>
      <c r="F10" s="206">
        <v>963</v>
      </c>
      <c r="G10" s="209">
        <v>-7</v>
      </c>
      <c r="H10" s="206">
        <v>-10844</v>
      </c>
      <c r="I10" s="206">
        <v>12237</v>
      </c>
      <c r="J10" s="209">
        <v>23081</v>
      </c>
      <c r="K10" s="210">
        <v>112655</v>
      </c>
      <c r="L10" s="210">
        <v>136212</v>
      </c>
      <c r="M10" s="209">
        <v>23557</v>
      </c>
    </row>
    <row r="11" spans="1:13" ht="13.5" customHeight="1" thickBot="1" x14ac:dyDescent="0.25">
      <c r="A11" s="327" t="s">
        <v>642</v>
      </c>
      <c r="B11" s="329" t="s">
        <v>632</v>
      </c>
      <c r="C11" s="330"/>
      <c r="D11" s="331"/>
      <c r="E11" s="332" t="s">
        <v>633</v>
      </c>
      <c r="F11" s="333"/>
      <c r="G11" s="334"/>
      <c r="H11" s="335" t="s">
        <v>634</v>
      </c>
      <c r="I11" s="336"/>
      <c r="J11" s="337"/>
      <c r="K11" s="338" t="s">
        <v>635</v>
      </c>
      <c r="L11" s="339"/>
      <c r="M11" s="340"/>
    </row>
    <row r="12" spans="1:13" ht="26.25" thickBot="1" x14ac:dyDescent="0.25">
      <c r="A12" s="328"/>
      <c r="B12" s="201" t="s">
        <v>636</v>
      </c>
      <c r="C12" s="201" t="s">
        <v>637</v>
      </c>
      <c r="D12" s="201" t="s">
        <v>369</v>
      </c>
      <c r="E12" s="202" t="s">
        <v>636</v>
      </c>
      <c r="F12" s="202" t="s">
        <v>637</v>
      </c>
      <c r="G12" s="202" t="s">
        <v>369</v>
      </c>
      <c r="H12" s="203" t="s">
        <v>636</v>
      </c>
      <c r="I12" s="203" t="s">
        <v>637</v>
      </c>
      <c r="J12" s="203" t="s">
        <v>369</v>
      </c>
      <c r="K12" s="204" t="s">
        <v>636</v>
      </c>
      <c r="L12" s="204" t="s">
        <v>637</v>
      </c>
      <c r="M12" s="204" t="s">
        <v>369</v>
      </c>
    </row>
    <row r="13" spans="1:13" x14ac:dyDescent="0.2">
      <c r="A13" s="205" t="s">
        <v>638</v>
      </c>
      <c r="B13" s="206">
        <v>1938105</v>
      </c>
      <c r="C13" s="206">
        <v>2298331</v>
      </c>
      <c r="D13" s="207">
        <v>360226</v>
      </c>
      <c r="E13" s="206">
        <v>37845</v>
      </c>
      <c r="F13" s="206">
        <v>41245</v>
      </c>
      <c r="G13" s="207">
        <v>3400</v>
      </c>
      <c r="H13" s="206">
        <v>547466</v>
      </c>
      <c r="I13" s="206">
        <v>616493</v>
      </c>
      <c r="J13" s="207">
        <v>69027</v>
      </c>
      <c r="K13" s="206">
        <v>950549</v>
      </c>
      <c r="L13" s="206">
        <v>1105542</v>
      </c>
      <c r="M13" s="207">
        <v>154993</v>
      </c>
    </row>
    <row r="14" spans="1:13" x14ac:dyDescent="0.2">
      <c r="A14" s="208" t="s">
        <v>639</v>
      </c>
      <c r="B14" s="206">
        <v>2262347</v>
      </c>
      <c r="C14" s="206">
        <v>2712851</v>
      </c>
      <c r="D14" s="207">
        <v>450504</v>
      </c>
      <c r="E14" s="206">
        <v>0</v>
      </c>
      <c r="F14" s="206">
        <v>0</v>
      </c>
      <c r="G14" s="207">
        <v>0</v>
      </c>
      <c r="H14" s="206">
        <v>304838</v>
      </c>
      <c r="I14" s="206">
        <v>340222</v>
      </c>
      <c r="J14" s="207">
        <v>35384</v>
      </c>
      <c r="K14" s="206">
        <v>906781</v>
      </c>
      <c r="L14" s="206">
        <v>1008537</v>
      </c>
      <c r="M14" s="207">
        <v>101756</v>
      </c>
    </row>
    <row r="15" spans="1:13" ht="13.5" thickBot="1" x14ac:dyDescent="0.25">
      <c r="A15" s="205" t="s">
        <v>640</v>
      </c>
      <c r="B15" s="210">
        <v>-324242</v>
      </c>
      <c r="C15" s="210">
        <v>-414520</v>
      </c>
      <c r="D15" s="209">
        <v>-90278</v>
      </c>
      <c r="E15" s="206">
        <v>37845</v>
      </c>
      <c r="F15" s="206">
        <v>41245</v>
      </c>
      <c r="G15" s="209">
        <v>3400</v>
      </c>
      <c r="H15" s="206">
        <v>242628</v>
      </c>
      <c r="I15" s="206">
        <v>276271</v>
      </c>
      <c r="J15" s="209">
        <v>33643</v>
      </c>
      <c r="K15" s="210">
        <v>43768</v>
      </c>
      <c r="L15" s="210">
        <v>97005</v>
      </c>
      <c r="M15" s="209">
        <v>53237</v>
      </c>
    </row>
    <row r="16" spans="1:13" ht="13.5" thickBot="1" x14ac:dyDescent="0.25">
      <c r="A16" s="327" t="s">
        <v>395</v>
      </c>
      <c r="B16" s="329" t="s">
        <v>632</v>
      </c>
      <c r="C16" s="330"/>
      <c r="D16" s="331"/>
      <c r="E16" s="332" t="s">
        <v>633</v>
      </c>
      <c r="F16" s="333"/>
      <c r="G16" s="334"/>
      <c r="H16" s="335" t="s">
        <v>634</v>
      </c>
      <c r="I16" s="336"/>
      <c r="J16" s="337"/>
      <c r="K16" s="338" t="s">
        <v>635</v>
      </c>
      <c r="L16" s="339"/>
      <c r="M16" s="340"/>
    </row>
    <row r="17" spans="1:13" ht="26.25" thickBot="1" x14ac:dyDescent="0.25">
      <c r="A17" s="328"/>
      <c r="B17" s="201" t="s">
        <v>636</v>
      </c>
      <c r="C17" s="201" t="s">
        <v>637</v>
      </c>
      <c r="D17" s="201" t="s">
        <v>369</v>
      </c>
      <c r="E17" s="202" t="s">
        <v>636</v>
      </c>
      <c r="F17" s="202" t="s">
        <v>637</v>
      </c>
      <c r="G17" s="202" t="s">
        <v>369</v>
      </c>
      <c r="H17" s="203" t="s">
        <v>636</v>
      </c>
      <c r="I17" s="203" t="s">
        <v>637</v>
      </c>
      <c r="J17" s="203" t="s">
        <v>369</v>
      </c>
      <c r="K17" s="204" t="s">
        <v>636</v>
      </c>
      <c r="L17" s="204" t="s">
        <v>637</v>
      </c>
      <c r="M17" s="204" t="s">
        <v>369</v>
      </c>
    </row>
    <row r="18" spans="1:13" x14ac:dyDescent="0.2">
      <c r="A18" s="205" t="s">
        <v>638</v>
      </c>
      <c r="B18" s="206">
        <v>2604639</v>
      </c>
      <c r="C18" s="206">
        <v>2612825</v>
      </c>
      <c r="D18" s="207">
        <v>8186</v>
      </c>
      <c r="E18" s="206">
        <v>205860</v>
      </c>
      <c r="F18" s="206">
        <v>209067</v>
      </c>
      <c r="G18" s="207">
        <v>3207</v>
      </c>
      <c r="H18" s="206">
        <v>3430475</v>
      </c>
      <c r="I18" s="206">
        <v>3444136</v>
      </c>
      <c r="J18" s="207">
        <v>13661</v>
      </c>
      <c r="K18" s="206">
        <v>746247</v>
      </c>
      <c r="L18" s="206">
        <v>755762</v>
      </c>
      <c r="M18" s="207">
        <v>9515</v>
      </c>
    </row>
    <row r="19" spans="1:13" x14ac:dyDescent="0.2">
      <c r="A19" s="208" t="s">
        <v>639</v>
      </c>
      <c r="B19" s="206">
        <v>318266</v>
      </c>
      <c r="C19" s="206">
        <v>323006</v>
      </c>
      <c r="D19" s="207">
        <v>4740</v>
      </c>
      <c r="E19" s="206">
        <v>4255042</v>
      </c>
      <c r="F19" s="206">
        <v>4256764</v>
      </c>
      <c r="G19" s="207">
        <v>1722</v>
      </c>
      <c r="H19" s="206">
        <v>2101997</v>
      </c>
      <c r="I19" s="206">
        <v>2115165</v>
      </c>
      <c r="J19" s="207">
        <v>13168</v>
      </c>
      <c r="K19" s="206">
        <v>311916</v>
      </c>
      <c r="L19" s="206">
        <v>326855</v>
      </c>
      <c r="M19" s="207">
        <v>14939</v>
      </c>
    </row>
    <row r="20" spans="1:13" ht="13.5" thickBot="1" x14ac:dyDescent="0.25">
      <c r="A20" s="205" t="s">
        <v>640</v>
      </c>
      <c r="B20" s="206">
        <v>2286373</v>
      </c>
      <c r="C20" s="206">
        <v>2289819</v>
      </c>
      <c r="D20" s="209">
        <v>3446</v>
      </c>
      <c r="E20" s="210">
        <v>-4049182</v>
      </c>
      <c r="F20" s="210">
        <v>-4047697</v>
      </c>
      <c r="G20" s="209">
        <v>1485</v>
      </c>
      <c r="H20" s="206">
        <v>1328478</v>
      </c>
      <c r="I20" s="206">
        <v>1328971</v>
      </c>
      <c r="J20" s="209">
        <v>493</v>
      </c>
      <c r="K20" s="206">
        <v>434331</v>
      </c>
      <c r="L20" s="206">
        <v>428907</v>
      </c>
      <c r="M20" s="209">
        <v>-5424</v>
      </c>
    </row>
    <row r="21" spans="1:13" ht="13.5" customHeight="1" thickBot="1" x14ac:dyDescent="0.25">
      <c r="A21" s="327" t="s">
        <v>643</v>
      </c>
      <c r="B21" s="329" t="s">
        <v>632</v>
      </c>
      <c r="C21" s="330"/>
      <c r="D21" s="331"/>
      <c r="E21" s="332" t="s">
        <v>633</v>
      </c>
      <c r="F21" s="333"/>
      <c r="G21" s="334"/>
      <c r="H21" s="335" t="s">
        <v>634</v>
      </c>
      <c r="I21" s="336"/>
      <c r="J21" s="337"/>
      <c r="K21" s="338" t="s">
        <v>635</v>
      </c>
      <c r="L21" s="339"/>
      <c r="M21" s="340"/>
    </row>
    <row r="22" spans="1:13" ht="26.25" thickBot="1" x14ac:dyDescent="0.25">
      <c r="A22" s="328"/>
      <c r="B22" s="201" t="s">
        <v>636</v>
      </c>
      <c r="C22" s="201" t="s">
        <v>637</v>
      </c>
      <c r="D22" s="201" t="s">
        <v>369</v>
      </c>
      <c r="E22" s="202" t="s">
        <v>636</v>
      </c>
      <c r="F22" s="202" t="s">
        <v>637</v>
      </c>
      <c r="G22" s="202" t="s">
        <v>369</v>
      </c>
      <c r="H22" s="203" t="s">
        <v>636</v>
      </c>
      <c r="I22" s="203" t="s">
        <v>637</v>
      </c>
      <c r="J22" s="203" t="s">
        <v>369</v>
      </c>
      <c r="K22" s="204" t="s">
        <v>636</v>
      </c>
      <c r="L22" s="204" t="s">
        <v>637</v>
      </c>
      <c r="M22" s="204" t="s">
        <v>369</v>
      </c>
    </row>
    <row r="23" spans="1:13" x14ac:dyDescent="0.2">
      <c r="A23" s="205" t="s">
        <v>638</v>
      </c>
      <c r="B23" s="206">
        <v>1962301</v>
      </c>
      <c r="C23" s="206">
        <v>2026368</v>
      </c>
      <c r="D23" s="207">
        <v>64067</v>
      </c>
      <c r="E23" s="206">
        <v>2302</v>
      </c>
      <c r="F23" s="206">
        <v>2302</v>
      </c>
      <c r="G23" s="207">
        <v>0</v>
      </c>
      <c r="H23" s="206">
        <v>88221</v>
      </c>
      <c r="I23" s="206">
        <v>95099</v>
      </c>
      <c r="J23" s="207">
        <v>6878</v>
      </c>
      <c r="K23" s="206">
        <v>844996</v>
      </c>
      <c r="L23" s="206">
        <v>880521</v>
      </c>
      <c r="M23" s="207">
        <v>35525</v>
      </c>
    </row>
    <row r="24" spans="1:13" x14ac:dyDescent="0.2">
      <c r="A24" s="208" t="s">
        <v>639</v>
      </c>
      <c r="B24" s="206">
        <v>1309245</v>
      </c>
      <c r="C24" s="206">
        <v>1348505</v>
      </c>
      <c r="D24" s="207">
        <v>39260</v>
      </c>
      <c r="E24" s="206">
        <v>201046</v>
      </c>
      <c r="F24" s="206">
        <v>210019</v>
      </c>
      <c r="G24" s="207">
        <v>8973</v>
      </c>
      <c r="H24" s="206">
        <v>122735</v>
      </c>
      <c r="I24" s="206">
        <v>126406</v>
      </c>
      <c r="J24" s="207">
        <v>3671</v>
      </c>
      <c r="K24" s="206">
        <v>1264794</v>
      </c>
      <c r="L24" s="206">
        <v>1319360</v>
      </c>
      <c r="M24" s="207">
        <v>54566</v>
      </c>
    </row>
    <row r="25" spans="1:13" ht="13.5" thickBot="1" x14ac:dyDescent="0.25">
      <c r="A25" s="205" t="s">
        <v>640</v>
      </c>
      <c r="B25" s="206">
        <v>653056</v>
      </c>
      <c r="C25" s="206">
        <v>677863</v>
      </c>
      <c r="D25" s="209">
        <v>24807</v>
      </c>
      <c r="E25" s="210">
        <v>-198744</v>
      </c>
      <c r="F25" s="210">
        <v>-207717</v>
      </c>
      <c r="G25" s="209">
        <v>-8973</v>
      </c>
      <c r="H25" s="210">
        <v>-34514</v>
      </c>
      <c r="I25" s="210">
        <v>-31307</v>
      </c>
      <c r="J25" s="209">
        <v>3207</v>
      </c>
      <c r="K25" s="210">
        <v>-419798</v>
      </c>
      <c r="L25" s="210">
        <v>-438839</v>
      </c>
      <c r="M25" s="209">
        <v>-19041</v>
      </c>
    </row>
    <row r="26" spans="1:13" ht="13.5" thickBot="1" x14ac:dyDescent="0.25">
      <c r="A26" s="327" t="s">
        <v>644</v>
      </c>
      <c r="B26" s="329" t="s">
        <v>632</v>
      </c>
      <c r="C26" s="330"/>
      <c r="D26" s="331"/>
      <c r="E26" s="332" t="s">
        <v>633</v>
      </c>
      <c r="F26" s="333"/>
      <c r="G26" s="334"/>
      <c r="H26" s="335" t="s">
        <v>634</v>
      </c>
      <c r="I26" s="336"/>
      <c r="J26" s="337"/>
      <c r="K26" s="338" t="s">
        <v>635</v>
      </c>
      <c r="L26" s="339"/>
      <c r="M26" s="340"/>
    </row>
    <row r="27" spans="1:13" ht="26.25" thickBot="1" x14ac:dyDescent="0.25">
      <c r="A27" s="328"/>
      <c r="B27" s="201" t="s">
        <v>636</v>
      </c>
      <c r="C27" s="201" t="s">
        <v>637</v>
      </c>
      <c r="D27" s="201" t="s">
        <v>369</v>
      </c>
      <c r="E27" s="202" t="s">
        <v>636</v>
      </c>
      <c r="F27" s="202" t="s">
        <v>637</v>
      </c>
      <c r="G27" s="202" t="s">
        <v>369</v>
      </c>
      <c r="H27" s="203" t="s">
        <v>636</v>
      </c>
      <c r="I27" s="203" t="s">
        <v>637</v>
      </c>
      <c r="J27" s="203" t="s">
        <v>369</v>
      </c>
      <c r="K27" s="204" t="s">
        <v>636</v>
      </c>
      <c r="L27" s="204" t="s">
        <v>637</v>
      </c>
      <c r="M27" s="204" t="s">
        <v>369</v>
      </c>
    </row>
    <row r="28" spans="1:13" x14ac:dyDescent="0.2">
      <c r="A28" s="205" t="s">
        <v>638</v>
      </c>
      <c r="B28" s="206">
        <v>965204</v>
      </c>
      <c r="C28" s="206">
        <v>976654</v>
      </c>
      <c r="D28" s="207">
        <v>11450</v>
      </c>
      <c r="E28" s="206">
        <v>0</v>
      </c>
      <c r="F28" s="206">
        <v>0</v>
      </c>
      <c r="G28" s="207">
        <v>0</v>
      </c>
      <c r="H28" s="206">
        <v>122759</v>
      </c>
      <c r="I28" s="206">
        <v>127524</v>
      </c>
      <c r="J28" s="207">
        <v>4765</v>
      </c>
      <c r="K28" s="206">
        <v>890072</v>
      </c>
      <c r="L28" s="206">
        <v>914253</v>
      </c>
      <c r="M28" s="207">
        <v>24181</v>
      </c>
    </row>
    <row r="29" spans="1:13" x14ac:dyDescent="0.2">
      <c r="A29" s="208" t="s">
        <v>639</v>
      </c>
      <c r="B29" s="206">
        <v>1149376</v>
      </c>
      <c r="C29" s="206">
        <v>1171336</v>
      </c>
      <c r="D29" s="207">
        <v>21960</v>
      </c>
      <c r="E29" s="206">
        <v>0</v>
      </c>
      <c r="F29" s="206">
        <v>0</v>
      </c>
      <c r="G29" s="207">
        <v>0</v>
      </c>
      <c r="H29" s="206">
        <v>95281</v>
      </c>
      <c r="I29" s="206">
        <v>97491</v>
      </c>
      <c r="J29" s="207">
        <v>2210</v>
      </c>
      <c r="K29" s="206">
        <v>733378</v>
      </c>
      <c r="L29" s="206">
        <v>749604</v>
      </c>
      <c r="M29" s="207">
        <v>16226</v>
      </c>
    </row>
    <row r="30" spans="1:13" ht="13.5" thickBot="1" x14ac:dyDescent="0.25">
      <c r="A30" s="211" t="s">
        <v>640</v>
      </c>
      <c r="B30" s="212">
        <v>-184172</v>
      </c>
      <c r="C30" s="212">
        <v>-194682</v>
      </c>
      <c r="D30" s="213">
        <v>-10510</v>
      </c>
      <c r="E30" s="214">
        <v>0</v>
      </c>
      <c r="F30" s="214">
        <v>0</v>
      </c>
      <c r="G30" s="213">
        <v>0</v>
      </c>
      <c r="H30" s="214">
        <v>27478</v>
      </c>
      <c r="I30" s="214">
        <v>30033</v>
      </c>
      <c r="J30" s="213">
        <v>2555</v>
      </c>
      <c r="K30" s="214">
        <v>156694</v>
      </c>
      <c r="L30" s="214">
        <v>164649</v>
      </c>
      <c r="M30" s="213">
        <v>7955</v>
      </c>
    </row>
  </sheetData>
  <mergeCells count="30">
    <mergeCell ref="K11:M11"/>
    <mergeCell ref="H11:J11"/>
    <mergeCell ref="E11:G11"/>
    <mergeCell ref="B11:D11"/>
    <mergeCell ref="A11:A12"/>
    <mergeCell ref="K6:M6"/>
    <mergeCell ref="H6:J6"/>
    <mergeCell ref="E6:G6"/>
    <mergeCell ref="B6:D6"/>
    <mergeCell ref="A6:A7"/>
    <mergeCell ref="B16:D16"/>
    <mergeCell ref="A16:A17"/>
    <mergeCell ref="K21:M21"/>
    <mergeCell ref="H21:J21"/>
    <mergeCell ref="E21:G21"/>
    <mergeCell ref="B21:D21"/>
    <mergeCell ref="A21:A22"/>
    <mergeCell ref="K16:M16"/>
    <mergeCell ref="H16:J16"/>
    <mergeCell ref="E16:G16"/>
    <mergeCell ref="K26:M26"/>
    <mergeCell ref="H26:J26"/>
    <mergeCell ref="E26:G26"/>
    <mergeCell ref="B26:D26"/>
    <mergeCell ref="A26:A27"/>
    <mergeCell ref="A1:A2"/>
    <mergeCell ref="B1:D1"/>
    <mergeCell ref="E1:G1"/>
    <mergeCell ref="H1:J1"/>
    <mergeCell ref="K1:M1"/>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647</v>
      </c>
      <c r="B1" s="216" t="s">
        <v>249</v>
      </c>
      <c r="C1" s="200"/>
      <c r="D1" s="200"/>
    </row>
    <row r="2" spans="1:4" x14ac:dyDescent="0.25">
      <c r="A2" s="217" t="s">
        <v>648</v>
      </c>
      <c r="B2" s="218">
        <f>VLOOKUP($B$1,'Snapshot (Value)'!$A:$S,2,0)</f>
        <v>175</v>
      </c>
      <c r="C2" s="200"/>
      <c r="D2" s="200"/>
    </row>
    <row r="3" spans="1:4" x14ac:dyDescent="0.25">
      <c r="A3" s="217" t="s">
        <v>312</v>
      </c>
      <c r="B3" s="219">
        <f>VLOOKUP($B$1,'Snapshot (Value)'!$A:$S,3,0)</f>
        <v>3793.8</v>
      </c>
      <c r="C3" s="200"/>
      <c r="D3" s="200"/>
    </row>
    <row r="4" spans="1:4" x14ac:dyDescent="0.25">
      <c r="A4" s="217" t="s">
        <v>320</v>
      </c>
      <c r="B4" s="220">
        <f>VLOOKUP($B$1,'Snapshot (Value)'!$A:$S,6,0)</f>
        <v>6.7999999999997272</v>
      </c>
      <c r="C4" s="200"/>
      <c r="D4" s="200"/>
    </row>
    <row r="5" spans="1:4" x14ac:dyDescent="0.25">
      <c r="A5" s="221"/>
      <c r="B5" s="222" t="s">
        <v>649</v>
      </c>
      <c r="C5" s="222" t="s">
        <v>650</v>
      </c>
      <c r="D5" s="222" t="s">
        <v>651</v>
      </c>
    </row>
    <row r="6" spans="1:4" x14ac:dyDescent="0.25">
      <c r="A6" s="217" t="s">
        <v>652</v>
      </c>
      <c r="B6" s="219">
        <f>VLOOKUP($B$1,'Snapshot (Value)'!$A:$S,4,0)</f>
        <v>3800.6</v>
      </c>
      <c r="C6" s="219">
        <f>VLOOKUP($B$1,'Snapshot (Value)'!$A:$S,5,0)</f>
        <v>3765.6</v>
      </c>
      <c r="D6" s="219">
        <f>+(B6/C6-1)*100</f>
        <v>0.92946675164649051</v>
      </c>
    </row>
    <row r="7" spans="1:4" x14ac:dyDescent="0.25">
      <c r="A7" s="217" t="s">
        <v>316</v>
      </c>
      <c r="B7" s="219">
        <f>VLOOKUP($B$1,'Snapshot (Volume)'!$A:$S,12,0)</f>
        <v>0.48</v>
      </c>
      <c r="C7" s="219">
        <f>VLOOKUP($B$1,'Snapshot (Volume)'!$A:$S,13,0)</f>
        <v>0.46</v>
      </c>
      <c r="D7" s="219">
        <f>+(B7/C7-1)*100</f>
        <v>4.3478260869565188</v>
      </c>
    </row>
    <row r="8" spans="1:4" x14ac:dyDescent="0.25">
      <c r="A8" s="217" t="s">
        <v>653</v>
      </c>
      <c r="B8" s="219">
        <f>VLOOKUP($B$1,'Snapshot (Volume)'!$A:$S,15,0)</f>
        <v>0.36</v>
      </c>
      <c r="C8" s="219">
        <f>VLOOKUP($B$1,'Snapshot (Volume)'!$A:$S,16,0)</f>
        <v>0.49</v>
      </c>
      <c r="D8" s="219">
        <f>+(B8/C8-1)*100</f>
        <v>-26.530612244897956</v>
      </c>
    </row>
    <row r="9" spans="1:4" x14ac:dyDescent="0.25">
      <c r="A9" s="215" t="s">
        <v>654</v>
      </c>
      <c r="B9" s="222" t="s">
        <v>655</v>
      </c>
      <c r="C9" s="222" t="s">
        <v>369</v>
      </c>
      <c r="D9" s="222" t="s">
        <v>651</v>
      </c>
    </row>
    <row r="10" spans="1:4" x14ac:dyDescent="0.25">
      <c r="A10" s="217" t="s">
        <v>656</v>
      </c>
      <c r="B10" s="219">
        <f>VLOOKUP($B$1,'OI(Value)'!$A:$O,5,0)</f>
        <v>5729</v>
      </c>
      <c r="C10" s="219">
        <f>VLOOKUP($B$1,'OI(Value)'!$A:$O,6,0)</f>
        <v>61</v>
      </c>
      <c r="D10" s="219">
        <f>VLOOKUP($B$1,'OI(Value)'!$A:$O,7,0)*100</f>
        <v>1.08</v>
      </c>
    </row>
    <row r="11" spans="1:4" x14ac:dyDescent="0.25">
      <c r="A11" s="217" t="s">
        <v>657</v>
      </c>
      <c r="B11" s="219">
        <f>VLOOKUP($B$1,'OI(Value)'!$A:$O,8,0)</f>
        <v>2736</v>
      </c>
      <c r="C11" s="219">
        <f>VLOOKUP($B$1,'OI(Value)'!$A:$O,9,0)</f>
        <v>-76</v>
      </c>
      <c r="D11" s="219">
        <f>VLOOKUP($B$1,'OI(Value)'!$A:$O,10,0)*100</f>
        <v>-2.69</v>
      </c>
    </row>
    <row r="12" spans="1:4" x14ac:dyDescent="0.25">
      <c r="A12" s="217" t="s">
        <v>658</v>
      </c>
      <c r="B12" s="219">
        <f>VLOOKUP($B$1,'OI(Value)'!$A:$O,11,0)</f>
        <v>1325</v>
      </c>
      <c r="C12" s="219">
        <f>VLOOKUP($B$1,'OI(Value)'!$A:$O,12,0)</f>
        <v>38</v>
      </c>
      <c r="D12" s="219">
        <f>VLOOKUP($B$1,'OI(Value)'!$A:$O,13,0)*100</f>
        <v>2.98</v>
      </c>
    </row>
    <row r="13" spans="1:4" x14ac:dyDescent="0.25">
      <c r="A13" s="215" t="s">
        <v>659</v>
      </c>
      <c r="B13" s="223">
        <f>VLOOKUP($B$1,'OI(Value)'!$A:$O,2,0)</f>
        <v>9790</v>
      </c>
      <c r="C13" s="223">
        <f>VLOOKUP($B$1,'OI(Value)'!$A:$O,3,0)</f>
        <v>24</v>
      </c>
      <c r="D13" s="223">
        <f>VLOOKUP($B$1,'OI(Value)'!$A:$O,4,0)*100</f>
        <v>0.24</v>
      </c>
    </row>
    <row r="14" spans="1:4" x14ac:dyDescent="0.25">
      <c r="A14" s="215" t="s">
        <v>660</v>
      </c>
      <c r="B14" s="222" t="s">
        <v>661</v>
      </c>
      <c r="C14" s="222" t="s">
        <v>369</v>
      </c>
      <c r="D14" s="222" t="s">
        <v>651</v>
      </c>
    </row>
    <row r="15" spans="1:4" x14ac:dyDescent="0.25">
      <c r="A15" s="217" t="s">
        <v>656</v>
      </c>
      <c r="B15" s="219">
        <f>VLOOKUP($B$1,'OI(Volume)'!$A:$O,5,0)/10^5</f>
        <v>150.75024999999999</v>
      </c>
      <c r="C15" s="219">
        <f>VLOOKUP($B$1,'OI(Volume)'!$A:$O,6,0)/10^5</f>
        <v>1.61175</v>
      </c>
      <c r="D15" s="219">
        <f>(VLOOKUP($B$1,'OI(Volume)'!$A:$O,7,0))*100</f>
        <v>1.08</v>
      </c>
    </row>
    <row r="16" spans="1:4" x14ac:dyDescent="0.25">
      <c r="A16" s="217" t="s">
        <v>657</v>
      </c>
      <c r="B16" s="219">
        <f>VLOOKUP($B$1,'OI(Volume)'!$A:$O,8,0)/10^5</f>
        <v>71.993250000000003</v>
      </c>
      <c r="C16" s="219">
        <f>VLOOKUP($B$1,'OI(Volume)'!$A:$O,9,0)/10^5</f>
        <v>-1.99325</v>
      </c>
      <c r="D16" s="219">
        <f>(VLOOKUP($B$1,'OI(Volume)'!$A:$O,10,0))*100</f>
        <v>-2.69</v>
      </c>
    </row>
    <row r="17" spans="1:4" x14ac:dyDescent="0.25">
      <c r="A17" s="217" t="s">
        <v>658</v>
      </c>
      <c r="B17" s="219">
        <f>VLOOKUP($B$1,'OI(Volume)'!$A:$O,11,0)/10^5</f>
        <v>34.85125</v>
      </c>
      <c r="C17" s="219">
        <f>VLOOKUP($B$1,'OI(Volume)'!$A:$O,12,0)/10^5</f>
        <v>1.0097499999999999</v>
      </c>
      <c r="D17" s="219">
        <f>(VLOOKUP($B$1,'OI(Volume)'!$A:$O,13,0))*100</f>
        <v>2.98</v>
      </c>
    </row>
    <row r="18" spans="1:4" x14ac:dyDescent="0.25">
      <c r="A18" s="215" t="s">
        <v>662</v>
      </c>
      <c r="B18" s="223">
        <f>VLOOKUP($B$1,'OI(Volume)'!$A:$O,2,0)/10^5</f>
        <v>257.59474999999998</v>
      </c>
      <c r="C18" s="223">
        <f>VLOOKUP($B$1,'OI(Volume)'!$A:$O,3,0)/10^5</f>
        <v>0.62824999999999998</v>
      </c>
      <c r="D18" s="223">
        <f>(VLOOKUP($B$1,'OI(Volume)'!$A:$O,4,0))*100</f>
        <v>0.24</v>
      </c>
    </row>
    <row r="20" spans="1:4" x14ac:dyDescent="0.25">
      <c r="A20" s="17" t="s">
        <v>417</v>
      </c>
      <c r="B20" s="224">
        <f>VLOOKUP($B$1,'Open Interest Position'!$A:$F,2,0)/10^5</f>
        <v>1361.09374</v>
      </c>
    </row>
    <row r="21" spans="1:4" x14ac:dyDescent="0.25">
      <c r="A21" s="17" t="s">
        <v>412</v>
      </c>
      <c r="B21" s="224">
        <f>VLOOKUP($B$1,'Open Interest Position'!$A:$F,3,0)/10^5</f>
        <v>250.83975000000001</v>
      </c>
    </row>
    <row r="22" spans="1:4" x14ac:dyDescent="0.25">
      <c r="A22" s="17" t="s">
        <v>418</v>
      </c>
      <c r="B22" s="224">
        <f>VLOOKUP($B$1,'Open Interest Position'!$A:$F,4,0)/10^5</f>
        <v>150.30045025324</v>
      </c>
    </row>
    <row r="23" spans="1:4" x14ac:dyDescent="0.25">
      <c r="A23" s="17" t="s">
        <v>419</v>
      </c>
      <c r="B23" s="225">
        <f>VLOOKUP($B$1,'Open Interest Position'!$A:$F,6,0)</f>
        <v>0.18429278059863827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5" t="s">
        <v>329</v>
      </c>
      <c r="B3" s="266"/>
      <c r="C3" s="266"/>
      <c r="D3" s="266"/>
      <c r="E3" s="266"/>
      <c r="F3" s="266"/>
      <c r="G3" s="266"/>
      <c r="H3" s="266"/>
      <c r="I3" s="267"/>
      <c r="J3" s="267"/>
      <c r="K3" s="267"/>
      <c r="L3" s="267"/>
      <c r="M3" s="267"/>
      <c r="N3" s="267"/>
      <c r="O3" s="267"/>
      <c r="P3" s="268"/>
    </row>
    <row r="4" spans="1:36" x14ac:dyDescent="0.25">
      <c r="A4" s="269" t="s">
        <v>330</v>
      </c>
      <c r="B4" s="269"/>
      <c r="C4" s="77" t="s">
        <v>308</v>
      </c>
      <c r="D4" s="271" t="s">
        <v>326</v>
      </c>
      <c r="E4" s="271"/>
      <c r="F4" s="271"/>
      <c r="G4" s="271"/>
      <c r="H4" s="271" t="s">
        <v>457</v>
      </c>
      <c r="I4" s="271"/>
      <c r="J4" s="271"/>
      <c r="K4" s="269" t="s">
        <v>309</v>
      </c>
      <c r="L4" s="269"/>
      <c r="M4" s="269"/>
      <c r="N4" s="269" t="s">
        <v>331</v>
      </c>
      <c r="O4" s="269"/>
      <c r="P4" s="269"/>
    </row>
    <row r="5" spans="1:36" x14ac:dyDescent="0.25">
      <c r="A5" s="270"/>
      <c r="B5" s="270"/>
      <c r="C5" s="65" t="s">
        <v>312</v>
      </c>
      <c r="D5" s="272" t="s">
        <v>314</v>
      </c>
      <c r="E5" s="272"/>
      <c r="F5" s="272"/>
      <c r="G5" s="272"/>
      <c r="H5" s="272" t="s">
        <v>315</v>
      </c>
      <c r="I5" s="272"/>
      <c r="J5" s="272"/>
      <c r="K5" s="270" t="s">
        <v>314</v>
      </c>
      <c r="L5" s="270"/>
      <c r="M5" s="270"/>
      <c r="N5" s="270" t="s">
        <v>315</v>
      </c>
      <c r="O5" s="270"/>
      <c r="P5" s="270"/>
    </row>
    <row r="6" spans="1:36" x14ac:dyDescent="0.25">
      <c r="A6" s="78" t="s">
        <v>332</v>
      </c>
      <c r="B6" s="78" t="s">
        <v>318</v>
      </c>
      <c r="C6" s="65" t="s">
        <v>328</v>
      </c>
      <c r="D6" s="66">
        <f>'Snapshot (Volume)'!B6</f>
        <v>46044</v>
      </c>
      <c r="E6" s="66" t="s">
        <v>368</v>
      </c>
      <c r="F6" s="71" t="s">
        <v>333</v>
      </c>
      <c r="G6" s="71" t="s">
        <v>328</v>
      </c>
      <c r="H6" s="66">
        <f>D6</f>
        <v>46044</v>
      </c>
      <c r="I6" s="71" t="s">
        <v>322</v>
      </c>
      <c r="J6" s="71" t="s">
        <v>328</v>
      </c>
      <c r="K6" s="66">
        <f>D6</f>
        <v>46044</v>
      </c>
      <c r="L6" s="78" t="s">
        <v>333</v>
      </c>
      <c r="M6" s="78" t="s">
        <v>328</v>
      </c>
      <c r="N6" s="66">
        <f>D6</f>
        <v>46044</v>
      </c>
      <c r="O6" s="78" t="s">
        <v>322</v>
      </c>
      <c r="P6" s="78" t="s">
        <v>328</v>
      </c>
    </row>
    <row r="7" spans="1:36" x14ac:dyDescent="0.25">
      <c r="A7" s="79" t="str">
        <f>'Data shares'!B2</f>
        <v>Finance</v>
      </c>
      <c r="B7" s="79" t="str">
        <f>'Data shares'!C2</f>
        <v>360ONE</v>
      </c>
      <c r="C7" s="79">
        <f>VLOOKUP($B7,'Data shares'!$C:$FB,7)</f>
        <v>1106.3</v>
      </c>
      <c r="D7" s="165">
        <f>VLOOKUP($B7,'Data shares'!$C:$FB,98)</f>
        <v>8517000</v>
      </c>
      <c r="E7" s="165" t="e">
        <f>VLOOKUP(B7,'Snapshot (Volume)'!$A$7:$G$168,7,0)</f>
        <v>#N/A</v>
      </c>
      <c r="F7" s="165" t="e">
        <f>D7-E7</f>
        <v>#N/A</v>
      </c>
      <c r="G7" s="166" t="e">
        <f>F7/E7</f>
        <v>#N/A</v>
      </c>
      <c r="H7" s="165">
        <f>VLOOKUP($B7,'Data shares'!$C:$FB,66)</f>
        <v>9115000</v>
      </c>
      <c r="I7" s="165">
        <f>VLOOKUP($B7,'Data shares'!$C:$FB,67)</f>
        <v>16103500</v>
      </c>
      <c r="J7" s="81">
        <f>(H7-I7)/I7*100</f>
        <v>-43.397398081162478</v>
      </c>
      <c r="K7" s="81">
        <f>VLOOKUP($B7,'Data Vlaue (Cr)'!$C:$FB,99)</f>
        <v>944</v>
      </c>
      <c r="L7" s="81">
        <f>VLOOKUP(B7,'OI(Value)'!$A$7:$C$226,3,0)</f>
        <v>-94</v>
      </c>
      <c r="M7" s="81">
        <f t="shared" ref="M7:M36" si="0">L7/K7*100</f>
        <v>-9.9576271186440675</v>
      </c>
      <c r="N7" s="81">
        <f>VLOOKUP($B7,'Data Vlaue (Cr)'!$C:$FB,67)</f>
        <v>1010</v>
      </c>
      <c r="O7" s="81">
        <f>VLOOKUP($B7,'Data Vlaue (Cr)'!$C:$FB,68)</f>
        <v>1784</v>
      </c>
      <c r="P7" s="81">
        <f t="shared" ref="P7:P23" si="1">(N7-O7)/N7*100</f>
        <v>-76.633663366336634</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4755.5</v>
      </c>
      <c r="D8" s="165">
        <f>VLOOKUP($B8,'Data shares'!$C:$FB,98)</f>
        <v>4666750</v>
      </c>
      <c r="E8" s="165" t="e">
        <f>VLOOKUP(B8,'Snapshot (Volume)'!$A$7:$G$168,7,0)</f>
        <v>#N/A</v>
      </c>
      <c r="F8" s="165" t="e">
        <f t="shared" ref="F8:F23" si="2">D8-E8</f>
        <v>#N/A</v>
      </c>
      <c r="G8" s="166" t="e">
        <f t="shared" ref="G8:G23" si="3">F8/E8</f>
        <v>#N/A</v>
      </c>
      <c r="H8" s="165">
        <f>VLOOKUP($B8,'Data shares'!$C:$FB,66)</f>
        <v>3639250</v>
      </c>
      <c r="I8" s="165">
        <f>VLOOKUP($B8,'Data shares'!$C:$FB,67)</f>
        <v>5621625</v>
      </c>
      <c r="J8" s="81">
        <f t="shared" ref="J8:J22" si="4">(H8-I8)/I8*100</f>
        <v>-35.263380250372443</v>
      </c>
      <c r="K8" s="81">
        <f>VLOOKUP($B8,'Data Vlaue (Cr)'!$C:$FB,99)</f>
        <v>2227</v>
      </c>
      <c r="L8" s="81">
        <f>VLOOKUP(B8,'OI(Value)'!$A$7:$C$226,3,0)</f>
        <v>-66</v>
      </c>
      <c r="M8" s="81">
        <f t="shared" si="0"/>
        <v>-2.9636281993713514</v>
      </c>
      <c r="N8" s="81">
        <f>VLOOKUP($B8,'Data Vlaue (Cr)'!$C:$FB,67)</f>
        <v>1736</v>
      </c>
      <c r="O8" s="81">
        <f>VLOOKUP($B8,'Data Vlaue (Cr)'!$C:$FB,68)</f>
        <v>2682</v>
      </c>
      <c r="P8" s="81">
        <f t="shared" si="1"/>
        <v>-54.493087557603694</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354.5</v>
      </c>
      <c r="D9" s="165">
        <f>VLOOKUP($B9,'Data shares'!$C:$FB,98)</f>
        <v>121551000</v>
      </c>
      <c r="E9" s="165" t="e">
        <f>VLOOKUP(B9,'Snapshot (Volume)'!$A$7:$G$168,7,0)</f>
        <v>#N/A</v>
      </c>
      <c r="F9" s="165" t="e">
        <f t="shared" si="2"/>
        <v>#N/A</v>
      </c>
      <c r="G9" s="166" t="e">
        <f t="shared" si="3"/>
        <v>#N/A</v>
      </c>
      <c r="H9" s="165">
        <f>VLOOKUP($B9,'Data shares'!$C:$FB,66)</f>
        <v>175010500</v>
      </c>
      <c r="I9" s="165">
        <f>VLOOKUP($B9,'Data shares'!$C:$FB,67)</f>
        <v>190200500</v>
      </c>
      <c r="J9" s="81">
        <f t="shared" si="4"/>
        <v>-7.9863091842555622</v>
      </c>
      <c r="K9" s="81">
        <f>VLOOKUP($B9,'Data Vlaue (Cr)'!$C:$FB,99)</f>
        <v>4305</v>
      </c>
      <c r="L9" s="81">
        <f>VLOOKUP(B9,'OI(Value)'!$A$7:$C$226,3,0)</f>
        <v>-86</v>
      </c>
      <c r="M9" s="81">
        <f t="shared" si="0"/>
        <v>-1.9976771196283394</v>
      </c>
      <c r="N9" s="81">
        <f>VLOOKUP($B9,'Data Vlaue (Cr)'!$C:$FB,67)</f>
        <v>6199</v>
      </c>
      <c r="O9" s="81">
        <f>VLOOKUP($B9,'Data Vlaue (Cr)'!$C:$FB,68)</f>
        <v>6737</v>
      </c>
      <c r="P9" s="81">
        <f t="shared" si="1"/>
        <v>-8.6788191643813519</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924.8</v>
      </c>
      <c r="D10" s="82">
        <f>VLOOKUP($B10,'Data shares'!$C:$FB,98)</f>
        <v>29228175</v>
      </c>
      <c r="E10" s="165" t="e">
        <f>VLOOKUP(B10,'Snapshot (Volume)'!$A$7:$G$168,7,0)</f>
        <v>#N/A</v>
      </c>
      <c r="F10" s="165" t="e">
        <f t="shared" si="2"/>
        <v>#N/A</v>
      </c>
      <c r="G10" s="166" t="e">
        <f t="shared" si="3"/>
        <v>#N/A</v>
      </c>
      <c r="H10" s="165">
        <f>VLOOKUP($B10,'Data shares'!$C:$FB,66)</f>
        <v>30949425</v>
      </c>
      <c r="I10" s="165">
        <f>VLOOKUP($B10,'Data shares'!$C:$FB,67)</f>
        <v>25290225</v>
      </c>
      <c r="J10" s="81">
        <f t="shared" si="4"/>
        <v>22.377025115434915</v>
      </c>
      <c r="K10" s="5">
        <f>VLOOKUP($B10,'Data Vlaue (Cr)'!$C:$FB,99)</f>
        <v>2709</v>
      </c>
      <c r="L10" s="81">
        <f>VLOOKUP(B10,'OI(Value)'!$A$7:$C$226,3,0)</f>
        <v>51</v>
      </c>
      <c r="M10" s="33">
        <f t="shared" si="0"/>
        <v>1.8826135105204873</v>
      </c>
      <c r="N10" s="5">
        <f>VLOOKUP($B10,'Data Vlaue (Cr)'!$C:$FB,67)</f>
        <v>2869</v>
      </c>
      <c r="O10" s="5">
        <f>VLOOKUP($B10,'Data Vlaue (Cr)'!$C:$FB,68)</f>
        <v>2344</v>
      </c>
      <c r="P10" s="5">
        <f t="shared" si="1"/>
        <v>18.299058905542001</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2086.4</v>
      </c>
      <c r="D11" s="82">
        <f>VLOOKUP($B11,'Data shares'!$C:$FB,98)</f>
        <v>38374710</v>
      </c>
      <c r="E11" s="165">
        <f>VLOOKUP(B11,'Snapshot (Volume)'!$A$7:$G$168,7,0)</f>
        <v>39088500</v>
      </c>
      <c r="F11" s="165">
        <f t="shared" si="2"/>
        <v>-713790</v>
      </c>
      <c r="G11" s="166">
        <f t="shared" si="3"/>
        <v>-1.8260869565217393E-2</v>
      </c>
      <c r="H11" s="165">
        <f>VLOOKUP($B11,'Data shares'!$C:$FB,66)</f>
        <v>39225696</v>
      </c>
      <c r="I11" s="165">
        <f>VLOOKUP($B11,'Data shares'!$C:$FB,67)</f>
        <v>41220600</v>
      </c>
      <c r="J11" s="81">
        <f t="shared" si="4"/>
        <v>-4.8395802098950522</v>
      </c>
      <c r="K11" s="5">
        <f>VLOOKUP($B11,'Data Vlaue (Cr)'!$C:$FB,99)</f>
        <v>8010</v>
      </c>
      <c r="L11" s="81">
        <f>VLOOKUP(B11,'OI(Value)'!$A$7:$C$226,3,0)</f>
        <v>-149</v>
      </c>
      <c r="M11" s="33">
        <f t="shared" si="0"/>
        <v>-1.860174781523096</v>
      </c>
      <c r="N11" s="5">
        <f>VLOOKUP($B11,'Data Vlaue (Cr)'!$C:$FB,67)</f>
        <v>8187</v>
      </c>
      <c r="O11" s="5">
        <f>VLOOKUP($B11,'Data Vlaue (Cr)'!$C:$FB,68)</f>
        <v>8604</v>
      </c>
      <c r="P11" s="5">
        <f t="shared" si="1"/>
        <v>-5.0934408208134849</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904.3</v>
      </c>
      <c r="D12" s="82">
        <f>VLOOKUP($B12,'Data shares'!$C:$FB,98)</f>
        <v>37726800</v>
      </c>
      <c r="E12" s="165" t="e">
        <f>VLOOKUP(B12,'Snapshot (Volume)'!$A$7:$G$168,7,0)</f>
        <v>#N/A</v>
      </c>
      <c r="F12" s="165" t="e">
        <f t="shared" si="2"/>
        <v>#N/A</v>
      </c>
      <c r="G12" s="166" t="e">
        <f t="shared" si="3"/>
        <v>#N/A</v>
      </c>
      <c r="H12" s="165">
        <f>VLOOKUP($B12,'Data shares'!$C:$FB,66)</f>
        <v>32718000</v>
      </c>
      <c r="I12" s="165">
        <f>VLOOKUP($B12,'Data shares'!$C:$FB,67)</f>
        <v>26971800</v>
      </c>
      <c r="J12" s="81">
        <f t="shared" si="4"/>
        <v>21.30447356127511</v>
      </c>
      <c r="K12" s="5">
        <f>VLOOKUP($B12,'Data Vlaue (Cr)'!$C:$FB,99)</f>
        <v>3411</v>
      </c>
      <c r="L12" s="81">
        <f>VLOOKUP(B12,'OI(Value)'!$A$7:$C$226,3,0)</f>
        <v>3</v>
      </c>
      <c r="M12" s="33">
        <f t="shared" si="0"/>
        <v>8.7950747581354446E-2</v>
      </c>
      <c r="N12" s="5">
        <f>VLOOKUP($B12,'Data Vlaue (Cr)'!$C:$FB,67)</f>
        <v>2958</v>
      </c>
      <c r="O12" s="5">
        <f>VLOOKUP($B12,'Data Vlaue (Cr)'!$C:$FB,68)</f>
        <v>2439</v>
      </c>
      <c r="P12" s="5">
        <f t="shared" si="1"/>
        <v>17.545638945233264</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1414.2</v>
      </c>
      <c r="D13" s="82">
        <f>VLOOKUP($B13,'Data shares'!$C:$FB,98)</f>
        <v>41581975</v>
      </c>
      <c r="E13" s="165">
        <f>VLOOKUP(B13,'Snapshot (Volume)'!$A$7:$G$168,7,0)</f>
        <v>41518800</v>
      </c>
      <c r="F13" s="165">
        <f t="shared" si="2"/>
        <v>63175</v>
      </c>
      <c r="G13" s="166">
        <f t="shared" si="3"/>
        <v>1.5215998535603149E-3</v>
      </c>
      <c r="H13" s="165">
        <f>VLOOKUP($B13,'Data shares'!$C:$FB,66)</f>
        <v>48905050</v>
      </c>
      <c r="I13" s="165">
        <f>VLOOKUP($B13,'Data shares'!$C:$FB,67)</f>
        <v>35439275</v>
      </c>
      <c r="J13" s="81">
        <f t="shared" si="4"/>
        <v>37.996756423487781</v>
      </c>
      <c r="K13" s="5">
        <f>VLOOKUP($B13,'Data Vlaue (Cr)'!$C:$FB,99)</f>
        <v>5888</v>
      </c>
      <c r="L13" s="81">
        <f>VLOOKUP(B13,'OI(Value)'!$A$7:$C$226,3,0)</f>
        <v>9</v>
      </c>
      <c r="M13" s="33">
        <f t="shared" si="0"/>
        <v>0.15285326086956522</v>
      </c>
      <c r="N13" s="5">
        <f>VLOOKUP($B13,'Data Vlaue (Cr)'!$C:$FB,67)</f>
        <v>6925</v>
      </c>
      <c r="O13" s="5">
        <f>VLOOKUP($B13,'Data Vlaue (Cr)'!$C:$FB,68)</f>
        <v>5018</v>
      </c>
      <c r="P13" s="5">
        <f t="shared" si="1"/>
        <v>27.537906137184116</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Pharma</v>
      </c>
      <c r="B14" s="79" t="str">
        <f>'Data shares'!C9</f>
        <v>ALKEM</v>
      </c>
      <c r="C14" s="4">
        <f>VLOOKUP($B14,'Data shares'!$C:$FB,7)</f>
        <v>5758.5</v>
      </c>
      <c r="D14" s="82">
        <f>VLOOKUP($B14,'Data shares'!$C:$FB,98)</f>
        <v>1983375</v>
      </c>
      <c r="E14" s="165" t="e">
        <f>VLOOKUP(B14,'Snapshot (Volume)'!$A$7:$G$168,7,0)</f>
        <v>#N/A</v>
      </c>
      <c r="F14" s="165" t="e">
        <f t="shared" si="2"/>
        <v>#N/A</v>
      </c>
      <c r="G14" s="166" t="e">
        <f t="shared" si="3"/>
        <v>#N/A</v>
      </c>
      <c r="H14" s="165">
        <f>VLOOKUP($B14,'Data shares'!$C:$FB,66)</f>
        <v>2240500</v>
      </c>
      <c r="I14" s="165">
        <f>VLOOKUP($B14,'Data shares'!$C:$FB,67)</f>
        <v>1739125</v>
      </c>
      <c r="J14" s="81">
        <f t="shared" si="4"/>
        <v>28.829152591101849</v>
      </c>
      <c r="K14" s="5">
        <f>VLOOKUP($B14,'Data Vlaue (Cr)'!$C:$FB,99)</f>
        <v>1141</v>
      </c>
      <c r="L14" s="81">
        <f>VLOOKUP(B14,'OI(Value)'!$A$7:$C$226,3,0)</f>
        <v>3</v>
      </c>
      <c r="M14" s="33">
        <f t="shared" si="0"/>
        <v>0.26292725679228746</v>
      </c>
      <c r="N14" s="5">
        <f>VLOOKUP($B14,'Data Vlaue (Cr)'!$C:$FB,67)</f>
        <v>1289</v>
      </c>
      <c r="O14" s="5">
        <f>VLOOKUP($B14,'Data Vlaue (Cr)'!$C:$FB,68)</f>
        <v>1001</v>
      </c>
      <c r="P14" s="5">
        <f t="shared" si="1"/>
        <v>22.342901474010862</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Capital_Goods</v>
      </c>
      <c r="B15" s="79" t="str">
        <f>'Data shares'!C10</f>
        <v>AMBER</v>
      </c>
      <c r="C15" s="4">
        <f>VLOOKUP($B15,'Data shares'!$C:$FB,7)</f>
        <v>5732</v>
      </c>
      <c r="D15" s="82">
        <f>VLOOKUP($B15,'Data shares'!$C:$FB,98)</f>
        <v>2139100</v>
      </c>
      <c r="E15" s="165" t="e">
        <f>VLOOKUP(B15,'Snapshot (Volume)'!$A$7:$G$168,7,0)</f>
        <v>#N/A</v>
      </c>
      <c r="F15" s="165" t="e">
        <f t="shared" si="2"/>
        <v>#N/A</v>
      </c>
      <c r="G15" s="166" t="e">
        <f t="shared" si="3"/>
        <v>#N/A</v>
      </c>
      <c r="H15" s="165">
        <f>VLOOKUP($B15,'Data shares'!$C:$FB,66)</f>
        <v>2652800</v>
      </c>
      <c r="I15" s="165">
        <f>VLOOKUP($B15,'Data shares'!$C:$FB,67)</f>
        <v>3330900</v>
      </c>
      <c r="J15" s="81">
        <f t="shared" si="4"/>
        <v>-20.357861238704253</v>
      </c>
      <c r="K15" s="5">
        <f>VLOOKUP($B15,'Data Vlaue (Cr)'!$C:$FB,99)</f>
        <v>1230</v>
      </c>
      <c r="L15" s="81">
        <f>VLOOKUP(B15,'OI(Value)'!$A$7:$C$226,3,0)</f>
        <v>-35</v>
      </c>
      <c r="M15" s="33">
        <f t="shared" si="0"/>
        <v>-2.8455284552845526</v>
      </c>
      <c r="N15" s="5">
        <f>VLOOKUP($B15,'Data Vlaue (Cr)'!$C:$FB,67)</f>
        <v>1526</v>
      </c>
      <c r="O15" s="5">
        <f>VLOOKUP($B15,'Data Vlaue (Cr)'!$C:$FB,68)</f>
        <v>1916</v>
      </c>
      <c r="P15" s="5">
        <f t="shared" si="1"/>
        <v>-25.557011795543904</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Cement</v>
      </c>
      <c r="B16" s="79" t="str">
        <f>'Data shares'!C11</f>
        <v>AMBUJACEM</v>
      </c>
      <c r="C16" s="4">
        <f>VLOOKUP($B16,'Data shares'!$C:$FB,7)</f>
        <v>546.6</v>
      </c>
      <c r="D16" s="82">
        <f>VLOOKUP($B16,'Data shares'!$C:$FB,98)</f>
        <v>76379100</v>
      </c>
      <c r="E16" s="165" t="e">
        <f>VLOOKUP(B16,'Snapshot (Volume)'!$A$7:$G$168,7,0)</f>
        <v>#N/A</v>
      </c>
      <c r="F16" s="165" t="e">
        <f t="shared" si="2"/>
        <v>#N/A</v>
      </c>
      <c r="G16" s="166" t="e">
        <f t="shared" si="3"/>
        <v>#N/A</v>
      </c>
      <c r="H16" s="165">
        <f>VLOOKUP($B16,'Data shares'!$C:$FB,66)</f>
        <v>41257650</v>
      </c>
      <c r="I16" s="165">
        <f>VLOOKUP($B16,'Data shares'!$C:$FB,67)</f>
        <v>52943100</v>
      </c>
      <c r="J16" s="81">
        <f t="shared" si="4"/>
        <v>-22.071714727698229</v>
      </c>
      <c r="K16" s="5">
        <f>VLOOKUP($B16,'Data Vlaue (Cr)'!$C:$FB,99)</f>
        <v>4174</v>
      </c>
      <c r="L16" s="81">
        <f>VLOOKUP(B16,'OI(Value)'!$A$7:$C$226,3,0)</f>
        <v>-66</v>
      </c>
      <c r="M16" s="33">
        <f t="shared" si="0"/>
        <v>-1.581217057977959</v>
      </c>
      <c r="N16" s="5">
        <f>VLOOKUP($B16,'Data Vlaue (Cr)'!$C:$FB,67)</f>
        <v>2255</v>
      </c>
      <c r="O16" s="5">
        <f>VLOOKUP($B16,'Data Vlaue (Cr)'!$C:$FB,68)</f>
        <v>2893</v>
      </c>
      <c r="P16" s="5">
        <f t="shared" si="1"/>
        <v>-28.292682926829265</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Finance</v>
      </c>
      <c r="B17" s="79" t="str">
        <f>'Data shares'!C12</f>
        <v>ANGELONE</v>
      </c>
      <c r="C17" s="4">
        <f>VLOOKUP($B17,'Data shares'!$C:$FB,7)</f>
        <v>2566.6</v>
      </c>
      <c r="D17" s="82">
        <f>VLOOKUP($B17,'Data shares'!$C:$FB,98)</f>
        <v>9401750</v>
      </c>
      <c r="E17" s="165" t="e">
        <f>VLOOKUP(B17,'Snapshot (Volume)'!$A$7:$G$168,7,0)</f>
        <v>#N/A</v>
      </c>
      <c r="F17" s="165" t="e">
        <f t="shared" si="2"/>
        <v>#N/A</v>
      </c>
      <c r="G17" s="166" t="e">
        <f t="shared" si="3"/>
        <v>#N/A</v>
      </c>
      <c r="H17" s="165">
        <f>VLOOKUP($B17,'Data shares'!$C:$FB,66)</f>
        <v>15393750</v>
      </c>
      <c r="I17" s="165">
        <f>VLOOKUP($B17,'Data shares'!$C:$FB,67)</f>
        <v>21414750</v>
      </c>
      <c r="J17" s="81">
        <f t="shared" si="4"/>
        <v>-28.116134907015024</v>
      </c>
      <c r="K17" s="5">
        <f>VLOOKUP($B17,'Data Vlaue (Cr)'!$C:$FB,99)</f>
        <v>2416</v>
      </c>
      <c r="L17" s="81">
        <f>VLOOKUP(B17,'OI(Value)'!$A$7:$C$226,3,0)</f>
        <v>-173</v>
      </c>
      <c r="M17" s="33">
        <f t="shared" si="0"/>
        <v>-7.160596026490067</v>
      </c>
      <c r="N17" s="5">
        <f>VLOOKUP($B17,'Data Vlaue (Cr)'!$C:$FB,67)</f>
        <v>3956</v>
      </c>
      <c r="O17" s="5">
        <f>VLOOKUP($B17,'Data Vlaue (Cr)'!$C:$FB,68)</f>
        <v>5504</v>
      </c>
      <c r="P17" s="5">
        <f t="shared" si="1"/>
        <v>-39.130434782608695</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Metals</v>
      </c>
      <c r="B18" s="79" t="str">
        <f>'Data shares'!C13</f>
        <v>APLAPOLLO</v>
      </c>
      <c r="C18" s="4">
        <f>VLOOKUP($B18,'Data shares'!$C:$FB,7)</f>
        <v>1976</v>
      </c>
      <c r="D18" s="82">
        <f>VLOOKUP($B18,'Data shares'!$C:$FB,98)</f>
        <v>15146250</v>
      </c>
      <c r="E18" s="165" t="e">
        <f>VLOOKUP(B18,'Snapshot (Volume)'!$A$7:$G$168,7,0)</f>
        <v>#N/A</v>
      </c>
      <c r="F18" s="165" t="e">
        <f t="shared" si="2"/>
        <v>#N/A</v>
      </c>
      <c r="G18" s="166" t="e">
        <f t="shared" si="3"/>
        <v>#N/A</v>
      </c>
      <c r="H18" s="165">
        <f>VLOOKUP($B18,'Data shares'!$C:$FB,66)</f>
        <v>21894950</v>
      </c>
      <c r="I18" s="165">
        <f>VLOOKUP($B18,'Data shares'!$C:$FB,67)</f>
        <v>8234450</v>
      </c>
      <c r="J18" s="81">
        <f t="shared" si="4"/>
        <v>165.89450418667911</v>
      </c>
      <c r="K18" s="5">
        <f>VLOOKUP($B18,'Data Vlaue (Cr)'!$C:$FB,99)</f>
        <v>3002</v>
      </c>
      <c r="L18" s="81">
        <f>VLOOKUP(B18,'OI(Value)'!$A$7:$C$226,3,0)</f>
        <v>208</v>
      </c>
      <c r="M18" s="33">
        <f t="shared" si="0"/>
        <v>6.9287141905396403</v>
      </c>
      <c r="N18" s="5">
        <f>VLOOKUP($B18,'Data Vlaue (Cr)'!$C:$FB,67)</f>
        <v>4340</v>
      </c>
      <c r="O18" s="5">
        <f>VLOOKUP($B18,'Data Vlaue (Cr)'!$C:$FB,68)</f>
        <v>1632</v>
      </c>
      <c r="P18" s="5">
        <f t="shared" si="1"/>
        <v>62.396313364055302</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Pharma</v>
      </c>
      <c r="B19" s="79" t="str">
        <f>'Data shares'!C14</f>
        <v>APOLLOHOSP</v>
      </c>
      <c r="C19" s="4">
        <f>VLOOKUP($B19,'Data shares'!$C:$FB,7)</f>
        <v>6797</v>
      </c>
      <c r="D19" s="82">
        <f>VLOOKUP($B19,'Data shares'!$C:$FB,98)</f>
        <v>7087750</v>
      </c>
      <c r="E19" s="165">
        <f>VLOOKUP(B19,'Snapshot (Volume)'!$A$7:$G$168,7,0)</f>
        <v>6494375</v>
      </c>
      <c r="F19" s="165">
        <f t="shared" si="2"/>
        <v>593375</v>
      </c>
      <c r="G19" s="166">
        <f t="shared" si="3"/>
        <v>9.1367529592916941E-2</v>
      </c>
      <c r="H19" s="165">
        <f>VLOOKUP($B19,'Data shares'!$C:$FB,66)</f>
        <v>8568250</v>
      </c>
      <c r="I19" s="165">
        <f>VLOOKUP($B19,'Data shares'!$C:$FB,67)</f>
        <v>9084500</v>
      </c>
      <c r="J19" s="81">
        <f t="shared" si="4"/>
        <v>-5.6827563432219712</v>
      </c>
      <c r="K19" s="5">
        <f>VLOOKUP($B19,'Data Vlaue (Cr)'!$C:$FB,99)</f>
        <v>4829</v>
      </c>
      <c r="L19" s="81">
        <f>VLOOKUP(B19,'OI(Value)'!$A$7:$C$226,3,0)</f>
        <v>404</v>
      </c>
      <c r="M19" s="33">
        <f t="shared" si="0"/>
        <v>8.3661213501760194</v>
      </c>
      <c r="N19" s="5">
        <f>VLOOKUP($B19,'Data Vlaue (Cr)'!$C:$FB,67)</f>
        <v>5837</v>
      </c>
      <c r="O19" s="5">
        <f>VLOOKUP($B19,'Data Vlaue (Cr)'!$C:$FB,68)</f>
        <v>6189</v>
      </c>
      <c r="P19" s="5">
        <f t="shared" si="1"/>
        <v>-6.0304951173548051</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Automobile</v>
      </c>
      <c r="B20" s="79" t="str">
        <f>'Data shares'!C15</f>
        <v>ASHOKLEY</v>
      </c>
      <c r="C20" s="4">
        <f>VLOOKUP($B20,'Data shares'!$C:$FB,7)</f>
        <v>190.28</v>
      </c>
      <c r="D20" s="82">
        <f>VLOOKUP($B20,'Data shares'!$C:$FB,98)</f>
        <v>286775000</v>
      </c>
      <c r="E20" s="165" t="e">
        <f>VLOOKUP(B20,'Snapshot (Volume)'!$A$7:$G$168,7,0)</f>
        <v>#N/A</v>
      </c>
      <c r="F20" s="165" t="e">
        <f t="shared" si="2"/>
        <v>#N/A</v>
      </c>
      <c r="G20" s="166" t="e">
        <f t="shared" si="3"/>
        <v>#N/A</v>
      </c>
      <c r="H20" s="165">
        <f>VLOOKUP($B20,'Data shares'!$C:$FB,66)</f>
        <v>562200000</v>
      </c>
      <c r="I20" s="165">
        <f>VLOOKUP($B20,'Data shares'!$C:$FB,67)</f>
        <v>389735000</v>
      </c>
      <c r="J20" s="81">
        <f t="shared" si="4"/>
        <v>44.25186344567463</v>
      </c>
      <c r="K20" s="5">
        <f>VLOOKUP($B20,'Data Vlaue (Cr)'!$C:$FB,99)</f>
        <v>5476</v>
      </c>
      <c r="L20" s="81">
        <f>VLOOKUP(B20,'OI(Value)'!$A$7:$C$226,3,0)</f>
        <v>-533</v>
      </c>
      <c r="M20" s="33">
        <f t="shared" si="0"/>
        <v>-9.7333820306793282</v>
      </c>
      <c r="N20" s="5">
        <f>VLOOKUP($B20,'Data Vlaue (Cr)'!$C:$FB,67)</f>
        <v>10735</v>
      </c>
      <c r="O20" s="5">
        <f>VLOOKUP($B20,'Data Vlaue (Cr)'!$C:$FB,68)</f>
        <v>7442</v>
      </c>
      <c r="P20" s="5">
        <f t="shared" si="1"/>
        <v>30.675360968793662</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FMCG</v>
      </c>
      <c r="B21" s="79" t="str">
        <f>'Data shares'!C16</f>
        <v>ASIANPAINT</v>
      </c>
      <c r="C21" s="4">
        <f>VLOOKUP($B21,'Data shares'!$C:$FB,7)</f>
        <v>2703.8</v>
      </c>
      <c r="D21" s="82">
        <f>VLOOKUP($B21,'Data shares'!$C:$FB,98)</f>
        <v>21619500</v>
      </c>
      <c r="E21" s="165">
        <f>VLOOKUP(B21,'Snapshot (Volume)'!$A$7:$G$168,7,0)</f>
        <v>21522750</v>
      </c>
      <c r="F21" s="165">
        <f t="shared" si="2"/>
        <v>96750</v>
      </c>
      <c r="G21" s="166">
        <f t="shared" si="3"/>
        <v>4.4952434052339969E-3</v>
      </c>
      <c r="H21" s="165">
        <f>VLOOKUP($B21,'Data shares'!$C:$FB,66)</f>
        <v>27883000</v>
      </c>
      <c r="I21" s="165">
        <f>VLOOKUP($B21,'Data shares'!$C:$FB,67)</f>
        <v>22316250</v>
      </c>
      <c r="J21" s="81">
        <f t="shared" si="4"/>
        <v>24.944827199910378</v>
      </c>
      <c r="K21" s="5">
        <f>VLOOKUP($B21,'Data Vlaue (Cr)'!$C:$FB,99)</f>
        <v>5849</v>
      </c>
      <c r="L21" s="81">
        <f>VLOOKUP(B21,'OI(Value)'!$A$7:$C$226,3,0)</f>
        <v>26</v>
      </c>
      <c r="M21" s="33">
        <f t="shared" si="0"/>
        <v>0.44452043084287918</v>
      </c>
      <c r="N21" s="5">
        <f>VLOOKUP($B21,'Data Vlaue (Cr)'!$C:$FB,67)</f>
        <v>7543</v>
      </c>
      <c r="O21" s="5">
        <f>VLOOKUP($B21,'Data Vlaue (Cr)'!$C:$FB,68)</f>
        <v>6037</v>
      </c>
      <c r="P21" s="5">
        <f t="shared" si="1"/>
        <v>19.965530955853108</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Capital_Goods</v>
      </c>
      <c r="B22" s="79" t="str">
        <f>'Data shares'!C17</f>
        <v>ASTRAL</v>
      </c>
      <c r="C22" s="4">
        <f>VLOOKUP($B22,'Data shares'!$C:$FB,7)</f>
        <v>1413.2</v>
      </c>
      <c r="D22" s="82">
        <f>VLOOKUP($B22,'Data shares'!$C:$FB,98)</f>
        <v>13482700</v>
      </c>
      <c r="E22" s="165" t="e">
        <f>VLOOKUP(B22,'Snapshot (Volume)'!$A$7:$G$168,7,0)</f>
        <v>#N/A</v>
      </c>
      <c r="F22" s="165" t="e">
        <f t="shared" si="2"/>
        <v>#N/A</v>
      </c>
      <c r="G22" s="166" t="e">
        <f t="shared" si="3"/>
        <v>#N/A</v>
      </c>
      <c r="H22" s="165">
        <f>VLOOKUP($B22,'Data shares'!$C:$FB,66)</f>
        <v>22847150</v>
      </c>
      <c r="I22" s="165">
        <f>VLOOKUP($B22,'Data shares'!$C:$FB,67)</f>
        <v>23798300</v>
      </c>
      <c r="J22" s="81">
        <f t="shared" si="4"/>
        <v>-3.996714051003643</v>
      </c>
      <c r="K22" s="5">
        <f>VLOOKUP($B22,'Data Vlaue (Cr)'!$C:$FB,99)</f>
        <v>1899</v>
      </c>
      <c r="L22" s="81">
        <f>VLOOKUP(B22,'OI(Value)'!$A$7:$C$226,3,0)</f>
        <v>-77</v>
      </c>
      <c r="M22" s="33">
        <f t="shared" si="0"/>
        <v>-4.0547656661400735</v>
      </c>
      <c r="N22" s="5">
        <f>VLOOKUP($B22,'Data Vlaue (Cr)'!$C:$FB,67)</f>
        <v>3218</v>
      </c>
      <c r="O22" s="5">
        <f>VLOOKUP($B22,'Data Vlaue (Cr)'!$C:$FB,68)</f>
        <v>3352</v>
      </c>
      <c r="P22" s="5">
        <f t="shared" si="1"/>
        <v>-4.1640770665009326</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Banking</v>
      </c>
      <c r="B23" s="79" t="str">
        <f>'Data shares'!C18</f>
        <v>AUBANK</v>
      </c>
      <c r="C23" s="4">
        <f>VLOOKUP($B23,'Data shares'!$C:$FB,7)</f>
        <v>1000.55</v>
      </c>
      <c r="D23" s="82">
        <f>VLOOKUP($B23,'Data shares'!$C:$FB,98)</f>
        <v>43378000</v>
      </c>
      <c r="E23" s="165" t="e">
        <f>VLOOKUP(B23,'Snapshot (Volume)'!$A$7:$G$168,7,0)</f>
        <v>#N/A</v>
      </c>
      <c r="F23" s="165" t="e">
        <f t="shared" si="2"/>
        <v>#N/A</v>
      </c>
      <c r="G23" s="166" t="e">
        <f t="shared" si="3"/>
        <v>#N/A</v>
      </c>
      <c r="H23" s="165">
        <f>VLOOKUP($B23,'Data shares'!$C:$FB,66)</f>
        <v>78719000</v>
      </c>
      <c r="I23" s="165">
        <f>VLOOKUP($B23,'Data shares'!$C:$FB,67)</f>
        <v>186810000</v>
      </c>
      <c r="J23" s="81">
        <f>(H23-I23)/I23*100</f>
        <v>-57.861463519083557</v>
      </c>
      <c r="K23" s="5">
        <f>VLOOKUP($B23,'Data Vlaue (Cr)'!$C:$FB,99)</f>
        <v>4350</v>
      </c>
      <c r="L23" s="81">
        <f>VLOOKUP(B23,'OI(Value)'!$A$7:$C$226,3,0)</f>
        <v>-246</v>
      </c>
      <c r="M23" s="33">
        <f t="shared" si="0"/>
        <v>-5.6551724137931032</v>
      </c>
      <c r="N23" s="5">
        <f>VLOOKUP($B23,'Data Vlaue (Cr)'!$C:$FB,67)</f>
        <v>7893</v>
      </c>
      <c r="O23" s="5">
        <f>VLOOKUP($B23,'Data Vlaue (Cr)'!$C:$FB,68)</f>
        <v>18731</v>
      </c>
      <c r="P23" s="5">
        <f t="shared" si="1"/>
        <v>-137.31154187254529</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Pharma</v>
      </c>
      <c r="B24" s="79" t="str">
        <f>'Data shares'!C19</f>
        <v>AUROPHARMA</v>
      </c>
      <c r="C24" s="79">
        <f>VLOOKUP($B24,'Data shares'!$C:$FB,7)</f>
        <v>1145.3</v>
      </c>
      <c r="D24" s="80">
        <f>VLOOKUP($B24,'Data shares'!$C:$FB,98)</f>
        <v>31888450</v>
      </c>
      <c r="E24" s="165" t="e">
        <f>VLOOKUP(B24,'Snapshot (Volume)'!$A$7:$G$168,7,0)</f>
        <v>#N/A</v>
      </c>
      <c r="F24" s="165" t="e">
        <f t="shared" ref="F24:F36" si="5">D24-E24</f>
        <v>#N/A</v>
      </c>
      <c r="G24" s="166" t="e">
        <f t="shared" ref="G24:G36" si="6">F24/E24</f>
        <v>#N/A</v>
      </c>
      <c r="H24" s="165">
        <f>VLOOKUP($B24,'Data shares'!$C:$FB,66)</f>
        <v>18040550</v>
      </c>
      <c r="I24" s="165">
        <f>VLOOKUP($B24,'Data shares'!$C:$FB,67)</f>
        <v>31270800</v>
      </c>
      <c r="J24" s="81">
        <f t="shared" ref="J24:J36" si="7">(H24-I24)/I24*100</f>
        <v>-42.308639369635571</v>
      </c>
      <c r="K24" s="81">
        <f>VLOOKUP($B24,'Data Vlaue (Cr)'!$C:$FB,99)</f>
        <v>3648</v>
      </c>
      <c r="L24" s="81">
        <f>VLOOKUP(B24,'OI(Value)'!$A$7:$C$226,3,0)</f>
        <v>-35</v>
      </c>
      <c r="M24" s="81">
        <f t="shared" si="0"/>
        <v>-0.95942982456140358</v>
      </c>
      <c r="N24" s="81">
        <f>VLOOKUP($B24,'Data Vlaue (Cr)'!$C:$FB,67)</f>
        <v>2064</v>
      </c>
      <c r="O24" s="81">
        <f>VLOOKUP($B24,'Data Vlaue (Cr)'!$C:$FB,68)</f>
        <v>3578</v>
      </c>
      <c r="P24" s="81">
        <f t="shared" ref="P24:P36" si="8">(N24-O24)/N24*100</f>
        <v>-73.352713178294564</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Banking</v>
      </c>
      <c r="B25" s="79" t="str">
        <f>'Data shares'!C20</f>
        <v>AXISBANK</v>
      </c>
      <c r="C25" s="4">
        <f>VLOOKUP($B25,'Data shares'!$C:$FB,7)</f>
        <v>1294.8</v>
      </c>
      <c r="D25" s="82">
        <f>VLOOKUP($B25,'Data shares'!$C:$FB,98)</f>
        <v>133595000</v>
      </c>
      <c r="E25" s="165">
        <f>VLOOKUP(B25,'Snapshot (Volume)'!$A$7:$G$168,7,0)</f>
        <v>131694375</v>
      </c>
      <c r="F25" s="165">
        <f t="shared" si="5"/>
        <v>1900625</v>
      </c>
      <c r="G25" s="166">
        <f t="shared" si="6"/>
        <v>1.4432089449530399E-2</v>
      </c>
      <c r="H25" s="165">
        <f>VLOOKUP($B25,'Data shares'!$C:$FB,66)</f>
        <v>118646250</v>
      </c>
      <c r="I25" s="165">
        <f>VLOOKUP($B25,'Data shares'!$C:$FB,67)</f>
        <v>138428750</v>
      </c>
      <c r="J25" s="81">
        <f t="shared" si="7"/>
        <v>-14.290745238976729</v>
      </c>
      <c r="K25" s="5">
        <f>VLOOKUP($B25,'Data Vlaue (Cr)'!$C:$FB,99)</f>
        <v>17327</v>
      </c>
      <c r="L25" s="81">
        <f>VLOOKUP(B25,'OI(Value)'!$A$7:$C$226,3,0)</f>
        <v>247</v>
      </c>
      <c r="M25" s="33">
        <f t="shared" si="0"/>
        <v>1.4255208633923935</v>
      </c>
      <c r="N25" s="5">
        <f>VLOOKUP($B25,'Data Vlaue (Cr)'!$C:$FB,67)</f>
        <v>15388</v>
      </c>
      <c r="O25" s="5">
        <f>VLOOKUP($B25,'Data Vlaue (Cr)'!$C:$FB,68)</f>
        <v>17954</v>
      </c>
      <c r="P25" s="5">
        <f t="shared" si="8"/>
        <v>-16.675331427086039</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Automobile</v>
      </c>
      <c r="B26" s="79" t="str">
        <f>'Data shares'!C21</f>
        <v>BAJAJ-AUTO</v>
      </c>
      <c r="C26" s="4">
        <f>VLOOKUP($B26,'Data shares'!$C:$FB,7)</f>
        <v>9370</v>
      </c>
      <c r="D26" s="82">
        <f>VLOOKUP($B26,'Data shares'!$C:$FB,98)</f>
        <v>6053025</v>
      </c>
      <c r="E26" s="165">
        <f>VLOOKUP(B26,'Snapshot (Volume)'!$A$7:$G$168,7,0)</f>
        <v>6585600</v>
      </c>
      <c r="F26" s="165">
        <f t="shared" si="5"/>
        <v>-532575</v>
      </c>
      <c r="G26" s="166">
        <f t="shared" si="6"/>
        <v>-8.0869624635568516E-2</v>
      </c>
      <c r="H26" s="165">
        <f>VLOOKUP($B26,'Data shares'!$C:$FB,66)</f>
        <v>7940700</v>
      </c>
      <c r="I26" s="165">
        <f>VLOOKUP($B26,'Data shares'!$C:$FB,67)</f>
        <v>8225775</v>
      </c>
      <c r="J26" s="81">
        <f t="shared" si="7"/>
        <v>-3.4656308980004922</v>
      </c>
      <c r="K26" s="5">
        <f>VLOOKUP($B26,'Data Vlaue (Cr)'!$C:$FB,99)</f>
        <v>5680</v>
      </c>
      <c r="L26" s="81">
        <f>VLOOKUP(B26,'OI(Value)'!$A$7:$C$226,3,0)</f>
        <v>-500</v>
      </c>
      <c r="M26" s="33">
        <f t="shared" si="0"/>
        <v>-8.8028169014084501</v>
      </c>
      <c r="N26" s="5">
        <f>VLOOKUP($B26,'Data Vlaue (Cr)'!$C:$FB,67)</f>
        <v>7451</v>
      </c>
      <c r="O26" s="5">
        <f>VLOOKUP($B26,'Data Vlaue (Cr)'!$C:$FB,68)</f>
        <v>7718</v>
      </c>
      <c r="P26" s="5">
        <f t="shared" si="8"/>
        <v>-3.5834116226009933</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Finance</v>
      </c>
      <c r="B27" s="79" t="str">
        <f>'Data shares'!C22</f>
        <v>BAJAJFINSV</v>
      </c>
      <c r="C27" s="4">
        <f>VLOOKUP($B27,'Data shares'!$C:$FB,7)</f>
        <v>1993.1</v>
      </c>
      <c r="D27" s="82">
        <f>VLOOKUP($B27,'Data shares'!$C:$FB,98)</f>
        <v>25105500</v>
      </c>
      <c r="E27" s="165">
        <f>VLOOKUP(B27,'Snapshot (Volume)'!$A$7:$G$168,7,0)</f>
        <v>25590750</v>
      </c>
      <c r="F27" s="165">
        <f t="shared" si="5"/>
        <v>-485250</v>
      </c>
      <c r="G27" s="166">
        <f t="shared" si="6"/>
        <v>-1.8961929603470006E-2</v>
      </c>
      <c r="H27" s="165">
        <f>VLOOKUP($B27,'Data shares'!$C:$FB,66)</f>
        <v>15849250</v>
      </c>
      <c r="I27" s="165">
        <f>VLOOKUP($B27,'Data shares'!$C:$FB,67)</f>
        <v>16356750</v>
      </c>
      <c r="J27" s="81">
        <f t="shared" si="7"/>
        <v>-3.1026946062023324</v>
      </c>
      <c r="K27" s="5">
        <f>VLOOKUP($B27,'Data Vlaue (Cr)'!$C:$FB,99)</f>
        <v>4999</v>
      </c>
      <c r="L27" s="81">
        <f>VLOOKUP(B27,'OI(Value)'!$A$7:$C$226,3,0)</f>
        <v>-97</v>
      </c>
      <c r="M27" s="33">
        <f t="shared" si="0"/>
        <v>-1.9403880776155231</v>
      </c>
      <c r="N27" s="5">
        <f>VLOOKUP($B27,'Data Vlaue (Cr)'!$C:$FB,67)</f>
        <v>3156</v>
      </c>
      <c r="O27" s="5">
        <f>VLOOKUP($B27,'Data Vlaue (Cr)'!$C:$FB,68)</f>
        <v>3257</v>
      </c>
      <c r="P27" s="5">
        <f t="shared" si="8"/>
        <v>-3.2002534854245881</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BAJAJHLDNG</v>
      </c>
      <c r="C28" s="4">
        <f>VLOOKUP($B28,'Data shares'!$C:$FB,7)</f>
        <v>10735</v>
      </c>
      <c r="D28" s="82">
        <f>VLOOKUP($B28,'Data shares'!$C:$FB,98)</f>
        <v>495250</v>
      </c>
      <c r="E28" s="165" t="e">
        <f>VLOOKUP(B28,'Snapshot (Volume)'!$A$7:$G$168,7,0)</f>
        <v>#N/A</v>
      </c>
      <c r="F28" s="165" t="e">
        <f t="shared" si="5"/>
        <v>#N/A</v>
      </c>
      <c r="G28" s="166" t="e">
        <f t="shared" si="6"/>
        <v>#N/A</v>
      </c>
      <c r="H28" s="165">
        <f>VLOOKUP($B28,'Data shares'!$C:$FB,66)</f>
        <v>543700</v>
      </c>
      <c r="I28" s="165">
        <f>VLOOKUP($B28,'Data shares'!$C:$FB,67)</f>
        <v>358200</v>
      </c>
      <c r="J28" s="81">
        <f t="shared" si="7"/>
        <v>51.786711334450032</v>
      </c>
      <c r="K28" s="5">
        <f>VLOOKUP($B28,'Data Vlaue (Cr)'!$C:$FB,99)</f>
        <v>532</v>
      </c>
      <c r="L28" s="81">
        <f>VLOOKUP(B28,'OI(Value)'!$A$7:$C$226,3,0)</f>
        <v>-70</v>
      </c>
      <c r="M28" s="33">
        <f t="shared" si="0"/>
        <v>-13.157894736842104</v>
      </c>
      <c r="N28" s="5">
        <f>VLOOKUP($B28,'Data Vlaue (Cr)'!$C:$FB,67)</f>
        <v>584</v>
      </c>
      <c r="O28" s="5">
        <f>VLOOKUP($B28,'Data Vlaue (Cr)'!$C:$FB,68)</f>
        <v>385</v>
      </c>
      <c r="P28" s="5">
        <f t="shared" si="8"/>
        <v>34.075342465753423</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Finance</v>
      </c>
      <c r="B29" s="79" t="str">
        <f>'Data shares'!C24</f>
        <v>BAJFINANCE</v>
      </c>
      <c r="C29" s="4">
        <f>VLOOKUP($B29,'Data shares'!$C:$FB,7)</f>
        <v>942.85</v>
      </c>
      <c r="D29" s="82">
        <f>VLOOKUP($B29,'Data shares'!$C:$FB,98)</f>
        <v>144366750</v>
      </c>
      <c r="E29" s="165">
        <f>VLOOKUP(B29,'Snapshot (Volume)'!$A$7:$G$168,7,0)</f>
        <v>145896750</v>
      </c>
      <c r="F29" s="165">
        <f t="shared" si="5"/>
        <v>-1530000</v>
      </c>
      <c r="G29" s="166">
        <f t="shared" si="6"/>
        <v>-1.0486868281850007E-2</v>
      </c>
      <c r="H29" s="165">
        <f>VLOOKUP($B29,'Data shares'!$C:$FB,66)</f>
        <v>118597500</v>
      </c>
      <c r="I29" s="165">
        <f>VLOOKUP($B29,'Data shares'!$C:$FB,67)</f>
        <v>128484000</v>
      </c>
      <c r="J29" s="81">
        <f t="shared" si="7"/>
        <v>-7.6947324180442696</v>
      </c>
      <c r="K29" s="5">
        <f>VLOOKUP($B29,'Data Vlaue (Cr)'!$C:$FB,99)</f>
        <v>13616</v>
      </c>
      <c r="L29" s="81">
        <f>VLOOKUP(B29,'OI(Value)'!$A$7:$C$226,3,0)</f>
        <v>-144</v>
      </c>
      <c r="M29" s="33">
        <f t="shared" si="0"/>
        <v>-1.0575793184488838</v>
      </c>
      <c r="N29" s="5">
        <f>VLOOKUP($B29,'Data Vlaue (Cr)'!$C:$FB,67)</f>
        <v>11186</v>
      </c>
      <c r="O29" s="5">
        <f>VLOOKUP($B29,'Data Vlaue (Cr)'!$C:$FB,68)</f>
        <v>12118</v>
      </c>
      <c r="P29" s="5">
        <f t="shared" si="8"/>
        <v>-8.3318433756481323</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Banking</v>
      </c>
      <c r="B30" s="79" t="str">
        <f>'Data shares'!C25</f>
        <v>BANDHANBNK</v>
      </c>
      <c r="C30" s="4">
        <f>VLOOKUP($B30,'Data shares'!$C:$FB,7)</f>
        <v>142.46</v>
      </c>
      <c r="D30" s="82">
        <f>VLOOKUP($B30,'Data shares'!$C:$FB,98)</f>
        <v>202856400</v>
      </c>
      <c r="E30" s="165" t="e">
        <f>VLOOKUP(B30,'Snapshot (Volume)'!$A$7:$G$168,7,0)</f>
        <v>#N/A</v>
      </c>
      <c r="F30" s="165" t="e">
        <f t="shared" si="5"/>
        <v>#N/A</v>
      </c>
      <c r="G30" s="166" t="e">
        <f t="shared" si="6"/>
        <v>#N/A</v>
      </c>
      <c r="H30" s="165">
        <f>VLOOKUP($B30,'Data shares'!$C:$FB,66)</f>
        <v>28036800</v>
      </c>
      <c r="I30" s="165">
        <f>VLOOKUP($B30,'Data shares'!$C:$FB,67)</f>
        <v>121068000</v>
      </c>
      <c r="J30" s="81">
        <f t="shared" si="7"/>
        <v>-76.84210526315789</v>
      </c>
      <c r="K30" s="5">
        <f>VLOOKUP($B30,'Data Vlaue (Cr)'!$C:$FB,99)</f>
        <v>2887</v>
      </c>
      <c r="L30" s="81">
        <f>VLOOKUP(B30,'OI(Value)'!$A$7:$C$226,3,0)</f>
        <v>-140</v>
      </c>
      <c r="M30" s="33">
        <f t="shared" si="0"/>
        <v>-4.849324558365085</v>
      </c>
      <c r="N30" s="5">
        <f>VLOOKUP($B30,'Data Vlaue (Cr)'!$C:$FB,67)</f>
        <v>399</v>
      </c>
      <c r="O30" s="5">
        <f>VLOOKUP($B30,'Data Vlaue (Cr)'!$C:$FB,68)</f>
        <v>1723</v>
      </c>
      <c r="P30" s="5">
        <f t="shared" si="8"/>
        <v>-331.82957393483707</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BANKBARODA</v>
      </c>
      <c r="C31" s="4">
        <f>VLOOKUP($B31,'Data shares'!$C:$FB,7)</f>
        <v>305.3</v>
      </c>
      <c r="D31" s="82">
        <f>VLOOKUP($B31,'Data shares'!$C:$FB,98)</f>
        <v>178857900</v>
      </c>
      <c r="E31" s="165" t="e">
        <f>VLOOKUP(B31,'Snapshot (Volume)'!$A$7:$G$168,7,0)</f>
        <v>#N/A</v>
      </c>
      <c r="F31" s="165" t="e">
        <f t="shared" si="5"/>
        <v>#N/A</v>
      </c>
      <c r="G31" s="166" t="e">
        <f t="shared" si="6"/>
        <v>#N/A</v>
      </c>
      <c r="H31" s="165">
        <f>VLOOKUP($B31,'Data shares'!$C:$FB,66)</f>
        <v>187738200</v>
      </c>
      <c r="I31" s="165">
        <f>VLOOKUP($B31,'Data shares'!$C:$FB,67)</f>
        <v>191590425</v>
      </c>
      <c r="J31" s="81">
        <f t="shared" si="7"/>
        <v>-2.0106563258576204</v>
      </c>
      <c r="K31" s="5">
        <f>VLOOKUP($B31,'Data Vlaue (Cr)'!$C:$FB,99)</f>
        <v>5467</v>
      </c>
      <c r="L31" s="81">
        <f>VLOOKUP(B31,'OI(Value)'!$A$7:$C$226,3,0)</f>
        <v>-272</v>
      </c>
      <c r="M31" s="33">
        <f t="shared" si="0"/>
        <v>-4.9753063837570881</v>
      </c>
      <c r="N31" s="5">
        <f>VLOOKUP($B31,'Data Vlaue (Cr)'!$C:$FB,67)</f>
        <v>5738</v>
      </c>
      <c r="O31" s="5">
        <f>VLOOKUP($B31,'Data Vlaue (Cr)'!$C:$FB,68)</f>
        <v>5856</v>
      </c>
      <c r="P31" s="5">
        <f t="shared" si="8"/>
        <v>-2.0564656674799582</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Banking</v>
      </c>
      <c r="B32" s="79" t="str">
        <f>'Data shares'!C27</f>
        <v>BANKINDIA</v>
      </c>
      <c r="C32" s="4">
        <f>VLOOKUP($B32,'Data shares'!$C:$FB,7)</f>
        <v>166.42</v>
      </c>
      <c r="D32" s="82">
        <f>VLOOKUP($B32,'Data shares'!$C:$FB,98)</f>
        <v>133172000</v>
      </c>
      <c r="E32" s="165" t="e">
        <f>VLOOKUP(B32,'Snapshot (Volume)'!$A$7:$G$168,7,0)</f>
        <v>#N/A</v>
      </c>
      <c r="F32" s="165" t="e">
        <f t="shared" si="5"/>
        <v>#N/A</v>
      </c>
      <c r="G32" s="166" t="e">
        <f t="shared" si="6"/>
        <v>#N/A</v>
      </c>
      <c r="H32" s="165">
        <f>VLOOKUP($B32,'Data shares'!$C:$FB,66)</f>
        <v>412380800</v>
      </c>
      <c r="I32" s="165">
        <f>VLOOKUP($B32,'Data shares'!$C:$FB,67)</f>
        <v>178157200</v>
      </c>
      <c r="J32" s="81">
        <f t="shared" si="7"/>
        <v>131.47018475817987</v>
      </c>
      <c r="K32" s="5">
        <f>VLOOKUP($B32,'Data Vlaue (Cr)'!$C:$FB,99)</f>
        <v>2214</v>
      </c>
      <c r="L32" s="81">
        <f>VLOOKUP(B32,'OI(Value)'!$A$7:$C$226,3,0)</f>
        <v>-57</v>
      </c>
      <c r="M32" s="33">
        <f t="shared" si="0"/>
        <v>-2.5745257452574526</v>
      </c>
      <c r="N32" s="5">
        <f>VLOOKUP($B32,'Data Vlaue (Cr)'!$C:$FB,67)</f>
        <v>6856</v>
      </c>
      <c r="O32" s="5">
        <f>VLOOKUP($B32,'Data Vlaue (Cr)'!$C:$FB,68)</f>
        <v>2962</v>
      </c>
      <c r="P32" s="5">
        <f t="shared" si="8"/>
        <v>56.796966161026837</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Index</v>
      </c>
      <c r="B33" s="79" t="str">
        <f>'Data shares'!C28</f>
        <v>BANKNIFTY</v>
      </c>
      <c r="C33" s="4">
        <f>VLOOKUP($B33,'Data shares'!$C:$FB,7)</f>
        <v>59200.1</v>
      </c>
      <c r="D33" s="82">
        <f>VLOOKUP($B33,'Data shares'!$C:$FB,98)</f>
        <v>40857725</v>
      </c>
      <c r="E33" s="165" t="e">
        <f>VLOOKUP(B33,'Snapshot (Volume)'!$A$7:$G$168,7,0)</f>
        <v>#N/A</v>
      </c>
      <c r="F33" s="165" t="e">
        <f t="shared" si="5"/>
        <v>#N/A</v>
      </c>
      <c r="G33" s="166" t="e">
        <f t="shared" si="6"/>
        <v>#N/A</v>
      </c>
      <c r="H33" s="165">
        <f>VLOOKUP($B33,'Data shares'!$C:$FB,66)</f>
        <v>247445190</v>
      </c>
      <c r="I33" s="165">
        <f>VLOOKUP($B33,'Data shares'!$C:$FB,67)</f>
        <v>318820380</v>
      </c>
      <c r="J33" s="81">
        <f t="shared" si="7"/>
        <v>-22.387273360630207</v>
      </c>
      <c r="K33" s="5">
        <f>VLOOKUP($B33,'Data Vlaue (Cr)'!$C:$FB,99)</f>
        <v>242463</v>
      </c>
      <c r="L33" s="81">
        <f>VLOOKUP(B33,'OI(Value)'!$A$7:$C$226,3,0)</f>
        <v>9507</v>
      </c>
      <c r="M33" s="33">
        <f t="shared" si="0"/>
        <v>3.9210106284257806</v>
      </c>
      <c r="N33" s="5">
        <f>VLOOKUP($B33,'Data Vlaue (Cr)'!$C:$FB,67)</f>
        <v>1468419</v>
      </c>
      <c r="O33" s="5">
        <f>VLOOKUP($B33,'Data Vlaue (Cr)'!$C:$FB,68)</f>
        <v>1891982</v>
      </c>
      <c r="P33" s="5">
        <f t="shared" si="8"/>
        <v>-28.844832435428852</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Capital_Goods</v>
      </c>
      <c r="B34" s="79" t="str">
        <f>'Data shares'!C29</f>
        <v>BDL</v>
      </c>
      <c r="C34" s="4">
        <f>VLOOKUP($B34,'Data shares'!$C:$FB,7)</f>
        <v>1451.2</v>
      </c>
      <c r="D34" s="82">
        <f>VLOOKUP($B34,'Data shares'!$C:$FB,98)</f>
        <v>12920950</v>
      </c>
      <c r="E34" s="165" t="e">
        <f>VLOOKUP(B34,'Snapshot (Volume)'!$A$7:$G$168,7,0)</f>
        <v>#N/A</v>
      </c>
      <c r="F34" s="165" t="e">
        <f t="shared" si="5"/>
        <v>#N/A</v>
      </c>
      <c r="G34" s="166" t="e">
        <f t="shared" si="6"/>
        <v>#N/A</v>
      </c>
      <c r="H34" s="165">
        <f>VLOOKUP($B34,'Data shares'!$C:$FB,66)</f>
        <v>11600750</v>
      </c>
      <c r="I34" s="165">
        <f>VLOOKUP($B34,'Data shares'!$C:$FB,67)</f>
        <v>18301850</v>
      </c>
      <c r="J34" s="81">
        <f t="shared" si="7"/>
        <v>-36.614331338088775</v>
      </c>
      <c r="K34" s="5">
        <f>VLOOKUP($B34,'Data Vlaue (Cr)'!$C:$FB,99)</f>
        <v>1877</v>
      </c>
      <c r="L34" s="81">
        <f>VLOOKUP(B34,'OI(Value)'!$A$7:$C$226,3,0)</f>
        <v>-64</v>
      </c>
      <c r="M34" s="33">
        <f t="shared" si="0"/>
        <v>-3.4096963239211506</v>
      </c>
      <c r="N34" s="5">
        <f>VLOOKUP($B34,'Data Vlaue (Cr)'!$C:$FB,67)</f>
        <v>1685</v>
      </c>
      <c r="O34" s="5">
        <f>VLOOKUP($B34,'Data Vlaue (Cr)'!$C:$FB,68)</f>
        <v>2659</v>
      </c>
      <c r="P34" s="5">
        <f t="shared" si="8"/>
        <v>-57.804154302670618</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Capital_Goods</v>
      </c>
      <c r="B35" s="79" t="str">
        <f>'Data shares'!C30</f>
        <v>BEL</v>
      </c>
      <c r="C35" s="4">
        <f>VLOOKUP($B35,'Data shares'!$C:$FB,7)</f>
        <v>417.3</v>
      </c>
      <c r="D35" s="82">
        <f>VLOOKUP($B35,'Data shares'!$C:$FB,98)</f>
        <v>215261925</v>
      </c>
      <c r="E35" s="165">
        <f>VLOOKUP(B35,'Snapshot (Volume)'!$A$7:$G$168,7,0)</f>
        <v>223264725</v>
      </c>
      <c r="F35" s="165">
        <f t="shared" si="5"/>
        <v>-8002800</v>
      </c>
      <c r="G35" s="166">
        <f t="shared" si="6"/>
        <v>-3.5844444302609829E-2</v>
      </c>
      <c r="H35" s="165">
        <f>VLOOKUP($B35,'Data shares'!$C:$FB,66)</f>
        <v>329685150</v>
      </c>
      <c r="I35" s="165">
        <f>VLOOKUP($B35,'Data shares'!$C:$FB,67)</f>
        <v>328773150</v>
      </c>
      <c r="J35" s="81">
        <f t="shared" si="7"/>
        <v>0.27739491500446434</v>
      </c>
      <c r="K35" s="5">
        <f>VLOOKUP($B35,'Data Vlaue (Cr)'!$C:$FB,99)</f>
        <v>8980</v>
      </c>
      <c r="L35" s="81">
        <f>VLOOKUP(B35,'OI(Value)'!$A$7:$C$226,3,0)</f>
        <v>-334</v>
      </c>
      <c r="M35" s="33">
        <f t="shared" si="0"/>
        <v>-3.7193763919821827</v>
      </c>
      <c r="N35" s="5">
        <f>VLOOKUP($B35,'Data Vlaue (Cr)'!$C:$FB,67)</f>
        <v>13753</v>
      </c>
      <c r="O35" s="5">
        <f>VLOOKUP($B35,'Data Vlaue (Cr)'!$C:$FB,68)</f>
        <v>13715</v>
      </c>
      <c r="P35" s="5">
        <f t="shared" si="8"/>
        <v>0.27630335199592815</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Automobile</v>
      </c>
      <c r="B36" s="79" t="str">
        <f>'Data shares'!C31</f>
        <v>BHARATFORG</v>
      </c>
      <c r="C36" s="4">
        <f>VLOOKUP($B36,'Data shares'!$C:$FB,7)</f>
        <v>1431.5</v>
      </c>
      <c r="D36" s="82">
        <f>VLOOKUP($B36,'Data shares'!$C:$FB,98)</f>
        <v>13904500</v>
      </c>
      <c r="E36" s="165" t="e">
        <f>VLOOKUP(B36,'Snapshot (Volume)'!$A$7:$G$168,7,0)</f>
        <v>#N/A</v>
      </c>
      <c r="F36" s="165" t="e">
        <f t="shared" si="5"/>
        <v>#N/A</v>
      </c>
      <c r="G36" s="166" t="e">
        <f t="shared" si="6"/>
        <v>#N/A</v>
      </c>
      <c r="H36" s="165">
        <f>VLOOKUP($B36,'Data shares'!$C:$FB,66)</f>
        <v>23434000</v>
      </c>
      <c r="I36" s="165">
        <f>VLOOKUP($B36,'Data shares'!$C:$FB,67)</f>
        <v>13596500</v>
      </c>
      <c r="J36" s="81">
        <f t="shared" si="7"/>
        <v>72.353179126981203</v>
      </c>
      <c r="K36" s="5">
        <f>VLOOKUP($B36,'Data Vlaue (Cr)'!$C:$FB,99)</f>
        <v>1993</v>
      </c>
      <c r="L36" s="81">
        <f>VLOOKUP(B36,'OI(Value)'!$A$7:$C$226,3,0)</f>
        <v>-114</v>
      </c>
      <c r="M36" s="33">
        <f t="shared" si="0"/>
        <v>-5.7200200702458606</v>
      </c>
      <c r="N36" s="5">
        <f>VLOOKUP($B36,'Data Vlaue (Cr)'!$C:$FB,67)</f>
        <v>3359</v>
      </c>
      <c r="O36" s="5">
        <f>VLOOKUP($B36,'Data Vlaue (Cr)'!$C:$FB,68)</f>
        <v>1949</v>
      </c>
      <c r="P36" s="5">
        <f t="shared" si="8"/>
        <v>41.97677880321524</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Telecom</v>
      </c>
      <c r="B37" s="79" t="str">
        <f>'Data shares'!C32</f>
        <v>BHARTIARTL</v>
      </c>
      <c r="C37" s="4">
        <f>VLOOKUP($B37,'Data shares'!$C:$FB,7)</f>
        <v>2002.2</v>
      </c>
      <c r="D37" s="82">
        <f>VLOOKUP($B37,'Data shares'!$C:$FB,98)</f>
        <v>76419425</v>
      </c>
      <c r="E37" s="165">
        <f>VLOOKUP(B37,'Snapshot (Volume)'!$A$7:$G$168,7,0)</f>
        <v>77139050</v>
      </c>
      <c r="F37" s="165">
        <f t="shared" ref="F37:F43" si="9">D37-E37</f>
        <v>-719625</v>
      </c>
      <c r="G37" s="166">
        <f t="shared" ref="G37:G43" si="10">F37/E37</f>
        <v>-9.3289326223229344E-3</v>
      </c>
      <c r="H37" s="165">
        <f>VLOOKUP($B37,'Data shares'!$C:$FB,66)</f>
        <v>83954825</v>
      </c>
      <c r="I37" s="165">
        <f>VLOOKUP($B37,'Data shares'!$C:$FB,67)</f>
        <v>75271825</v>
      </c>
      <c r="J37" s="81">
        <f t="shared" ref="J37:J43" si="11">(H37-I37)/I37*100</f>
        <v>11.535524746477185</v>
      </c>
      <c r="K37" s="5">
        <f>VLOOKUP($B37,'Data Vlaue (Cr)'!$C:$FB,99)</f>
        <v>15330</v>
      </c>
      <c r="L37" s="81">
        <f>VLOOKUP(B37,'OI(Value)'!$A$7:$C$226,3,0)</f>
        <v>-144</v>
      </c>
      <c r="M37" s="33">
        <f t="shared" ref="M37:M65" si="12">L37/K37*100</f>
        <v>-0.9393346379647749</v>
      </c>
      <c r="N37" s="5">
        <f>VLOOKUP($B37,'Data Vlaue (Cr)'!$C:$FB,67)</f>
        <v>16841</v>
      </c>
      <c r="O37" s="5">
        <f>VLOOKUP($B37,'Data Vlaue (Cr)'!$C:$FB,68)</f>
        <v>15100</v>
      </c>
      <c r="P37" s="5">
        <f t="shared" ref="P37:P43" si="13">(N37-O37)/N37*100</f>
        <v>10.337865922451162</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Capital_Goods</v>
      </c>
      <c r="B38" s="79" t="str">
        <f>'Data shares'!C33</f>
        <v>BHEL</v>
      </c>
      <c r="C38" s="4">
        <f>VLOOKUP($B38,'Data shares'!$C:$FB,7)</f>
        <v>251.55</v>
      </c>
      <c r="D38" s="82">
        <f>VLOOKUP($B38,'Data shares'!$C:$FB,98)</f>
        <v>240040500</v>
      </c>
      <c r="E38" s="165" t="e">
        <f>VLOOKUP(B38,'Snapshot (Volume)'!$A$7:$G$168,7,0)</f>
        <v>#N/A</v>
      </c>
      <c r="F38" s="165" t="e">
        <f t="shared" si="9"/>
        <v>#N/A</v>
      </c>
      <c r="G38" s="166" t="e">
        <f t="shared" si="10"/>
        <v>#N/A</v>
      </c>
      <c r="H38" s="165">
        <f>VLOOKUP($B38,'Data shares'!$C:$FB,66)</f>
        <v>212890125</v>
      </c>
      <c r="I38" s="165">
        <f>VLOOKUP($B38,'Data shares'!$C:$FB,67)</f>
        <v>389319000</v>
      </c>
      <c r="J38" s="81">
        <f t="shared" si="11"/>
        <v>-45.317304061707752</v>
      </c>
      <c r="K38" s="5">
        <f>VLOOKUP($B38,'Data Vlaue (Cr)'!$C:$FB,99)</f>
        <v>6043</v>
      </c>
      <c r="L38" s="81">
        <f>VLOOKUP(B38,'OI(Value)'!$A$7:$C$226,3,0)</f>
        <v>-109</v>
      </c>
      <c r="M38" s="33">
        <f t="shared" si="12"/>
        <v>-1.8037398643058082</v>
      </c>
      <c r="N38" s="5">
        <f>VLOOKUP($B38,'Data Vlaue (Cr)'!$C:$FB,67)</f>
        <v>5360</v>
      </c>
      <c r="O38" s="5">
        <f>VLOOKUP($B38,'Data Vlaue (Cr)'!$C:$FB,68)</f>
        <v>9801</v>
      </c>
      <c r="P38" s="5">
        <f t="shared" si="13"/>
        <v>-82.854477611940297</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Pharma</v>
      </c>
      <c r="B39" s="79" t="str">
        <f>'Data shares'!C34</f>
        <v>BIOCON</v>
      </c>
      <c r="C39" s="4">
        <f>VLOOKUP($B39,'Data shares'!$C:$FB,7)</f>
        <v>373</v>
      </c>
      <c r="D39" s="82">
        <f>VLOOKUP($B39,'Data shares'!$C:$FB,98)</f>
        <v>93912500</v>
      </c>
      <c r="E39" s="165" t="e">
        <f>VLOOKUP(B39,'Snapshot (Volume)'!$A$7:$G$168,7,0)</f>
        <v>#N/A</v>
      </c>
      <c r="F39" s="165" t="e">
        <f t="shared" si="9"/>
        <v>#N/A</v>
      </c>
      <c r="G39" s="166" t="e">
        <f t="shared" si="10"/>
        <v>#N/A</v>
      </c>
      <c r="H39" s="165">
        <f>VLOOKUP($B39,'Data shares'!$C:$FB,66)</f>
        <v>60405000</v>
      </c>
      <c r="I39" s="165">
        <f>VLOOKUP($B39,'Data shares'!$C:$FB,67)</f>
        <v>71335000</v>
      </c>
      <c r="J39" s="81">
        <f t="shared" si="11"/>
        <v>-15.32207191420761</v>
      </c>
      <c r="K39" s="5">
        <f>VLOOKUP($B39,'Data Vlaue (Cr)'!$C:$FB,99)</f>
        <v>3502</v>
      </c>
      <c r="L39" s="81">
        <f>VLOOKUP(B39,'OI(Value)'!$A$7:$C$226,3,0)</f>
        <v>-129</v>
      </c>
      <c r="M39" s="33">
        <f t="shared" si="12"/>
        <v>-3.6836093660765274</v>
      </c>
      <c r="N39" s="5">
        <f>VLOOKUP($B39,'Data Vlaue (Cr)'!$C:$FB,67)</f>
        <v>2253</v>
      </c>
      <c r="O39" s="5">
        <f>VLOOKUP($B39,'Data Vlaue (Cr)'!$C:$FB,68)</f>
        <v>2660</v>
      </c>
      <c r="P39" s="5">
        <f t="shared" si="13"/>
        <v>-18.064802485574788</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Capital_Goods</v>
      </c>
      <c r="B40" s="79" t="str">
        <f>'Data shares'!C35</f>
        <v>BLUESTARCO</v>
      </c>
      <c r="C40" s="4">
        <f>VLOOKUP($B40,'Data shares'!$C:$FB,7)</f>
        <v>1709.3</v>
      </c>
      <c r="D40" s="82">
        <f>VLOOKUP($B40,'Data shares'!$C:$FB,98)</f>
        <v>4767750</v>
      </c>
      <c r="E40" s="165" t="e">
        <f>VLOOKUP(B40,'Snapshot (Volume)'!$A$7:$G$168,7,0)</f>
        <v>#N/A</v>
      </c>
      <c r="F40" s="165" t="e">
        <f t="shared" si="9"/>
        <v>#N/A</v>
      </c>
      <c r="G40" s="166" t="e">
        <f t="shared" si="10"/>
        <v>#N/A</v>
      </c>
      <c r="H40" s="165">
        <f>VLOOKUP($B40,'Data shares'!$C:$FB,66)</f>
        <v>3884725</v>
      </c>
      <c r="I40" s="165">
        <f>VLOOKUP($B40,'Data shares'!$C:$FB,67)</f>
        <v>8303425</v>
      </c>
      <c r="J40" s="81">
        <f t="shared" si="11"/>
        <v>-53.215390034835018</v>
      </c>
      <c r="K40" s="5">
        <f>VLOOKUP($B40,'Data Vlaue (Cr)'!$C:$FB,99)</f>
        <v>817</v>
      </c>
      <c r="L40" s="81">
        <f>VLOOKUP(B40,'OI(Value)'!$A$7:$C$226,3,0)</f>
        <v>-20</v>
      </c>
      <c r="M40" s="33">
        <f t="shared" si="12"/>
        <v>-2.4479804161566707</v>
      </c>
      <c r="N40" s="5">
        <f>VLOOKUP($B40,'Data Vlaue (Cr)'!$C:$FB,67)</f>
        <v>666</v>
      </c>
      <c r="O40" s="5">
        <f>VLOOKUP($B40,'Data Vlaue (Cr)'!$C:$FB,68)</f>
        <v>1424</v>
      </c>
      <c r="P40" s="5">
        <f t="shared" si="13"/>
        <v>-113.81381381381381</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Automobile</v>
      </c>
      <c r="B41" s="79" t="str">
        <f>'Data shares'!C36</f>
        <v>BOSCHLTD</v>
      </c>
      <c r="C41" s="4">
        <f>VLOOKUP($B41,'Data shares'!$C:$FB,7)</f>
        <v>35710</v>
      </c>
      <c r="D41" s="82">
        <f>VLOOKUP($B41,'Data shares'!$C:$FB,98)</f>
        <v>744425</v>
      </c>
      <c r="E41" s="165" t="e">
        <f>VLOOKUP(B41,'Snapshot (Volume)'!$A$7:$G$168,7,0)</f>
        <v>#N/A</v>
      </c>
      <c r="F41" s="165" t="e">
        <f t="shared" si="9"/>
        <v>#N/A</v>
      </c>
      <c r="G41" s="166" t="e">
        <f t="shared" si="10"/>
        <v>#N/A</v>
      </c>
      <c r="H41" s="165">
        <f>VLOOKUP($B41,'Data shares'!$C:$FB,66)</f>
        <v>1032375</v>
      </c>
      <c r="I41" s="165">
        <f>VLOOKUP($B41,'Data shares'!$C:$FB,67)</f>
        <v>989400</v>
      </c>
      <c r="J41" s="81">
        <f t="shared" si="11"/>
        <v>4.3435415403274709</v>
      </c>
      <c r="K41" s="5">
        <f>VLOOKUP($B41,'Data Vlaue (Cr)'!$C:$FB,99)</f>
        <v>2667</v>
      </c>
      <c r="L41" s="81">
        <f>VLOOKUP(B41,'OI(Value)'!$A$7:$C$226,3,0)</f>
        <v>-28</v>
      </c>
      <c r="M41" s="33">
        <f t="shared" si="12"/>
        <v>-1.0498687664041995</v>
      </c>
      <c r="N41" s="5">
        <f>VLOOKUP($B41,'Data Vlaue (Cr)'!$C:$FB,67)</f>
        <v>3698</v>
      </c>
      <c r="O41" s="5">
        <f>VLOOKUP($B41,'Data Vlaue (Cr)'!$C:$FB,68)</f>
        <v>3545</v>
      </c>
      <c r="P41" s="5">
        <f t="shared" si="13"/>
        <v>4.1373715521903733</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Oil_Gas</v>
      </c>
      <c r="B42" s="79" t="str">
        <f>'Data shares'!C37</f>
        <v>BPCL</v>
      </c>
      <c r="C42" s="4">
        <f>VLOOKUP($B42,'Data shares'!$C:$FB,7)</f>
        <v>354.15</v>
      </c>
      <c r="D42" s="82">
        <f>VLOOKUP($B42,'Data shares'!$C:$FB,98)</f>
        <v>64471900</v>
      </c>
      <c r="E42" s="165" t="e">
        <f>VLOOKUP(B42,'Snapshot (Volume)'!$A$7:$G$168,7,0)</f>
        <v>#N/A</v>
      </c>
      <c r="F42" s="165" t="e">
        <f t="shared" si="9"/>
        <v>#N/A</v>
      </c>
      <c r="G42" s="166" t="e">
        <f t="shared" si="10"/>
        <v>#N/A</v>
      </c>
      <c r="H42" s="165">
        <f>VLOOKUP($B42,'Data shares'!$C:$FB,66)</f>
        <v>61651600</v>
      </c>
      <c r="I42" s="165">
        <f>VLOOKUP($B42,'Data shares'!$C:$FB,67)</f>
        <v>74868300</v>
      </c>
      <c r="J42" s="81">
        <f t="shared" si="11"/>
        <v>-17.653265801413951</v>
      </c>
      <c r="K42" s="5">
        <f>VLOOKUP($B42,'Data Vlaue (Cr)'!$C:$FB,99)</f>
        <v>2283</v>
      </c>
      <c r="L42" s="81">
        <f>VLOOKUP(B42,'OI(Value)'!$A$7:$C$226,3,0)</f>
        <v>-98</v>
      </c>
      <c r="M42" s="33">
        <f t="shared" si="12"/>
        <v>-4.2925974594831366</v>
      </c>
      <c r="N42" s="5">
        <f>VLOOKUP($B42,'Data Vlaue (Cr)'!$C:$FB,67)</f>
        <v>2183</v>
      </c>
      <c r="O42" s="5">
        <f>VLOOKUP($B42,'Data Vlaue (Cr)'!$C:$FB,68)</f>
        <v>2651</v>
      </c>
      <c r="P42" s="5">
        <f t="shared" si="13"/>
        <v>-21.438387540082456</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FMCG</v>
      </c>
      <c r="B43" s="79" t="str">
        <f>'Data shares'!C38</f>
        <v>BRITANNIA</v>
      </c>
      <c r="C43" s="4">
        <f>VLOOKUP($B43,'Data shares'!$C:$FB,7)</f>
        <v>5932</v>
      </c>
      <c r="D43" s="82">
        <f>VLOOKUP($B43,'Data shares'!$C:$FB,98)</f>
        <v>4629125</v>
      </c>
      <c r="E43" s="165" t="e">
        <f>VLOOKUP(B43,'Snapshot (Volume)'!$A$7:$G$168,7,0)</f>
        <v>#N/A</v>
      </c>
      <c r="F43" s="165" t="e">
        <f t="shared" si="9"/>
        <v>#N/A</v>
      </c>
      <c r="G43" s="166" t="e">
        <f t="shared" si="10"/>
        <v>#N/A</v>
      </c>
      <c r="H43" s="165">
        <f>VLOOKUP($B43,'Data shares'!$C:$FB,66)</f>
        <v>6034750</v>
      </c>
      <c r="I43" s="165">
        <f>VLOOKUP($B43,'Data shares'!$C:$FB,67)</f>
        <v>4313000</v>
      </c>
      <c r="J43" s="81">
        <f t="shared" si="11"/>
        <v>39.92000927428704</v>
      </c>
      <c r="K43" s="5">
        <f>VLOOKUP($B43,'Data Vlaue (Cr)'!$C:$FB,99)</f>
        <v>2749</v>
      </c>
      <c r="L43" s="81">
        <f>VLOOKUP(B43,'OI(Value)'!$A$7:$C$226,3,0)</f>
        <v>-136</v>
      </c>
      <c r="M43" s="33">
        <f t="shared" si="12"/>
        <v>-4.9472535467442711</v>
      </c>
      <c r="N43" s="5">
        <f>VLOOKUP($B43,'Data Vlaue (Cr)'!$C:$FB,67)</f>
        <v>3583</v>
      </c>
      <c r="O43" s="5">
        <f>VLOOKUP($B43,'Data Vlaue (Cr)'!$C:$FB,68)</f>
        <v>2561</v>
      </c>
      <c r="P43" s="5">
        <f t="shared" si="13"/>
        <v>28.523583589171086</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Finance</v>
      </c>
      <c r="B44" s="79" t="str">
        <f>'Data shares'!C39</f>
        <v>BSE</v>
      </c>
      <c r="C44" s="79">
        <f>VLOOKUP($B44,'Data shares'!$C:$FB,7)</f>
        <v>2708.6</v>
      </c>
      <c r="D44" s="165">
        <f>VLOOKUP($B44,'Data shares'!$C:$FB,98)</f>
        <v>25443375</v>
      </c>
      <c r="E44" s="165" t="e">
        <f>VLOOKUP(B44,'Snapshot (Volume)'!$A$7:$G$168,7,0)</f>
        <v>#N/A</v>
      </c>
      <c r="F44" s="165" t="e">
        <f t="shared" ref="F44:F49" si="14">D44-E44</f>
        <v>#N/A</v>
      </c>
      <c r="G44" s="166" t="e">
        <f t="shared" ref="G44:G49" si="15">F44/E44</f>
        <v>#N/A</v>
      </c>
      <c r="H44" s="165">
        <f>VLOOKUP($B44,'Data shares'!$C:$FB,66)</f>
        <v>48900750</v>
      </c>
      <c r="I44" s="165">
        <f>VLOOKUP($B44,'Data shares'!$C:$FB,67)</f>
        <v>56547375</v>
      </c>
      <c r="J44" s="81">
        <f t="shared" ref="J44:J49" si="16">(H44-I44)/I44*100</f>
        <v>-13.522510991889543</v>
      </c>
      <c r="K44" s="81">
        <f>VLOOKUP($B44,'Data Vlaue (Cr)'!$C:$FB,99)</f>
        <v>6889</v>
      </c>
      <c r="L44" s="81">
        <f>VLOOKUP(B44,'OI(Value)'!$A$7:$C$226,3,0)</f>
        <v>-818</v>
      </c>
      <c r="M44" s="81">
        <f t="shared" si="12"/>
        <v>-11.874002032225286</v>
      </c>
      <c r="N44" s="81">
        <f>VLOOKUP($B44,'Data Vlaue (Cr)'!$C:$FB,67)</f>
        <v>13240</v>
      </c>
      <c r="O44" s="81">
        <f>VLOOKUP($B44,'Data Vlaue (Cr)'!$C:$FB,68)</f>
        <v>15310</v>
      </c>
      <c r="P44" s="81">
        <f t="shared" ref="P44:P49" si="17">(N44-O44)/N44*100</f>
        <v>-15.634441087613293</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Finance</v>
      </c>
      <c r="B45" s="79" t="str">
        <f>'Data shares'!C40</f>
        <v>CAMS</v>
      </c>
      <c r="C45" s="4">
        <f>VLOOKUP($B45,'Data shares'!$C:$FB,7)</f>
        <v>707.75</v>
      </c>
      <c r="D45" s="82">
        <f>VLOOKUP($B45,'Data shares'!$C:$FB,98)</f>
        <v>16368750</v>
      </c>
      <c r="E45" s="165" t="e">
        <f>VLOOKUP(B45,'Snapshot (Volume)'!$A$7:$G$168,7,0)</f>
        <v>#N/A</v>
      </c>
      <c r="F45" s="165" t="e">
        <f t="shared" si="14"/>
        <v>#N/A</v>
      </c>
      <c r="G45" s="166" t="e">
        <f t="shared" si="15"/>
        <v>#N/A</v>
      </c>
      <c r="H45" s="165">
        <f>VLOOKUP($B45,'Data shares'!$C:$FB,66)</f>
        <v>64203000</v>
      </c>
      <c r="I45" s="165">
        <f>VLOOKUP($B45,'Data shares'!$C:$FB,67)</f>
        <v>18537000</v>
      </c>
      <c r="J45" s="81">
        <f t="shared" si="16"/>
        <v>246.35054215892538</v>
      </c>
      <c r="K45" s="5">
        <f>VLOOKUP($B45,'Data Vlaue (Cr)'!$C:$FB,99)</f>
        <v>1163</v>
      </c>
      <c r="L45" s="81">
        <f>VLOOKUP(B45,'OI(Value)'!$A$7:$C$226,3,0)</f>
        <v>105</v>
      </c>
      <c r="M45" s="33">
        <f t="shared" si="12"/>
        <v>9.0283748925193468</v>
      </c>
      <c r="N45" s="5">
        <f>VLOOKUP($B45,'Data Vlaue (Cr)'!$C:$FB,67)</f>
        <v>4561</v>
      </c>
      <c r="O45" s="5">
        <f>VLOOKUP($B45,'Data Vlaue (Cr)'!$C:$FB,68)</f>
        <v>1317</v>
      </c>
      <c r="P45" s="5">
        <f t="shared" si="17"/>
        <v>71.124753343565004</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Banking</v>
      </c>
      <c r="B46" s="79" t="str">
        <f>'Data shares'!C41</f>
        <v>CANBK</v>
      </c>
      <c r="C46" s="4">
        <f>VLOOKUP($B46,'Data shares'!$C:$FB,7)</f>
        <v>154.68</v>
      </c>
      <c r="D46" s="82">
        <f>VLOOKUP($B46,'Data shares'!$C:$FB,98)</f>
        <v>362340000</v>
      </c>
      <c r="E46" s="165" t="e">
        <f>VLOOKUP(B46,'Snapshot (Volume)'!$A$7:$G$168,7,0)</f>
        <v>#N/A</v>
      </c>
      <c r="F46" s="165" t="e">
        <f t="shared" si="14"/>
        <v>#N/A</v>
      </c>
      <c r="G46" s="166" t="e">
        <f t="shared" si="15"/>
        <v>#N/A</v>
      </c>
      <c r="H46" s="165">
        <f>VLOOKUP($B46,'Data shares'!$C:$FB,66)</f>
        <v>398155500</v>
      </c>
      <c r="I46" s="165">
        <f>VLOOKUP($B46,'Data shares'!$C:$FB,67)</f>
        <v>577165500</v>
      </c>
      <c r="J46" s="81">
        <f t="shared" si="16"/>
        <v>-31.01536734264262</v>
      </c>
      <c r="K46" s="5">
        <f>VLOOKUP($B46,'Data Vlaue (Cr)'!$C:$FB,99)</f>
        <v>5602</v>
      </c>
      <c r="L46" s="81">
        <f>VLOOKUP(B46,'OI(Value)'!$A$7:$C$226,3,0)</f>
        <v>-74</v>
      </c>
      <c r="M46" s="33">
        <f t="shared" si="12"/>
        <v>-1.3209568011424491</v>
      </c>
      <c r="N46" s="5">
        <f>VLOOKUP($B46,'Data Vlaue (Cr)'!$C:$FB,67)</f>
        <v>6155</v>
      </c>
      <c r="O46" s="5">
        <f>VLOOKUP($B46,'Data Vlaue (Cr)'!$C:$FB,68)</f>
        <v>8923</v>
      </c>
      <c r="P46" s="5">
        <f t="shared" si="17"/>
        <v>-44.971567831031685</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Finance</v>
      </c>
      <c r="B47" s="79" t="str">
        <f>'Data shares'!C42</f>
        <v>CDSL</v>
      </c>
      <c r="C47" s="4">
        <f>VLOOKUP($B47,'Data shares'!$C:$FB,7)</f>
        <v>1356.6</v>
      </c>
      <c r="D47" s="82">
        <f>VLOOKUP($B47,'Data shares'!$C:$FB,98)</f>
        <v>26805200</v>
      </c>
      <c r="E47" s="165" t="e">
        <f>VLOOKUP(B47,'Snapshot (Volume)'!$A$7:$G$168,7,0)</f>
        <v>#N/A</v>
      </c>
      <c r="F47" s="165" t="e">
        <f t="shared" si="14"/>
        <v>#N/A</v>
      </c>
      <c r="G47" s="166" t="e">
        <f t="shared" si="15"/>
        <v>#N/A</v>
      </c>
      <c r="H47" s="165">
        <f>VLOOKUP($B47,'Data shares'!$C:$FB,66)</f>
        <v>30248950</v>
      </c>
      <c r="I47" s="165">
        <f>VLOOKUP($B47,'Data shares'!$C:$FB,67)</f>
        <v>39414075</v>
      </c>
      <c r="J47" s="81">
        <f t="shared" si="16"/>
        <v>-23.25343167383733</v>
      </c>
      <c r="K47" s="5">
        <f>VLOOKUP($B47,'Data Vlaue (Cr)'!$C:$FB,99)</f>
        <v>3644</v>
      </c>
      <c r="L47" s="81">
        <f>VLOOKUP(B47,'OI(Value)'!$A$7:$C$226,3,0)</f>
        <v>-185</v>
      </c>
      <c r="M47" s="33">
        <f t="shared" si="12"/>
        <v>-5.0768386388583977</v>
      </c>
      <c r="N47" s="5">
        <f>VLOOKUP($B47,'Data Vlaue (Cr)'!$C:$FB,67)</f>
        <v>4113</v>
      </c>
      <c r="O47" s="5">
        <f>VLOOKUP($B47,'Data Vlaue (Cr)'!$C:$FB,68)</f>
        <v>5359</v>
      </c>
      <c r="P47" s="5">
        <f t="shared" si="17"/>
        <v>-30.29418915633358</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Power</v>
      </c>
      <c r="B48" s="79" t="str">
        <f>'Data shares'!C43</f>
        <v>CGPOWER</v>
      </c>
      <c r="C48" s="4">
        <f>VLOOKUP($B48,'Data shares'!$C:$FB,7)</f>
        <v>574.25</v>
      </c>
      <c r="D48" s="82">
        <f>VLOOKUP($B48,'Data shares'!$C:$FB,98)</f>
        <v>41712900</v>
      </c>
      <c r="E48" s="165" t="e">
        <f>VLOOKUP(B48,'Snapshot (Volume)'!$A$7:$G$168,7,0)</f>
        <v>#N/A</v>
      </c>
      <c r="F48" s="165" t="e">
        <f t="shared" si="14"/>
        <v>#N/A</v>
      </c>
      <c r="G48" s="166" t="e">
        <f t="shared" si="15"/>
        <v>#N/A</v>
      </c>
      <c r="H48" s="165">
        <f>VLOOKUP($B48,'Data shares'!$C:$FB,66)</f>
        <v>36381700</v>
      </c>
      <c r="I48" s="165">
        <f>VLOOKUP($B48,'Data shares'!$C:$FB,67)</f>
        <v>57535650</v>
      </c>
      <c r="J48" s="81">
        <f t="shared" si="16"/>
        <v>-36.766682917460741</v>
      </c>
      <c r="K48" s="5">
        <f>VLOOKUP($B48,'Data Vlaue (Cr)'!$C:$FB,99)</f>
        <v>2399</v>
      </c>
      <c r="L48" s="81">
        <f>VLOOKUP(B48,'OI(Value)'!$A$7:$C$226,3,0)</f>
        <v>-171</v>
      </c>
      <c r="M48" s="33">
        <f t="shared" si="12"/>
        <v>-7.1279699874947893</v>
      </c>
      <c r="N48" s="5">
        <f>VLOOKUP($B48,'Data Vlaue (Cr)'!$C:$FB,67)</f>
        <v>2092</v>
      </c>
      <c r="O48" s="5">
        <f>VLOOKUP($B48,'Data Vlaue (Cr)'!$C:$FB,68)</f>
        <v>3309</v>
      </c>
      <c r="P48" s="5">
        <f t="shared" si="17"/>
        <v>-58.173996175908229</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Finance</v>
      </c>
      <c r="B49" s="79" t="str">
        <f>'Data shares'!C44</f>
        <v>CHOLAFIN</v>
      </c>
      <c r="C49" s="4">
        <f>VLOOKUP($B49,'Data shares'!$C:$FB,7)</f>
        <v>1664</v>
      </c>
      <c r="D49" s="82">
        <f>VLOOKUP($B49,'Data shares'!$C:$FB,98)</f>
        <v>23905625</v>
      </c>
      <c r="E49" s="165" t="e">
        <f>VLOOKUP(B49,'Snapshot (Volume)'!$A$7:$G$168,7,0)</f>
        <v>#N/A</v>
      </c>
      <c r="F49" s="165" t="e">
        <f t="shared" si="14"/>
        <v>#N/A</v>
      </c>
      <c r="G49" s="166" t="e">
        <f t="shared" si="15"/>
        <v>#N/A</v>
      </c>
      <c r="H49" s="165">
        <f>VLOOKUP($B49,'Data shares'!$C:$FB,66)</f>
        <v>22038750</v>
      </c>
      <c r="I49" s="165">
        <f>VLOOKUP($B49,'Data shares'!$C:$FB,67)</f>
        <v>18898125</v>
      </c>
      <c r="J49" s="81">
        <f t="shared" si="16"/>
        <v>16.618712173826768</v>
      </c>
      <c r="K49" s="5">
        <f>VLOOKUP($B49,'Data Vlaue (Cr)'!$C:$FB,99)</f>
        <v>3981</v>
      </c>
      <c r="L49" s="81">
        <f>VLOOKUP(B49,'OI(Value)'!$A$7:$C$226,3,0)</f>
        <v>-122</v>
      </c>
      <c r="M49" s="33">
        <f t="shared" si="12"/>
        <v>-3.0645566440592815</v>
      </c>
      <c r="N49" s="5">
        <f>VLOOKUP($B49,'Data Vlaue (Cr)'!$C:$FB,67)</f>
        <v>3670</v>
      </c>
      <c r="O49" s="5">
        <f>VLOOKUP($B49,'Data Vlaue (Cr)'!$C:$FB,68)</f>
        <v>3147</v>
      </c>
      <c r="P49" s="5">
        <f t="shared" si="17"/>
        <v>14.250681198910081</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Pharma</v>
      </c>
      <c r="B50" s="79" t="str">
        <f>'Data shares'!C45</f>
        <v>CIPLA</v>
      </c>
      <c r="C50" s="4">
        <f>VLOOKUP($B50,'Data shares'!$C:$FB,7)</f>
        <v>1370.4</v>
      </c>
      <c r="D50" s="82">
        <f>VLOOKUP($B50,'Data shares'!$C:$FB,98)</f>
        <v>28593750</v>
      </c>
      <c r="E50" s="165">
        <f>VLOOKUP(B50,'Snapshot (Volume)'!$A$7:$G$168,7,0)</f>
        <v>28501500</v>
      </c>
      <c r="F50" s="165">
        <f>D50-E50</f>
        <v>92250</v>
      </c>
      <c r="G50" s="166">
        <f>F50/E50</f>
        <v>3.2366717541182045E-3</v>
      </c>
      <c r="H50" s="165">
        <f>VLOOKUP($B50,'Data shares'!$C:$FB,66)</f>
        <v>22966500</v>
      </c>
      <c r="I50" s="165">
        <f>VLOOKUP($B50,'Data shares'!$C:$FB,67)</f>
        <v>25128375</v>
      </c>
      <c r="J50" s="81">
        <f>(H50-I50)/I50*100</f>
        <v>-8.6033219418287086</v>
      </c>
      <c r="K50" s="5">
        <f>VLOOKUP($B50,'Data Vlaue (Cr)'!$C:$FB,99)</f>
        <v>3927</v>
      </c>
      <c r="L50" s="81">
        <f>VLOOKUP(B50,'OI(Value)'!$A$7:$C$226,3,0)</f>
        <v>13</v>
      </c>
      <c r="M50" s="33">
        <f t="shared" si="12"/>
        <v>0.33104150751209571</v>
      </c>
      <c r="N50" s="5">
        <f>VLOOKUP($B50,'Data Vlaue (Cr)'!$C:$FB,67)</f>
        <v>3154</v>
      </c>
      <c r="O50" s="5">
        <f>VLOOKUP($B50,'Data Vlaue (Cr)'!$C:$FB,68)</f>
        <v>3451</v>
      </c>
      <c r="P50" s="5">
        <f>(N50-O50)/N50*100</f>
        <v>-9.4166138237159167</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Metals</v>
      </c>
      <c r="B51" s="79" t="str">
        <f>'Data shares'!C46</f>
        <v>COALINDIA</v>
      </c>
      <c r="C51" s="4">
        <f>VLOOKUP($B51,'Data shares'!$C:$FB,7)</f>
        <v>423.2</v>
      </c>
      <c r="D51" s="82">
        <f>VLOOKUP($B51,'Data shares'!$C:$FB,98)</f>
        <v>135715500</v>
      </c>
      <c r="E51" s="165">
        <f>VLOOKUP(B51,'Snapshot (Volume)'!$A$7:$G$168,7,0)</f>
        <v>139676400</v>
      </c>
      <c r="F51" s="165">
        <f>D51-E51</f>
        <v>-3960900</v>
      </c>
      <c r="G51" s="166">
        <f>F51/E51</f>
        <v>-2.8357689631176061E-2</v>
      </c>
      <c r="H51" s="165">
        <f>VLOOKUP($B51,'Data shares'!$C:$FB,66)</f>
        <v>162233550</v>
      </c>
      <c r="I51" s="165">
        <f>VLOOKUP($B51,'Data shares'!$C:$FB,67)</f>
        <v>148522950</v>
      </c>
      <c r="J51" s="81">
        <f>(H51-I51)/I51*100</f>
        <v>9.2313006171773466</v>
      </c>
      <c r="K51" s="5">
        <f>VLOOKUP($B51,'Data Vlaue (Cr)'!$C:$FB,99)</f>
        <v>5740</v>
      </c>
      <c r="L51" s="81">
        <f>VLOOKUP(B51,'OI(Value)'!$A$7:$C$226,3,0)</f>
        <v>-168</v>
      </c>
      <c r="M51" s="33">
        <f t="shared" si="12"/>
        <v>-2.9268292682926833</v>
      </c>
      <c r="N51" s="5">
        <f>VLOOKUP($B51,'Data Vlaue (Cr)'!$C:$FB,67)</f>
        <v>6862</v>
      </c>
      <c r="O51" s="5">
        <f>VLOOKUP($B51,'Data Vlaue (Cr)'!$C:$FB,68)</f>
        <v>6282</v>
      </c>
      <c r="P51" s="5">
        <f>(N51-O51)/N51*100</f>
        <v>8.4523462547362289</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Technology</v>
      </c>
      <c r="B52" s="79" t="str">
        <f>'Data shares'!C47</f>
        <v>COFORGE</v>
      </c>
      <c r="C52" s="79">
        <f>VLOOKUP($B52,'Data shares'!$C:$FB,7)</f>
        <v>1687.7</v>
      </c>
      <c r="D52" s="80">
        <f>VLOOKUP($B52,'Data shares'!$C:$FB,98)</f>
        <v>28599750</v>
      </c>
      <c r="E52" s="165" t="e">
        <f>VLOOKUP(B52,'Snapshot (Volume)'!$A$7:$G$168,7,0)</f>
        <v>#N/A</v>
      </c>
      <c r="F52" s="165" t="e">
        <f t="shared" ref="F52:F68" si="18">D52-E52</f>
        <v>#N/A</v>
      </c>
      <c r="G52" s="166" t="e">
        <f t="shared" ref="G52:G68" si="19">F52/E52</f>
        <v>#N/A</v>
      </c>
      <c r="H52" s="165">
        <f>VLOOKUP($B52,'Data shares'!$C:$FB,66)</f>
        <v>50080125</v>
      </c>
      <c r="I52" s="165">
        <f>VLOOKUP($B52,'Data shares'!$C:$FB,67)</f>
        <v>55088250</v>
      </c>
      <c r="J52" s="81">
        <f t="shared" ref="J52:J68" si="20">(H52-I52)/I52*100</f>
        <v>-9.0910947434343985</v>
      </c>
      <c r="K52" s="81">
        <f>VLOOKUP($B52,'Data Vlaue (Cr)'!$C:$FB,99)</f>
        <v>4840</v>
      </c>
      <c r="L52" s="81">
        <f>VLOOKUP(B52,'OI(Value)'!$A$7:$C$226,3,0)</f>
        <v>163</v>
      </c>
      <c r="M52" s="81">
        <f t="shared" si="12"/>
        <v>3.3677685950413228</v>
      </c>
      <c r="N52" s="81">
        <f>VLOOKUP($B52,'Data Vlaue (Cr)'!$C:$FB,67)</f>
        <v>8475</v>
      </c>
      <c r="O52" s="81">
        <f>VLOOKUP($B52,'Data Vlaue (Cr)'!$C:$FB,68)</f>
        <v>9323</v>
      </c>
      <c r="P52" s="81">
        <f t="shared" ref="P52:P68" si="21">(N52-O52)/N52*100</f>
        <v>-10.00589970501475</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FMCG</v>
      </c>
      <c r="B53" s="79" t="str">
        <f>'Data shares'!C48</f>
        <v>COLPAL</v>
      </c>
      <c r="C53" s="4">
        <f>VLOOKUP($B53,'Data shares'!$C:$FB,7)</f>
        <v>2179.6</v>
      </c>
      <c r="D53" s="82">
        <f>VLOOKUP($B53,'Data shares'!$C:$FB,98)</f>
        <v>10265400</v>
      </c>
      <c r="E53" s="165" t="e">
        <f>VLOOKUP(B53,'Snapshot (Volume)'!$A$7:$G$168,7,0)</f>
        <v>#N/A</v>
      </c>
      <c r="F53" s="165" t="e">
        <f t="shared" si="18"/>
        <v>#N/A</v>
      </c>
      <c r="G53" s="166" t="e">
        <f t="shared" si="19"/>
        <v>#N/A</v>
      </c>
      <c r="H53" s="165">
        <f>VLOOKUP($B53,'Data shares'!$C:$FB,66)</f>
        <v>14649750</v>
      </c>
      <c r="I53" s="165">
        <f>VLOOKUP($B53,'Data shares'!$C:$FB,67)</f>
        <v>11533500</v>
      </c>
      <c r="J53" s="81">
        <f t="shared" si="20"/>
        <v>27.019118220834958</v>
      </c>
      <c r="K53" s="5">
        <f>VLOOKUP($B53,'Data Vlaue (Cr)'!$C:$FB,99)</f>
        <v>2240</v>
      </c>
      <c r="L53" s="81">
        <f>VLOOKUP(B53,'OI(Value)'!$A$7:$C$226,3,0)</f>
        <v>-216</v>
      </c>
      <c r="M53" s="33">
        <f t="shared" si="12"/>
        <v>-9.6428571428571441</v>
      </c>
      <c r="N53" s="5">
        <f>VLOOKUP($B53,'Data Vlaue (Cr)'!$C:$FB,67)</f>
        <v>3197</v>
      </c>
      <c r="O53" s="5">
        <f>VLOOKUP($B53,'Data Vlaue (Cr)'!$C:$FB,68)</f>
        <v>2517</v>
      </c>
      <c r="P53" s="5">
        <f t="shared" si="21"/>
        <v>21.269940569283705</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Infrastructure</v>
      </c>
      <c r="B54" s="79" t="str">
        <f>'Data shares'!C49</f>
        <v>CONCOR</v>
      </c>
      <c r="C54" s="4">
        <f>VLOOKUP($B54,'Data shares'!$C:$FB,7)</f>
        <v>494.35</v>
      </c>
      <c r="D54" s="82">
        <f>VLOOKUP($B54,'Data shares'!$C:$FB,98)</f>
        <v>56642500</v>
      </c>
      <c r="E54" s="165" t="e">
        <f>VLOOKUP(B54,'Snapshot (Volume)'!$A$7:$G$168,7,0)</f>
        <v>#N/A</v>
      </c>
      <c r="F54" s="165" t="e">
        <f t="shared" si="18"/>
        <v>#N/A</v>
      </c>
      <c r="G54" s="166" t="e">
        <f t="shared" si="19"/>
        <v>#N/A</v>
      </c>
      <c r="H54" s="165">
        <f>VLOOKUP($B54,'Data shares'!$C:$FB,66)</f>
        <v>35140000</v>
      </c>
      <c r="I54" s="165">
        <f>VLOOKUP($B54,'Data shares'!$C:$FB,67)</f>
        <v>34017500</v>
      </c>
      <c r="J54" s="81">
        <f t="shared" si="20"/>
        <v>3.2997721760858383</v>
      </c>
      <c r="K54" s="5">
        <f>VLOOKUP($B54,'Data Vlaue (Cr)'!$C:$FB,99)</f>
        <v>2804</v>
      </c>
      <c r="L54" s="81">
        <f>VLOOKUP(B54,'OI(Value)'!$A$7:$C$226,3,0)</f>
        <v>86</v>
      </c>
      <c r="M54" s="33">
        <f t="shared" si="12"/>
        <v>3.0670470756062764</v>
      </c>
      <c r="N54" s="5">
        <f>VLOOKUP($B54,'Data Vlaue (Cr)'!$C:$FB,67)</f>
        <v>1739</v>
      </c>
      <c r="O54" s="5">
        <f>VLOOKUP($B54,'Data Vlaue (Cr)'!$C:$FB,68)</f>
        <v>1684</v>
      </c>
      <c r="P54" s="5">
        <f t="shared" si="21"/>
        <v>3.1627372052903966</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Capital_Goods</v>
      </c>
      <c r="B55" s="79" t="str">
        <f>'Data shares'!C50</f>
        <v>CROMPTON</v>
      </c>
      <c r="C55" s="4">
        <f>VLOOKUP($B55,'Data shares'!$C:$FB,7)</f>
        <v>229.65</v>
      </c>
      <c r="D55" s="82">
        <f>VLOOKUP($B55,'Data shares'!$C:$FB,98)</f>
        <v>91117800</v>
      </c>
      <c r="E55" s="165" t="e">
        <f>VLOOKUP(B55,'Snapshot (Volume)'!$A$7:$G$168,7,0)</f>
        <v>#N/A</v>
      </c>
      <c r="F55" s="165" t="e">
        <f t="shared" si="18"/>
        <v>#N/A</v>
      </c>
      <c r="G55" s="166" t="e">
        <f t="shared" si="19"/>
        <v>#N/A</v>
      </c>
      <c r="H55" s="165">
        <f>VLOOKUP($B55,'Data shares'!$C:$FB,66)</f>
        <v>67761000</v>
      </c>
      <c r="I55" s="165">
        <f>VLOOKUP($B55,'Data shares'!$C:$FB,67)</f>
        <v>89053200</v>
      </c>
      <c r="J55" s="81">
        <f t="shared" si="20"/>
        <v>-23.909528237053806</v>
      </c>
      <c r="K55" s="5">
        <f>VLOOKUP($B55,'Data Vlaue (Cr)'!$C:$FB,99)</f>
        <v>2096</v>
      </c>
      <c r="L55" s="81">
        <f>VLOOKUP(B55,'OI(Value)'!$A$7:$C$226,3,0)</f>
        <v>23</v>
      </c>
      <c r="M55" s="33">
        <f t="shared" si="12"/>
        <v>1.0973282442748091</v>
      </c>
      <c r="N55" s="5">
        <f>VLOOKUP($B55,'Data Vlaue (Cr)'!$C:$FB,67)</f>
        <v>1559</v>
      </c>
      <c r="O55" s="5">
        <f>VLOOKUP($B55,'Data Vlaue (Cr)'!$C:$FB,68)</f>
        <v>2048</v>
      </c>
      <c r="P55" s="5">
        <f t="shared" si="21"/>
        <v>-31.366260423348301</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Capital_Goods</v>
      </c>
      <c r="B56" s="79" t="str">
        <f>'Data shares'!C51</f>
        <v>CUMMINSIND</v>
      </c>
      <c r="C56" s="4">
        <f>VLOOKUP($B56,'Data shares'!$C:$FB,7)</f>
        <v>4067.8</v>
      </c>
      <c r="D56" s="82">
        <f>VLOOKUP($B56,'Data shares'!$C:$FB,98)</f>
        <v>6543200</v>
      </c>
      <c r="E56" s="165" t="e">
        <f>VLOOKUP(B56,'Snapshot (Volume)'!$A$7:$G$168,7,0)</f>
        <v>#N/A</v>
      </c>
      <c r="F56" s="165" t="e">
        <f t="shared" si="18"/>
        <v>#N/A</v>
      </c>
      <c r="G56" s="166" t="e">
        <f t="shared" si="19"/>
        <v>#N/A</v>
      </c>
      <c r="H56" s="165">
        <f>VLOOKUP($B56,'Data shares'!$C:$FB,66)</f>
        <v>5879800</v>
      </c>
      <c r="I56" s="165">
        <f>VLOOKUP($B56,'Data shares'!$C:$FB,67)</f>
        <v>5142600</v>
      </c>
      <c r="J56" s="81">
        <f t="shared" si="20"/>
        <v>14.335161202504571</v>
      </c>
      <c r="K56" s="5">
        <f>VLOOKUP($B56,'Data Vlaue (Cr)'!$C:$FB,99)</f>
        <v>2661</v>
      </c>
      <c r="L56" s="81">
        <f>VLOOKUP(B56,'OI(Value)'!$A$7:$C$226,3,0)</f>
        <v>-48</v>
      </c>
      <c r="M56" s="33">
        <f t="shared" si="12"/>
        <v>-1.8038331454340473</v>
      </c>
      <c r="N56" s="5">
        <f>VLOOKUP($B56,'Data Vlaue (Cr)'!$C:$FB,67)</f>
        <v>2391</v>
      </c>
      <c r="O56" s="5">
        <f>VLOOKUP($B56,'Data Vlaue (Cr)'!$C:$FB,68)</f>
        <v>2091</v>
      </c>
      <c r="P56" s="5">
        <f t="shared" si="21"/>
        <v>12.547051442910917</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FMCG</v>
      </c>
      <c r="B57" s="79" t="str">
        <f>'Data shares'!C52</f>
        <v>DABUR</v>
      </c>
      <c r="C57" s="4">
        <f>VLOOKUP($B57,'Data shares'!$C:$FB,7)</f>
        <v>525.35</v>
      </c>
      <c r="D57" s="82">
        <f>VLOOKUP($B57,'Data shares'!$C:$FB,98)</f>
        <v>44515000</v>
      </c>
      <c r="E57" s="165">
        <f>VLOOKUP(B57,'Snapshot (Volume)'!$A$7:$G$168,7,0)</f>
        <v>43903750</v>
      </c>
      <c r="F57" s="165">
        <f t="shared" si="18"/>
        <v>611250</v>
      </c>
      <c r="G57" s="166">
        <f t="shared" si="19"/>
        <v>1.3922500925319591E-2</v>
      </c>
      <c r="H57" s="165">
        <f>VLOOKUP($B57,'Data shares'!$C:$FB,66)</f>
        <v>54371250</v>
      </c>
      <c r="I57" s="165">
        <f>VLOOKUP($B57,'Data shares'!$C:$FB,67)</f>
        <v>54151250</v>
      </c>
      <c r="J57" s="81">
        <f t="shared" si="20"/>
        <v>0.4062694766972138</v>
      </c>
      <c r="K57" s="5">
        <f>VLOOKUP($B57,'Data Vlaue (Cr)'!$C:$FB,99)</f>
        <v>2341</v>
      </c>
      <c r="L57" s="81">
        <f>VLOOKUP(B57,'OI(Value)'!$A$7:$C$226,3,0)</f>
        <v>32</v>
      </c>
      <c r="M57" s="33">
        <f t="shared" si="12"/>
        <v>1.3669372063220846</v>
      </c>
      <c r="N57" s="5">
        <f>VLOOKUP($B57,'Data Vlaue (Cr)'!$C:$FB,67)</f>
        <v>2860</v>
      </c>
      <c r="O57" s="5">
        <f>VLOOKUP($B57,'Data Vlaue (Cr)'!$C:$FB,68)</f>
        <v>2848</v>
      </c>
      <c r="P57" s="5">
        <f t="shared" si="21"/>
        <v>0.41958041958041958</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Cement</v>
      </c>
      <c r="B58" s="79" t="str">
        <f>'Data shares'!C53</f>
        <v>DALBHARAT</v>
      </c>
      <c r="C58" s="4">
        <f>VLOOKUP($B58,'Data shares'!$C:$FB,7)</f>
        <v>2143.6999999999998</v>
      </c>
      <c r="D58" s="82">
        <f>VLOOKUP($B58,'Data shares'!$C:$FB,98)</f>
        <v>5484375</v>
      </c>
      <c r="E58" s="165">
        <f>VLOOKUP(B58,'Snapshot (Volume)'!$A$7:$G$168,7,0)</f>
        <v>5882825</v>
      </c>
      <c r="F58" s="165">
        <f t="shared" si="18"/>
        <v>-398450</v>
      </c>
      <c r="G58" s="166">
        <f t="shared" si="19"/>
        <v>-6.7731064582067291E-2</v>
      </c>
      <c r="H58" s="165">
        <f>VLOOKUP($B58,'Data shares'!$C:$FB,66)</f>
        <v>12290525</v>
      </c>
      <c r="I58" s="165">
        <f>VLOOKUP($B58,'Data shares'!$C:$FB,67)</f>
        <v>18306600</v>
      </c>
      <c r="J58" s="81">
        <f t="shared" si="20"/>
        <v>-32.862874591677318</v>
      </c>
      <c r="K58" s="5">
        <f>VLOOKUP($B58,'Data Vlaue (Cr)'!$C:$FB,99)</f>
        <v>1179</v>
      </c>
      <c r="L58" s="81">
        <f>VLOOKUP(B58,'OI(Value)'!$A$7:$C$226,3,0)</f>
        <v>-86</v>
      </c>
      <c r="M58" s="33">
        <f t="shared" si="12"/>
        <v>-7.29431721798134</v>
      </c>
      <c r="N58" s="5">
        <f>VLOOKUP($B58,'Data Vlaue (Cr)'!$C:$FB,67)</f>
        <v>2643</v>
      </c>
      <c r="O58" s="5">
        <f>VLOOKUP($B58,'Data Vlaue (Cr)'!$C:$FB,68)</f>
        <v>3936</v>
      </c>
      <c r="P58" s="5">
        <f t="shared" si="21"/>
        <v>-48.921679909194097</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New_Age</v>
      </c>
      <c r="B59" s="79" t="str">
        <f>'Data shares'!C54</f>
        <v>DELHIVERY</v>
      </c>
      <c r="C59" s="4">
        <f>VLOOKUP($B59,'Data shares'!$C:$FB,7)</f>
        <v>389.85</v>
      </c>
      <c r="D59" s="82">
        <f>VLOOKUP($B59,'Data shares'!$C:$FB,98)</f>
        <v>35831100</v>
      </c>
      <c r="E59" s="165">
        <f>VLOOKUP(B59,'Snapshot (Volume)'!$A$7:$G$168,7,0)</f>
        <v>36893500</v>
      </c>
      <c r="F59" s="165">
        <f t="shared" si="18"/>
        <v>-1062400</v>
      </c>
      <c r="G59" s="166">
        <f t="shared" si="19"/>
        <v>-2.8796400449943756E-2</v>
      </c>
      <c r="H59" s="165">
        <f>VLOOKUP($B59,'Data shares'!$C:$FB,66)</f>
        <v>34312200</v>
      </c>
      <c r="I59" s="165">
        <f>VLOOKUP($B59,'Data shares'!$C:$FB,67)</f>
        <v>35482500</v>
      </c>
      <c r="J59" s="81">
        <f t="shared" si="20"/>
        <v>-3.2982456140350878</v>
      </c>
      <c r="K59" s="5">
        <f>VLOOKUP($B59,'Data Vlaue (Cr)'!$C:$FB,99)</f>
        <v>1397</v>
      </c>
      <c r="L59" s="81">
        <f>VLOOKUP(B59,'OI(Value)'!$A$7:$C$226,3,0)</f>
        <v>-41</v>
      </c>
      <c r="M59" s="33">
        <f t="shared" si="12"/>
        <v>-2.9348604151753759</v>
      </c>
      <c r="N59" s="5">
        <f>VLOOKUP($B59,'Data Vlaue (Cr)'!$C:$FB,67)</f>
        <v>1338</v>
      </c>
      <c r="O59" s="5">
        <f>VLOOKUP($B59,'Data Vlaue (Cr)'!$C:$FB,68)</f>
        <v>1384</v>
      </c>
      <c r="P59" s="5">
        <f t="shared" si="21"/>
        <v>-3.4379671150971598</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Pharma</v>
      </c>
      <c r="B60" s="79" t="str">
        <f>'Data shares'!C55</f>
        <v>DIVISLAB</v>
      </c>
      <c r="C60" s="4">
        <f>VLOOKUP($B60,'Data shares'!$C:$FB,7)</f>
        <v>6071</v>
      </c>
      <c r="D60" s="82">
        <f>VLOOKUP($B60,'Data shares'!$C:$FB,98)</f>
        <v>6394800</v>
      </c>
      <c r="E60" s="165">
        <f>VLOOKUP(B60,'Snapshot (Volume)'!$A$7:$G$168,7,0)</f>
        <v>6352900</v>
      </c>
      <c r="F60" s="165">
        <f t="shared" si="18"/>
        <v>41900</v>
      </c>
      <c r="G60" s="166">
        <f t="shared" si="19"/>
        <v>6.5954131184183598E-3</v>
      </c>
      <c r="H60" s="165">
        <f>VLOOKUP($B60,'Data shares'!$C:$FB,66)</f>
        <v>5729500</v>
      </c>
      <c r="I60" s="165">
        <f>VLOOKUP($B60,'Data shares'!$C:$FB,67)</f>
        <v>5653400</v>
      </c>
      <c r="J60" s="81">
        <f t="shared" si="20"/>
        <v>1.3460926168323486</v>
      </c>
      <c r="K60" s="5">
        <f>VLOOKUP($B60,'Data Vlaue (Cr)'!$C:$FB,99)</f>
        <v>3890</v>
      </c>
      <c r="L60" s="81">
        <f>VLOOKUP(B60,'OI(Value)'!$A$7:$C$226,3,0)</f>
        <v>25</v>
      </c>
      <c r="M60" s="33">
        <f t="shared" si="12"/>
        <v>0.64267352185089976</v>
      </c>
      <c r="N60" s="5">
        <f>VLOOKUP($B60,'Data Vlaue (Cr)'!$C:$FB,67)</f>
        <v>3486</v>
      </c>
      <c r="O60" s="5">
        <f>VLOOKUP($B60,'Data Vlaue (Cr)'!$C:$FB,68)</f>
        <v>3439</v>
      </c>
      <c r="P60" s="5">
        <f t="shared" si="21"/>
        <v>1.3482501434308662</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Capital_Goods</v>
      </c>
      <c r="B61" s="79" t="str">
        <f>'Data shares'!C56</f>
        <v>DIXON</v>
      </c>
      <c r="C61" s="4">
        <f>VLOOKUP($B61,'Data shares'!$C:$FB,7)</f>
        <v>10512</v>
      </c>
      <c r="D61" s="82">
        <f>VLOOKUP($B61,'Data shares'!$C:$FB,98)</f>
        <v>9405850</v>
      </c>
      <c r="E61" s="165">
        <f>VLOOKUP(B61,'Snapshot (Volume)'!$A$7:$G$168,7,0)</f>
        <v>9449150</v>
      </c>
      <c r="F61" s="165">
        <f t="shared" si="18"/>
        <v>-43300</v>
      </c>
      <c r="G61" s="166">
        <f t="shared" si="19"/>
        <v>-4.5824227576025355E-3</v>
      </c>
      <c r="H61" s="165">
        <f>VLOOKUP($B61,'Data shares'!$C:$FB,66)</f>
        <v>9976750</v>
      </c>
      <c r="I61" s="165">
        <f>VLOOKUP($B61,'Data shares'!$C:$FB,67)</f>
        <v>17512650</v>
      </c>
      <c r="J61" s="81">
        <f t="shared" si="20"/>
        <v>-43.031180318227108</v>
      </c>
      <c r="K61" s="5">
        <f>VLOOKUP($B61,'Data Vlaue (Cr)'!$C:$FB,99)</f>
        <v>9908</v>
      </c>
      <c r="L61" s="81">
        <f>VLOOKUP(B61,'OI(Value)'!$A$7:$C$226,3,0)</f>
        <v>-46</v>
      </c>
      <c r="M61" s="33">
        <f t="shared" si="12"/>
        <v>-0.46427129592248689</v>
      </c>
      <c r="N61" s="5">
        <f>VLOOKUP($B61,'Data Vlaue (Cr)'!$C:$FB,67)</f>
        <v>10510</v>
      </c>
      <c r="O61" s="5">
        <f>VLOOKUP($B61,'Data Vlaue (Cr)'!$C:$FB,68)</f>
        <v>18448</v>
      </c>
      <c r="P61" s="5">
        <f t="shared" si="21"/>
        <v>-75.528068506184582</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Realty</v>
      </c>
      <c r="B62" s="79" t="str">
        <f>'Data shares'!C57</f>
        <v>DLF</v>
      </c>
      <c r="C62" s="4">
        <f>VLOOKUP($B62,'Data shares'!$C:$FB,7)</f>
        <v>613.29999999999995</v>
      </c>
      <c r="D62" s="82">
        <f>VLOOKUP($B62,'Data shares'!$C:$FB,98)</f>
        <v>102681975</v>
      </c>
      <c r="E62" s="165">
        <f>VLOOKUP(B62,'Snapshot (Volume)'!$A$7:$G$168,7,0)</f>
        <v>96935850</v>
      </c>
      <c r="F62" s="165">
        <f t="shared" si="18"/>
        <v>5746125</v>
      </c>
      <c r="G62" s="166"/>
      <c r="H62" s="165">
        <f>VLOOKUP($B62,'Data shares'!$C:$FB,66)</f>
        <v>92184675</v>
      </c>
      <c r="I62" s="165">
        <f>VLOOKUP($B62,'Data shares'!$C:$FB,67)</f>
        <v>95101050</v>
      </c>
      <c r="J62" s="81"/>
      <c r="K62" s="5">
        <f>VLOOKUP($B62,'Data Vlaue (Cr)'!$C:$FB,99)</f>
        <v>6300</v>
      </c>
      <c r="L62" s="81">
        <f>VLOOKUP(B62,'OI(Value)'!$A$7:$C$226,3,0)</f>
        <v>353</v>
      </c>
      <c r="M62" s="33"/>
      <c r="N62" s="5">
        <f>VLOOKUP($B62,'Data Vlaue (Cr)'!$C:$FB,67)</f>
        <v>5656</v>
      </c>
      <c r="O62" s="5">
        <f>VLOOKUP($B62,'Data Vlaue (Cr)'!$C:$FB,68)</f>
        <v>5834</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New_Age</v>
      </c>
      <c r="B63" s="79" t="str">
        <f>'Data shares'!C58</f>
        <v>DMART</v>
      </c>
      <c r="C63" s="4">
        <f>VLOOKUP($B63,'Data shares'!$C:$FB,7)</f>
        <v>3724.1</v>
      </c>
      <c r="D63" s="82">
        <f>VLOOKUP($B63,'Data shares'!$C:$FB,98)</f>
        <v>10179600</v>
      </c>
      <c r="E63" s="165">
        <f>VLOOKUP(B63,'Snapshot (Volume)'!$A$7:$G$168,7,0)</f>
        <v>10785300</v>
      </c>
      <c r="F63" s="165">
        <f t="shared" si="18"/>
        <v>-605700</v>
      </c>
      <c r="G63" s="166">
        <f t="shared" si="19"/>
        <v>-5.6159773024394316E-2</v>
      </c>
      <c r="H63" s="165">
        <f>VLOOKUP($B63,'Data shares'!$C:$FB,66)</f>
        <v>8868300</v>
      </c>
      <c r="I63" s="165">
        <f>VLOOKUP($B63,'Data shares'!$C:$FB,67)</f>
        <v>11653500</v>
      </c>
      <c r="J63" s="81">
        <f t="shared" si="20"/>
        <v>-23.900115845025098</v>
      </c>
      <c r="K63" s="5">
        <f>VLOOKUP($B63,'Data Vlaue (Cr)'!$C:$FB,99)</f>
        <v>3789</v>
      </c>
      <c r="L63" s="81">
        <f>VLOOKUP(B63,'OI(Value)'!$A$7:$C$226,3,0)</f>
        <v>-225</v>
      </c>
      <c r="M63" s="33">
        <f t="shared" si="12"/>
        <v>-5.938242280285035</v>
      </c>
      <c r="N63" s="5">
        <f>VLOOKUP($B63,'Data Vlaue (Cr)'!$C:$FB,67)</f>
        <v>3301</v>
      </c>
      <c r="O63" s="5">
        <f>VLOOKUP($B63,'Data Vlaue (Cr)'!$C:$FB,68)</f>
        <v>4337</v>
      </c>
      <c r="P63" s="5">
        <f t="shared" si="21"/>
        <v>-31.384428960920935</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Pharma</v>
      </c>
      <c r="B64" s="79" t="str">
        <f>'Data shares'!C59</f>
        <v>DRREDDY</v>
      </c>
      <c r="C64" s="4">
        <f>VLOOKUP($B64,'Data shares'!$C:$FB,7)</f>
        <v>1217.5</v>
      </c>
      <c r="D64" s="82">
        <f>VLOOKUP($B64,'Data shares'!$C:$FB,98)</f>
        <v>33220000</v>
      </c>
      <c r="E64" s="165">
        <f>VLOOKUP(B64,'Snapshot (Volume)'!$A$7:$G$168,7,0)</f>
        <v>33981875</v>
      </c>
      <c r="F64" s="165">
        <f t="shared" si="18"/>
        <v>-761875</v>
      </c>
      <c r="G64" s="166">
        <f t="shared" si="19"/>
        <v>-2.2420040094903532E-2</v>
      </c>
      <c r="H64" s="165">
        <f>VLOOKUP($B64,'Data shares'!$C:$FB,66)</f>
        <v>124906250</v>
      </c>
      <c r="I64" s="165">
        <f>VLOOKUP($B64,'Data shares'!$C:$FB,67)</f>
        <v>68460000</v>
      </c>
      <c r="J64" s="81">
        <f t="shared" si="20"/>
        <v>82.451431492842531</v>
      </c>
      <c r="K64" s="5">
        <f>VLOOKUP($B64,'Data Vlaue (Cr)'!$C:$FB,99)</f>
        <v>4057</v>
      </c>
      <c r="L64" s="81">
        <f>VLOOKUP(B64,'OI(Value)'!$A$7:$C$226,3,0)</f>
        <v>-93</v>
      </c>
      <c r="M64" s="33">
        <f t="shared" si="12"/>
        <v>-2.2923342371210254</v>
      </c>
      <c r="N64" s="5">
        <f>VLOOKUP($B64,'Data Vlaue (Cr)'!$C:$FB,67)</f>
        <v>15255</v>
      </c>
      <c r="O64" s="5">
        <f>VLOOKUP($B64,'Data Vlaue (Cr)'!$C:$FB,68)</f>
        <v>8361</v>
      </c>
      <c r="P64" s="5">
        <f t="shared" si="21"/>
        <v>45.191740412979357</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Automobile</v>
      </c>
      <c r="B65" s="79" t="str">
        <f>'Data shares'!C60</f>
        <v>EICHERMOT</v>
      </c>
      <c r="C65" s="4">
        <f>VLOOKUP($B65,'Data shares'!$C:$FB,7)</f>
        <v>7049</v>
      </c>
      <c r="D65" s="82">
        <f>VLOOKUP($B65,'Data shares'!$C:$FB,98)</f>
        <v>5925600</v>
      </c>
      <c r="E65" s="165">
        <f>VLOOKUP(B65,'Snapshot (Volume)'!$A$7:$G$168,7,0)</f>
        <v>5822900</v>
      </c>
      <c r="F65" s="165">
        <f t="shared" si="18"/>
        <v>102700</v>
      </c>
      <c r="G65" s="166">
        <f t="shared" si="19"/>
        <v>1.7637259784643391E-2</v>
      </c>
      <c r="H65" s="165">
        <f>VLOOKUP($B65,'Data shares'!$C:$FB,66)</f>
        <v>9818800</v>
      </c>
      <c r="I65" s="165">
        <f>VLOOKUP($B65,'Data shares'!$C:$FB,67)</f>
        <v>9165000</v>
      </c>
      <c r="J65" s="81">
        <f t="shared" si="20"/>
        <v>7.1336606655755581</v>
      </c>
      <c r="K65" s="5">
        <f>VLOOKUP($B65,'Data Vlaue (Cr)'!$C:$FB,99)</f>
        <v>4172</v>
      </c>
      <c r="L65" s="81">
        <f>VLOOKUP(B65,'OI(Value)'!$A$7:$C$226,3,0)</f>
        <v>72</v>
      </c>
      <c r="M65" s="33">
        <f t="shared" si="12"/>
        <v>1.7257909875359541</v>
      </c>
      <c r="N65" s="5">
        <f>VLOOKUP($B65,'Data Vlaue (Cr)'!$C:$FB,67)</f>
        <v>6912</v>
      </c>
      <c r="O65" s="5">
        <f>VLOOKUP($B65,'Data Vlaue (Cr)'!$C:$FB,68)</f>
        <v>6452</v>
      </c>
      <c r="P65" s="5">
        <f t="shared" si="21"/>
        <v>6.6550925925925934</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New_Age</v>
      </c>
      <c r="B66" s="79" t="str">
        <f>'Data shares'!C61</f>
        <v>ETERNAL</v>
      </c>
      <c r="C66" s="4">
        <f>VLOOKUP($B66,'Data shares'!$C:$FB,7)</f>
        <v>275.89999999999998</v>
      </c>
      <c r="D66" s="82">
        <f>VLOOKUP($B66,'Data shares'!$C:$FB,98)</f>
        <v>514594700</v>
      </c>
      <c r="E66" s="165">
        <f>VLOOKUP(B66,'Snapshot (Volume)'!$A$7:$G$168,7,0)</f>
        <v>513256100</v>
      </c>
      <c r="F66" s="165">
        <f t="shared" si="18"/>
        <v>1338600</v>
      </c>
      <c r="G66" s="166">
        <f t="shared" si="19"/>
        <v>2.6080547313514636E-3</v>
      </c>
      <c r="H66" s="165">
        <f>VLOOKUP($B66,'Data shares'!$C:$FB,66)</f>
        <v>1529886425</v>
      </c>
      <c r="I66" s="165">
        <f>VLOOKUP($B66,'Data shares'!$C:$FB,67)</f>
        <v>1027082075</v>
      </c>
      <c r="J66" s="81">
        <f t="shared" si="20"/>
        <v>48.954641721305478</v>
      </c>
      <c r="K66" s="5">
        <f>VLOOKUP($B66,'Data Vlaue (Cr)'!$C:$FB,99)</f>
        <v>14223</v>
      </c>
      <c r="L66" s="81">
        <f>VLOOKUP(B66,'OI(Value)'!$A$7:$C$226,3,0)</f>
        <v>37</v>
      </c>
      <c r="M66" s="33">
        <f t="shared" ref="M66:M93" si="22">L66/K66*100</f>
        <v>0.26014202348309079</v>
      </c>
      <c r="N66" s="5">
        <f>VLOOKUP($B66,'Data Vlaue (Cr)'!$C:$FB,67)</f>
        <v>42286</v>
      </c>
      <c r="O66" s="5">
        <f>VLOOKUP($B66,'Data Vlaue (Cr)'!$C:$FB,68)</f>
        <v>28389</v>
      </c>
      <c r="P66" s="5">
        <f t="shared" si="21"/>
        <v>32.864304970912364</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EXIDEIND</v>
      </c>
      <c r="C67" s="4">
        <f>VLOOKUP($B67,'Data shares'!$C:$FB,7)</f>
        <v>334.25</v>
      </c>
      <c r="D67" s="82">
        <f>VLOOKUP($B67,'Data shares'!$C:$FB,98)</f>
        <v>63457200</v>
      </c>
      <c r="E67" s="165">
        <f>VLOOKUP(B67,'Snapshot (Volume)'!$A$7:$G$168,7,0)</f>
        <v>67257000</v>
      </c>
      <c r="F67" s="165">
        <f t="shared" si="18"/>
        <v>-3799800</v>
      </c>
      <c r="G67" s="166">
        <f t="shared" si="19"/>
        <v>-5.6496721530844375E-2</v>
      </c>
      <c r="H67" s="165">
        <f>VLOOKUP($B67,'Data shares'!$C:$FB,66)</f>
        <v>42553800</v>
      </c>
      <c r="I67" s="165">
        <f>VLOOKUP($B67,'Data shares'!$C:$FB,67)</f>
        <v>55994400</v>
      </c>
      <c r="J67" s="81">
        <f t="shared" si="20"/>
        <v>-24.003471775749002</v>
      </c>
      <c r="K67" s="5">
        <f>VLOOKUP($B67,'Data Vlaue (Cr)'!$C:$FB,99)</f>
        <v>2122</v>
      </c>
      <c r="L67" s="81">
        <f>VLOOKUP(B67,'OI(Value)'!$A$7:$C$226,3,0)</f>
        <v>-127</v>
      </c>
      <c r="M67" s="33">
        <f t="shared" si="22"/>
        <v>-5.984919886899152</v>
      </c>
      <c r="N67" s="5">
        <f>VLOOKUP($B67,'Data Vlaue (Cr)'!$C:$FB,67)</f>
        <v>1423</v>
      </c>
      <c r="O67" s="5">
        <f>VLOOKUP($B67,'Data Vlaue (Cr)'!$C:$FB,68)</f>
        <v>1873</v>
      </c>
      <c r="P67" s="5">
        <f t="shared" si="21"/>
        <v>-31.623330990864375</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Banking</v>
      </c>
      <c r="B68" s="79" t="str">
        <f>'Data shares'!C63</f>
        <v>FEDERALBNK</v>
      </c>
      <c r="C68" s="4">
        <f>VLOOKUP($B68,'Data shares'!$C:$FB,7)</f>
        <v>282.2</v>
      </c>
      <c r="D68" s="82">
        <f>VLOOKUP($B68,'Data shares'!$C:$FB,98)</f>
        <v>192005000</v>
      </c>
      <c r="E68" s="165">
        <f>VLOOKUP(B68,'Snapshot (Volume)'!$A$7:$G$168,7,0)</f>
        <v>189665000</v>
      </c>
      <c r="F68" s="165">
        <f t="shared" si="18"/>
        <v>2340000</v>
      </c>
      <c r="G68" s="166">
        <f t="shared" si="19"/>
        <v>1.2337542509160889E-2</v>
      </c>
      <c r="H68" s="165">
        <f>VLOOKUP($B68,'Data shares'!$C:$FB,66)</f>
        <v>498900000</v>
      </c>
      <c r="I68" s="165">
        <f>VLOOKUP($B68,'Data shares'!$C:$FB,67)</f>
        <v>373520000</v>
      </c>
      <c r="J68" s="81">
        <f t="shared" si="20"/>
        <v>33.567144998929102</v>
      </c>
      <c r="K68" s="5">
        <f>VLOOKUP($B68,'Data Vlaue (Cr)'!$C:$FB,99)</f>
        <v>5414</v>
      </c>
      <c r="L68" s="81">
        <f>VLOOKUP(B68,'OI(Value)'!$A$7:$C$226,3,0)</f>
        <v>66</v>
      </c>
      <c r="M68" s="33">
        <f t="shared" si="22"/>
        <v>1.2190616919098634</v>
      </c>
      <c r="N68" s="5">
        <f>VLOOKUP($B68,'Data Vlaue (Cr)'!$C:$FB,67)</f>
        <v>14066</v>
      </c>
      <c r="O68" s="5">
        <f>VLOOKUP($B68,'Data Vlaue (Cr)'!$C:$FB,68)</f>
        <v>10531</v>
      </c>
      <c r="P68" s="5">
        <f t="shared" si="21"/>
        <v>25.131522820986778</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Index</v>
      </c>
      <c r="B69" s="79" t="str">
        <f>'Data shares'!C64</f>
        <v>FINNIFTY</v>
      </c>
      <c r="C69" s="79">
        <f>VLOOKUP($B69,'Data shares'!$C:$FB,7)</f>
        <v>27149.95</v>
      </c>
      <c r="D69" s="165">
        <f>VLOOKUP($B69,'Data shares'!$C:$FB,98)</f>
        <v>2204940</v>
      </c>
      <c r="E69" s="165">
        <f>VLOOKUP(B69,'Snapshot (Volume)'!$A$7:$G$168,7,0)</f>
        <v>2413380</v>
      </c>
      <c r="F69" s="165">
        <f t="shared" ref="F69:F85" si="23">D69-E69</f>
        <v>-208440</v>
      </c>
      <c r="G69" s="166">
        <f t="shared" ref="G69:G85" si="24">F69/E69</f>
        <v>-8.6368495636824708E-2</v>
      </c>
      <c r="H69" s="165">
        <f>VLOOKUP($B69,'Data shares'!$C:$FB,66)</f>
        <v>12846660</v>
      </c>
      <c r="I69" s="165">
        <f>VLOOKUP($B69,'Data shares'!$C:$FB,67)</f>
        <v>21232620</v>
      </c>
      <c r="J69" s="81">
        <f t="shared" ref="J69:J85" si="25">(H69-I69)/I69*100</f>
        <v>-39.495643966688995</v>
      </c>
      <c r="K69" s="81">
        <f>VLOOKUP($B69,'Data Vlaue (Cr)'!$C:$FB,99)</f>
        <v>6007</v>
      </c>
      <c r="L69" s="81">
        <f>VLOOKUP(B69,'OI(Value)'!$A$7:$C$226,3,0)</f>
        <v>-568</v>
      </c>
      <c r="M69" s="81">
        <f t="shared" si="22"/>
        <v>-9.4556350923922086</v>
      </c>
      <c r="N69" s="81">
        <f>VLOOKUP($B69,'Data Vlaue (Cr)'!$C:$FB,67)</f>
        <v>35001</v>
      </c>
      <c r="O69" s="81">
        <f>VLOOKUP($B69,'Data Vlaue (Cr)'!$C:$FB,68)</f>
        <v>57848</v>
      </c>
      <c r="P69" s="81">
        <f t="shared" ref="P69:P85" si="26">(N69-O69)/N69*100</f>
        <v>-65.275277849204301</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Pharma</v>
      </c>
      <c r="B70" s="79" t="str">
        <f>'Data shares'!C65</f>
        <v>FORTIS</v>
      </c>
      <c r="C70" s="79">
        <f>VLOOKUP($B70,'Data shares'!$C:$FB,7)</f>
        <v>841.45</v>
      </c>
      <c r="D70" s="165">
        <f>VLOOKUP($B70,'Data shares'!$C:$FB,98)</f>
        <v>20094200</v>
      </c>
      <c r="E70" s="165">
        <f>VLOOKUP(B70,'Snapshot (Volume)'!$A$7:$G$168,7,0)</f>
        <v>18150500</v>
      </c>
      <c r="F70" s="165">
        <f t="shared" si="23"/>
        <v>1943700</v>
      </c>
      <c r="G70" s="166">
        <f t="shared" si="24"/>
        <v>0.10708795900939368</v>
      </c>
      <c r="H70" s="165">
        <f>VLOOKUP($B70,'Data shares'!$C:$FB,66)</f>
        <v>27660525</v>
      </c>
      <c r="I70" s="165">
        <f>VLOOKUP($B70,'Data shares'!$C:$FB,67)</f>
        <v>17632025</v>
      </c>
      <c r="J70" s="81">
        <f t="shared" si="25"/>
        <v>56.876620807876577</v>
      </c>
      <c r="K70" s="81">
        <f>VLOOKUP($B70,'Data Vlaue (Cr)'!$C:$FB,99)</f>
        <v>1693</v>
      </c>
      <c r="L70" s="81">
        <f>VLOOKUP(B70,'OI(Value)'!$A$7:$C$226,3,0)</f>
        <v>164</v>
      </c>
      <c r="M70" s="81">
        <f t="shared" si="22"/>
        <v>9.6869462492616663</v>
      </c>
      <c r="N70" s="81">
        <f>VLOOKUP($B70,'Data Vlaue (Cr)'!$C:$FB,67)</f>
        <v>2331</v>
      </c>
      <c r="O70" s="81">
        <f>VLOOKUP($B70,'Data Vlaue (Cr)'!$C:$FB,68)</f>
        <v>1486</v>
      </c>
      <c r="P70" s="81">
        <f t="shared" si="26"/>
        <v>36.25053625053625</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Oil_Gas</v>
      </c>
      <c r="B71" s="79" t="str">
        <f>'Data shares'!C66</f>
        <v>GAIL</v>
      </c>
      <c r="C71" s="4">
        <f>VLOOKUP($B71,'Data shares'!$C:$FB,7)</f>
        <v>163.57</v>
      </c>
      <c r="D71" s="82">
        <f>VLOOKUP($B71,'Data shares'!$C:$FB,98)</f>
        <v>169397550</v>
      </c>
      <c r="E71" s="165">
        <f>VLOOKUP(B71,'Snapshot (Volume)'!$A$7:$G$168,7,0)</f>
        <v>174774600</v>
      </c>
      <c r="F71" s="165">
        <f t="shared" si="23"/>
        <v>-5377050</v>
      </c>
      <c r="G71" s="166">
        <f t="shared" si="24"/>
        <v>-3.0765626126450868E-2</v>
      </c>
      <c r="H71" s="165">
        <f>VLOOKUP($B71,'Data shares'!$C:$FB,66)</f>
        <v>102113550</v>
      </c>
      <c r="I71" s="165">
        <f>VLOOKUP($B71,'Data shares'!$C:$FB,67)</f>
        <v>135346050</v>
      </c>
      <c r="J71" s="81">
        <f t="shared" si="25"/>
        <v>-24.553727279074639</v>
      </c>
      <c r="K71" s="5">
        <f>VLOOKUP($B71,'Data Vlaue (Cr)'!$C:$FB,99)</f>
        <v>2775</v>
      </c>
      <c r="L71" s="81">
        <f>VLOOKUP(B71,'OI(Value)'!$A$7:$C$226,3,0)</f>
        <v>-88</v>
      </c>
      <c r="M71" s="33">
        <f t="shared" si="22"/>
        <v>-3.1711711711711712</v>
      </c>
      <c r="N71" s="5">
        <f>VLOOKUP($B71,'Data Vlaue (Cr)'!$C:$FB,67)</f>
        <v>1673</v>
      </c>
      <c r="O71" s="5">
        <f>VLOOKUP($B71,'Data Vlaue (Cr)'!$C:$FB,68)</f>
        <v>2217</v>
      </c>
      <c r="P71" s="5">
        <f t="shared" si="26"/>
        <v>-32.516437537358037</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Pharma</v>
      </c>
      <c r="B72" s="79" t="str">
        <f>'Data shares'!C67</f>
        <v>GLENMARK</v>
      </c>
      <c r="C72" s="4">
        <f>VLOOKUP($B72,'Data shares'!$C:$FB,7)</f>
        <v>1997.2</v>
      </c>
      <c r="D72" s="82">
        <f>VLOOKUP($B72,'Data shares'!$C:$FB,98)</f>
        <v>16743000</v>
      </c>
      <c r="E72" s="165">
        <f>VLOOKUP(B72,'Snapshot (Volume)'!$A$7:$G$168,7,0)</f>
        <v>17463375</v>
      </c>
      <c r="F72" s="165">
        <f t="shared" si="23"/>
        <v>-720375</v>
      </c>
      <c r="G72" s="166">
        <f t="shared" si="24"/>
        <v>-4.1250617363482144E-2</v>
      </c>
      <c r="H72" s="165">
        <f>VLOOKUP($B72,'Data shares'!$C:$FB,66)</f>
        <v>15132375</v>
      </c>
      <c r="I72" s="165">
        <f>VLOOKUP($B72,'Data shares'!$C:$FB,67)</f>
        <v>14340000</v>
      </c>
      <c r="J72" s="81">
        <f t="shared" si="25"/>
        <v>5.5256276150627617</v>
      </c>
      <c r="K72" s="5">
        <f>VLOOKUP($B72,'Data Vlaue (Cr)'!$C:$FB,99)</f>
        <v>3340</v>
      </c>
      <c r="L72" s="81">
        <f>VLOOKUP(B72,'OI(Value)'!$A$7:$C$226,3,0)</f>
        <v>-144</v>
      </c>
      <c r="M72" s="33">
        <f t="shared" si="22"/>
        <v>-4.3113772455089823</v>
      </c>
      <c r="N72" s="5">
        <f>VLOOKUP($B72,'Data Vlaue (Cr)'!$C:$FB,67)</f>
        <v>3019</v>
      </c>
      <c r="O72" s="5">
        <f>VLOOKUP($B72,'Data Vlaue (Cr)'!$C:$FB,68)</f>
        <v>2861</v>
      </c>
      <c r="P72" s="5">
        <f t="shared" si="26"/>
        <v>5.2335210334547861</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Infrastructure</v>
      </c>
      <c r="B73" s="79" t="str">
        <f>'Data shares'!C68</f>
        <v>GMRAIRPORT</v>
      </c>
      <c r="C73" s="4">
        <f>VLOOKUP($B73,'Data shares'!$C:$FB,7)</f>
        <v>95.1</v>
      </c>
      <c r="D73" s="82">
        <f>VLOOKUP($B73,'Data shares'!$C:$FB,98)</f>
        <v>360851625</v>
      </c>
      <c r="E73" s="165">
        <f>VLOOKUP(B73,'Snapshot (Volume)'!$A$7:$G$168,7,0)</f>
        <v>366096825</v>
      </c>
      <c r="F73" s="165">
        <f t="shared" si="23"/>
        <v>-5245200</v>
      </c>
      <c r="G73" s="166">
        <f t="shared" si="24"/>
        <v>-1.4327357250366757E-2</v>
      </c>
      <c r="H73" s="165">
        <f>VLOOKUP($B73,'Data shares'!$C:$FB,66)</f>
        <v>198606150</v>
      </c>
      <c r="I73" s="165">
        <f>VLOOKUP($B73,'Data shares'!$C:$FB,67)</f>
        <v>277298100</v>
      </c>
      <c r="J73" s="81">
        <f t="shared" si="25"/>
        <v>-28.378106449340979</v>
      </c>
      <c r="K73" s="5">
        <f>VLOOKUP($B73,'Data Vlaue (Cr)'!$C:$FB,99)</f>
        <v>3434</v>
      </c>
      <c r="L73" s="81">
        <f>VLOOKUP(B73,'OI(Value)'!$A$7:$C$226,3,0)</f>
        <v>-50</v>
      </c>
      <c r="M73" s="33">
        <f t="shared" si="22"/>
        <v>-1.4560279557367501</v>
      </c>
      <c r="N73" s="5">
        <f>VLOOKUP($B73,'Data Vlaue (Cr)'!$C:$FB,67)</f>
        <v>1890</v>
      </c>
      <c r="O73" s="5">
        <f>VLOOKUP($B73,'Data Vlaue (Cr)'!$C:$FB,68)</f>
        <v>2639</v>
      </c>
      <c r="P73" s="5">
        <f t="shared" si="26"/>
        <v>-39.629629629629633</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FMCG</v>
      </c>
      <c r="B74" s="79" t="str">
        <f>'Data shares'!C69</f>
        <v>GODREJCP</v>
      </c>
      <c r="C74" s="4">
        <f>VLOOKUP($B74,'Data shares'!$C:$FB,7)</f>
        <v>1246</v>
      </c>
      <c r="D74" s="82">
        <f>VLOOKUP($B74,'Data shares'!$C:$FB,98)</f>
        <v>11969500</v>
      </c>
      <c r="E74" s="165">
        <f>VLOOKUP(B74,'Snapshot (Volume)'!$A$7:$G$168,7,0)</f>
        <v>12304500</v>
      </c>
      <c r="F74" s="165">
        <f t="shared" si="23"/>
        <v>-335000</v>
      </c>
      <c r="G74" s="166">
        <f t="shared" si="24"/>
        <v>-2.7225811694908366E-2</v>
      </c>
      <c r="H74" s="165">
        <f>VLOOKUP($B74,'Data shares'!$C:$FB,66)</f>
        <v>13971000</v>
      </c>
      <c r="I74" s="165">
        <f>VLOOKUP($B74,'Data shares'!$C:$FB,67)</f>
        <v>10059500</v>
      </c>
      <c r="J74" s="81">
        <f t="shared" si="25"/>
        <v>38.883642328147523</v>
      </c>
      <c r="K74" s="5">
        <f>VLOOKUP($B74,'Data Vlaue (Cr)'!$C:$FB,99)</f>
        <v>1495</v>
      </c>
      <c r="L74" s="81">
        <f>VLOOKUP(B74,'OI(Value)'!$A$7:$C$226,3,0)</f>
        <v>-42</v>
      </c>
      <c r="M74" s="33">
        <f t="shared" si="22"/>
        <v>-2.8093645484949836</v>
      </c>
      <c r="N74" s="5">
        <f>VLOOKUP($B74,'Data Vlaue (Cr)'!$C:$FB,67)</f>
        <v>1745</v>
      </c>
      <c r="O74" s="5">
        <f>VLOOKUP($B74,'Data Vlaue (Cr)'!$C:$FB,68)</f>
        <v>1256</v>
      </c>
      <c r="P74" s="5">
        <f t="shared" si="26"/>
        <v>28.022922636103154</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Realty</v>
      </c>
      <c r="B75" s="79" t="str">
        <f>'Data shares'!C70</f>
        <v>GODREJPROP</v>
      </c>
      <c r="C75" s="4">
        <f>VLOOKUP($B75,'Data shares'!$C:$FB,7)</f>
        <v>1620.4</v>
      </c>
      <c r="D75" s="82">
        <f>VLOOKUP($B75,'Data shares'!$C:$FB,98)</f>
        <v>23287275</v>
      </c>
      <c r="E75" s="165">
        <f>VLOOKUP(B75,'Snapshot (Volume)'!$A$7:$G$168,7,0)</f>
        <v>22830775</v>
      </c>
      <c r="F75" s="165">
        <f t="shared" si="23"/>
        <v>456500</v>
      </c>
      <c r="G75" s="166">
        <f t="shared" si="24"/>
        <v>1.9994941039014225E-2</v>
      </c>
      <c r="H75" s="165">
        <f>VLOOKUP($B75,'Data shares'!$C:$FB,66)</f>
        <v>23592800</v>
      </c>
      <c r="I75" s="165">
        <f>VLOOKUP($B75,'Data shares'!$C:$FB,67)</f>
        <v>32249525</v>
      </c>
      <c r="J75" s="81">
        <f t="shared" si="25"/>
        <v>-26.842953500865519</v>
      </c>
      <c r="K75" s="5">
        <f>VLOOKUP($B75,'Data Vlaue (Cr)'!$C:$FB,99)</f>
        <v>3781</v>
      </c>
      <c r="L75" s="81">
        <f>VLOOKUP(B75,'OI(Value)'!$A$7:$C$226,3,0)</f>
        <v>74</v>
      </c>
      <c r="M75" s="33">
        <f t="shared" si="22"/>
        <v>1.9571541920126951</v>
      </c>
      <c r="N75" s="5">
        <f>VLOOKUP($B75,'Data Vlaue (Cr)'!$C:$FB,67)</f>
        <v>3830</v>
      </c>
      <c r="O75" s="5">
        <f>VLOOKUP($B75,'Data Vlaue (Cr)'!$C:$FB,68)</f>
        <v>5236</v>
      </c>
      <c r="P75" s="5">
        <f t="shared" si="26"/>
        <v>-36.710182767624019</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Cement</v>
      </c>
      <c r="B76" s="79" t="str">
        <f>'Data shares'!C71</f>
        <v>GRASIM</v>
      </c>
      <c r="C76" s="4">
        <f>VLOOKUP($B76,'Data shares'!$C:$FB,7)</f>
        <v>2787.6</v>
      </c>
      <c r="D76" s="82">
        <f>VLOOKUP($B76,'Data shares'!$C:$FB,98)</f>
        <v>19878500</v>
      </c>
      <c r="E76" s="165">
        <f>VLOOKUP(B76,'Snapshot (Volume)'!$A$7:$G$168,7,0)</f>
        <v>20167500</v>
      </c>
      <c r="F76" s="165">
        <f t="shared" si="23"/>
        <v>-289000</v>
      </c>
      <c r="G76" s="166">
        <f t="shared" si="24"/>
        <v>-1.4329986364199826E-2</v>
      </c>
      <c r="H76" s="165">
        <f>VLOOKUP($B76,'Data shares'!$C:$FB,66)</f>
        <v>15705250</v>
      </c>
      <c r="I76" s="165">
        <f>VLOOKUP($B76,'Data shares'!$C:$FB,67)</f>
        <v>11957750</v>
      </c>
      <c r="J76" s="81">
        <f t="shared" si="25"/>
        <v>31.339507850557169</v>
      </c>
      <c r="K76" s="5">
        <f>VLOOKUP($B76,'Data Vlaue (Cr)'!$C:$FB,99)</f>
        <v>5552</v>
      </c>
      <c r="L76" s="81">
        <f>VLOOKUP(B76,'OI(Value)'!$A$7:$C$226,3,0)</f>
        <v>-81</v>
      </c>
      <c r="M76" s="33">
        <f t="shared" si="22"/>
        <v>-1.4589337175792507</v>
      </c>
      <c r="N76" s="5">
        <f>VLOOKUP($B76,'Data Vlaue (Cr)'!$C:$FB,67)</f>
        <v>4386</v>
      </c>
      <c r="O76" s="5">
        <f>VLOOKUP($B76,'Data Vlaue (Cr)'!$C:$FB,68)</f>
        <v>3340</v>
      </c>
      <c r="P76" s="5">
        <f t="shared" si="26"/>
        <v>23.848609211126313</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Capital_Goods</v>
      </c>
      <c r="B77" s="79" t="str">
        <f>'Data shares'!C72</f>
        <v>HAL</v>
      </c>
      <c r="C77" s="4">
        <f>VLOOKUP($B77,'Data shares'!$C:$FB,7)</f>
        <v>4353.2</v>
      </c>
      <c r="D77" s="82">
        <f>VLOOKUP($B77,'Data shares'!$C:$FB,98)</f>
        <v>18452100</v>
      </c>
      <c r="E77" s="165">
        <f>VLOOKUP(B77,'Snapshot (Volume)'!$A$7:$G$168,7,0)</f>
        <v>19197000</v>
      </c>
      <c r="F77" s="165">
        <f t="shared" si="23"/>
        <v>-744900</v>
      </c>
      <c r="G77" s="166">
        <f t="shared" si="24"/>
        <v>-3.8802937959056101E-2</v>
      </c>
      <c r="H77" s="165">
        <f>VLOOKUP($B77,'Data shares'!$C:$FB,66)</f>
        <v>20090550</v>
      </c>
      <c r="I77" s="165">
        <f>VLOOKUP($B77,'Data shares'!$C:$FB,67)</f>
        <v>22248900</v>
      </c>
      <c r="J77" s="81">
        <f t="shared" si="25"/>
        <v>-9.7009290346938499</v>
      </c>
      <c r="K77" s="5">
        <f>VLOOKUP($B77,'Data Vlaue (Cr)'!$C:$FB,99)</f>
        <v>8027</v>
      </c>
      <c r="L77" s="81">
        <f>VLOOKUP(B77,'OI(Value)'!$A$7:$C$226,3,0)</f>
        <v>-324</v>
      </c>
      <c r="M77" s="33">
        <f t="shared" si="22"/>
        <v>-4.036377226859349</v>
      </c>
      <c r="N77" s="5">
        <f>VLOOKUP($B77,'Data Vlaue (Cr)'!$C:$FB,67)</f>
        <v>8740</v>
      </c>
      <c r="O77" s="5">
        <f>VLOOKUP($B77,'Data Vlaue (Cr)'!$C:$FB,68)</f>
        <v>9678</v>
      </c>
      <c r="P77" s="5">
        <f t="shared" si="26"/>
        <v>-10.732265446224257</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Capital_Goods</v>
      </c>
      <c r="B78" s="79" t="str">
        <f>'Data shares'!C73</f>
        <v>HAVELLS</v>
      </c>
      <c r="C78" s="4">
        <f>VLOOKUP($B78,'Data shares'!$C:$FB,7)</f>
        <v>1311.8</v>
      </c>
      <c r="D78" s="82">
        <f>VLOOKUP($B78,'Data shares'!$C:$FB,98)</f>
        <v>23037000</v>
      </c>
      <c r="E78" s="165">
        <f>VLOOKUP(B78,'Snapshot (Volume)'!$A$7:$G$168,7,0)</f>
        <v>24149500</v>
      </c>
      <c r="F78" s="165">
        <f t="shared" si="23"/>
        <v>-1112500</v>
      </c>
      <c r="G78" s="166">
        <f t="shared" si="24"/>
        <v>-4.6067206360380135E-2</v>
      </c>
      <c r="H78" s="165">
        <f>VLOOKUP($B78,'Data shares'!$C:$FB,66)</f>
        <v>22991500</v>
      </c>
      <c r="I78" s="165">
        <f>VLOOKUP($B78,'Data shares'!$C:$FB,67)</f>
        <v>58449500</v>
      </c>
      <c r="J78" s="81">
        <f t="shared" si="25"/>
        <v>-60.664334168812395</v>
      </c>
      <c r="K78" s="5">
        <f>VLOOKUP($B78,'Data Vlaue (Cr)'!$C:$FB,99)</f>
        <v>3014</v>
      </c>
      <c r="L78" s="81">
        <f>VLOOKUP(B78,'OI(Value)'!$A$7:$C$226,3,0)</f>
        <v>-146</v>
      </c>
      <c r="M78" s="33">
        <f t="shared" si="22"/>
        <v>-4.8440610484406106</v>
      </c>
      <c r="N78" s="5">
        <f>VLOOKUP($B78,'Data Vlaue (Cr)'!$C:$FB,67)</f>
        <v>3008</v>
      </c>
      <c r="O78" s="5">
        <f>VLOOKUP($B78,'Data Vlaue (Cr)'!$C:$FB,68)</f>
        <v>7648</v>
      </c>
      <c r="P78" s="5">
        <f t="shared" si="26"/>
        <v>-154.25531914893617</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Technology</v>
      </c>
      <c r="B79" s="79" t="str">
        <f>'Data shares'!C74</f>
        <v>HCLTECH</v>
      </c>
      <c r="C79" s="4">
        <f>VLOOKUP($B79,'Data shares'!$C:$FB,7)</f>
        <v>1703.1</v>
      </c>
      <c r="D79" s="82">
        <f>VLOOKUP($B79,'Data shares'!$C:$FB,98)</f>
        <v>30254700</v>
      </c>
      <c r="E79" s="165">
        <f>VLOOKUP(B79,'Snapshot (Volume)'!$A$7:$G$168,7,0)</f>
        <v>30284450</v>
      </c>
      <c r="F79" s="165">
        <f t="shared" si="23"/>
        <v>-29750</v>
      </c>
      <c r="G79" s="166">
        <f t="shared" si="24"/>
        <v>-9.8235232933072906E-4</v>
      </c>
      <c r="H79" s="165">
        <f>VLOOKUP($B79,'Data shares'!$C:$FB,66)</f>
        <v>31633700</v>
      </c>
      <c r="I79" s="165">
        <f>VLOOKUP($B79,'Data shares'!$C:$FB,67)</f>
        <v>32516400</v>
      </c>
      <c r="J79" s="81">
        <f t="shared" si="25"/>
        <v>-2.7146301558598123</v>
      </c>
      <c r="K79" s="5">
        <f>VLOOKUP($B79,'Data Vlaue (Cr)'!$C:$FB,99)</f>
        <v>5151</v>
      </c>
      <c r="L79" s="81">
        <f>VLOOKUP(B79,'OI(Value)'!$A$7:$C$226,3,0)</f>
        <v>-5</v>
      </c>
      <c r="M79" s="33">
        <f t="shared" si="22"/>
        <v>-9.7068530382450002E-2</v>
      </c>
      <c r="N79" s="5">
        <f>VLOOKUP($B79,'Data Vlaue (Cr)'!$C:$FB,67)</f>
        <v>5386</v>
      </c>
      <c r="O79" s="5">
        <f>VLOOKUP($B79,'Data Vlaue (Cr)'!$C:$FB,68)</f>
        <v>5536</v>
      </c>
      <c r="P79" s="5">
        <f t="shared" si="26"/>
        <v>-2.7849981433345712</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Finance</v>
      </c>
      <c r="B80" s="79" t="str">
        <f>'Data shares'!C75</f>
        <v>HDFCAMC</v>
      </c>
      <c r="C80" s="4">
        <f>VLOOKUP($B80,'Data shares'!$C:$FB,7)</f>
        <v>2498.9</v>
      </c>
      <c r="D80" s="82">
        <f>VLOOKUP($B80,'Data shares'!$C:$FB,98)</f>
        <v>12630000</v>
      </c>
      <c r="E80" s="165">
        <f>VLOOKUP(B80,'Snapshot (Volume)'!$A$7:$G$168,7,0)</f>
        <v>13228500</v>
      </c>
      <c r="F80" s="165">
        <f t="shared" si="23"/>
        <v>-598500</v>
      </c>
      <c r="G80" s="166">
        <f t="shared" si="24"/>
        <v>-4.5243224855425784E-2</v>
      </c>
      <c r="H80" s="165">
        <f>VLOOKUP($B80,'Data shares'!$C:$FB,66)</f>
        <v>10828800</v>
      </c>
      <c r="I80" s="165">
        <f>VLOOKUP($B80,'Data shares'!$C:$FB,67)</f>
        <v>15857400</v>
      </c>
      <c r="J80" s="81">
        <f t="shared" si="25"/>
        <v>-31.711377653335347</v>
      </c>
      <c r="K80" s="5">
        <f>VLOOKUP($B80,'Data Vlaue (Cr)'!$C:$FB,99)</f>
        <v>3154</v>
      </c>
      <c r="L80" s="81">
        <f>VLOOKUP(B80,'OI(Value)'!$A$7:$C$226,3,0)</f>
        <v>-149</v>
      </c>
      <c r="M80" s="33">
        <f t="shared" si="22"/>
        <v>-4.7241597970830691</v>
      </c>
      <c r="N80" s="5">
        <f>VLOOKUP($B80,'Data Vlaue (Cr)'!$C:$FB,67)</f>
        <v>2704</v>
      </c>
      <c r="O80" s="5">
        <f>VLOOKUP($B80,'Data Vlaue (Cr)'!$C:$FB,68)</f>
        <v>3960</v>
      </c>
      <c r="P80" s="5">
        <f t="shared" si="26"/>
        <v>-46.449704142011832</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Banking</v>
      </c>
      <c r="B81" s="79" t="str">
        <f>'Data shares'!C76</f>
        <v>HDFCBANK</v>
      </c>
      <c r="C81" s="4">
        <f>VLOOKUP($B81,'Data shares'!$C:$FB,7)</f>
        <v>918.7</v>
      </c>
      <c r="D81" s="82">
        <f>VLOOKUP($B81,'Data shares'!$C:$FB,98)</f>
        <v>408159400</v>
      </c>
      <c r="E81" s="165">
        <f>VLOOKUP(B81,'Snapshot (Volume)'!$A$7:$G$168,7,0)</f>
        <v>399782350</v>
      </c>
      <c r="F81" s="165">
        <f t="shared" si="23"/>
        <v>8377050</v>
      </c>
      <c r="G81" s="166">
        <f t="shared" si="24"/>
        <v>2.0954026609729018E-2</v>
      </c>
      <c r="H81" s="165">
        <f>VLOOKUP($B81,'Data shares'!$C:$FB,66)</f>
        <v>377121800</v>
      </c>
      <c r="I81" s="165">
        <f>VLOOKUP($B81,'Data shares'!$C:$FB,67)</f>
        <v>424313450</v>
      </c>
      <c r="J81" s="81">
        <f t="shared" si="25"/>
        <v>-11.121884069430276</v>
      </c>
      <c r="K81" s="5">
        <f>VLOOKUP($B81,'Data Vlaue (Cr)'!$C:$FB,99)</f>
        <v>37614</v>
      </c>
      <c r="L81" s="81">
        <f>VLOOKUP(B81,'OI(Value)'!$A$7:$C$226,3,0)</f>
        <v>772</v>
      </c>
      <c r="M81" s="33">
        <f t="shared" si="22"/>
        <v>2.052427287712022</v>
      </c>
      <c r="N81" s="5">
        <f>VLOOKUP($B81,'Data Vlaue (Cr)'!$C:$FB,67)</f>
        <v>34754</v>
      </c>
      <c r="O81" s="5">
        <f>VLOOKUP($B81,'Data Vlaue (Cr)'!$C:$FB,68)</f>
        <v>39103</v>
      </c>
      <c r="P81" s="5">
        <f t="shared" si="26"/>
        <v>-12.513667491511768</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Finance</v>
      </c>
      <c r="B82" s="79" t="str">
        <f>'Data shares'!C77</f>
        <v>HDFCLIFE</v>
      </c>
      <c r="C82" s="4">
        <f>VLOOKUP($B82,'Data shares'!$C:$FB,7)</f>
        <v>725.1</v>
      </c>
      <c r="D82" s="82">
        <f>VLOOKUP($B82,'Data shares'!$C:$FB,98)</f>
        <v>61250200</v>
      </c>
      <c r="E82" s="165">
        <f>VLOOKUP(B82,'Snapshot (Volume)'!$A$7:$G$168,7,0)</f>
        <v>61154500</v>
      </c>
      <c r="F82" s="165">
        <f t="shared" si="23"/>
        <v>95700</v>
      </c>
      <c r="G82" s="166">
        <f t="shared" si="24"/>
        <v>1.5648889288605091E-3</v>
      </c>
      <c r="H82" s="165">
        <f>VLOOKUP($B82,'Data shares'!$C:$FB,66)</f>
        <v>51954100</v>
      </c>
      <c r="I82" s="165">
        <f>VLOOKUP($B82,'Data shares'!$C:$FB,67)</f>
        <v>60341600</v>
      </c>
      <c r="J82" s="81">
        <f t="shared" si="25"/>
        <v>-13.900029167274319</v>
      </c>
      <c r="K82" s="5">
        <f>VLOOKUP($B82,'Data Vlaue (Cr)'!$C:$FB,99)</f>
        <v>4443</v>
      </c>
      <c r="L82" s="81">
        <f>VLOOKUP(B82,'OI(Value)'!$A$7:$C$226,3,0)</f>
        <v>7</v>
      </c>
      <c r="M82" s="33">
        <f t="shared" si="22"/>
        <v>0.15755120414134594</v>
      </c>
      <c r="N82" s="5">
        <f>VLOOKUP($B82,'Data Vlaue (Cr)'!$C:$FB,67)</f>
        <v>3769</v>
      </c>
      <c r="O82" s="5">
        <f>VLOOKUP($B82,'Data Vlaue (Cr)'!$C:$FB,68)</f>
        <v>4377</v>
      </c>
      <c r="P82" s="5">
        <f t="shared" si="26"/>
        <v>-16.131599893871055</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Automobile</v>
      </c>
      <c r="B83" s="79" t="str">
        <f>'Data shares'!C78</f>
        <v>HEROMOTOCO</v>
      </c>
      <c r="C83" s="4">
        <f>VLOOKUP($B83,'Data shares'!$C:$FB,7)</f>
        <v>5488.5</v>
      </c>
      <c r="D83" s="82">
        <f>VLOOKUP($B83,'Data shares'!$C:$FB,98)</f>
        <v>9807000</v>
      </c>
      <c r="E83" s="165">
        <f>VLOOKUP(B83,'Snapshot (Volume)'!$A$7:$G$168,7,0)</f>
        <v>10189500</v>
      </c>
      <c r="F83" s="165">
        <f t="shared" si="23"/>
        <v>-382500</v>
      </c>
      <c r="G83" s="166">
        <f t="shared" si="24"/>
        <v>-3.7538642720447518E-2</v>
      </c>
      <c r="H83" s="165">
        <f>VLOOKUP($B83,'Data shares'!$C:$FB,66)</f>
        <v>14574000</v>
      </c>
      <c r="I83" s="165">
        <f>VLOOKUP($B83,'Data shares'!$C:$FB,67)</f>
        <v>16973700</v>
      </c>
      <c r="J83" s="81">
        <f t="shared" si="25"/>
        <v>-14.137754290461125</v>
      </c>
      <c r="K83" s="5">
        <f>VLOOKUP($B83,'Data Vlaue (Cr)'!$C:$FB,99)</f>
        <v>5379</v>
      </c>
      <c r="L83" s="81">
        <f>VLOOKUP(B83,'OI(Value)'!$A$7:$C$226,3,0)</f>
        <v>-210</v>
      </c>
      <c r="M83" s="33">
        <f t="shared" si="22"/>
        <v>-3.9040713887339651</v>
      </c>
      <c r="N83" s="5">
        <f>VLOOKUP($B83,'Data Vlaue (Cr)'!$C:$FB,67)</f>
        <v>7994</v>
      </c>
      <c r="O83" s="5">
        <f>VLOOKUP($B83,'Data Vlaue (Cr)'!$C:$FB,68)</f>
        <v>9310</v>
      </c>
      <c r="P83" s="5">
        <f t="shared" si="26"/>
        <v>-16.462346760070051</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Metals</v>
      </c>
      <c r="B84" s="79" t="str">
        <f>'Data shares'!C79</f>
        <v>HINDALCO</v>
      </c>
      <c r="C84" s="4">
        <f>VLOOKUP($B84,'Data shares'!$C:$FB,7)</f>
        <v>944.45</v>
      </c>
      <c r="D84" s="82">
        <f>VLOOKUP($B84,'Data shares'!$C:$FB,98)</f>
        <v>80038700</v>
      </c>
      <c r="E84" s="165">
        <f>VLOOKUP(B84,'Snapshot (Volume)'!$A$7:$G$168,7,0)</f>
        <v>82918500</v>
      </c>
      <c r="F84" s="165">
        <f t="shared" si="23"/>
        <v>-2879800</v>
      </c>
      <c r="G84" s="166">
        <f t="shared" si="24"/>
        <v>-3.4730488371111395E-2</v>
      </c>
      <c r="H84" s="165">
        <f>VLOOKUP($B84,'Data shares'!$C:$FB,66)</f>
        <v>94411800</v>
      </c>
      <c r="I84" s="165">
        <f>VLOOKUP($B84,'Data shares'!$C:$FB,67)</f>
        <v>89558700</v>
      </c>
      <c r="J84" s="81">
        <f t="shared" si="25"/>
        <v>5.4189040260745189</v>
      </c>
      <c r="K84" s="5">
        <f>VLOOKUP($B84,'Data Vlaue (Cr)'!$C:$FB,99)</f>
        <v>7533</v>
      </c>
      <c r="L84" s="81">
        <f>VLOOKUP(B84,'OI(Value)'!$A$7:$C$226,3,0)</f>
        <v>-271</v>
      </c>
      <c r="M84" s="33">
        <f t="shared" si="22"/>
        <v>-3.5975043143501924</v>
      </c>
      <c r="N84" s="5">
        <f>VLOOKUP($B84,'Data Vlaue (Cr)'!$C:$FB,67)</f>
        <v>8886</v>
      </c>
      <c r="O84" s="5">
        <f>VLOOKUP($B84,'Data Vlaue (Cr)'!$C:$FB,68)</f>
        <v>8429</v>
      </c>
      <c r="P84" s="5">
        <f t="shared" si="26"/>
        <v>5.1429214494710784</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Oil_Gas</v>
      </c>
      <c r="B85" s="79" t="str">
        <f>'Data shares'!C80</f>
        <v>HINDPETRO</v>
      </c>
      <c r="C85" s="4">
        <f>VLOOKUP($B85,'Data shares'!$C:$FB,7)</f>
        <v>427.7</v>
      </c>
      <c r="D85" s="82">
        <f>VLOOKUP($B85,'Data shares'!$C:$FB,98)</f>
        <v>74135250</v>
      </c>
      <c r="E85" s="165">
        <f>VLOOKUP(B85,'Snapshot (Volume)'!$A$7:$G$168,7,0)</f>
        <v>76666500</v>
      </c>
      <c r="F85" s="165">
        <f t="shared" si="23"/>
        <v>-2531250</v>
      </c>
      <c r="G85" s="166">
        <f t="shared" si="24"/>
        <v>-3.3016376122556791E-2</v>
      </c>
      <c r="H85" s="165">
        <f>VLOOKUP($B85,'Data shares'!$C:$FB,66)</f>
        <v>97977600</v>
      </c>
      <c r="I85" s="165">
        <f>VLOOKUP($B85,'Data shares'!$C:$FB,67)</f>
        <v>94132125</v>
      </c>
      <c r="J85" s="81">
        <f t="shared" si="25"/>
        <v>4.0851887705711523</v>
      </c>
      <c r="K85" s="5">
        <f>VLOOKUP($B85,'Data Vlaue (Cr)'!$C:$FB,99)</f>
        <v>3169</v>
      </c>
      <c r="L85" s="81">
        <f>VLOOKUP(B85,'OI(Value)'!$A$7:$C$226,3,0)</f>
        <v>-108</v>
      </c>
      <c r="M85" s="33">
        <f t="shared" si="22"/>
        <v>-3.4080151467339856</v>
      </c>
      <c r="N85" s="5">
        <f>VLOOKUP($B85,'Data Vlaue (Cr)'!$C:$FB,67)</f>
        <v>4189</v>
      </c>
      <c r="O85" s="5">
        <f>VLOOKUP($B85,'Data Vlaue (Cr)'!$C:$FB,68)</f>
        <v>4024</v>
      </c>
      <c r="P85" s="5">
        <f t="shared" si="26"/>
        <v>3.93888756266412</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FMCG</v>
      </c>
      <c r="B86" s="79" t="str">
        <f>'Data shares'!C81</f>
        <v>HINDUNILVR</v>
      </c>
      <c r="C86" s="4">
        <f>VLOOKUP($B86,'Data shares'!$C:$FB,7)</f>
        <v>2390.6</v>
      </c>
      <c r="D86" s="82">
        <f>VLOOKUP($B86,'Data shares'!$C:$FB,98)</f>
        <v>24432300</v>
      </c>
      <c r="E86" s="165">
        <f>VLOOKUP(B86,'Snapshot (Volume)'!$A$7:$G$168,7,0)</f>
        <v>25269600</v>
      </c>
      <c r="F86" s="165">
        <f t="shared" ref="F86:F96" si="27">D86-E86</f>
        <v>-837300</v>
      </c>
      <c r="G86" s="166">
        <f t="shared" ref="G86:G96" si="28">F86/E86</f>
        <v>-3.3134675657707287E-2</v>
      </c>
      <c r="H86" s="165">
        <f>VLOOKUP($B86,'Data shares'!$C:$FB,66)</f>
        <v>34986900</v>
      </c>
      <c r="I86" s="165">
        <f>VLOOKUP($B86,'Data shares'!$C:$FB,67)</f>
        <v>34698000</v>
      </c>
      <c r="J86" s="81">
        <f t="shared" ref="J86:J96" si="29">(H86-I86)/I86*100</f>
        <v>0.8326128307107038</v>
      </c>
      <c r="K86" s="5">
        <f>VLOOKUP($B86,'Data Vlaue (Cr)'!$C:$FB,99)</f>
        <v>5853</v>
      </c>
      <c r="L86" s="81">
        <f>VLOOKUP(B86,'OI(Value)'!$A$7:$C$226,3,0)</f>
        <v>-201</v>
      </c>
      <c r="M86" s="33">
        <f t="shared" si="22"/>
        <v>-3.4341363403382883</v>
      </c>
      <c r="N86" s="5">
        <f>VLOOKUP($B86,'Data Vlaue (Cr)'!$C:$FB,67)</f>
        <v>8381</v>
      </c>
      <c r="O86" s="5">
        <f>VLOOKUP($B86,'Data Vlaue (Cr)'!$C:$FB,68)</f>
        <v>8312</v>
      </c>
      <c r="P86" s="5">
        <f t="shared" ref="P86:P96" si="30">(N86-O86)/N86*100</f>
        <v>0.82329077675695017</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Metals</v>
      </c>
      <c r="B87" s="79" t="str">
        <f>'Data shares'!C82</f>
        <v>HINDZINC</v>
      </c>
      <c r="C87" s="4">
        <f>VLOOKUP($B87,'Data shares'!$C:$FB,7)</f>
        <v>668.25</v>
      </c>
      <c r="D87" s="82">
        <f>VLOOKUP($B87,'Data shares'!$C:$FB,98)</f>
        <v>139414800</v>
      </c>
      <c r="E87" s="165">
        <f>VLOOKUP(B87,'Snapshot (Volume)'!$A$7:$G$168,7,0)</f>
        <v>142052225</v>
      </c>
      <c r="F87" s="165">
        <f t="shared" si="27"/>
        <v>-2637425</v>
      </c>
      <c r="G87" s="166">
        <f t="shared" si="28"/>
        <v>-1.8566587042195222E-2</v>
      </c>
      <c r="H87" s="165">
        <f>VLOOKUP($B87,'Data shares'!$C:$FB,66)</f>
        <v>526218350</v>
      </c>
      <c r="I87" s="165">
        <f>VLOOKUP($B87,'Data shares'!$C:$FB,67)</f>
        <v>438515700</v>
      </c>
      <c r="J87" s="81">
        <f t="shared" si="29"/>
        <v>19.999888259416938</v>
      </c>
      <c r="K87" s="5">
        <f>VLOOKUP($B87,'Data Vlaue (Cr)'!$C:$FB,99)</f>
        <v>9284</v>
      </c>
      <c r="L87" s="81">
        <f>VLOOKUP(B87,'OI(Value)'!$A$7:$C$226,3,0)</f>
        <v>-176</v>
      </c>
      <c r="M87" s="33">
        <f t="shared" si="22"/>
        <v>-1.8957345971563981</v>
      </c>
      <c r="N87" s="5">
        <f>VLOOKUP($B87,'Data Vlaue (Cr)'!$C:$FB,67)</f>
        <v>35041</v>
      </c>
      <c r="O87" s="5">
        <f>VLOOKUP($B87,'Data Vlaue (Cr)'!$C:$FB,68)</f>
        <v>29201</v>
      </c>
      <c r="P87" s="5">
        <f t="shared" si="30"/>
        <v>16.666191033360921</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Realty</v>
      </c>
      <c r="B88" s="79" t="str">
        <f>'Data shares'!C83</f>
        <v>HUDCO</v>
      </c>
      <c r="C88" s="4">
        <f>VLOOKUP($B88,'Data shares'!$C:$FB,7)</f>
        <v>207.11</v>
      </c>
      <c r="D88" s="82">
        <f>VLOOKUP($B88,'Data shares'!$C:$FB,98)</f>
        <v>85952850</v>
      </c>
      <c r="E88" s="165">
        <f>VLOOKUP(B88,'Snapshot (Volume)'!$A$7:$G$168,7,0)</f>
        <v>87745500</v>
      </c>
      <c r="F88" s="165">
        <f t="shared" si="27"/>
        <v>-1792650</v>
      </c>
      <c r="G88" s="166">
        <f t="shared" si="28"/>
        <v>-2.0430107526881722E-2</v>
      </c>
      <c r="H88" s="165">
        <f>VLOOKUP($B88,'Data shares'!$C:$FB,66)</f>
        <v>73776150</v>
      </c>
      <c r="I88" s="165">
        <f>VLOOKUP($B88,'Data shares'!$C:$FB,67)</f>
        <v>72840975</v>
      </c>
      <c r="J88" s="81">
        <f t="shared" si="29"/>
        <v>1.2838584327021982</v>
      </c>
      <c r="K88" s="5">
        <f>VLOOKUP($B88,'Data Vlaue (Cr)'!$C:$FB,99)</f>
        <v>1779</v>
      </c>
      <c r="L88" s="81">
        <f>VLOOKUP(B88,'OI(Value)'!$A$7:$C$226,3,0)</f>
        <v>-37</v>
      </c>
      <c r="M88" s="33">
        <f t="shared" si="22"/>
        <v>-2.0798201236649803</v>
      </c>
      <c r="N88" s="5">
        <f>VLOOKUP($B88,'Data Vlaue (Cr)'!$C:$FB,67)</f>
        <v>1527</v>
      </c>
      <c r="O88" s="5">
        <f>VLOOKUP($B88,'Data Vlaue (Cr)'!$C:$FB,68)</f>
        <v>1508</v>
      </c>
      <c r="P88" s="5">
        <f t="shared" si="30"/>
        <v>1.2442698100851344</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Banking</v>
      </c>
      <c r="B89" s="79" t="str">
        <f>'Data shares'!C84</f>
        <v>ICICIBANK</v>
      </c>
      <c r="C89" s="4">
        <f>VLOOKUP($B89,'Data shares'!$C:$FB,7)</f>
        <v>1345.5</v>
      </c>
      <c r="D89" s="82">
        <f>VLOOKUP($B89,'Data shares'!$C:$FB,98)</f>
        <v>209731200</v>
      </c>
      <c r="E89" s="165">
        <f>VLOOKUP(B89,'Snapshot (Volume)'!$A$7:$G$168,7,0)</f>
        <v>211096900</v>
      </c>
      <c r="F89" s="165">
        <f t="shared" si="27"/>
        <v>-1365700</v>
      </c>
      <c r="G89" s="166">
        <f t="shared" si="28"/>
        <v>-6.4695407654020501E-3</v>
      </c>
      <c r="H89" s="165">
        <f>VLOOKUP($B89,'Data shares'!$C:$FB,66)</f>
        <v>203658000</v>
      </c>
      <c r="I89" s="165">
        <f>VLOOKUP($B89,'Data shares'!$C:$FB,67)</f>
        <v>307232800</v>
      </c>
      <c r="J89" s="81">
        <f t="shared" si="29"/>
        <v>-33.712155733372221</v>
      </c>
      <c r="K89" s="5">
        <f>VLOOKUP($B89,'Data Vlaue (Cr)'!$C:$FB,99)</f>
        <v>28284</v>
      </c>
      <c r="L89" s="81">
        <f>VLOOKUP(B89,'OI(Value)'!$A$7:$C$226,3,0)</f>
        <v>-184</v>
      </c>
      <c r="M89" s="33">
        <f t="shared" si="22"/>
        <v>-0.65054447744307742</v>
      </c>
      <c r="N89" s="5">
        <f>VLOOKUP($B89,'Data Vlaue (Cr)'!$C:$FB,67)</f>
        <v>27465</v>
      </c>
      <c r="O89" s="5">
        <f>VLOOKUP($B89,'Data Vlaue (Cr)'!$C:$FB,68)</f>
        <v>41433</v>
      </c>
      <c r="P89" s="5">
        <f t="shared" si="30"/>
        <v>-50.857454942654293</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Finance</v>
      </c>
      <c r="B90" s="79" t="str">
        <f>'Data shares'!C85</f>
        <v>ICICIGI</v>
      </c>
      <c r="C90" s="4">
        <f>VLOOKUP($B90,'Data shares'!$C:$FB,7)</f>
        <v>1824.7</v>
      </c>
      <c r="D90" s="82">
        <f>VLOOKUP($B90,'Data shares'!$C:$FB,98)</f>
        <v>8705450</v>
      </c>
      <c r="E90" s="165">
        <f>VLOOKUP(B90,'Snapshot (Volume)'!$A$7:$G$168,7,0)</f>
        <v>9160450</v>
      </c>
      <c r="F90" s="165">
        <f t="shared" si="27"/>
        <v>-455000</v>
      </c>
      <c r="G90" s="166">
        <f t="shared" si="28"/>
        <v>-4.9670048960476831E-2</v>
      </c>
      <c r="H90" s="165">
        <f>VLOOKUP($B90,'Data shares'!$C:$FB,66)</f>
        <v>6776900</v>
      </c>
      <c r="I90" s="165">
        <f>VLOOKUP($B90,'Data shares'!$C:$FB,67)</f>
        <v>7892950</v>
      </c>
      <c r="J90" s="81">
        <f t="shared" si="29"/>
        <v>-14.139833649015893</v>
      </c>
      <c r="K90" s="5">
        <f>VLOOKUP($B90,'Data Vlaue (Cr)'!$C:$FB,99)</f>
        <v>1594</v>
      </c>
      <c r="L90" s="81">
        <f>VLOOKUP(B90,'OI(Value)'!$A$7:$C$226,3,0)</f>
        <v>-83</v>
      </c>
      <c r="M90" s="33">
        <f t="shared" si="22"/>
        <v>-5.2070263488080304</v>
      </c>
      <c r="N90" s="5">
        <f>VLOOKUP($B90,'Data Vlaue (Cr)'!$C:$FB,67)</f>
        <v>1241</v>
      </c>
      <c r="O90" s="5">
        <f>VLOOKUP($B90,'Data Vlaue (Cr)'!$C:$FB,68)</f>
        <v>1445</v>
      </c>
      <c r="P90" s="5">
        <f t="shared" si="30"/>
        <v>-16.43835616438356</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Finance</v>
      </c>
      <c r="B91" s="79" t="str">
        <f>'Data shares'!C86</f>
        <v>ICICIPRULI</v>
      </c>
      <c r="C91" s="4">
        <f>VLOOKUP($B91,'Data shares'!$C:$FB,7)</f>
        <v>653.15</v>
      </c>
      <c r="D91" s="82">
        <f>VLOOKUP($B91,'Data shares'!$C:$FB,98)</f>
        <v>25228450</v>
      </c>
      <c r="E91" s="165">
        <f>VLOOKUP(B91,'Snapshot (Volume)'!$A$7:$G$168,7,0)</f>
        <v>25821375</v>
      </c>
      <c r="F91" s="165">
        <f t="shared" si="27"/>
        <v>-592925</v>
      </c>
      <c r="G91" s="166">
        <f t="shared" si="28"/>
        <v>-2.2962564929249508E-2</v>
      </c>
      <c r="H91" s="165">
        <f>VLOOKUP($B91,'Data shares'!$C:$FB,66)</f>
        <v>25265450</v>
      </c>
      <c r="I91" s="165">
        <f>VLOOKUP($B91,'Data shares'!$C:$FB,67)</f>
        <v>16445575</v>
      </c>
      <c r="J91" s="81">
        <f t="shared" si="29"/>
        <v>53.630687890207554</v>
      </c>
      <c r="K91" s="5">
        <f>VLOOKUP($B91,'Data Vlaue (Cr)'!$C:$FB,99)</f>
        <v>1650</v>
      </c>
      <c r="L91" s="81">
        <f>VLOOKUP(B91,'OI(Value)'!$A$7:$C$226,3,0)</f>
        <v>-39</v>
      </c>
      <c r="M91" s="33">
        <f t="shared" si="22"/>
        <v>-2.3636363636363638</v>
      </c>
      <c r="N91" s="5">
        <f>VLOOKUP($B91,'Data Vlaue (Cr)'!$C:$FB,67)</f>
        <v>1652</v>
      </c>
      <c r="O91" s="5">
        <f>VLOOKUP($B91,'Data Vlaue (Cr)'!$C:$FB,68)</f>
        <v>1075</v>
      </c>
      <c r="P91" s="5">
        <f t="shared" si="30"/>
        <v>34.927360774818403</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Telecom</v>
      </c>
      <c r="B92" s="79" t="str">
        <f>'Data shares'!C87</f>
        <v>IDEA</v>
      </c>
      <c r="C92" s="4">
        <f>VLOOKUP($B92,'Data shares'!$C:$FB,7)</f>
        <v>10.18</v>
      </c>
      <c r="D92" s="82">
        <f>VLOOKUP($B92,'Data shares'!$C:$FB,98)</f>
        <v>11928534225</v>
      </c>
      <c r="E92" s="165">
        <f>VLOOKUP(B92,'Snapshot (Volume)'!$A$7:$G$168,7,0)</f>
        <v>12003082650</v>
      </c>
      <c r="F92" s="165">
        <f t="shared" si="27"/>
        <v>-74548425</v>
      </c>
      <c r="G92" s="166">
        <f t="shared" si="28"/>
        <v>-6.2107732799790392E-3</v>
      </c>
      <c r="H92" s="165">
        <f>VLOOKUP($B92,'Data shares'!$C:$FB,66)</f>
        <v>4225459050</v>
      </c>
      <c r="I92" s="165">
        <f>VLOOKUP($B92,'Data shares'!$C:$FB,67)</f>
        <v>7266362925</v>
      </c>
      <c r="J92" s="81">
        <f t="shared" si="29"/>
        <v>-41.849050293617147</v>
      </c>
      <c r="K92" s="5">
        <f>VLOOKUP($B92,'Data Vlaue (Cr)'!$C:$FB,99)</f>
        <v>12191</v>
      </c>
      <c r="L92" s="81">
        <f>VLOOKUP(B92,'OI(Value)'!$A$7:$C$226,3,0)</f>
        <v>-76</v>
      </c>
      <c r="M92" s="33">
        <f t="shared" si="22"/>
        <v>-0.62341071282093341</v>
      </c>
      <c r="N92" s="5">
        <f>VLOOKUP($B92,'Data Vlaue (Cr)'!$C:$FB,67)</f>
        <v>4318</v>
      </c>
      <c r="O92" s="5">
        <f>VLOOKUP($B92,'Data Vlaue (Cr)'!$C:$FB,68)</f>
        <v>7426</v>
      </c>
      <c r="P92" s="5">
        <f t="shared" si="30"/>
        <v>-71.977767484946725</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Banking</v>
      </c>
      <c r="B93" s="79" t="str">
        <f>'Data shares'!C88</f>
        <v>IDFCFIRSTB</v>
      </c>
      <c r="C93" s="4">
        <f>VLOOKUP($B93,'Data shares'!$C:$FB,7)</f>
        <v>84.2</v>
      </c>
      <c r="D93" s="82">
        <f>VLOOKUP($B93,'Data shares'!$C:$FB,98)</f>
        <v>535696175</v>
      </c>
      <c r="E93" s="165">
        <f>VLOOKUP(B93,'Snapshot (Volume)'!$A$7:$G$168,7,0)</f>
        <v>554533700</v>
      </c>
      <c r="F93" s="165">
        <f t="shared" si="27"/>
        <v>-18837525</v>
      </c>
      <c r="G93" s="166">
        <f t="shared" si="28"/>
        <v>-3.3970027430253562E-2</v>
      </c>
      <c r="H93" s="165">
        <f>VLOOKUP($B93,'Data shares'!$C:$FB,66)</f>
        <v>472876600</v>
      </c>
      <c r="I93" s="165">
        <f>VLOOKUP($B93,'Data shares'!$C:$FB,67)</f>
        <v>463462475</v>
      </c>
      <c r="J93" s="81">
        <f t="shared" si="29"/>
        <v>2.0312593808161061</v>
      </c>
      <c r="K93" s="5">
        <f>VLOOKUP($B93,'Data Vlaue (Cr)'!$C:$FB,99)</f>
        <v>4507</v>
      </c>
      <c r="L93" s="81">
        <f>VLOOKUP(B93,'OI(Value)'!$A$7:$C$226,3,0)</f>
        <v>-158</v>
      </c>
      <c r="M93" s="33">
        <f t="shared" si="22"/>
        <v>-3.5056578655424895</v>
      </c>
      <c r="N93" s="5">
        <f>VLOOKUP($B93,'Data Vlaue (Cr)'!$C:$FB,67)</f>
        <v>3979</v>
      </c>
      <c r="O93" s="5">
        <f>VLOOKUP($B93,'Data Vlaue (Cr)'!$C:$FB,68)</f>
        <v>3900</v>
      </c>
      <c r="P93" s="5">
        <f t="shared" si="30"/>
        <v>1.9854234732344811</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Power</v>
      </c>
      <c r="B94" s="79" t="str">
        <f>'Data shares'!C89</f>
        <v>IEX</v>
      </c>
      <c r="C94" s="4">
        <f>VLOOKUP($B94,'Data shares'!$C:$FB,7)</f>
        <v>131.06</v>
      </c>
      <c r="D94" s="82">
        <f>VLOOKUP($B94,'Data shares'!$C:$FB,98)</f>
        <v>260216250</v>
      </c>
      <c r="E94" s="165">
        <f>VLOOKUP(B94,'Snapshot (Volume)'!$A$7:$G$168,7,0)</f>
        <v>278808750</v>
      </c>
      <c r="F94" s="165">
        <f t="shared" si="27"/>
        <v>-18592500</v>
      </c>
      <c r="G94" s="166">
        <f t="shared" si="28"/>
        <v>-6.6685496778705833E-2</v>
      </c>
      <c r="H94" s="165">
        <f>VLOOKUP($B94,'Data shares'!$C:$FB,66)</f>
        <v>182801250</v>
      </c>
      <c r="I94" s="165">
        <f>VLOOKUP($B94,'Data shares'!$C:$FB,67)</f>
        <v>227778750</v>
      </c>
      <c r="J94" s="81">
        <f t="shared" si="29"/>
        <v>-19.746135229910607</v>
      </c>
      <c r="K94" s="5">
        <f>VLOOKUP($B94,'Data Vlaue (Cr)'!$C:$FB,99)</f>
        <v>3420</v>
      </c>
      <c r="L94" s="81">
        <f>VLOOKUP(B94,'OI(Value)'!$A$7:$C$226,3,0)</f>
        <v>-244</v>
      </c>
      <c r="M94" s="33">
        <f t="shared" ref="M94:M122" si="31">L94/K94*100</f>
        <v>-7.1345029239766085</v>
      </c>
      <c r="N94" s="5">
        <f>VLOOKUP($B94,'Data Vlaue (Cr)'!$C:$FB,67)</f>
        <v>2403</v>
      </c>
      <c r="O94" s="5">
        <f>VLOOKUP($B94,'Data Vlaue (Cr)'!$C:$FB,68)</f>
        <v>2994</v>
      </c>
      <c r="P94" s="5">
        <f t="shared" si="30"/>
        <v>-24.594257178526842</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Finance</v>
      </c>
      <c r="B95" s="79" t="str">
        <f>'Data shares'!C90</f>
        <v>IIFL</v>
      </c>
      <c r="C95" s="4">
        <f>VLOOKUP($B95,'Data shares'!$C:$FB,7)</f>
        <v>538.75</v>
      </c>
      <c r="D95" s="82">
        <f>VLOOKUP($B95,'Data shares'!$C:$FB,98)</f>
        <v>33198000</v>
      </c>
      <c r="E95" s="165">
        <f>VLOOKUP(B95,'Snapshot (Volume)'!$A$7:$G$168,7,0)</f>
        <v>22697400</v>
      </c>
      <c r="F95" s="165">
        <f t="shared" si="27"/>
        <v>10500600</v>
      </c>
      <c r="G95" s="166">
        <f t="shared" si="28"/>
        <v>0.46263448676940971</v>
      </c>
      <c r="H95" s="165">
        <f>VLOOKUP($B95,'Data shares'!$C:$FB,66)</f>
        <v>232026300</v>
      </c>
      <c r="I95" s="165">
        <f>VLOOKUP($B95,'Data shares'!$C:$FB,67)</f>
        <v>40530600</v>
      </c>
      <c r="J95" s="81">
        <f t="shared" si="29"/>
        <v>472.47191011235952</v>
      </c>
      <c r="K95" s="5">
        <f>VLOOKUP($B95,'Data Vlaue (Cr)'!$C:$FB,99)</f>
        <v>1802</v>
      </c>
      <c r="L95" s="81">
        <f>VLOOKUP(B95,'OI(Value)'!$A$7:$C$226,3,0)</f>
        <v>570</v>
      </c>
      <c r="M95" s="33">
        <f t="shared" si="31"/>
        <v>31.631520532741398</v>
      </c>
      <c r="N95" s="5">
        <f>VLOOKUP($B95,'Data Vlaue (Cr)'!$C:$FB,67)</f>
        <v>12592</v>
      </c>
      <c r="O95" s="5">
        <f>VLOOKUP($B95,'Data Vlaue (Cr)'!$C:$FB,68)</f>
        <v>2200</v>
      </c>
      <c r="P95" s="5">
        <f t="shared" si="30"/>
        <v>82.528589580686145</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Realty</v>
      </c>
      <c r="B96" s="79" t="str">
        <f>'Data shares'!C91</f>
        <v>INDHOTEL</v>
      </c>
      <c r="C96" s="4">
        <f>VLOOKUP($B96,'Data shares'!$C:$FB,7)</f>
        <v>656.55</v>
      </c>
      <c r="D96" s="82">
        <f>VLOOKUP($B96,'Data shares'!$C:$FB,98)</f>
        <v>51615000</v>
      </c>
      <c r="E96" s="165">
        <f>VLOOKUP(B96,'Snapshot (Volume)'!$A$7:$G$168,7,0)</f>
        <v>51632000</v>
      </c>
      <c r="F96" s="165">
        <f t="shared" si="27"/>
        <v>-17000</v>
      </c>
      <c r="G96" s="166">
        <f t="shared" si="28"/>
        <v>-3.2925317632475986E-4</v>
      </c>
      <c r="H96" s="165">
        <f>VLOOKUP($B96,'Data shares'!$C:$FB,66)</f>
        <v>46528000</v>
      </c>
      <c r="I96" s="165">
        <f>VLOOKUP($B96,'Data shares'!$C:$FB,67)</f>
        <v>49291000</v>
      </c>
      <c r="J96" s="81">
        <f t="shared" si="29"/>
        <v>-5.6054857884806557</v>
      </c>
      <c r="K96" s="5">
        <f>VLOOKUP($B96,'Data Vlaue (Cr)'!$C:$FB,99)</f>
        <v>3394</v>
      </c>
      <c r="L96" s="81">
        <f>VLOOKUP(B96,'OI(Value)'!$A$7:$C$226,3,0)</f>
        <v>-1</v>
      </c>
      <c r="M96" s="33">
        <f t="shared" si="31"/>
        <v>-2.9463759575721862E-2</v>
      </c>
      <c r="N96" s="5">
        <f>VLOOKUP($B96,'Data Vlaue (Cr)'!$C:$FB,67)</f>
        <v>3060</v>
      </c>
      <c r="O96" s="5">
        <f>VLOOKUP($B96,'Data Vlaue (Cr)'!$C:$FB,68)</f>
        <v>3241</v>
      </c>
      <c r="P96" s="5">
        <f t="shared" si="30"/>
        <v>-5.9150326797385615</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Banking</v>
      </c>
      <c r="B97" s="79" t="str">
        <f>'Data shares'!C92</f>
        <v>INDIANB</v>
      </c>
      <c r="C97" s="4">
        <f>VLOOKUP($B97,'Data shares'!$C:$FB,7)</f>
        <v>896.75</v>
      </c>
      <c r="D97" s="82">
        <f>VLOOKUP($B97,'Data shares'!$C:$FB,98)</f>
        <v>25837000</v>
      </c>
      <c r="E97" s="165">
        <f>VLOOKUP(B97,'Snapshot (Volume)'!$A$7:$G$168,7,0)</f>
        <v>22758000</v>
      </c>
      <c r="F97" s="165">
        <f t="shared" ref="F97:F105" si="32">D97-E97</f>
        <v>3079000</v>
      </c>
      <c r="G97" s="166">
        <f t="shared" ref="G97:G105" si="33">F97/E97</f>
        <v>0.13529308375076896</v>
      </c>
      <c r="H97" s="165">
        <f>VLOOKUP($B97,'Data shares'!$C:$FB,66)</f>
        <v>90693000</v>
      </c>
      <c r="I97" s="165">
        <f>VLOOKUP($B97,'Data shares'!$C:$FB,67)</f>
        <v>19758000</v>
      </c>
      <c r="J97" s="81">
        <f t="shared" ref="J97:J105" si="34">(H97-I97)/I97*100</f>
        <v>359.01913149104161</v>
      </c>
      <c r="K97" s="5">
        <f>VLOOKUP($B97,'Data Vlaue (Cr)'!$C:$FB,99)</f>
        <v>2318</v>
      </c>
      <c r="L97" s="81">
        <f>VLOOKUP(B97,'OI(Value)'!$A$7:$C$226,3,0)</f>
        <v>276</v>
      </c>
      <c r="M97" s="33">
        <f t="shared" si="31"/>
        <v>11.906816220880069</v>
      </c>
      <c r="N97" s="5">
        <f>VLOOKUP($B97,'Data Vlaue (Cr)'!$C:$FB,67)</f>
        <v>8136</v>
      </c>
      <c r="O97" s="5">
        <f>VLOOKUP($B97,'Data Vlaue (Cr)'!$C:$FB,68)</f>
        <v>1772</v>
      </c>
      <c r="P97" s="5">
        <f t="shared" ref="P97:P105" si="35">(N97-O97)/N97*100</f>
        <v>78.220255653883981</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Index</v>
      </c>
      <c r="B98" s="79" t="str">
        <f>'Data shares'!C93</f>
        <v>INDIAVIX</v>
      </c>
      <c r="C98" s="4">
        <f>VLOOKUP($B98,'Data shares'!$C:$FB,7)</f>
        <v>13.35</v>
      </c>
      <c r="D98" s="82">
        <f>VLOOKUP($B98,'Data shares'!$C:$FB,98)</f>
        <v>0</v>
      </c>
      <c r="E98" s="165">
        <f>VLOOKUP(B98,'Snapshot (Volume)'!$A$7:$G$168,7,0)</f>
        <v>0</v>
      </c>
      <c r="F98" s="165">
        <f t="shared" si="32"/>
        <v>0</v>
      </c>
      <c r="G98" s="166" t="e">
        <f t="shared" si="33"/>
        <v>#DIV/0!</v>
      </c>
      <c r="H98" s="165">
        <f>VLOOKUP($B98,'Data shares'!$C:$FB,66)</f>
        <v>0</v>
      </c>
      <c r="I98" s="165">
        <f>VLOOKUP($B98,'Data shares'!$C:$FB,67)</f>
        <v>0</v>
      </c>
      <c r="J98" s="81" t="e">
        <f t="shared" si="34"/>
        <v>#DIV/0!</v>
      </c>
      <c r="K98" s="5">
        <f>VLOOKUP($B98,'Data Vlaue (Cr)'!$C:$FB,99)</f>
        <v>0</v>
      </c>
      <c r="L98" s="81">
        <f>VLOOKUP(B98,'OI(Value)'!$A$7:$C$226,3,0)</f>
        <v>0</v>
      </c>
      <c r="M98" s="33" t="e">
        <f t="shared" si="31"/>
        <v>#DIV/0!</v>
      </c>
      <c r="N98" s="5">
        <f>VLOOKUP($B98,'Data Vlaue (Cr)'!$C:$FB,67)</f>
        <v>0</v>
      </c>
      <c r="O98" s="5">
        <f>VLOOKUP($B98,'Data Vlaue (Cr)'!$C:$FB,68)</f>
        <v>0</v>
      </c>
      <c r="P98" s="5" t="e">
        <f t="shared" si="35"/>
        <v>#DIV/0!</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Infrastructure</v>
      </c>
      <c r="B99" s="79" t="str">
        <f>'Data shares'!C94</f>
        <v>INDIGO</v>
      </c>
      <c r="C99" s="4">
        <f>VLOOKUP($B99,'Data shares'!$C:$FB,7)</f>
        <v>4909</v>
      </c>
      <c r="D99" s="82">
        <f>VLOOKUP($B99,'Data shares'!$C:$FB,98)</f>
        <v>18997500</v>
      </c>
      <c r="E99" s="165">
        <f>VLOOKUP(B99,'Snapshot (Volume)'!$A$7:$G$168,7,0)</f>
        <v>18479250</v>
      </c>
      <c r="F99" s="165">
        <f t="shared" si="32"/>
        <v>518250</v>
      </c>
      <c r="G99" s="166">
        <f t="shared" si="33"/>
        <v>2.8044969357522626E-2</v>
      </c>
      <c r="H99" s="165">
        <f>VLOOKUP($B99,'Data shares'!$C:$FB,66)</f>
        <v>21894300</v>
      </c>
      <c r="I99" s="165">
        <f>VLOOKUP($B99,'Data shares'!$C:$FB,67)</f>
        <v>29390400</v>
      </c>
      <c r="J99" s="81">
        <f t="shared" si="34"/>
        <v>-25.505267025967665</v>
      </c>
      <c r="K99" s="5">
        <f>VLOOKUP($B99,'Data Vlaue (Cr)'!$C:$FB,99)</f>
        <v>9340</v>
      </c>
      <c r="L99" s="81">
        <f>VLOOKUP(B99,'OI(Value)'!$A$7:$C$226,3,0)</f>
        <v>255</v>
      </c>
      <c r="M99" s="33">
        <f t="shared" si="31"/>
        <v>2.7301927194860816</v>
      </c>
      <c r="N99" s="5">
        <f>VLOOKUP($B99,'Data Vlaue (Cr)'!$C:$FB,67)</f>
        <v>10764</v>
      </c>
      <c r="O99" s="5">
        <f>VLOOKUP($B99,'Data Vlaue (Cr)'!$C:$FB,68)</f>
        <v>14450</v>
      </c>
      <c r="P99" s="5">
        <f t="shared" si="35"/>
        <v>-34.243775548123374</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Banking</v>
      </c>
      <c r="B100" s="79" t="str">
        <f>'Data shares'!C95</f>
        <v>INDUSINDBK</v>
      </c>
      <c r="C100" s="4">
        <f>VLOOKUP($B100,'Data shares'!$C:$FB,7)</f>
        <v>902.45</v>
      </c>
      <c r="D100" s="82">
        <f>VLOOKUP($B100,'Data shares'!$C:$FB,98)</f>
        <v>61406100</v>
      </c>
      <c r="E100" s="165">
        <f>VLOOKUP(B100,'Snapshot (Volume)'!$A$7:$G$168,7,0)</f>
        <v>60718000</v>
      </c>
      <c r="F100" s="165">
        <f t="shared" si="32"/>
        <v>688100</v>
      </c>
      <c r="G100" s="166">
        <f t="shared" si="33"/>
        <v>1.1332718468987779E-2</v>
      </c>
      <c r="H100" s="165">
        <f>VLOOKUP($B100,'Data shares'!$C:$FB,66)</f>
        <v>50409800</v>
      </c>
      <c r="I100" s="165">
        <f>VLOOKUP($B100,'Data shares'!$C:$FB,67)</f>
        <v>50870400</v>
      </c>
      <c r="J100" s="81">
        <f t="shared" si="34"/>
        <v>-0.90543813298106568</v>
      </c>
      <c r="K100" s="5">
        <f>VLOOKUP($B100,'Data Vlaue (Cr)'!$C:$FB,99)</f>
        <v>5551</v>
      </c>
      <c r="L100" s="81">
        <f>VLOOKUP(B100,'OI(Value)'!$A$7:$C$226,3,0)</f>
        <v>62</v>
      </c>
      <c r="M100" s="33">
        <f t="shared" si="31"/>
        <v>1.1169158710142317</v>
      </c>
      <c r="N100" s="5">
        <f>VLOOKUP($B100,'Data Vlaue (Cr)'!$C:$FB,67)</f>
        <v>4557</v>
      </c>
      <c r="O100" s="5">
        <f>VLOOKUP($B100,'Data Vlaue (Cr)'!$C:$FB,68)</f>
        <v>4598</v>
      </c>
      <c r="P100" s="5">
        <f t="shared" si="35"/>
        <v>-0.89971472459951729</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Telecom</v>
      </c>
      <c r="B101" s="79" t="str">
        <f>'Data shares'!C96</f>
        <v>INDUSTOWER</v>
      </c>
      <c r="C101" s="4">
        <f>VLOOKUP($B101,'Data shares'!$C:$FB,7)</f>
        <v>419.2</v>
      </c>
      <c r="D101" s="82">
        <f>VLOOKUP($B101,'Data shares'!$C:$FB,98)</f>
        <v>147090800</v>
      </c>
      <c r="E101" s="165">
        <f>VLOOKUP(B101,'Snapshot (Volume)'!$A$7:$G$168,7,0)</f>
        <v>148359000</v>
      </c>
      <c r="F101" s="165">
        <f t="shared" si="32"/>
        <v>-1268200</v>
      </c>
      <c r="G101" s="166">
        <f t="shared" si="33"/>
        <v>-8.5481837974103365E-3</v>
      </c>
      <c r="H101" s="165">
        <f>VLOOKUP($B101,'Data shares'!$C:$FB,66)</f>
        <v>96262500</v>
      </c>
      <c r="I101" s="165">
        <f>VLOOKUP($B101,'Data shares'!$C:$FB,67)</f>
        <v>158581100</v>
      </c>
      <c r="J101" s="81">
        <f t="shared" si="34"/>
        <v>-39.297621217156397</v>
      </c>
      <c r="K101" s="5">
        <f>VLOOKUP($B101,'Data Vlaue (Cr)'!$C:$FB,99)</f>
        <v>6173</v>
      </c>
      <c r="L101" s="81">
        <f>VLOOKUP(B101,'OI(Value)'!$A$7:$C$226,3,0)</f>
        <v>-53</v>
      </c>
      <c r="M101" s="33">
        <f t="shared" si="31"/>
        <v>-0.85857767698039844</v>
      </c>
      <c r="N101" s="5">
        <f>VLOOKUP($B101,'Data Vlaue (Cr)'!$C:$FB,67)</f>
        <v>4040</v>
      </c>
      <c r="O101" s="5">
        <f>VLOOKUP($B101,'Data Vlaue (Cr)'!$C:$FB,68)</f>
        <v>6655</v>
      </c>
      <c r="P101" s="5">
        <f t="shared" si="35"/>
        <v>-64.727722772277232</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Technology</v>
      </c>
      <c r="B102" s="79" t="str">
        <f>'Data shares'!C97</f>
        <v>INFY</v>
      </c>
      <c r="C102" s="4">
        <f>VLOOKUP($B102,'Data shares'!$C:$FB,7)</f>
        <v>1663.5</v>
      </c>
      <c r="D102" s="82">
        <f>VLOOKUP($B102,'Data shares'!$C:$FB,98)</f>
        <v>120017200</v>
      </c>
      <c r="E102" s="165">
        <f>VLOOKUP(B102,'Snapshot (Volume)'!$A$7:$G$168,7,0)</f>
        <v>120832400</v>
      </c>
      <c r="F102" s="165">
        <f t="shared" si="32"/>
        <v>-815200</v>
      </c>
      <c r="G102" s="166">
        <f t="shared" si="33"/>
        <v>-6.7465348697865806E-3</v>
      </c>
      <c r="H102" s="165">
        <f>VLOOKUP($B102,'Data shares'!$C:$FB,66)</f>
        <v>145802400</v>
      </c>
      <c r="I102" s="165">
        <f>VLOOKUP($B102,'Data shares'!$C:$FB,67)</f>
        <v>140170400</v>
      </c>
      <c r="J102" s="81">
        <f t="shared" si="34"/>
        <v>4.0179667033838813</v>
      </c>
      <c r="K102" s="5">
        <f>VLOOKUP($B102,'Data Vlaue (Cr)'!$C:$FB,99)</f>
        <v>20012</v>
      </c>
      <c r="L102" s="81">
        <f>VLOOKUP(B102,'OI(Value)'!$A$7:$C$226,3,0)</f>
        <v>-136</v>
      </c>
      <c r="M102" s="33">
        <f t="shared" si="31"/>
        <v>-0.67959224465320811</v>
      </c>
      <c r="N102" s="5">
        <f>VLOOKUP($B102,'Data Vlaue (Cr)'!$C:$FB,67)</f>
        <v>24311</v>
      </c>
      <c r="O102" s="5">
        <f>VLOOKUP($B102,'Data Vlaue (Cr)'!$C:$FB,68)</f>
        <v>23372</v>
      </c>
      <c r="P102" s="5">
        <f t="shared" si="35"/>
        <v>3.8624490971165319</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Power</v>
      </c>
      <c r="B103" s="79" t="str">
        <f>'Data shares'!C98</f>
        <v>INOXWIND</v>
      </c>
      <c r="C103" s="4">
        <f>VLOOKUP($B103,'Data shares'!$C:$FB,7)</f>
        <v>106.89</v>
      </c>
      <c r="D103" s="82">
        <f>VLOOKUP($B103,'Data shares'!$C:$FB,98)</f>
        <v>182160550</v>
      </c>
      <c r="E103" s="165">
        <f>VLOOKUP(B103,'Snapshot (Volume)'!$A$7:$G$168,7,0)</f>
        <v>181999675</v>
      </c>
      <c r="F103" s="165">
        <f t="shared" si="32"/>
        <v>160875</v>
      </c>
      <c r="G103" s="166">
        <f t="shared" si="33"/>
        <v>8.8393014987526758E-4</v>
      </c>
      <c r="H103" s="165">
        <f>VLOOKUP($B103,'Data shares'!$C:$FB,66)</f>
        <v>102931400</v>
      </c>
      <c r="I103" s="165">
        <f>VLOOKUP($B103,'Data shares'!$C:$FB,67)</f>
        <v>151644350</v>
      </c>
      <c r="J103" s="81">
        <f t="shared" si="34"/>
        <v>-32.123155264274601</v>
      </c>
      <c r="K103" s="5">
        <f>VLOOKUP($B103,'Data Vlaue (Cr)'!$C:$FB,99)</f>
        <v>1953</v>
      </c>
      <c r="L103" s="81">
        <f>VLOOKUP(B103,'OI(Value)'!$A$7:$C$226,3,0)</f>
        <v>2</v>
      </c>
      <c r="M103" s="33">
        <f t="shared" si="31"/>
        <v>0.10240655401945725</v>
      </c>
      <c r="N103" s="5">
        <f>VLOOKUP($B103,'Data Vlaue (Cr)'!$C:$FB,67)</f>
        <v>1104</v>
      </c>
      <c r="O103" s="5">
        <f>VLOOKUP($B103,'Data Vlaue (Cr)'!$C:$FB,68)</f>
        <v>1626</v>
      </c>
      <c r="P103" s="5">
        <f t="shared" si="35"/>
        <v>-47.282608695652172</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Oil_Gas</v>
      </c>
      <c r="B104" s="79" t="str">
        <f>'Data shares'!C99</f>
        <v>IOC</v>
      </c>
      <c r="C104" s="4">
        <f>VLOOKUP($B104,'Data shares'!$C:$FB,7)</f>
        <v>159.05000000000001</v>
      </c>
      <c r="D104" s="82">
        <f>VLOOKUP($B104,'Data shares'!$C:$FB,98)</f>
        <v>185757000</v>
      </c>
      <c r="E104" s="165">
        <f>VLOOKUP(B104,'Snapshot (Volume)'!$A$7:$G$168,7,0)</f>
        <v>189174375</v>
      </c>
      <c r="F104" s="165">
        <f t="shared" si="32"/>
        <v>-3417375</v>
      </c>
      <c r="G104" s="166">
        <f t="shared" si="33"/>
        <v>-1.8064682386290425E-2</v>
      </c>
      <c r="H104" s="165">
        <f>VLOOKUP($B104,'Data shares'!$C:$FB,66)</f>
        <v>155532000</v>
      </c>
      <c r="I104" s="165">
        <f>VLOOKUP($B104,'Data shares'!$C:$FB,67)</f>
        <v>164009625</v>
      </c>
      <c r="J104" s="81">
        <f t="shared" si="34"/>
        <v>-5.1689801741818506</v>
      </c>
      <c r="K104" s="5">
        <f>VLOOKUP($B104,'Data Vlaue (Cr)'!$C:$FB,99)</f>
        <v>2952</v>
      </c>
      <c r="L104" s="81">
        <f>VLOOKUP(B104,'OI(Value)'!$A$7:$C$226,3,0)</f>
        <v>-54</v>
      </c>
      <c r="M104" s="33">
        <f t="shared" si="31"/>
        <v>-1.8292682926829267</v>
      </c>
      <c r="N104" s="5">
        <f>VLOOKUP($B104,'Data Vlaue (Cr)'!$C:$FB,67)</f>
        <v>2472</v>
      </c>
      <c r="O104" s="5">
        <f>VLOOKUP($B104,'Data Vlaue (Cr)'!$C:$FB,68)</f>
        <v>2606</v>
      </c>
      <c r="P104" s="5">
        <f t="shared" si="35"/>
        <v>-5.4207119741100325</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Infrastructure</v>
      </c>
      <c r="B105" s="79" t="str">
        <f>'Data shares'!C100</f>
        <v>IRCTC</v>
      </c>
      <c r="C105" s="4">
        <f>VLOOKUP($B105,'Data shares'!$C:$FB,7)</f>
        <v>628.85</v>
      </c>
      <c r="D105" s="82">
        <f>VLOOKUP($B105,'Data shares'!$C:$FB,98)</f>
        <v>63889875</v>
      </c>
      <c r="E105" s="165">
        <f>VLOOKUP(B105,'Snapshot (Volume)'!$A$7:$G$168,7,0)</f>
        <v>63986125</v>
      </c>
      <c r="F105" s="165">
        <f t="shared" si="32"/>
        <v>-96250</v>
      </c>
      <c r="G105" s="166">
        <f t="shared" si="33"/>
        <v>-1.5042323628755452E-3</v>
      </c>
      <c r="H105" s="165">
        <f>VLOOKUP($B105,'Data shares'!$C:$FB,66)</f>
        <v>58191000</v>
      </c>
      <c r="I105" s="165">
        <f>VLOOKUP($B105,'Data shares'!$C:$FB,67)</f>
        <v>60459000</v>
      </c>
      <c r="J105" s="81">
        <f t="shared" si="34"/>
        <v>-3.7513025356026399</v>
      </c>
      <c r="K105" s="5">
        <f>VLOOKUP($B105,'Data Vlaue (Cr)'!$C:$FB,99)</f>
        <v>4027</v>
      </c>
      <c r="L105" s="81">
        <f>VLOOKUP(B105,'OI(Value)'!$A$7:$C$226,3,0)</f>
        <v>-6</v>
      </c>
      <c r="M105" s="33">
        <f t="shared" si="31"/>
        <v>-0.14899428855227217</v>
      </c>
      <c r="N105" s="5">
        <f>VLOOKUP($B105,'Data Vlaue (Cr)'!$C:$FB,67)</f>
        <v>3668</v>
      </c>
      <c r="O105" s="5">
        <f>VLOOKUP($B105,'Data Vlaue (Cr)'!$C:$FB,68)</f>
        <v>3811</v>
      </c>
      <c r="P105" s="5">
        <f t="shared" si="35"/>
        <v>-3.8985823336968375</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Finance</v>
      </c>
      <c r="B106" s="79" t="str">
        <f>'Data shares'!C101</f>
        <v>IREDA</v>
      </c>
      <c r="C106" s="79">
        <f>VLOOKUP($B106,'Data shares'!$C:$FB,7)</f>
        <v>129.93</v>
      </c>
      <c r="D106" s="80">
        <f>VLOOKUP($B106,'Data shares'!$C:$FB,98)</f>
        <v>159407250</v>
      </c>
      <c r="E106" s="165">
        <f>VLOOKUP(B106,'Snapshot (Volume)'!$A$7:$G$168,7,0)</f>
        <v>174887400</v>
      </c>
      <c r="F106" s="165">
        <f t="shared" ref="F106:F114" si="36">D106-E106</f>
        <v>-15480150</v>
      </c>
      <c r="G106" s="166">
        <f t="shared" ref="G106:G114" si="37">F106/E106</f>
        <v>-8.8514953049790901E-2</v>
      </c>
      <c r="H106" s="165">
        <f>VLOOKUP($B106,'Data shares'!$C:$FB,66)</f>
        <v>136878750</v>
      </c>
      <c r="I106" s="165">
        <f>VLOOKUP($B106,'Data shares'!$C:$FB,67)</f>
        <v>137830950</v>
      </c>
      <c r="J106" s="81">
        <f t="shared" ref="J106:J114" si="38">(H106-I106)/I106*100</f>
        <v>-0.69084628670120896</v>
      </c>
      <c r="K106" s="81">
        <f>VLOOKUP($B106,'Data Vlaue (Cr)'!$C:$FB,99)</f>
        <v>2077</v>
      </c>
      <c r="L106" s="81">
        <f>VLOOKUP(B106,'OI(Value)'!$A$7:$C$226,3,0)</f>
        <v>-202</v>
      </c>
      <c r="M106" s="81">
        <f t="shared" si="31"/>
        <v>-9.7255657197881558</v>
      </c>
      <c r="N106" s="81">
        <f>VLOOKUP($B106,'Data Vlaue (Cr)'!$C:$FB,67)</f>
        <v>1783</v>
      </c>
      <c r="O106" s="81">
        <f>VLOOKUP($B106,'Data Vlaue (Cr)'!$C:$FB,68)</f>
        <v>1796</v>
      </c>
      <c r="P106" s="81">
        <f t="shared" ref="P106:P114" si="39">(N106-O106)/N106*100</f>
        <v>-0.7291082445316881</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Infrastructure</v>
      </c>
      <c r="B107" s="79" t="str">
        <f>'Data shares'!C102</f>
        <v>IRFC</v>
      </c>
      <c r="C107" s="79">
        <f>VLOOKUP($B107,'Data shares'!$C:$FB,7)</f>
        <v>117.02</v>
      </c>
      <c r="D107" s="80">
        <f>VLOOKUP($B107,'Data shares'!$C:$FB,98)</f>
        <v>226648250</v>
      </c>
      <c r="E107" s="165">
        <f>VLOOKUP(B107,'Snapshot (Volume)'!$A$7:$G$168,7,0)</f>
        <v>233252750</v>
      </c>
      <c r="F107" s="165">
        <f t="shared" si="36"/>
        <v>-6604500</v>
      </c>
      <c r="G107" s="166">
        <f t="shared" si="37"/>
        <v>-2.831477871107629E-2</v>
      </c>
      <c r="H107" s="165">
        <f>VLOOKUP($B107,'Data shares'!$C:$FB,66)</f>
        <v>281983250</v>
      </c>
      <c r="I107" s="165">
        <f>VLOOKUP($B107,'Data shares'!$C:$FB,67)</f>
        <v>274715750</v>
      </c>
      <c r="J107" s="81">
        <f t="shared" si="38"/>
        <v>2.6454617181577689</v>
      </c>
      <c r="K107" s="81">
        <f>VLOOKUP($B107,'Data Vlaue (Cr)'!$C:$FB,99)</f>
        <v>2660</v>
      </c>
      <c r="L107" s="81">
        <f>VLOOKUP(B107,'OI(Value)'!$A$7:$C$226,3,0)</f>
        <v>-78</v>
      </c>
      <c r="M107" s="81">
        <f t="shared" si="31"/>
        <v>-2.9323308270676693</v>
      </c>
      <c r="N107" s="81">
        <f>VLOOKUP($B107,'Data Vlaue (Cr)'!$C:$FB,67)</f>
        <v>3310</v>
      </c>
      <c r="O107" s="81">
        <f>VLOOKUP($B107,'Data Vlaue (Cr)'!$C:$FB,68)</f>
        <v>3224</v>
      </c>
      <c r="P107" s="81">
        <f t="shared" si="39"/>
        <v>2.5981873111782479</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FMCG</v>
      </c>
      <c r="B108" s="79" t="str">
        <f>'Data shares'!C103</f>
        <v>ITC</v>
      </c>
      <c r="C108" s="4">
        <f>VLOOKUP($B108,'Data shares'!$C:$FB,7)</f>
        <v>324.85000000000002</v>
      </c>
      <c r="D108" s="82">
        <f>VLOOKUP($B108,'Data shares'!$C:$FB,98)</f>
        <v>649211200</v>
      </c>
      <c r="E108" s="165">
        <f>VLOOKUP(B108,'Snapshot (Volume)'!$A$7:$G$168,7,0)</f>
        <v>677686400</v>
      </c>
      <c r="F108" s="165">
        <f t="shared" si="36"/>
        <v>-28475200</v>
      </c>
      <c r="G108" s="166">
        <f t="shared" si="37"/>
        <v>-4.2018255051303965E-2</v>
      </c>
      <c r="H108" s="165">
        <f>VLOOKUP($B108,'Data shares'!$C:$FB,66)</f>
        <v>515339200</v>
      </c>
      <c r="I108" s="165">
        <f>VLOOKUP($B108,'Data shares'!$C:$FB,67)</f>
        <v>436948800</v>
      </c>
      <c r="J108" s="81">
        <f t="shared" si="38"/>
        <v>17.940408578762547</v>
      </c>
      <c r="K108" s="5">
        <f>VLOOKUP($B108,'Data Vlaue (Cr)'!$C:$FB,99)</f>
        <v>21116</v>
      </c>
      <c r="L108" s="81">
        <f>VLOOKUP(B108,'OI(Value)'!$A$7:$C$226,3,0)</f>
        <v>-926</v>
      </c>
      <c r="M108" s="33">
        <f t="shared" si="31"/>
        <v>-4.3853002462587609</v>
      </c>
      <c r="N108" s="5">
        <f>VLOOKUP($B108,'Data Vlaue (Cr)'!$C:$FB,67)</f>
        <v>16761</v>
      </c>
      <c r="O108" s="5">
        <f>VLOOKUP($B108,'Data Vlaue (Cr)'!$C:$FB,68)</f>
        <v>14212</v>
      </c>
      <c r="P108" s="5">
        <f t="shared" si="39"/>
        <v>15.207923154943023</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Metals</v>
      </c>
      <c r="B109" s="79" t="str">
        <f>'Data shares'!C104</f>
        <v>JINDALSTEL</v>
      </c>
      <c r="C109" s="4">
        <f>VLOOKUP($B109,'Data shares'!$C:$FB,7)</f>
        <v>1076</v>
      </c>
      <c r="D109" s="82">
        <f>VLOOKUP($B109,'Data shares'!$C:$FB,98)</f>
        <v>19980000</v>
      </c>
      <c r="E109" s="165">
        <f>VLOOKUP(B109,'Snapshot (Volume)'!$A$7:$G$168,7,0)</f>
        <v>20395625</v>
      </c>
      <c r="F109" s="165">
        <f t="shared" si="36"/>
        <v>-415625</v>
      </c>
      <c r="G109" s="166">
        <f t="shared" si="37"/>
        <v>-2.0378144822725461E-2</v>
      </c>
      <c r="H109" s="165">
        <f>VLOOKUP($B109,'Data shares'!$C:$FB,66)</f>
        <v>26635625</v>
      </c>
      <c r="I109" s="165">
        <f>VLOOKUP($B109,'Data shares'!$C:$FB,67)</f>
        <v>17447500</v>
      </c>
      <c r="J109" s="81">
        <f t="shared" si="38"/>
        <v>52.661556096862014</v>
      </c>
      <c r="K109" s="5">
        <f>VLOOKUP($B109,'Data Vlaue (Cr)'!$C:$FB,99)</f>
        <v>2149</v>
      </c>
      <c r="L109" s="81">
        <f>VLOOKUP(B109,'OI(Value)'!$A$7:$C$226,3,0)</f>
        <v>-45</v>
      </c>
      <c r="M109" s="33">
        <f t="shared" si="31"/>
        <v>-2.0939972080037226</v>
      </c>
      <c r="N109" s="5">
        <f>VLOOKUP($B109,'Data Vlaue (Cr)'!$C:$FB,67)</f>
        <v>2865</v>
      </c>
      <c r="O109" s="5">
        <f>VLOOKUP($B109,'Data Vlaue (Cr)'!$C:$FB,68)</f>
        <v>1877</v>
      </c>
      <c r="P109" s="5">
        <f t="shared" si="39"/>
        <v>34.485165794066319</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Finance</v>
      </c>
      <c r="B110" s="79" t="str">
        <f>'Data shares'!C105</f>
        <v>JIOFIN</v>
      </c>
      <c r="C110" s="4">
        <f>VLOOKUP($B110,'Data shares'!$C:$FB,7)</f>
        <v>262.60000000000002</v>
      </c>
      <c r="D110" s="82">
        <f>VLOOKUP($B110,'Data shares'!$C:$FB,98)</f>
        <v>322469350</v>
      </c>
      <c r="E110" s="165">
        <f>VLOOKUP(B110,'Snapshot (Volume)'!$A$7:$G$168,7,0)</f>
        <v>321512900</v>
      </c>
      <c r="F110" s="165">
        <f t="shared" si="36"/>
        <v>956450</v>
      </c>
      <c r="G110" s="166">
        <f t="shared" si="37"/>
        <v>2.9748417559606471E-3</v>
      </c>
      <c r="H110" s="165">
        <f>VLOOKUP($B110,'Data shares'!$C:$FB,66)</f>
        <v>248763950</v>
      </c>
      <c r="I110" s="165">
        <f>VLOOKUP($B110,'Data shares'!$C:$FB,67)</f>
        <v>285962100</v>
      </c>
      <c r="J110" s="81">
        <f t="shared" si="38"/>
        <v>-13.008069950528409</v>
      </c>
      <c r="K110" s="5">
        <f>VLOOKUP($B110,'Data Vlaue (Cr)'!$C:$FB,99)</f>
        <v>8492</v>
      </c>
      <c r="L110" s="81">
        <f>VLOOKUP(B110,'OI(Value)'!$A$7:$C$226,3,0)</f>
        <v>25</v>
      </c>
      <c r="M110" s="33">
        <f t="shared" si="31"/>
        <v>0.29439472444653791</v>
      </c>
      <c r="N110" s="5">
        <f>VLOOKUP($B110,'Data Vlaue (Cr)'!$C:$FB,67)</f>
        <v>6551</v>
      </c>
      <c r="O110" s="5">
        <f>VLOOKUP($B110,'Data Vlaue (Cr)'!$C:$FB,68)</f>
        <v>7531</v>
      </c>
      <c r="P110" s="5">
        <f t="shared" si="39"/>
        <v>-14.95954816058617</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Power</v>
      </c>
      <c r="B111" s="79" t="str">
        <f>'Data shares'!C106</f>
        <v>JSWENERGY</v>
      </c>
      <c r="C111" s="4">
        <f>VLOOKUP($B111,'Data shares'!$C:$FB,7)</f>
        <v>492.35</v>
      </c>
      <c r="D111" s="82">
        <f>VLOOKUP($B111,'Data shares'!$C:$FB,98)</f>
        <v>53056000</v>
      </c>
      <c r="E111" s="165">
        <f>VLOOKUP(B111,'Snapshot (Volume)'!$A$7:$G$168,7,0)</f>
        <v>54162000</v>
      </c>
      <c r="F111" s="165">
        <f t="shared" si="36"/>
        <v>-1106000</v>
      </c>
      <c r="G111" s="166">
        <f t="shared" si="37"/>
        <v>-2.0420220819024407E-2</v>
      </c>
      <c r="H111" s="165">
        <f>VLOOKUP($B111,'Data shares'!$C:$FB,66)</f>
        <v>29144000</v>
      </c>
      <c r="I111" s="165">
        <f>VLOOKUP($B111,'Data shares'!$C:$FB,67)</f>
        <v>32152000</v>
      </c>
      <c r="J111" s="81">
        <f t="shared" si="38"/>
        <v>-9.3555610848469772</v>
      </c>
      <c r="K111" s="5">
        <f>VLOOKUP($B111,'Data Vlaue (Cr)'!$C:$FB,99)</f>
        <v>2611</v>
      </c>
      <c r="L111" s="81">
        <f>VLOOKUP(B111,'OI(Value)'!$A$7:$C$226,3,0)</f>
        <v>-54</v>
      </c>
      <c r="M111" s="33">
        <f t="shared" si="31"/>
        <v>-2.0681731137495212</v>
      </c>
      <c r="N111" s="5">
        <f>VLOOKUP($B111,'Data Vlaue (Cr)'!$C:$FB,67)</f>
        <v>1434</v>
      </c>
      <c r="O111" s="5">
        <f>VLOOKUP($B111,'Data Vlaue (Cr)'!$C:$FB,68)</f>
        <v>1582</v>
      </c>
      <c r="P111" s="5">
        <f t="shared" si="39"/>
        <v>-10.320781032078104</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Metals</v>
      </c>
      <c r="B112" s="79" t="str">
        <f>'Data shares'!C107</f>
        <v>JSWSTEEL</v>
      </c>
      <c r="C112" s="4">
        <f>VLOOKUP($B112,'Data shares'!$C:$FB,7)</f>
        <v>1184.4000000000001</v>
      </c>
      <c r="D112" s="82">
        <f>VLOOKUP($B112,'Data shares'!$C:$FB,98)</f>
        <v>63620775</v>
      </c>
      <c r="E112" s="165">
        <f>VLOOKUP(B112,'Snapshot (Volume)'!$A$7:$G$168,7,0)</f>
        <v>63433800</v>
      </c>
      <c r="F112" s="165">
        <f t="shared" si="36"/>
        <v>186975</v>
      </c>
      <c r="G112" s="166">
        <f t="shared" si="37"/>
        <v>2.9475610794245338E-3</v>
      </c>
      <c r="H112" s="165">
        <f>VLOOKUP($B112,'Data shares'!$C:$FB,66)</f>
        <v>49271625</v>
      </c>
      <c r="I112" s="165">
        <f>VLOOKUP($B112,'Data shares'!$C:$FB,67)</f>
        <v>42051150</v>
      </c>
      <c r="J112" s="81">
        <f t="shared" si="38"/>
        <v>17.170695688465116</v>
      </c>
      <c r="K112" s="5">
        <f>VLOOKUP($B112,'Data Vlaue (Cr)'!$C:$FB,99)</f>
        <v>7552</v>
      </c>
      <c r="L112" s="81">
        <f>VLOOKUP(B112,'OI(Value)'!$A$7:$C$226,3,0)</f>
        <v>22</v>
      </c>
      <c r="M112" s="33">
        <f t="shared" si="31"/>
        <v>0.2913135593220339</v>
      </c>
      <c r="N112" s="5">
        <f>VLOOKUP($B112,'Data Vlaue (Cr)'!$C:$FB,67)</f>
        <v>5849</v>
      </c>
      <c r="O112" s="5">
        <f>VLOOKUP($B112,'Data Vlaue (Cr)'!$C:$FB,68)</f>
        <v>4991</v>
      </c>
      <c r="P112" s="5">
        <f t="shared" si="39"/>
        <v>14.669174217815012</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FMCG</v>
      </c>
      <c r="B113" s="79" t="str">
        <f>'Data shares'!C108</f>
        <v>JUBLFOOD</v>
      </c>
      <c r="C113" s="4">
        <f>VLOOKUP($B113,'Data shares'!$C:$FB,7)</f>
        <v>501</v>
      </c>
      <c r="D113" s="82">
        <f>VLOOKUP($B113,'Data shares'!$C:$FB,98)</f>
        <v>46830000</v>
      </c>
      <c r="E113" s="165">
        <f>VLOOKUP(B113,'Snapshot (Volume)'!$A$7:$G$168,7,0)</f>
        <v>44437500</v>
      </c>
      <c r="F113" s="165">
        <f t="shared" si="36"/>
        <v>2392500</v>
      </c>
      <c r="G113" s="166">
        <f t="shared" si="37"/>
        <v>5.3839662447257387E-2</v>
      </c>
      <c r="H113" s="165">
        <f>VLOOKUP($B113,'Data shares'!$C:$FB,66)</f>
        <v>42598750</v>
      </c>
      <c r="I113" s="165">
        <f>VLOOKUP($B113,'Data shares'!$C:$FB,67)</f>
        <v>37165000</v>
      </c>
      <c r="J113" s="81">
        <f t="shared" si="38"/>
        <v>14.620610789721511</v>
      </c>
      <c r="K113" s="5">
        <f>VLOOKUP($B113,'Data Vlaue (Cr)'!$C:$FB,99)</f>
        <v>2356</v>
      </c>
      <c r="L113" s="81">
        <f>VLOOKUP(B113,'OI(Value)'!$A$7:$C$226,3,0)</f>
        <v>120</v>
      </c>
      <c r="M113" s="33">
        <f t="shared" si="31"/>
        <v>5.0933786078098473</v>
      </c>
      <c r="N113" s="5">
        <f>VLOOKUP($B113,'Data Vlaue (Cr)'!$C:$FB,67)</f>
        <v>2143</v>
      </c>
      <c r="O113" s="5">
        <f>VLOOKUP($B113,'Data Vlaue (Cr)'!$C:$FB,68)</f>
        <v>1870</v>
      </c>
      <c r="P113" s="5">
        <f t="shared" si="39"/>
        <v>12.739150723285114</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FMCG</v>
      </c>
      <c r="B114" s="79" t="str">
        <f>'Data shares'!C109</f>
        <v>KALYANKJIL</v>
      </c>
      <c r="C114" s="4">
        <f>VLOOKUP($B114,'Data shares'!$C:$FB,7)</f>
        <v>373.55</v>
      </c>
      <c r="D114" s="82">
        <f>VLOOKUP($B114,'Data shares'!$C:$FB,98)</f>
        <v>81977400</v>
      </c>
      <c r="E114" s="165">
        <f>VLOOKUP(B114,'Snapshot (Volume)'!$A$7:$G$168,7,0)</f>
        <v>81085575</v>
      </c>
      <c r="F114" s="165">
        <f t="shared" si="36"/>
        <v>891825</v>
      </c>
      <c r="G114" s="166">
        <f t="shared" si="37"/>
        <v>1.0998565404512455E-2</v>
      </c>
      <c r="H114" s="165">
        <f>VLOOKUP($B114,'Data shares'!$C:$FB,66)</f>
        <v>258102850</v>
      </c>
      <c r="I114" s="165">
        <f>VLOOKUP($B114,'Data shares'!$C:$FB,67)</f>
        <v>402383450</v>
      </c>
      <c r="J114" s="81">
        <f t="shared" si="38"/>
        <v>-35.856494594894492</v>
      </c>
      <c r="K114" s="5">
        <f>VLOOKUP($B114,'Data Vlaue (Cr)'!$C:$FB,99)</f>
        <v>3075</v>
      </c>
      <c r="L114" s="81">
        <f>VLOOKUP(B114,'OI(Value)'!$A$7:$C$226,3,0)</f>
        <v>33</v>
      </c>
      <c r="M114" s="33">
        <f t="shared" si="31"/>
        <v>1.0731707317073171</v>
      </c>
      <c r="N114" s="5">
        <f>VLOOKUP($B114,'Data Vlaue (Cr)'!$C:$FB,67)</f>
        <v>9681</v>
      </c>
      <c r="O114" s="5">
        <f>VLOOKUP($B114,'Data Vlaue (Cr)'!$C:$FB,68)</f>
        <v>15093</v>
      </c>
      <c r="P114" s="5">
        <f t="shared" si="39"/>
        <v>-55.903315773163932</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Capital_Goods</v>
      </c>
      <c r="B115" s="79" t="str">
        <f>'Data shares'!C110</f>
        <v>KAYNES</v>
      </c>
      <c r="C115" s="79">
        <f>VLOOKUP($B115,'Data shares'!$C:$FB,7)</f>
        <v>3527.2</v>
      </c>
      <c r="D115" s="80">
        <f>VLOOKUP($B115,'Data shares'!$C:$FB,98)</f>
        <v>8633200</v>
      </c>
      <c r="E115" s="165">
        <f>VLOOKUP(B115,'Snapshot (Volume)'!$A$7:$G$168,7,0)</f>
        <v>8869200</v>
      </c>
      <c r="F115" s="165">
        <f t="shared" ref="F115:F126" si="40">D115-E115</f>
        <v>-236000</v>
      </c>
      <c r="G115" s="166">
        <f t="shared" ref="G115:G126" si="41">F115/E115</f>
        <v>-2.6608938799440762E-2</v>
      </c>
      <c r="H115" s="165">
        <f>VLOOKUP($B115,'Data shares'!$C:$FB,66)</f>
        <v>7972400</v>
      </c>
      <c r="I115" s="165">
        <f>VLOOKUP($B115,'Data shares'!$C:$FB,67)</f>
        <v>9342100</v>
      </c>
      <c r="J115" s="81">
        <f t="shared" ref="J115:J126" si="42">(H115-I115)/I115*100</f>
        <v>-14.661585724837028</v>
      </c>
      <c r="K115" s="81">
        <f>VLOOKUP($B115,'Data Vlaue (Cr)'!$C:$FB,99)</f>
        <v>3053</v>
      </c>
      <c r="L115" s="81">
        <f>VLOOKUP(B115,'OI(Value)'!$A$7:$C$226,3,0)</f>
        <v>-83</v>
      </c>
      <c r="M115" s="81">
        <f t="shared" si="31"/>
        <v>-2.7186374058303309</v>
      </c>
      <c r="N115" s="81">
        <f>VLOOKUP($B115,'Data Vlaue (Cr)'!$C:$FB,67)</f>
        <v>2820</v>
      </c>
      <c r="O115" s="81">
        <f>VLOOKUP($B115,'Data Vlaue (Cr)'!$C:$FB,68)</f>
        <v>3304</v>
      </c>
      <c r="P115" s="81">
        <f t="shared" ref="P115:P126" si="43">(N115-O115)/N115*100</f>
        <v>-17.163120567375888</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Power</v>
      </c>
      <c r="B116" s="79" t="str">
        <f>'Data shares'!C111</f>
        <v>KEI</v>
      </c>
      <c r="C116" s="4">
        <f>VLOOKUP($B116,'Data shares'!$C:$FB,7)</f>
        <v>3848.4</v>
      </c>
      <c r="D116" s="82">
        <f>VLOOKUP($B116,'Data shares'!$C:$FB,98)</f>
        <v>3058300</v>
      </c>
      <c r="E116" s="165">
        <f>VLOOKUP(B116,'Snapshot (Volume)'!$A$7:$G$168,7,0)</f>
        <v>2627975</v>
      </c>
      <c r="F116" s="165">
        <f t="shared" si="40"/>
        <v>430325</v>
      </c>
      <c r="G116" s="166">
        <f t="shared" si="41"/>
        <v>0.16374775254711327</v>
      </c>
      <c r="H116" s="165">
        <f>VLOOKUP($B116,'Data shares'!$C:$FB,66)</f>
        <v>17473750</v>
      </c>
      <c r="I116" s="165">
        <f>VLOOKUP($B116,'Data shares'!$C:$FB,67)</f>
        <v>6963075</v>
      </c>
      <c r="J116" s="81">
        <f t="shared" si="42"/>
        <v>150.94875468094199</v>
      </c>
      <c r="K116" s="5">
        <f>VLOOKUP($B116,'Data Vlaue (Cr)'!$C:$FB,99)</f>
        <v>1179</v>
      </c>
      <c r="L116" s="81">
        <f>VLOOKUP(B116,'OI(Value)'!$A$7:$C$226,3,0)</f>
        <v>166</v>
      </c>
      <c r="M116" s="33">
        <f t="shared" si="31"/>
        <v>14.079728583545378</v>
      </c>
      <c r="N116" s="5">
        <f>VLOOKUP($B116,'Data Vlaue (Cr)'!$C:$FB,67)</f>
        <v>6737</v>
      </c>
      <c r="O116" s="5">
        <f>VLOOKUP($B116,'Data Vlaue (Cr)'!$C:$FB,68)</f>
        <v>2685</v>
      </c>
      <c r="P116" s="5">
        <f t="shared" si="43"/>
        <v>60.145465340656081</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Finance</v>
      </c>
      <c r="B117" s="79" t="str">
        <f>'Data shares'!C112</f>
        <v>KFINTECH</v>
      </c>
      <c r="C117" s="4">
        <f>VLOOKUP($B117,'Data shares'!$C:$FB,7)</f>
        <v>1033.5</v>
      </c>
      <c r="D117" s="82">
        <f>VLOOKUP($B117,'Data shares'!$C:$FB,98)</f>
        <v>10355000</v>
      </c>
      <c r="E117" s="165">
        <f>VLOOKUP(B117,'Snapshot (Volume)'!$A$7:$G$168,7,0)</f>
        <v>11420000</v>
      </c>
      <c r="F117" s="165">
        <f t="shared" si="40"/>
        <v>-1065000</v>
      </c>
      <c r="G117" s="166">
        <f t="shared" si="41"/>
        <v>-9.3257443082311736E-2</v>
      </c>
      <c r="H117" s="165">
        <f>VLOOKUP($B117,'Data shares'!$C:$FB,66)</f>
        <v>15728500</v>
      </c>
      <c r="I117" s="165">
        <f>VLOOKUP($B117,'Data shares'!$C:$FB,67)</f>
        <v>13582000</v>
      </c>
      <c r="J117" s="81">
        <f t="shared" si="42"/>
        <v>15.804005301133852</v>
      </c>
      <c r="K117" s="5">
        <f>VLOOKUP($B117,'Data Vlaue (Cr)'!$C:$FB,99)</f>
        <v>1072</v>
      </c>
      <c r="L117" s="81">
        <f>VLOOKUP(B117,'OI(Value)'!$A$7:$C$226,3,0)</f>
        <v>-110</v>
      </c>
      <c r="M117" s="33">
        <f t="shared" si="31"/>
        <v>-10.261194029850747</v>
      </c>
      <c r="N117" s="5">
        <f>VLOOKUP($B117,'Data Vlaue (Cr)'!$C:$FB,67)</f>
        <v>1628</v>
      </c>
      <c r="O117" s="5">
        <f>VLOOKUP($B117,'Data Vlaue (Cr)'!$C:$FB,68)</f>
        <v>1406</v>
      </c>
      <c r="P117" s="5">
        <f t="shared" si="43"/>
        <v>13.636363636363635</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Banking</v>
      </c>
      <c r="B118" s="79" t="str">
        <f>'Data shares'!C113</f>
        <v>KOTAKBANK</v>
      </c>
      <c r="C118" s="4">
        <f>VLOOKUP($B118,'Data shares'!$C:$FB,7)</f>
        <v>426</v>
      </c>
      <c r="D118" s="82">
        <f>VLOOKUP($B118,'Data shares'!$C:$FB,98)</f>
        <v>267124000</v>
      </c>
      <c r="E118" s="165">
        <f>VLOOKUP(B118,'Snapshot (Volume)'!$A$7:$G$168,7,0)</f>
        <v>268996000</v>
      </c>
      <c r="F118" s="165">
        <f t="shared" si="40"/>
        <v>-1872000</v>
      </c>
      <c r="G118" s="166">
        <f t="shared" si="41"/>
        <v>-6.9592112893872024E-3</v>
      </c>
      <c r="H118" s="165">
        <f>VLOOKUP($B118,'Data shares'!$C:$FB,66)</f>
        <v>158942000</v>
      </c>
      <c r="I118" s="165">
        <f>VLOOKUP($B118,'Data shares'!$C:$FB,67)</f>
        <v>176714000</v>
      </c>
      <c r="J118" s="81">
        <f t="shared" si="42"/>
        <v>-10.056928143780345</v>
      </c>
      <c r="K118" s="5">
        <f>VLOOKUP($B118,'Data Vlaue (Cr)'!$C:$FB,99)</f>
        <v>11385</v>
      </c>
      <c r="L118" s="81">
        <f>VLOOKUP(B118,'OI(Value)'!$A$7:$C$226,3,0)</f>
        <v>-80</v>
      </c>
      <c r="M118" s="33">
        <f t="shared" si="31"/>
        <v>-0.70267896354852877</v>
      </c>
      <c r="N118" s="5">
        <f>VLOOKUP($B118,'Data Vlaue (Cr)'!$C:$FB,67)</f>
        <v>6774</v>
      </c>
      <c r="O118" s="5">
        <f>VLOOKUP($B118,'Data Vlaue (Cr)'!$C:$FB,68)</f>
        <v>7532</v>
      </c>
      <c r="P118" s="5">
        <f t="shared" si="43"/>
        <v>-11.189843519338648</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Technology</v>
      </c>
      <c r="B119" s="79" t="str">
        <f>'Data shares'!C114</f>
        <v>KPITTECH</v>
      </c>
      <c r="C119" s="4">
        <f>VLOOKUP($B119,'Data shares'!$C:$FB,7)</f>
        <v>1109.2</v>
      </c>
      <c r="D119" s="82">
        <f>VLOOKUP($B119,'Data shares'!$C:$FB,98)</f>
        <v>9022750</v>
      </c>
      <c r="E119" s="165">
        <f>VLOOKUP(B119,'Snapshot (Volume)'!$A$7:$G$168,7,0)</f>
        <v>9066100</v>
      </c>
      <c r="F119" s="165">
        <f t="shared" si="40"/>
        <v>-43350</v>
      </c>
      <c r="G119" s="166">
        <f t="shared" si="41"/>
        <v>-4.7815488468029256E-3</v>
      </c>
      <c r="H119" s="165">
        <f>VLOOKUP($B119,'Data shares'!$C:$FB,66)</f>
        <v>8966225</v>
      </c>
      <c r="I119" s="165">
        <f>VLOOKUP($B119,'Data shares'!$C:$FB,67)</f>
        <v>11881725</v>
      </c>
      <c r="J119" s="81">
        <f t="shared" si="42"/>
        <v>-24.537682870121973</v>
      </c>
      <c r="K119" s="5">
        <f>VLOOKUP($B119,'Data Vlaue (Cr)'!$C:$FB,99)</f>
        <v>1005</v>
      </c>
      <c r="L119" s="81">
        <f>VLOOKUP(B119,'OI(Value)'!$A$7:$C$226,3,0)</f>
        <v>-5</v>
      </c>
      <c r="M119" s="33">
        <f t="shared" si="31"/>
        <v>-0.49751243781094528</v>
      </c>
      <c r="N119" s="5">
        <f>VLOOKUP($B119,'Data Vlaue (Cr)'!$C:$FB,67)</f>
        <v>998</v>
      </c>
      <c r="O119" s="5">
        <f>VLOOKUP($B119,'Data Vlaue (Cr)'!$C:$FB,68)</f>
        <v>1323</v>
      </c>
      <c r="P119" s="5">
        <f t="shared" si="43"/>
        <v>-32.565130260521045</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Pharma</v>
      </c>
      <c r="B120" s="79" t="str">
        <f>'Data shares'!C115</f>
        <v>LAURUSLABS</v>
      </c>
      <c r="C120" s="4">
        <f>VLOOKUP($B120,'Data shares'!$C:$FB,7)</f>
        <v>1005.8</v>
      </c>
      <c r="D120" s="82">
        <f>VLOOKUP($B120,'Data shares'!$C:$FB,98)</f>
        <v>42481300</v>
      </c>
      <c r="E120" s="165">
        <f>VLOOKUP(B120,'Snapshot (Volume)'!$A$7:$G$168,7,0)</f>
        <v>41174000</v>
      </c>
      <c r="F120" s="165">
        <f t="shared" si="40"/>
        <v>1307300</v>
      </c>
      <c r="G120" s="166">
        <f t="shared" si="41"/>
        <v>3.1750619322873659E-2</v>
      </c>
      <c r="H120" s="165">
        <f>VLOOKUP($B120,'Data shares'!$C:$FB,66)</f>
        <v>42012950</v>
      </c>
      <c r="I120" s="165">
        <f>VLOOKUP($B120,'Data shares'!$C:$FB,67)</f>
        <v>55148000</v>
      </c>
      <c r="J120" s="81">
        <f t="shared" si="42"/>
        <v>-23.817817509247842</v>
      </c>
      <c r="K120" s="5">
        <f>VLOOKUP($B120,'Data Vlaue (Cr)'!$C:$FB,99)</f>
        <v>4290</v>
      </c>
      <c r="L120" s="81">
        <f>VLOOKUP(B120,'OI(Value)'!$A$7:$C$226,3,0)</f>
        <v>132</v>
      </c>
      <c r="M120" s="33">
        <f t="shared" si="31"/>
        <v>3.0769230769230771</v>
      </c>
      <c r="N120" s="5">
        <f>VLOOKUP($B120,'Data Vlaue (Cr)'!$C:$FB,67)</f>
        <v>4242</v>
      </c>
      <c r="O120" s="5">
        <f>VLOOKUP($B120,'Data Vlaue (Cr)'!$C:$FB,68)</f>
        <v>5569</v>
      </c>
      <c r="P120" s="5">
        <f t="shared" si="43"/>
        <v>-31.282413955681282</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Finance</v>
      </c>
      <c r="B121" s="79" t="str">
        <f>'Data shares'!C116</f>
        <v>LICHSGFIN</v>
      </c>
      <c r="C121" s="4">
        <f>VLOOKUP($B121,'Data shares'!$C:$FB,7)</f>
        <v>517.1</v>
      </c>
      <c r="D121" s="82">
        <f>VLOOKUP($B121,'Data shares'!$C:$FB,98)</f>
        <v>49135000</v>
      </c>
      <c r="E121" s="165">
        <f>VLOOKUP(B121,'Snapshot (Volume)'!$A$7:$G$168,7,0)</f>
        <v>50574000</v>
      </c>
      <c r="F121" s="165">
        <f t="shared" si="40"/>
        <v>-1439000</v>
      </c>
      <c r="G121" s="166">
        <f t="shared" si="41"/>
        <v>-2.8453355479099933E-2</v>
      </c>
      <c r="H121" s="165">
        <f>VLOOKUP($B121,'Data shares'!$C:$FB,66)</f>
        <v>35012000</v>
      </c>
      <c r="I121" s="165">
        <f>VLOOKUP($B121,'Data shares'!$C:$FB,67)</f>
        <v>39940000</v>
      </c>
      <c r="J121" s="81">
        <f t="shared" si="42"/>
        <v>-12.338507761642465</v>
      </c>
      <c r="K121" s="5">
        <f>VLOOKUP($B121,'Data Vlaue (Cr)'!$C:$FB,99)</f>
        <v>2543</v>
      </c>
      <c r="L121" s="81">
        <f>VLOOKUP(B121,'OI(Value)'!$A$7:$C$226,3,0)</f>
        <v>-74</v>
      </c>
      <c r="M121" s="33">
        <f t="shared" si="31"/>
        <v>-2.909948879276445</v>
      </c>
      <c r="N121" s="5">
        <f>VLOOKUP($B121,'Data Vlaue (Cr)'!$C:$FB,67)</f>
        <v>1812</v>
      </c>
      <c r="O121" s="5">
        <f>VLOOKUP($B121,'Data Vlaue (Cr)'!$C:$FB,68)</f>
        <v>2067</v>
      </c>
      <c r="P121" s="5">
        <f t="shared" si="43"/>
        <v>-14.072847682119205</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Finance</v>
      </c>
      <c r="B122" s="79" t="str">
        <f>'Data shares'!C117</f>
        <v>LICI</v>
      </c>
      <c r="C122" s="4">
        <f>VLOOKUP($B122,'Data shares'!$C:$FB,7)</f>
        <v>819.3</v>
      </c>
      <c r="D122" s="82">
        <f>VLOOKUP($B122,'Data shares'!$C:$FB,98)</f>
        <v>22969100</v>
      </c>
      <c r="E122" s="165">
        <f>VLOOKUP(B122,'Snapshot (Volume)'!$A$7:$G$168,7,0)</f>
        <v>23653700</v>
      </c>
      <c r="F122" s="165">
        <f t="shared" si="40"/>
        <v>-684600</v>
      </c>
      <c r="G122" s="166">
        <f t="shared" si="41"/>
        <v>-2.8942617856825781E-2</v>
      </c>
      <c r="H122" s="165">
        <f>VLOOKUP($B122,'Data shares'!$C:$FB,66)</f>
        <v>52350200</v>
      </c>
      <c r="I122" s="165">
        <f>VLOOKUP($B122,'Data shares'!$C:$FB,67)</f>
        <v>16866500</v>
      </c>
      <c r="J122" s="81">
        <f t="shared" si="42"/>
        <v>210.37974683544306</v>
      </c>
      <c r="K122" s="5">
        <f>VLOOKUP($B122,'Data Vlaue (Cr)'!$C:$FB,99)</f>
        <v>1886</v>
      </c>
      <c r="L122" s="81">
        <f>VLOOKUP(B122,'OI(Value)'!$A$7:$C$226,3,0)</f>
        <v>-56</v>
      </c>
      <c r="M122" s="33">
        <f t="shared" si="31"/>
        <v>-2.9692470837751856</v>
      </c>
      <c r="N122" s="5">
        <f>VLOOKUP($B122,'Data Vlaue (Cr)'!$C:$FB,67)</f>
        <v>4299</v>
      </c>
      <c r="O122" s="5">
        <f>VLOOKUP($B122,'Data Vlaue (Cr)'!$C:$FB,68)</f>
        <v>1385</v>
      </c>
      <c r="P122" s="5">
        <f t="shared" si="43"/>
        <v>67.783205396603861</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Realty</v>
      </c>
      <c r="B123" s="79" t="str">
        <f>'Data shares'!C118</f>
        <v>LODHA</v>
      </c>
      <c r="C123" s="4">
        <f>VLOOKUP($B123,'Data shares'!$C:$FB,7)</f>
        <v>945.5</v>
      </c>
      <c r="D123" s="82">
        <f>VLOOKUP($B123,'Data shares'!$C:$FB,98)</f>
        <v>18966150</v>
      </c>
      <c r="E123" s="165">
        <f>VLOOKUP(B123,'Snapshot (Volume)'!$A$7:$G$168,7,0)</f>
        <v>18147150</v>
      </c>
      <c r="F123" s="165">
        <f t="shared" si="40"/>
        <v>819000</v>
      </c>
      <c r="G123" s="166">
        <f t="shared" si="41"/>
        <v>4.5131053636521437E-2</v>
      </c>
      <c r="H123" s="165">
        <f>VLOOKUP($B123,'Data shares'!$C:$FB,66)</f>
        <v>20866050</v>
      </c>
      <c r="I123" s="165">
        <f>VLOOKUP($B123,'Data shares'!$C:$FB,67)</f>
        <v>17842050</v>
      </c>
      <c r="J123" s="81">
        <f t="shared" si="42"/>
        <v>16.94872506242276</v>
      </c>
      <c r="K123" s="5">
        <f>VLOOKUP($B123,'Data Vlaue (Cr)'!$C:$FB,99)</f>
        <v>1802</v>
      </c>
      <c r="L123" s="81">
        <f>VLOOKUP(B123,'OI(Value)'!$A$7:$C$226,3,0)</f>
        <v>78</v>
      </c>
      <c r="M123" s="33">
        <f t="shared" ref="M123:M144" si="44">L123/K123*100</f>
        <v>4.328523862375139</v>
      </c>
      <c r="N123" s="5">
        <f>VLOOKUP($B123,'Data Vlaue (Cr)'!$C:$FB,67)</f>
        <v>1982</v>
      </c>
      <c r="O123" s="5">
        <f>VLOOKUP($B123,'Data Vlaue (Cr)'!$C:$FB,68)</f>
        <v>1695</v>
      </c>
      <c r="P123" s="5">
        <f t="shared" si="43"/>
        <v>14.480322906155399</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Capital_Goods</v>
      </c>
      <c r="B124" s="79" t="str">
        <f>'Data shares'!C119</f>
        <v>LT</v>
      </c>
      <c r="C124" s="4">
        <f>VLOOKUP($B124,'Data shares'!$C:$FB,7)</f>
        <v>3793.8</v>
      </c>
      <c r="D124" s="82">
        <f>VLOOKUP($B124,'Data shares'!$C:$FB,98)</f>
        <v>25759475</v>
      </c>
      <c r="E124" s="165">
        <f>VLOOKUP(B124,'Snapshot (Volume)'!$A$7:$G$168,7,0)</f>
        <v>25696650</v>
      </c>
      <c r="F124" s="165">
        <f t="shared" si="40"/>
        <v>62825</v>
      </c>
      <c r="G124" s="166">
        <f t="shared" si="41"/>
        <v>2.4448712186218827E-3</v>
      </c>
      <c r="H124" s="165">
        <f>VLOOKUP($B124,'Data shares'!$C:$FB,66)</f>
        <v>22926575</v>
      </c>
      <c r="I124" s="165">
        <f>VLOOKUP($B124,'Data shares'!$C:$FB,67)</f>
        <v>24208800</v>
      </c>
      <c r="J124" s="81">
        <f t="shared" si="42"/>
        <v>-5.2965244043488315</v>
      </c>
      <c r="K124" s="5">
        <f>VLOOKUP($B124,'Data Vlaue (Cr)'!$C:$FB,99)</f>
        <v>9790</v>
      </c>
      <c r="L124" s="81">
        <f>VLOOKUP(B124,'OI(Value)'!$A$7:$C$226,3,0)</f>
        <v>24</v>
      </c>
      <c r="M124" s="33">
        <f t="shared" si="44"/>
        <v>0.24514811031664963</v>
      </c>
      <c r="N124" s="5">
        <f>VLOOKUP($B124,'Data Vlaue (Cr)'!$C:$FB,67)</f>
        <v>8713</v>
      </c>
      <c r="O124" s="5">
        <f>VLOOKUP($B124,'Data Vlaue (Cr)'!$C:$FB,68)</f>
        <v>9201</v>
      </c>
      <c r="P124" s="5">
        <f t="shared" si="43"/>
        <v>-5.6008263514288998</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Finance</v>
      </c>
      <c r="B125" s="79" t="str">
        <f>'Data shares'!C120</f>
        <v>LTF</v>
      </c>
      <c r="C125" s="4">
        <f>VLOOKUP($B125,'Data shares'!$C:$FB,7)</f>
        <v>287.3</v>
      </c>
      <c r="D125" s="82">
        <f>VLOOKUP($B125,'Data shares'!$C:$FB,98)</f>
        <v>129132000</v>
      </c>
      <c r="E125" s="165">
        <f>VLOOKUP(B125,'Snapshot (Volume)'!$A$7:$G$168,7,0)</f>
        <v>134646750</v>
      </c>
      <c r="F125" s="165">
        <f t="shared" si="40"/>
        <v>-5514750</v>
      </c>
      <c r="G125" s="166">
        <f t="shared" si="41"/>
        <v>-4.0957171264809585E-2</v>
      </c>
      <c r="H125" s="165">
        <f>VLOOKUP($B125,'Data shares'!$C:$FB,66)</f>
        <v>141282000</v>
      </c>
      <c r="I125" s="165">
        <f>VLOOKUP($B125,'Data shares'!$C:$FB,67)</f>
        <v>373639500</v>
      </c>
      <c r="J125" s="81">
        <f t="shared" si="42"/>
        <v>-62.187616673290705</v>
      </c>
      <c r="K125" s="5">
        <f>VLOOKUP($B125,'Data Vlaue (Cr)'!$C:$FB,99)</f>
        <v>3711</v>
      </c>
      <c r="L125" s="81">
        <f>VLOOKUP(B125,'OI(Value)'!$A$7:$C$226,3,0)</f>
        <v>-158</v>
      </c>
      <c r="M125" s="33">
        <f t="shared" si="44"/>
        <v>-4.2576125033683647</v>
      </c>
      <c r="N125" s="5">
        <f>VLOOKUP($B125,'Data Vlaue (Cr)'!$C:$FB,67)</f>
        <v>4060</v>
      </c>
      <c r="O125" s="5">
        <f>VLOOKUP($B125,'Data Vlaue (Cr)'!$C:$FB,68)</f>
        <v>10737</v>
      </c>
      <c r="P125" s="5">
        <f t="shared" si="43"/>
        <v>-164.45812807881774</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Technology</v>
      </c>
      <c r="B126" s="79" t="str">
        <f>'Data shares'!C121</f>
        <v>LTIM</v>
      </c>
      <c r="C126" s="4">
        <f>VLOOKUP($B126,'Data shares'!$C:$FB,7)</f>
        <v>5947</v>
      </c>
      <c r="D126" s="82">
        <f>VLOOKUP($B126,'Data shares'!$C:$FB,98)</f>
        <v>5721000</v>
      </c>
      <c r="E126" s="165">
        <f>VLOOKUP(B126,'Snapshot (Volume)'!$A$7:$G$168,7,0)</f>
        <v>6248550</v>
      </c>
      <c r="F126" s="165">
        <f t="shared" si="40"/>
        <v>-527550</v>
      </c>
      <c r="G126" s="166">
        <f t="shared" si="41"/>
        <v>-8.4427587200230456E-2</v>
      </c>
      <c r="H126" s="165">
        <f>VLOOKUP($B126,'Data shares'!$C:$FB,66)</f>
        <v>12945450</v>
      </c>
      <c r="I126" s="165">
        <f>VLOOKUP($B126,'Data shares'!$C:$FB,67)</f>
        <v>20427000</v>
      </c>
      <c r="J126" s="81">
        <f t="shared" si="42"/>
        <v>-36.625789396387134</v>
      </c>
      <c r="K126" s="5">
        <f>VLOOKUP($B126,'Data Vlaue (Cr)'!$C:$FB,99)</f>
        <v>3403</v>
      </c>
      <c r="L126" s="81">
        <f>VLOOKUP(B126,'OI(Value)'!$A$7:$C$226,3,0)</f>
        <v>-314</v>
      </c>
      <c r="M126" s="33">
        <f t="shared" si="44"/>
        <v>-9.2271525124889795</v>
      </c>
      <c r="N126" s="5">
        <f>VLOOKUP($B126,'Data Vlaue (Cr)'!$C:$FB,67)</f>
        <v>7701</v>
      </c>
      <c r="O126" s="5">
        <f>VLOOKUP($B126,'Data Vlaue (Cr)'!$C:$FB,68)</f>
        <v>12152</v>
      </c>
      <c r="P126" s="5">
        <f t="shared" si="43"/>
        <v>-57.797688611868594</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Pharma</v>
      </c>
      <c r="B127" s="79" t="str">
        <f>'Data shares'!C122</f>
        <v>LUPIN</v>
      </c>
      <c r="C127" s="4">
        <f>VLOOKUP($B127,'Data shares'!$C:$FB,7)</f>
        <v>2163.1999999999998</v>
      </c>
      <c r="D127" s="82">
        <f>VLOOKUP($B127,'Data shares'!$C:$FB,98)</f>
        <v>11141800</v>
      </c>
      <c r="E127" s="165">
        <f>VLOOKUP(B127,'Snapshot (Volume)'!$A$7:$G$168,7,0)</f>
        <v>11389150</v>
      </c>
      <c r="F127" s="165">
        <f>D127-E127</f>
        <v>-247350</v>
      </c>
      <c r="G127" s="166">
        <f>F127/E127</f>
        <v>-2.1718038659601462E-2</v>
      </c>
      <c r="H127" s="165">
        <f>VLOOKUP($B127,'Data shares'!$C:$FB,66)</f>
        <v>10340675</v>
      </c>
      <c r="I127" s="165">
        <f>VLOOKUP($B127,'Data shares'!$C:$FB,67)</f>
        <v>13414700</v>
      </c>
      <c r="J127" s="81">
        <f>(H127-I127)/I127*100</f>
        <v>-22.91534659738943</v>
      </c>
      <c r="K127" s="5">
        <f>VLOOKUP($B127,'Data Vlaue (Cr)'!$C:$FB,99)</f>
        <v>2408</v>
      </c>
      <c r="L127" s="81">
        <f>VLOOKUP(B127,'OI(Value)'!$A$7:$C$226,3,0)</f>
        <v>-53</v>
      </c>
      <c r="M127" s="33">
        <f t="shared" si="44"/>
        <v>-2.2009966777408638</v>
      </c>
      <c r="N127" s="5">
        <f>VLOOKUP($B127,'Data Vlaue (Cr)'!$C:$FB,67)</f>
        <v>2235</v>
      </c>
      <c r="O127" s="5">
        <f>VLOOKUP($B127,'Data Vlaue (Cr)'!$C:$FB,68)</f>
        <v>2900</v>
      </c>
      <c r="P127" s="5">
        <f>(N127-O127)/N127*100</f>
        <v>-29.753914988814316</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Automobile</v>
      </c>
      <c r="B128" s="79" t="str">
        <f>'Data shares'!C123</f>
        <v>M&amp;M</v>
      </c>
      <c r="C128" s="4">
        <f>VLOOKUP($B128,'Data shares'!$C:$FB,7)</f>
        <v>3573.7</v>
      </c>
      <c r="D128" s="82">
        <f>VLOOKUP($B128,'Data shares'!$C:$FB,98)</f>
        <v>24416000</v>
      </c>
      <c r="E128" s="165">
        <f>VLOOKUP(B128,'Snapshot (Volume)'!$A$7:$G$168,7,0)</f>
        <v>24625800</v>
      </c>
      <c r="F128" s="165">
        <f>D128-E128</f>
        <v>-209800</v>
      </c>
      <c r="G128" s="166">
        <f>F128/E128</f>
        <v>-8.519520178024674E-3</v>
      </c>
      <c r="H128" s="165">
        <f>VLOOKUP($B128,'Data shares'!$C:$FB,66)</f>
        <v>29263800</v>
      </c>
      <c r="I128" s="165">
        <f>VLOOKUP($B128,'Data shares'!$C:$FB,67)</f>
        <v>21883400</v>
      </c>
      <c r="J128" s="81">
        <f>(H128-I128)/I128*100</f>
        <v>33.726020636646957</v>
      </c>
      <c r="K128" s="5">
        <f>VLOOKUP($B128,'Data Vlaue (Cr)'!$C:$FB,99)</f>
        <v>8740</v>
      </c>
      <c r="L128" s="81">
        <f>VLOOKUP(B128,'OI(Value)'!$A$7:$C$226,3,0)</f>
        <v>-75</v>
      </c>
      <c r="M128" s="33">
        <f t="shared" si="44"/>
        <v>-0.85812356979405036</v>
      </c>
      <c r="N128" s="5">
        <f>VLOOKUP($B128,'Data Vlaue (Cr)'!$C:$FB,67)</f>
        <v>10476</v>
      </c>
      <c r="O128" s="5">
        <f>VLOOKUP($B128,'Data Vlaue (Cr)'!$C:$FB,68)</f>
        <v>7834</v>
      </c>
      <c r="P128" s="5">
        <f>(N128-O128)/N128*100</f>
        <v>25.219549446353568</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Finance</v>
      </c>
      <c r="B129" s="79" t="str">
        <f>'Data shares'!C124</f>
        <v>MANAPPURAM</v>
      </c>
      <c r="C129" s="4">
        <f>VLOOKUP($B129,'Data shares'!$C:$FB,7)</f>
        <v>300.2</v>
      </c>
      <c r="D129" s="82">
        <f>VLOOKUP($B129,'Data shares'!$C:$FB,98)</f>
        <v>94983000</v>
      </c>
      <c r="E129" s="165">
        <f>VLOOKUP(B129,'Snapshot (Volume)'!$A$7:$G$168,7,0)</f>
        <v>103170000</v>
      </c>
      <c r="F129" s="165">
        <f>D129-E129</f>
        <v>-8187000</v>
      </c>
      <c r="G129" s="166">
        <f>F129/E129</f>
        <v>-7.9354463506833381E-2</v>
      </c>
      <c r="H129" s="165">
        <f>VLOOKUP($B129,'Data shares'!$C:$FB,66)</f>
        <v>102852000</v>
      </c>
      <c r="I129" s="165">
        <f>VLOOKUP($B129,'Data shares'!$C:$FB,67)</f>
        <v>128775000</v>
      </c>
      <c r="J129" s="81">
        <f>(H129-I129)/I129*100</f>
        <v>-20.130460104834015</v>
      </c>
      <c r="K129" s="5">
        <f>VLOOKUP($B129,'Data Vlaue (Cr)'!$C:$FB,99)</f>
        <v>2857</v>
      </c>
      <c r="L129" s="81">
        <f>VLOOKUP(B129,'OI(Value)'!$A$7:$C$226,3,0)</f>
        <v>-246</v>
      </c>
      <c r="M129" s="33">
        <f t="shared" si="44"/>
        <v>-8.6104305215260766</v>
      </c>
      <c r="N129" s="5">
        <f>VLOOKUP($B129,'Data Vlaue (Cr)'!$C:$FB,67)</f>
        <v>3093</v>
      </c>
      <c r="O129" s="5">
        <f>VLOOKUP($B129,'Data Vlaue (Cr)'!$C:$FB,68)</f>
        <v>3873</v>
      </c>
      <c r="P129" s="5">
        <f>(N129-O129)/N129*100</f>
        <v>-25.218234723569349</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Pharma</v>
      </c>
      <c r="B130" s="79" t="str">
        <f>'Data shares'!C125</f>
        <v>MANKIND</v>
      </c>
      <c r="C130" s="4">
        <f>VLOOKUP($B130,'Data shares'!$C:$FB,7)</f>
        <v>2147</v>
      </c>
      <c r="D130" s="82">
        <f>VLOOKUP($B130,'Data shares'!$C:$FB,98)</f>
        <v>3824325</v>
      </c>
      <c r="E130" s="165">
        <f>VLOOKUP(B130,'Snapshot (Volume)'!$A$7:$G$168,7,0)</f>
        <v>4045050</v>
      </c>
      <c r="F130" s="165">
        <f>D130-E130</f>
        <v>-220725</v>
      </c>
      <c r="G130" s="166">
        <f>F130/E130</f>
        <v>-5.4566692624318611E-2</v>
      </c>
      <c r="H130" s="165">
        <f>VLOOKUP($B130,'Data shares'!$C:$FB,66)</f>
        <v>3631275</v>
      </c>
      <c r="I130" s="165">
        <f>VLOOKUP($B130,'Data shares'!$C:$FB,67)</f>
        <v>3374325</v>
      </c>
      <c r="J130" s="81">
        <f>(H130-I130)/I130*100</f>
        <v>7.6148563045942517</v>
      </c>
      <c r="K130" s="5">
        <f>VLOOKUP($B130,'Data Vlaue (Cr)'!$C:$FB,99)</f>
        <v>823</v>
      </c>
      <c r="L130" s="81">
        <f>VLOOKUP(B130,'OI(Value)'!$A$7:$C$226,3,0)</f>
        <v>-48</v>
      </c>
      <c r="M130" s="33">
        <f t="shared" si="44"/>
        <v>-5.8323207776427699</v>
      </c>
      <c r="N130" s="5">
        <f>VLOOKUP($B130,'Data Vlaue (Cr)'!$C:$FB,67)</f>
        <v>782</v>
      </c>
      <c r="O130" s="5">
        <f>VLOOKUP($B130,'Data Vlaue (Cr)'!$C:$FB,68)</f>
        <v>726</v>
      </c>
      <c r="P130" s="5">
        <f>(N130-O130)/N130*100</f>
        <v>7.1611253196930944</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FMCG</v>
      </c>
      <c r="B131" s="79" t="str">
        <f>'Data shares'!C126</f>
        <v>MARICO</v>
      </c>
      <c r="C131" s="4">
        <f>VLOOKUP($B131,'Data shares'!$C:$FB,7)</f>
        <v>751.75</v>
      </c>
      <c r="D131" s="82">
        <f>VLOOKUP($B131,'Data shares'!$C:$FB,98)</f>
        <v>43974000</v>
      </c>
      <c r="E131" s="165">
        <f>VLOOKUP(B131,'Snapshot (Volume)'!$A$7:$G$168,7,0)</f>
        <v>43990800</v>
      </c>
      <c r="F131" s="165">
        <f>D131-E131</f>
        <v>-16800</v>
      </c>
      <c r="G131" s="166">
        <f>F131/E131</f>
        <v>-3.818980332251289E-4</v>
      </c>
      <c r="H131" s="165">
        <f>VLOOKUP($B131,'Data shares'!$C:$FB,66)</f>
        <v>35433600</v>
      </c>
      <c r="I131" s="165">
        <f>VLOOKUP($B131,'Data shares'!$C:$FB,67)</f>
        <v>26112000</v>
      </c>
      <c r="J131" s="81">
        <f>(H131-I131)/I131*100</f>
        <v>35.69852941176471</v>
      </c>
      <c r="K131" s="5">
        <f>VLOOKUP($B131,'Data Vlaue (Cr)'!$C:$FB,99)</f>
        <v>3308</v>
      </c>
      <c r="L131" s="81">
        <f>VLOOKUP(B131,'OI(Value)'!$A$7:$C$226,3,0)</f>
        <v>-1</v>
      </c>
      <c r="M131" s="33">
        <f t="shared" si="44"/>
        <v>-3.0229746070133009E-2</v>
      </c>
      <c r="N131" s="5">
        <f>VLOOKUP($B131,'Data Vlaue (Cr)'!$C:$FB,67)</f>
        <v>2665</v>
      </c>
      <c r="O131" s="5">
        <f>VLOOKUP($B131,'Data Vlaue (Cr)'!$C:$FB,68)</f>
        <v>1964</v>
      </c>
      <c r="P131" s="5">
        <f>(N131-O131)/N131*100</f>
        <v>26.303939962476548</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Automobile</v>
      </c>
      <c r="B132" s="79" t="str">
        <f>'Data shares'!C127</f>
        <v>MARUTI</v>
      </c>
      <c r="C132" s="79">
        <f>VLOOKUP($B132,'Data shares'!$C:$FB,7)</f>
        <v>15765</v>
      </c>
      <c r="D132" s="165">
        <f>VLOOKUP($B132,'Data shares'!$C:$FB,98)</f>
        <v>6778000</v>
      </c>
      <c r="E132" s="165">
        <f>VLOOKUP(B132,'Snapshot (Volume)'!$A$7:$G$168,7,0)</f>
        <v>7046550</v>
      </c>
      <c r="F132" s="165">
        <f t="shared" ref="F132:F139" si="45">D132-E132</f>
        <v>-268550</v>
      </c>
      <c r="G132" s="166">
        <f t="shared" ref="G132:G139" si="46">F132/E132</f>
        <v>-3.811084857128666E-2</v>
      </c>
      <c r="H132" s="165">
        <f>VLOOKUP($B132,'Data shares'!$C:$FB,66)</f>
        <v>11011050</v>
      </c>
      <c r="I132" s="165">
        <f>VLOOKUP($B132,'Data shares'!$C:$FB,67)</f>
        <v>10650400</v>
      </c>
      <c r="J132" s="81">
        <f t="shared" ref="J132:J139" si="47">(H132-I132)/I132*100</f>
        <v>3.3862577931345306</v>
      </c>
      <c r="K132" s="81">
        <f>VLOOKUP($B132,'Data Vlaue (Cr)'!$C:$FB,99)</f>
        <v>10677</v>
      </c>
      <c r="L132" s="81">
        <f>VLOOKUP(B132,'OI(Value)'!$A$7:$C$226,3,0)</f>
        <v>-423</v>
      </c>
      <c r="M132" s="81">
        <f t="shared" si="44"/>
        <v>-3.9617870188255124</v>
      </c>
      <c r="N132" s="81">
        <f>VLOOKUP($B132,'Data Vlaue (Cr)'!$C:$FB,67)</f>
        <v>17345</v>
      </c>
      <c r="O132" s="81">
        <f>VLOOKUP($B132,'Data Vlaue (Cr)'!$C:$FB,68)</f>
        <v>16777</v>
      </c>
      <c r="P132" s="81">
        <f t="shared" ref="P132:P139" si="48">(N132-O132)/N132*100</f>
        <v>3.2747189391755547</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Pharma</v>
      </c>
      <c r="B133" s="79" t="str">
        <f>'Data shares'!C128</f>
        <v>MAXHEALTH</v>
      </c>
      <c r="C133" s="79">
        <f>VLOOKUP($B133,'Data shares'!$C:$FB,7)</f>
        <v>998.8</v>
      </c>
      <c r="D133" s="165">
        <f>VLOOKUP($B133,'Data shares'!$C:$FB,98)</f>
        <v>25438350</v>
      </c>
      <c r="E133" s="165">
        <f>VLOOKUP(B133,'Snapshot (Volume)'!$A$7:$G$168,7,0)</f>
        <v>25509225</v>
      </c>
      <c r="F133" s="165">
        <f t="shared" si="45"/>
        <v>-70875</v>
      </c>
      <c r="G133" s="166">
        <f t="shared" si="46"/>
        <v>-2.7784066352466606E-3</v>
      </c>
      <c r="H133" s="165">
        <f>VLOOKUP($B133,'Data shares'!$C:$FB,66)</f>
        <v>22173375</v>
      </c>
      <c r="I133" s="165">
        <f>VLOOKUP($B133,'Data shares'!$C:$FB,67)</f>
        <v>21783825</v>
      </c>
      <c r="J133" s="81">
        <f t="shared" si="47"/>
        <v>1.7882534403393344</v>
      </c>
      <c r="K133" s="81">
        <f>VLOOKUP($B133,'Data Vlaue (Cr)'!$C:$FB,99)</f>
        <v>2540</v>
      </c>
      <c r="L133" s="81">
        <f>VLOOKUP(B133,'OI(Value)'!$A$7:$C$226,3,0)</f>
        <v>-7</v>
      </c>
      <c r="M133" s="81">
        <f t="shared" si="44"/>
        <v>-0.27559055118110237</v>
      </c>
      <c r="N133" s="81">
        <f>VLOOKUP($B133,'Data Vlaue (Cr)'!$C:$FB,67)</f>
        <v>2214</v>
      </c>
      <c r="O133" s="81">
        <f>VLOOKUP($B133,'Data Vlaue (Cr)'!$C:$FB,68)</f>
        <v>2175</v>
      </c>
      <c r="P133" s="81">
        <f t="shared" si="48"/>
        <v>1.7615176151761516</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Infrastructure</v>
      </c>
      <c r="B134" s="79" t="str">
        <f>'Data shares'!C129</f>
        <v>MAZDOCK</v>
      </c>
      <c r="C134" s="4">
        <f>VLOOKUP($B134,'Data shares'!$C:$FB,7)</f>
        <v>2369</v>
      </c>
      <c r="D134" s="82">
        <f>VLOOKUP($B134,'Data shares'!$C:$FB,98)</f>
        <v>11896400</v>
      </c>
      <c r="E134" s="165">
        <f>VLOOKUP(B134,'Snapshot (Volume)'!$A$7:$G$168,7,0)</f>
        <v>12880000</v>
      </c>
      <c r="F134" s="165">
        <f t="shared" si="45"/>
        <v>-983600</v>
      </c>
      <c r="G134" s="166">
        <f t="shared" si="46"/>
        <v>-7.6366459627329186E-2</v>
      </c>
      <c r="H134" s="165">
        <f>VLOOKUP($B134,'Data shares'!$C:$FB,66)</f>
        <v>10602600</v>
      </c>
      <c r="I134" s="165">
        <f>VLOOKUP($B134,'Data shares'!$C:$FB,67)</f>
        <v>9736800</v>
      </c>
      <c r="J134" s="81">
        <f t="shared" si="47"/>
        <v>8.8920384520581699</v>
      </c>
      <c r="K134" s="5">
        <f>VLOOKUP($B134,'Data Vlaue (Cr)'!$C:$FB,99)</f>
        <v>2816</v>
      </c>
      <c r="L134" s="81">
        <f>VLOOKUP(B134,'OI(Value)'!$A$7:$C$226,3,0)</f>
        <v>-233</v>
      </c>
      <c r="M134" s="33">
        <f t="shared" si="44"/>
        <v>-8.2741477272727284</v>
      </c>
      <c r="N134" s="5">
        <f>VLOOKUP($B134,'Data Vlaue (Cr)'!$C:$FB,67)</f>
        <v>2509</v>
      </c>
      <c r="O134" s="5">
        <f>VLOOKUP($B134,'Data Vlaue (Cr)'!$C:$FB,68)</f>
        <v>2304</v>
      </c>
      <c r="P134" s="5">
        <f t="shared" si="48"/>
        <v>8.170585890793145</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Finance</v>
      </c>
      <c r="B135" s="79" t="str">
        <f>'Data shares'!C130</f>
        <v>MCX</v>
      </c>
      <c r="C135" s="4">
        <f>VLOOKUP($B135,'Data shares'!$C:$FB,7)</f>
        <v>2314</v>
      </c>
      <c r="D135" s="82">
        <f>VLOOKUP($B135,'Data shares'!$C:$FB,98)</f>
        <v>43815625</v>
      </c>
      <c r="E135" s="165">
        <f>VLOOKUP(B135,'Snapshot (Volume)'!$A$7:$G$168,7,0)</f>
        <v>41367500</v>
      </c>
      <c r="F135" s="165">
        <f t="shared" si="45"/>
        <v>2448125</v>
      </c>
      <c r="G135" s="166">
        <f t="shared" si="46"/>
        <v>5.9179911766483351E-2</v>
      </c>
      <c r="H135" s="165">
        <f>VLOOKUP($B135,'Data shares'!$C:$FB,66)</f>
        <v>94131250</v>
      </c>
      <c r="I135" s="165">
        <f>VLOOKUP($B135,'Data shares'!$C:$FB,67)</f>
        <v>60497500</v>
      </c>
      <c r="J135" s="81">
        <f t="shared" si="47"/>
        <v>55.595272531922802</v>
      </c>
      <c r="K135" s="5">
        <f>VLOOKUP($B135,'Data Vlaue (Cr)'!$C:$FB,99)</f>
        <v>10161</v>
      </c>
      <c r="L135" s="81">
        <f>VLOOKUP(B135,'OI(Value)'!$A$7:$C$226,3,0)</f>
        <v>568</v>
      </c>
      <c r="M135" s="33">
        <f t="shared" si="44"/>
        <v>5.590000984155103</v>
      </c>
      <c r="N135" s="5">
        <f>VLOOKUP($B135,'Data Vlaue (Cr)'!$C:$FB,67)</f>
        <v>21829</v>
      </c>
      <c r="O135" s="5">
        <f>VLOOKUP($B135,'Data Vlaue (Cr)'!$C:$FB,68)</f>
        <v>14029</v>
      </c>
      <c r="P135" s="5">
        <f t="shared" si="48"/>
        <v>35.732282743139862</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Finance</v>
      </c>
      <c r="B136" s="79" t="str">
        <f>'Data shares'!C131</f>
        <v>MFSL</v>
      </c>
      <c r="C136" s="4">
        <f>VLOOKUP($B136,'Data shares'!$C:$FB,7)</f>
        <v>1627.7</v>
      </c>
      <c r="D136" s="82">
        <f>VLOOKUP($B136,'Data shares'!$C:$FB,98)</f>
        <v>11514400</v>
      </c>
      <c r="E136" s="165">
        <f>VLOOKUP(B136,'Snapshot (Volume)'!$A$7:$G$168,7,0)</f>
        <v>11909200</v>
      </c>
      <c r="F136" s="165">
        <f t="shared" si="45"/>
        <v>-394800</v>
      </c>
      <c r="G136" s="166">
        <f t="shared" si="46"/>
        <v>-3.3150841366338626E-2</v>
      </c>
      <c r="H136" s="165">
        <f>VLOOKUP($B136,'Data shares'!$C:$FB,66)</f>
        <v>10291200</v>
      </c>
      <c r="I136" s="165">
        <f>VLOOKUP($B136,'Data shares'!$C:$FB,67)</f>
        <v>9980800</v>
      </c>
      <c r="J136" s="81">
        <f t="shared" si="47"/>
        <v>3.1099711445976275</v>
      </c>
      <c r="K136" s="5">
        <f>VLOOKUP($B136,'Data Vlaue (Cr)'!$C:$FB,99)</f>
        <v>1873</v>
      </c>
      <c r="L136" s="81">
        <f>VLOOKUP(B136,'OI(Value)'!$A$7:$C$226,3,0)</f>
        <v>-64</v>
      </c>
      <c r="M136" s="33">
        <f t="shared" si="44"/>
        <v>-3.4169781099839827</v>
      </c>
      <c r="N136" s="5">
        <f>VLOOKUP($B136,'Data Vlaue (Cr)'!$C:$FB,67)</f>
        <v>1674</v>
      </c>
      <c r="O136" s="5">
        <f>VLOOKUP($B136,'Data Vlaue (Cr)'!$C:$FB,68)</f>
        <v>1624</v>
      </c>
      <c r="P136" s="5">
        <f t="shared" si="48"/>
        <v>2.9868578255675029</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Index</v>
      </c>
      <c r="B137" s="79" t="str">
        <f>'Data shares'!C132</f>
        <v>MIDCPNIFTY</v>
      </c>
      <c r="C137" s="4">
        <f>VLOOKUP($B137,'Data shares'!$C:$FB,7)</f>
        <v>13325.45</v>
      </c>
      <c r="D137" s="82">
        <f>VLOOKUP($B137,'Data shares'!$C:$FB,98)</f>
        <v>29907600</v>
      </c>
      <c r="E137" s="165">
        <f>VLOOKUP(B137,'Snapshot (Volume)'!$A$7:$G$168,7,0)</f>
        <v>28961520</v>
      </c>
      <c r="F137" s="165">
        <f t="shared" si="45"/>
        <v>946080</v>
      </c>
      <c r="G137" s="166">
        <f t="shared" si="46"/>
        <v>3.2666793731820708E-2</v>
      </c>
      <c r="H137" s="165">
        <f>VLOOKUP($B137,'Data shares'!$C:$FB,66)</f>
        <v>161059800</v>
      </c>
      <c r="I137" s="165">
        <f>VLOOKUP($B137,'Data shares'!$C:$FB,67)</f>
        <v>230258280</v>
      </c>
      <c r="J137" s="81">
        <f t="shared" si="47"/>
        <v>-30.052547947461434</v>
      </c>
      <c r="K137" s="5">
        <f>VLOOKUP($B137,'Data Vlaue (Cr)'!$C:$FB,99)</f>
        <v>39888</v>
      </c>
      <c r="L137" s="81">
        <f>VLOOKUP(B137,'OI(Value)'!$A$7:$C$226,3,0)</f>
        <v>1262</v>
      </c>
      <c r="M137" s="33">
        <f t="shared" si="44"/>
        <v>3.163858804653028</v>
      </c>
      <c r="N137" s="5">
        <f>VLOOKUP($B137,'Data Vlaue (Cr)'!$C:$FB,67)</f>
        <v>214808</v>
      </c>
      <c r="O137" s="5">
        <f>VLOOKUP($B137,'Data Vlaue (Cr)'!$C:$FB,68)</f>
        <v>307099</v>
      </c>
      <c r="P137" s="5">
        <f t="shared" si="48"/>
        <v>-42.964414733157049</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Automobile</v>
      </c>
      <c r="B138" s="79" t="str">
        <f>'Data shares'!C133</f>
        <v>MOTHERSON</v>
      </c>
      <c r="C138" s="4">
        <f>VLOOKUP($B138,'Data shares'!$C:$FB,7)</f>
        <v>111.33</v>
      </c>
      <c r="D138" s="82">
        <f>VLOOKUP($B138,'Data shares'!$C:$FB,98)</f>
        <v>285329250</v>
      </c>
      <c r="E138" s="165">
        <f>VLOOKUP(B138,'Snapshot (Volume)'!$A$7:$G$168,7,0)</f>
        <v>289283700</v>
      </c>
      <c r="F138" s="165">
        <f t="shared" si="45"/>
        <v>-3954450</v>
      </c>
      <c r="G138" s="166">
        <f t="shared" si="46"/>
        <v>-1.3669798886007058E-2</v>
      </c>
      <c r="H138" s="165">
        <f>VLOOKUP($B138,'Data shares'!$C:$FB,66)</f>
        <v>265169550</v>
      </c>
      <c r="I138" s="165">
        <f>VLOOKUP($B138,'Data shares'!$C:$FB,67)</f>
        <v>308557800</v>
      </c>
      <c r="J138" s="81">
        <f t="shared" si="47"/>
        <v>-14.061627999681098</v>
      </c>
      <c r="K138" s="5">
        <f>VLOOKUP($B138,'Data Vlaue (Cr)'!$C:$FB,99)</f>
        <v>3182</v>
      </c>
      <c r="L138" s="81">
        <f>VLOOKUP(B138,'OI(Value)'!$A$7:$C$226,3,0)</f>
        <v>-44</v>
      </c>
      <c r="M138" s="33">
        <f t="shared" si="44"/>
        <v>-1.3827781269641735</v>
      </c>
      <c r="N138" s="5">
        <f>VLOOKUP($B138,'Data Vlaue (Cr)'!$C:$FB,67)</f>
        <v>2957</v>
      </c>
      <c r="O138" s="5">
        <f>VLOOKUP($B138,'Data Vlaue (Cr)'!$C:$FB,68)</f>
        <v>3441</v>
      </c>
      <c r="P138" s="5">
        <f t="shared" si="48"/>
        <v>-16.367940480216436</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Technology</v>
      </c>
      <c r="B139" s="79" t="str">
        <f>'Data shares'!C134</f>
        <v>MPHASIS</v>
      </c>
      <c r="C139" s="4">
        <f>VLOOKUP($B139,'Data shares'!$C:$FB,7)</f>
        <v>2810.1</v>
      </c>
      <c r="D139" s="82">
        <f>VLOOKUP($B139,'Data shares'!$C:$FB,98)</f>
        <v>7047425</v>
      </c>
      <c r="E139" s="165">
        <f>VLOOKUP(B139,'Snapshot (Volume)'!$A$7:$G$168,7,0)</f>
        <v>6919275</v>
      </c>
      <c r="F139" s="165">
        <f t="shared" si="45"/>
        <v>128150</v>
      </c>
      <c r="G139" s="166">
        <f t="shared" si="46"/>
        <v>1.852072652120345E-2</v>
      </c>
      <c r="H139" s="165">
        <f>VLOOKUP($B139,'Data shares'!$C:$FB,66)</f>
        <v>10783575</v>
      </c>
      <c r="I139" s="165">
        <f>VLOOKUP($B139,'Data shares'!$C:$FB,67)</f>
        <v>11068200</v>
      </c>
      <c r="J139" s="81">
        <f t="shared" si="47"/>
        <v>-2.5715563506261181</v>
      </c>
      <c r="K139" s="5">
        <f>VLOOKUP($B139,'Data Vlaue (Cr)'!$C:$FB,99)</f>
        <v>1979</v>
      </c>
      <c r="L139" s="81">
        <f>VLOOKUP(B139,'OI(Value)'!$A$7:$C$226,3,0)</f>
        <v>36</v>
      </c>
      <c r="M139" s="33">
        <f t="shared" si="44"/>
        <v>1.8191005558362812</v>
      </c>
      <c r="N139" s="5">
        <f>VLOOKUP($B139,'Data Vlaue (Cr)'!$C:$FB,67)</f>
        <v>3028</v>
      </c>
      <c r="O139" s="5">
        <f>VLOOKUP($B139,'Data Vlaue (Cr)'!$C:$FB,68)</f>
        <v>3108</v>
      </c>
      <c r="P139" s="5">
        <f t="shared" si="48"/>
        <v>-2.6420079260237781</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Finance</v>
      </c>
      <c r="B140" s="79" t="str">
        <f>'Data shares'!C135</f>
        <v>MUTHOOTFIN</v>
      </c>
      <c r="C140" s="79">
        <f>VLOOKUP($B140,'Data shares'!$C:$FB,7)</f>
        <v>3861.9</v>
      </c>
      <c r="D140" s="165">
        <f>VLOOKUP($B140,'Data shares'!$C:$FB,98)</f>
        <v>8045400</v>
      </c>
      <c r="E140" s="165">
        <f>VLOOKUP(B140,'Snapshot (Volume)'!$A$7:$G$168,7,0)</f>
        <v>7879575</v>
      </c>
      <c r="F140" s="165">
        <f>D140-E140</f>
        <v>165825</v>
      </c>
      <c r="G140" s="166">
        <f>F140/E140</f>
        <v>2.1044916762642654E-2</v>
      </c>
      <c r="H140" s="165">
        <f>VLOOKUP($B140,'Data shares'!$C:$FB,66)</f>
        <v>22200200</v>
      </c>
      <c r="I140" s="165">
        <f>VLOOKUP($B140,'Data shares'!$C:$FB,67)</f>
        <v>22754600</v>
      </c>
      <c r="J140" s="81">
        <f>(H140-I140)/I140*100</f>
        <v>-2.4364304360437008</v>
      </c>
      <c r="K140" s="81">
        <f>VLOOKUP($B140,'Data Vlaue (Cr)'!$C:$FB,99)</f>
        <v>3110</v>
      </c>
      <c r="L140" s="81">
        <f>VLOOKUP(B140,'OI(Value)'!$A$7:$C$226,3,0)</f>
        <v>64</v>
      </c>
      <c r="M140" s="81">
        <f t="shared" si="44"/>
        <v>2.057877813504823</v>
      </c>
      <c r="N140" s="81">
        <f>VLOOKUP($B140,'Data Vlaue (Cr)'!$C:$FB,67)</f>
        <v>8582</v>
      </c>
      <c r="O140" s="81">
        <f>VLOOKUP($B140,'Data Vlaue (Cr)'!$C:$FB,68)</f>
        <v>8796</v>
      </c>
      <c r="P140" s="81">
        <f>(N140-O140)/N140*100</f>
        <v>-2.4935912374737823</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Metals</v>
      </c>
      <c r="B141" s="79" t="str">
        <f>'Data shares'!C136</f>
        <v>NATIONALUM</v>
      </c>
      <c r="C141" s="4">
        <f>VLOOKUP($B141,'Data shares'!$C:$FB,7)</f>
        <v>364.6</v>
      </c>
      <c r="D141" s="82">
        <f>VLOOKUP($B141,'Data shares'!$C:$FB,98)</f>
        <v>139117500</v>
      </c>
      <c r="E141" s="165">
        <f>VLOOKUP(B141,'Snapshot (Volume)'!$A$7:$G$168,7,0)</f>
        <v>141618750</v>
      </c>
      <c r="F141" s="165">
        <f>D141-E141</f>
        <v>-2501250</v>
      </c>
      <c r="G141" s="166">
        <f>F141/E141</f>
        <v>-1.7661856216073083E-2</v>
      </c>
      <c r="H141" s="165">
        <f>VLOOKUP($B141,'Data shares'!$C:$FB,66)</f>
        <v>173223750</v>
      </c>
      <c r="I141" s="165">
        <f>VLOOKUP($B141,'Data shares'!$C:$FB,67)</f>
        <v>228900000</v>
      </c>
      <c r="J141" s="81">
        <f>(H141-I141)/I141*100</f>
        <v>-24.323394495412845</v>
      </c>
      <c r="K141" s="5">
        <f>VLOOKUP($B141,'Data Vlaue (Cr)'!$C:$FB,99)</f>
        <v>5067</v>
      </c>
      <c r="L141" s="81">
        <f>VLOOKUP(B141,'OI(Value)'!$A$7:$C$226,3,0)</f>
        <v>-91</v>
      </c>
      <c r="M141" s="33">
        <f t="shared" si="44"/>
        <v>-1.7959344779948687</v>
      </c>
      <c r="N141" s="5">
        <f>VLOOKUP($B141,'Data Vlaue (Cr)'!$C:$FB,67)</f>
        <v>6309</v>
      </c>
      <c r="O141" s="5">
        <f>VLOOKUP($B141,'Data Vlaue (Cr)'!$C:$FB,68)</f>
        <v>8337</v>
      </c>
      <c r="P141" s="5">
        <f>(N141-O141)/N141*100</f>
        <v>-32.144555397051832</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New_Age</v>
      </c>
      <c r="B142" s="79" t="str">
        <f>'Data shares'!C137</f>
        <v>NAUKRI</v>
      </c>
      <c r="C142" s="4">
        <f>VLOOKUP($B142,'Data shares'!$C:$FB,7)</f>
        <v>1319.5</v>
      </c>
      <c r="D142" s="82">
        <f>VLOOKUP($B142,'Data shares'!$C:$FB,98)</f>
        <v>13254750</v>
      </c>
      <c r="E142" s="165">
        <f>VLOOKUP(B142,'Snapshot (Volume)'!$A$7:$G$168,7,0)</f>
        <v>13881000</v>
      </c>
      <c r="F142" s="165">
        <f>D142-E142</f>
        <v>-626250</v>
      </c>
      <c r="G142" s="166">
        <f>F142/E142</f>
        <v>-4.5115625675383617E-2</v>
      </c>
      <c r="H142" s="165">
        <f>VLOOKUP($B142,'Data shares'!$C:$FB,66)</f>
        <v>19640250</v>
      </c>
      <c r="I142" s="165">
        <f>VLOOKUP($B142,'Data shares'!$C:$FB,67)</f>
        <v>25260750</v>
      </c>
      <c r="J142" s="81">
        <f>(H142-I142)/I142*100</f>
        <v>-22.249933196757816</v>
      </c>
      <c r="K142" s="5">
        <f>VLOOKUP($B142,'Data Vlaue (Cr)'!$C:$FB,99)</f>
        <v>1746</v>
      </c>
      <c r="L142" s="81">
        <f>VLOOKUP(B142,'OI(Value)'!$A$7:$C$226,3,0)</f>
        <v>-82</v>
      </c>
      <c r="M142" s="33">
        <f t="shared" si="44"/>
        <v>-4.6964490263459338</v>
      </c>
      <c r="N142" s="5">
        <f>VLOOKUP($B142,'Data Vlaue (Cr)'!$C:$FB,67)</f>
        <v>2587</v>
      </c>
      <c r="O142" s="5">
        <f>VLOOKUP($B142,'Data Vlaue (Cr)'!$C:$FB,68)</f>
        <v>3327</v>
      </c>
      <c r="P142" s="5">
        <f>(N142-O142)/N142*100</f>
        <v>-28.604561267877848</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Realty</v>
      </c>
      <c r="B143" s="79" t="str">
        <f>'Data shares'!C138</f>
        <v>NBCC</v>
      </c>
      <c r="C143" s="4">
        <f>VLOOKUP($B143,'Data shares'!$C:$FB,7)</f>
        <v>98.68</v>
      </c>
      <c r="D143" s="82">
        <f>VLOOKUP($B143,'Data shares'!$C:$FB,98)</f>
        <v>202013500</v>
      </c>
      <c r="E143" s="165">
        <f>VLOOKUP(B143,'Snapshot (Volume)'!$A$7:$G$168,7,0)</f>
        <v>205406500</v>
      </c>
      <c r="F143" s="165">
        <f>D143-E143</f>
        <v>-3393000</v>
      </c>
      <c r="G143" s="166">
        <f>F143/E143</f>
        <v>-1.6518464605550457E-2</v>
      </c>
      <c r="H143" s="165">
        <f>VLOOKUP($B143,'Data shares'!$C:$FB,66)</f>
        <v>129935000</v>
      </c>
      <c r="I143" s="165">
        <f>VLOOKUP($B143,'Data shares'!$C:$FB,67)</f>
        <v>150338500</v>
      </c>
      <c r="J143" s="81">
        <f>(H143-I143)/I143*100</f>
        <v>-13.571706515629728</v>
      </c>
      <c r="K143" s="5">
        <f>VLOOKUP($B143,'Data Vlaue (Cr)'!$C:$FB,99)</f>
        <v>1995</v>
      </c>
      <c r="L143" s="81">
        <f>VLOOKUP(B143,'OI(Value)'!$A$7:$C$226,3,0)</f>
        <v>-34</v>
      </c>
      <c r="M143" s="33">
        <f t="shared" si="44"/>
        <v>-1.7042606516290728</v>
      </c>
      <c r="N143" s="5">
        <f>VLOOKUP($B143,'Data Vlaue (Cr)'!$C:$FB,67)</f>
        <v>1283</v>
      </c>
      <c r="O143" s="5">
        <f>VLOOKUP($B143,'Data Vlaue (Cr)'!$C:$FB,68)</f>
        <v>1485</v>
      </c>
      <c r="P143" s="5">
        <f>(N143-O143)/N143*100</f>
        <v>-15.744349181605614</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FMCG</v>
      </c>
      <c r="B144" s="79" t="str">
        <f>'Data shares'!C139</f>
        <v>NESTLEIND</v>
      </c>
      <c r="C144" s="4">
        <f>VLOOKUP($B144,'Data shares'!$C:$FB,7)</f>
        <v>1306</v>
      </c>
      <c r="D144" s="82">
        <f>VLOOKUP($B144,'Data shares'!$C:$FB,98)</f>
        <v>22797000</v>
      </c>
      <c r="E144" s="165">
        <f>VLOOKUP(B144,'Snapshot (Volume)'!$A$7:$G$168,7,0)</f>
        <v>23334000</v>
      </c>
      <c r="F144" s="165">
        <f>D144-E144</f>
        <v>-537000</v>
      </c>
      <c r="G144" s="166">
        <f>F144/E144</f>
        <v>-2.3013628182051941E-2</v>
      </c>
      <c r="H144" s="165">
        <f>VLOOKUP($B144,'Data shares'!$C:$FB,66)</f>
        <v>20458500</v>
      </c>
      <c r="I144" s="165">
        <f>VLOOKUP($B144,'Data shares'!$C:$FB,67)</f>
        <v>18163000</v>
      </c>
      <c r="J144" s="81">
        <f>(H144-I144)/I144*100</f>
        <v>12.638330672245774</v>
      </c>
      <c r="K144" s="5">
        <f>VLOOKUP($B144,'Data Vlaue (Cr)'!$C:$FB,99)</f>
        <v>2978</v>
      </c>
      <c r="L144" s="81">
        <f>VLOOKUP(B144,'OI(Value)'!$A$7:$C$226,3,0)</f>
        <v>-70</v>
      </c>
      <c r="M144" s="33">
        <f t="shared" si="44"/>
        <v>-2.350570852921424</v>
      </c>
      <c r="N144" s="5">
        <f>VLOOKUP($B144,'Data Vlaue (Cr)'!$C:$FB,67)</f>
        <v>2673</v>
      </c>
      <c r="O144" s="5">
        <f>VLOOKUP($B144,'Data Vlaue (Cr)'!$C:$FB,68)</f>
        <v>2373</v>
      </c>
      <c r="P144" s="5">
        <f>(N144-O144)/N144*100</f>
        <v>11.22334455667789</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Power</v>
      </c>
      <c r="B145" s="79" t="str">
        <f>'Data shares'!C140</f>
        <v>NHPC</v>
      </c>
      <c r="C145" s="4">
        <f>VLOOKUP($B145,'Data shares'!$C:$FB,7)</f>
        <v>77.45</v>
      </c>
      <c r="D145" s="82">
        <f>VLOOKUP($B145,'Data shares'!$C:$FB,98)</f>
        <v>142092800</v>
      </c>
      <c r="E145" s="165">
        <f>VLOOKUP(B145,'Snapshot (Volume)'!$A$7:$G$168,7,0)</f>
        <v>151020800</v>
      </c>
      <c r="F145" s="165">
        <f t="shared" ref="F145:F152" si="49">D145-E145</f>
        <v>-8928000</v>
      </c>
      <c r="G145" s="166">
        <f t="shared" ref="G145:G153" si="50">F145/E145</f>
        <v>-5.9117684451413313E-2</v>
      </c>
      <c r="H145" s="165">
        <f>VLOOKUP($B145,'Data shares'!$C:$FB,66)</f>
        <v>112800000</v>
      </c>
      <c r="I145" s="165">
        <f>VLOOKUP($B145,'Data shares'!$C:$FB,67)</f>
        <v>162329600</v>
      </c>
      <c r="J145" s="81">
        <f t="shared" ref="J145:J153" si="51">(H145-I145)/I145*100</f>
        <v>-30.511748935499135</v>
      </c>
      <c r="K145" s="5">
        <f>VLOOKUP($B145,'Data Vlaue (Cr)'!$C:$FB,99)</f>
        <v>1104</v>
      </c>
      <c r="L145" s="81">
        <f>VLOOKUP(B145,'OI(Value)'!$A$7:$C$226,3,0)</f>
        <v>-69</v>
      </c>
      <c r="M145" s="33">
        <f t="shared" ref="M145:M153" si="52">L145/K145*100</f>
        <v>-6.25</v>
      </c>
      <c r="N145" s="5">
        <f>VLOOKUP($B145,'Data Vlaue (Cr)'!$C:$FB,67)</f>
        <v>877</v>
      </c>
      <c r="O145" s="5">
        <f>VLOOKUP($B145,'Data Vlaue (Cr)'!$C:$FB,68)</f>
        <v>1261</v>
      </c>
      <c r="P145" s="5">
        <f t="shared" ref="P145:P152" si="53">(N145-O145)/N145*100</f>
        <v>-43.785632839224633</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Index</v>
      </c>
      <c r="B146" s="79" t="str">
        <f>'Data shares'!C141</f>
        <v>NIFTY</v>
      </c>
      <c r="C146" s="4">
        <f>VLOOKUP($B146,'Data shares'!$C:$FB,7)</f>
        <v>25289.9</v>
      </c>
      <c r="D146" s="82">
        <f>VLOOKUP($B146,'Data shares'!$C:$FB,98)</f>
        <v>488519765</v>
      </c>
      <c r="E146" s="165">
        <f>VLOOKUP(B146,'Snapshot (Volume)'!$A$7:$G$168,7,0)</f>
        <v>453937700</v>
      </c>
      <c r="F146" s="165">
        <f t="shared" si="49"/>
        <v>34582065</v>
      </c>
      <c r="G146" s="166">
        <f t="shared" si="50"/>
        <v>7.6182403444349303E-2</v>
      </c>
      <c r="H146" s="165">
        <f>VLOOKUP($B146,'Data shares'!$C:$FB,66)</f>
        <v>6044020450</v>
      </c>
      <c r="I146" s="165">
        <f>VLOOKUP($B146,'Data shares'!$C:$FB,67)</f>
        <v>6695602810</v>
      </c>
      <c r="J146" s="81">
        <f t="shared" si="51"/>
        <v>-9.7314966029175185</v>
      </c>
      <c r="K146" s="5">
        <f>VLOOKUP($B146,'Data Vlaue (Cr)'!$C:$FB,99)</f>
        <v>1238388</v>
      </c>
      <c r="L146" s="81">
        <f>VLOOKUP(B146,'OI(Value)'!$A$7:$C$226,3,0)</f>
        <v>87665</v>
      </c>
      <c r="M146" s="33">
        <f t="shared" si="52"/>
        <v>7.0789607134436068</v>
      </c>
      <c r="N146" s="5">
        <f>VLOOKUP($B146,'Data Vlaue (Cr)'!$C:$FB,67)</f>
        <v>15321471</v>
      </c>
      <c r="O146" s="5">
        <f>VLOOKUP($B146,'Data Vlaue (Cr)'!$C:$FB,68)</f>
        <v>16973219</v>
      </c>
      <c r="P146" s="5">
        <f t="shared" si="53"/>
        <v>-10.780609773043333</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Index</v>
      </c>
      <c r="B147" s="79" t="str">
        <f>'Data shares'!C142</f>
        <v>NIFTYNXT50</v>
      </c>
      <c r="C147" s="4">
        <f>VLOOKUP($B147,'Data shares'!$C:$FB,7)</f>
        <v>67592.800000000003</v>
      </c>
      <c r="D147" s="82">
        <f>VLOOKUP($B147,'Data shares'!$C:$FB,98)</f>
        <v>54875</v>
      </c>
      <c r="E147" s="165">
        <f>VLOOKUP(B147,'Snapshot (Volume)'!$A$7:$G$168,7,0)</f>
        <v>54500</v>
      </c>
      <c r="F147" s="165">
        <f t="shared" si="49"/>
        <v>375</v>
      </c>
      <c r="G147" s="166">
        <f t="shared" si="50"/>
        <v>6.8807339449541288E-3</v>
      </c>
      <c r="H147" s="165">
        <f>VLOOKUP($B147,'Data shares'!$C:$FB,66)</f>
        <v>49475</v>
      </c>
      <c r="I147" s="165">
        <f>VLOOKUP($B147,'Data shares'!$C:$FB,67)</f>
        <v>35800</v>
      </c>
      <c r="J147" s="81">
        <f t="shared" si="51"/>
        <v>38.19832402234637</v>
      </c>
      <c r="K147" s="5">
        <f>VLOOKUP($B147,'Data Vlaue (Cr)'!$C:$FB,99)</f>
        <v>372</v>
      </c>
      <c r="L147" s="81">
        <f>VLOOKUP(B147,'OI(Value)'!$A$7:$C$226,3,0)</f>
        <v>3</v>
      </c>
      <c r="M147" s="33">
        <f t="shared" si="52"/>
        <v>0.80645161290322576</v>
      </c>
      <c r="N147" s="5">
        <f>VLOOKUP($B147,'Data Vlaue (Cr)'!$C:$FB,67)</f>
        <v>335</v>
      </c>
      <c r="O147" s="5">
        <f>VLOOKUP($B147,'Data Vlaue (Cr)'!$C:$FB,68)</f>
        <v>243</v>
      </c>
      <c r="P147" s="5">
        <f t="shared" si="53"/>
        <v>27.46268656716418</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Metals</v>
      </c>
      <c r="B148" s="79" t="str">
        <f>'Data shares'!C143</f>
        <v>NMDC</v>
      </c>
      <c r="C148" s="4">
        <f>VLOOKUP($B148,'Data shares'!$C:$FB,7)</f>
        <v>78.23</v>
      </c>
      <c r="D148" s="82">
        <f>VLOOKUP($B148,'Data shares'!$C:$FB,98)</f>
        <v>560742750</v>
      </c>
      <c r="E148" s="165">
        <f>VLOOKUP(B148,'Snapshot (Volume)'!$A$7:$G$168,7,0)</f>
        <v>563955750</v>
      </c>
      <c r="F148" s="165">
        <f t="shared" si="49"/>
        <v>-3213000</v>
      </c>
      <c r="G148" s="166">
        <f t="shared" si="50"/>
        <v>-5.6972555027588597E-3</v>
      </c>
      <c r="H148" s="165">
        <f>VLOOKUP($B148,'Data shares'!$C:$FB,66)</f>
        <v>290749500</v>
      </c>
      <c r="I148" s="165">
        <f>VLOOKUP($B148,'Data shares'!$C:$FB,67)</f>
        <v>353396250</v>
      </c>
      <c r="J148" s="81">
        <f t="shared" si="51"/>
        <v>-17.727055677585714</v>
      </c>
      <c r="K148" s="5">
        <f>VLOOKUP($B148,'Data Vlaue (Cr)'!$C:$FB,99)</f>
        <v>4396</v>
      </c>
      <c r="L148" s="81">
        <f>VLOOKUP(B148,'OI(Value)'!$A$7:$C$226,3,0)</f>
        <v>-25</v>
      </c>
      <c r="M148" s="33">
        <f t="shared" si="52"/>
        <v>-0.56869881710646042</v>
      </c>
      <c r="N148" s="5">
        <f>VLOOKUP($B148,'Data Vlaue (Cr)'!$C:$FB,67)</f>
        <v>2279</v>
      </c>
      <c r="O148" s="5">
        <f>VLOOKUP($B148,'Data Vlaue (Cr)'!$C:$FB,68)</f>
        <v>2770</v>
      </c>
      <c r="P148" s="5">
        <f t="shared" si="53"/>
        <v>-21.544537077665645</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Power</v>
      </c>
      <c r="B149" s="79" t="str">
        <f>'Data shares'!C144</f>
        <v>NTPC</v>
      </c>
      <c r="C149" s="4">
        <f>VLOOKUP($B149,'Data shares'!$C:$FB,7)</f>
        <v>342.45</v>
      </c>
      <c r="D149" s="82">
        <f>VLOOKUP($B149,'Data shares'!$C:$FB,98)</f>
        <v>181783500</v>
      </c>
      <c r="E149" s="165">
        <f>VLOOKUP(B149,'Snapshot (Volume)'!$A$7:$G$168,7,0)</f>
        <v>180816000</v>
      </c>
      <c r="F149" s="165">
        <f t="shared" si="49"/>
        <v>967500</v>
      </c>
      <c r="G149" s="166">
        <f t="shared" si="50"/>
        <v>5.3507432970533583E-3</v>
      </c>
      <c r="H149" s="165">
        <f>VLOOKUP($B149,'Data shares'!$C:$FB,66)</f>
        <v>157974000</v>
      </c>
      <c r="I149" s="165">
        <f>VLOOKUP($B149,'Data shares'!$C:$FB,67)</f>
        <v>149140500</v>
      </c>
      <c r="J149" s="81">
        <f t="shared" si="51"/>
        <v>5.9229384372454161</v>
      </c>
      <c r="K149" s="5">
        <f>VLOOKUP($B149,'Data Vlaue (Cr)'!$C:$FB,99)</f>
        <v>6232</v>
      </c>
      <c r="L149" s="81">
        <f>VLOOKUP(B149,'OI(Value)'!$A$7:$C$226,3,0)</f>
        <v>33</v>
      </c>
      <c r="M149" s="33">
        <f t="shared" si="52"/>
        <v>0.52952503209242618</v>
      </c>
      <c r="N149" s="5">
        <f>VLOOKUP($B149,'Data Vlaue (Cr)'!$C:$FB,67)</f>
        <v>5415</v>
      </c>
      <c r="O149" s="5">
        <f>VLOOKUP($B149,'Data Vlaue (Cr)'!$C:$FB,68)</f>
        <v>5113</v>
      </c>
      <c r="P149" s="5">
        <f t="shared" si="53"/>
        <v>5.577100646352724</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Finance</v>
      </c>
      <c r="B150" s="79" t="str">
        <f>'Data shares'!C145</f>
        <v>NUVAMA</v>
      </c>
      <c r="C150" s="4">
        <f>VLOOKUP($B150,'Data shares'!$C:$FB,7)</f>
        <v>1383.3</v>
      </c>
      <c r="D150" s="82">
        <f>VLOOKUP($B150,'Data shares'!$C:$FB,98)</f>
        <v>4783500</v>
      </c>
      <c r="E150" s="165">
        <f>VLOOKUP(B150,'Snapshot (Volume)'!$A$7:$G$168,7,0)</f>
        <v>4872500</v>
      </c>
      <c r="F150" s="165">
        <f t="shared" si="49"/>
        <v>-89000</v>
      </c>
      <c r="G150" s="166">
        <f t="shared" si="50"/>
        <v>-1.8265777321703439E-2</v>
      </c>
      <c r="H150" s="165">
        <f>VLOOKUP($B150,'Data shares'!$C:$FB,66)</f>
        <v>3677500</v>
      </c>
      <c r="I150" s="165">
        <f>VLOOKUP($B150,'Data shares'!$C:$FB,67)</f>
        <v>4873000</v>
      </c>
      <c r="J150" s="81">
        <f t="shared" si="51"/>
        <v>-24.533141801764828</v>
      </c>
      <c r="K150" s="5">
        <f>VLOOKUP($B150,'Data Vlaue (Cr)'!$C:$FB,99)</f>
        <v>662</v>
      </c>
      <c r="L150" s="81">
        <f>VLOOKUP(B150,'OI(Value)'!$A$7:$C$226,3,0)</f>
        <v>-12</v>
      </c>
      <c r="M150" s="33">
        <f t="shared" si="52"/>
        <v>-1.8126888217522661</v>
      </c>
      <c r="N150" s="5">
        <f>VLOOKUP($B150,'Data Vlaue (Cr)'!$C:$FB,67)</f>
        <v>509</v>
      </c>
      <c r="O150" s="5">
        <f>VLOOKUP($B150,'Data Vlaue (Cr)'!$C:$FB,68)</f>
        <v>674</v>
      </c>
      <c r="P150" s="5">
        <f t="shared" si="53"/>
        <v>-32.416502946954814</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New_Age</v>
      </c>
      <c r="B151" s="79" t="str">
        <f>'Data shares'!C146</f>
        <v>NYKAA</v>
      </c>
      <c r="C151" s="4">
        <f>VLOOKUP($B151,'Data shares'!$C:$FB,7)</f>
        <v>239.45</v>
      </c>
      <c r="D151" s="82">
        <f>VLOOKUP($B151,'Data shares'!$C:$FB,98)</f>
        <v>76953125</v>
      </c>
      <c r="E151" s="165">
        <f>VLOOKUP(B151,'Snapshot (Volume)'!$A$7:$G$168,7,0)</f>
        <v>75159375</v>
      </c>
      <c r="F151" s="165">
        <f t="shared" si="49"/>
        <v>1793750</v>
      </c>
      <c r="G151" s="166">
        <f t="shared" si="50"/>
        <v>2.3865951519687331E-2</v>
      </c>
      <c r="H151" s="165">
        <f>VLOOKUP($B151,'Data shares'!$C:$FB,66)</f>
        <v>78315625</v>
      </c>
      <c r="I151" s="165">
        <f>VLOOKUP($B151,'Data shares'!$C:$FB,67)</f>
        <v>57759375</v>
      </c>
      <c r="J151" s="81">
        <f t="shared" si="51"/>
        <v>35.589460585402804</v>
      </c>
      <c r="K151" s="5">
        <f>VLOOKUP($B151,'Data Vlaue (Cr)'!$C:$FB,99)</f>
        <v>1845</v>
      </c>
      <c r="L151" s="81">
        <f>VLOOKUP(B151,'OI(Value)'!$A$7:$C$226,3,0)</f>
        <v>43</v>
      </c>
      <c r="M151" s="33">
        <f t="shared" si="52"/>
        <v>2.3306233062330621</v>
      </c>
      <c r="N151" s="5">
        <f>VLOOKUP($B151,'Data Vlaue (Cr)'!$C:$FB,67)</f>
        <v>1878</v>
      </c>
      <c r="O151" s="5">
        <f>VLOOKUP($B151,'Data Vlaue (Cr)'!$C:$FB,68)</f>
        <v>1385</v>
      </c>
      <c r="P151" s="5">
        <f t="shared" si="53"/>
        <v>26.251331203407879</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Realty</v>
      </c>
      <c r="B152" s="79" t="str">
        <f>'Data shares'!C147</f>
        <v>OBEROIRLTY</v>
      </c>
      <c r="C152" s="4">
        <f>VLOOKUP($B152,'Data shares'!$C:$FB,7)</f>
        <v>1480.2</v>
      </c>
      <c r="D152" s="82">
        <f>VLOOKUP($B152,'Data shares'!$C:$FB,98)</f>
        <v>10156300</v>
      </c>
      <c r="E152" s="165">
        <f>VLOOKUP(B152,'Snapshot (Volume)'!$A$7:$G$168,7,0)</f>
        <v>10981250</v>
      </c>
      <c r="F152" s="165">
        <f t="shared" si="49"/>
        <v>-824950</v>
      </c>
      <c r="G152" s="166">
        <f t="shared" si="50"/>
        <v>-7.5123505976095614E-2</v>
      </c>
      <c r="H152" s="165">
        <f>VLOOKUP($B152,'Data shares'!$C:$FB,66)</f>
        <v>12983600</v>
      </c>
      <c r="I152" s="165">
        <f>VLOOKUP($B152,'Data shares'!$C:$FB,67)</f>
        <v>22963500</v>
      </c>
      <c r="J152" s="81">
        <f t="shared" si="51"/>
        <v>-43.459838439262306</v>
      </c>
      <c r="K152" s="5">
        <f>VLOOKUP($B152,'Data Vlaue (Cr)'!$C:$FB,99)</f>
        <v>1501</v>
      </c>
      <c r="L152" s="81">
        <f>VLOOKUP(B152,'OI(Value)'!$A$7:$C$226,3,0)</f>
        <v>-122</v>
      </c>
      <c r="M152" s="33">
        <f t="shared" si="52"/>
        <v>-8.1279147235176552</v>
      </c>
      <c r="N152" s="5">
        <f>VLOOKUP($B152,'Data Vlaue (Cr)'!$C:$FB,67)</f>
        <v>1919</v>
      </c>
      <c r="O152" s="5">
        <f>VLOOKUP($B152,'Data Vlaue (Cr)'!$C:$FB,68)</f>
        <v>3394</v>
      </c>
      <c r="P152" s="5">
        <f t="shared" si="53"/>
        <v>-76.862949452840027</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Technology</v>
      </c>
      <c r="B153" s="79" t="str">
        <f>'Data shares'!C148</f>
        <v>OFSS</v>
      </c>
      <c r="C153" s="4">
        <f>VLOOKUP($B153,'Data shares'!$C:$FB,7)</f>
        <v>7897</v>
      </c>
      <c r="D153" s="82">
        <f>VLOOKUP($B153,'Data shares'!$C:$FB,98)</f>
        <v>2469900</v>
      </c>
      <c r="E153" s="165">
        <f>VLOOKUP(B153,'Snapshot (Volume)'!$A$7:$G$168,7,0)</f>
        <v>2981775</v>
      </c>
      <c r="F153" s="165">
        <f>D153-E153</f>
        <v>-511875</v>
      </c>
      <c r="G153" s="166">
        <f t="shared" si="50"/>
        <v>-0.17166788238549185</v>
      </c>
      <c r="H153" s="165">
        <f>VLOOKUP($B153,'Data shares'!$C:$FB,66)</f>
        <v>8612325</v>
      </c>
      <c r="I153" s="165">
        <f>VLOOKUP($B153,'Data shares'!$C:$FB,67)</f>
        <v>5604000</v>
      </c>
      <c r="J153" s="81">
        <f t="shared" si="51"/>
        <v>53.681745182012854</v>
      </c>
      <c r="K153" s="5">
        <f>VLOOKUP($B153,'Data Vlaue (Cr)'!$C:$FB,99)</f>
        <v>1950</v>
      </c>
      <c r="L153" s="81">
        <f>VLOOKUP(B153,'OI(Value)'!$A$7:$C$226,3,0)</f>
        <v>-404</v>
      </c>
      <c r="M153" s="33">
        <f t="shared" si="52"/>
        <v>-20.717948717948715</v>
      </c>
      <c r="N153" s="5">
        <f>VLOOKUP($B153,'Data Vlaue (Cr)'!$C:$FB,67)</f>
        <v>6799</v>
      </c>
      <c r="O153" s="5">
        <f>VLOOKUP($B153,'Data Vlaue (Cr)'!$C:$FB,68)</f>
        <v>4424</v>
      </c>
      <c r="P153" s="5">
        <f>(N153-O153)/N153*100</f>
        <v>34.93160758935138</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Oil_Gas</v>
      </c>
      <c r="B154" s="79" t="str">
        <f>'Data shares'!C149</f>
        <v>OIL</v>
      </c>
      <c r="C154" s="4">
        <f>VLOOKUP($B154,'Data shares'!$C:$FB,7)</f>
        <v>436.45</v>
      </c>
      <c r="D154" s="82">
        <f>VLOOKUP($B154,'Data shares'!$C:$FB,98)</f>
        <v>28165200</v>
      </c>
      <c r="E154" s="165">
        <f>VLOOKUP(B154,'Snapshot (Volume)'!$A$7:$G$168,7,0)</f>
        <v>29657600</v>
      </c>
      <c r="F154" s="165">
        <f t="shared" ref="F154:F166" si="54">D154-E154</f>
        <v>-1492400</v>
      </c>
      <c r="G154" s="166">
        <f t="shared" ref="G154:G166" si="55">F154/E154</f>
        <v>-5.0320996978851965E-2</v>
      </c>
      <c r="H154" s="165">
        <f>VLOOKUP($B154,'Data shares'!$C:$FB,66)</f>
        <v>33433400</v>
      </c>
      <c r="I154" s="165">
        <f>VLOOKUP($B154,'Data shares'!$C:$FB,67)</f>
        <v>29183000</v>
      </c>
      <c r="J154" s="81">
        <f t="shared" ref="J154:J166" si="56">(H154-I154)/I154*100</f>
        <v>14.564643799472297</v>
      </c>
      <c r="K154" s="5">
        <f>VLOOKUP($B154,'Data Vlaue (Cr)'!$C:$FB,99)</f>
        <v>1234</v>
      </c>
      <c r="L154" s="81">
        <f>VLOOKUP(B154,'OI(Value)'!$A$7:$C$226,3,0)</f>
        <v>-65</v>
      </c>
      <c r="M154" s="33">
        <f t="shared" ref="M154:M166" si="57">L154/K154*100</f>
        <v>-5.2674230145867096</v>
      </c>
      <c r="N154" s="5">
        <f>VLOOKUP($B154,'Data Vlaue (Cr)'!$C:$FB,67)</f>
        <v>1465</v>
      </c>
      <c r="O154" s="5">
        <f>VLOOKUP($B154,'Data Vlaue (Cr)'!$C:$FB,68)</f>
        <v>1278</v>
      </c>
      <c r="P154" s="5">
        <f t="shared" ref="P154:P161" si="58">(N154-O154)/N154*100</f>
        <v>12.764505119453926</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Oil_Gas</v>
      </c>
      <c r="B155" s="79" t="str">
        <f>'Data shares'!C150</f>
        <v>ONGC</v>
      </c>
      <c r="C155" s="4">
        <f>VLOOKUP($B155,'Data shares'!$C:$FB,7)</f>
        <v>244.01</v>
      </c>
      <c r="D155" s="82">
        <f>VLOOKUP($B155,'Data shares'!$C:$FB,98)</f>
        <v>261234000</v>
      </c>
      <c r="E155" s="165">
        <f>VLOOKUP(B155,'Snapshot (Volume)'!$A$7:$G$168,7,0)</f>
        <v>259746750</v>
      </c>
      <c r="F155" s="165">
        <f t="shared" si="54"/>
        <v>1487250</v>
      </c>
      <c r="G155" s="166">
        <f t="shared" si="55"/>
        <v>5.7257694273364348E-3</v>
      </c>
      <c r="H155" s="165">
        <f>VLOOKUP($B155,'Data shares'!$C:$FB,66)</f>
        <v>195516000</v>
      </c>
      <c r="I155" s="165">
        <f>VLOOKUP($B155,'Data shares'!$C:$FB,67)</f>
        <v>191747250</v>
      </c>
      <c r="J155" s="81">
        <f t="shared" si="56"/>
        <v>1.9654779925135824</v>
      </c>
      <c r="K155" s="5">
        <f>VLOOKUP($B155,'Data Vlaue (Cr)'!$C:$FB,99)</f>
        <v>6368</v>
      </c>
      <c r="L155" s="81">
        <f>VLOOKUP(B155,'OI(Value)'!$A$7:$C$226,3,0)</f>
        <v>36</v>
      </c>
      <c r="M155" s="33">
        <f t="shared" si="57"/>
        <v>0.56532663316582921</v>
      </c>
      <c r="N155" s="5">
        <f>VLOOKUP($B155,'Data Vlaue (Cr)'!$C:$FB,67)</f>
        <v>4766</v>
      </c>
      <c r="O155" s="5">
        <f>VLOOKUP($B155,'Data Vlaue (Cr)'!$C:$FB,68)</f>
        <v>4674</v>
      </c>
      <c r="P155" s="5">
        <f t="shared" si="58"/>
        <v>1.9303399076793955</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Textile</v>
      </c>
      <c r="B156" s="79" t="str">
        <f>'Data shares'!C151</f>
        <v>PAGEIND</v>
      </c>
      <c r="C156" s="4">
        <f>VLOOKUP($B156,'Data shares'!$C:$FB,7)</f>
        <v>32875</v>
      </c>
      <c r="D156" s="82">
        <f>VLOOKUP($B156,'Data shares'!$C:$FB,98)</f>
        <v>471465</v>
      </c>
      <c r="E156" s="165">
        <f>VLOOKUP(B156,'Snapshot (Volume)'!$A$7:$G$168,7,0)</f>
        <v>450960</v>
      </c>
      <c r="F156" s="165">
        <f t="shared" si="54"/>
        <v>20505</v>
      </c>
      <c r="G156" s="166">
        <f t="shared" si="55"/>
        <v>4.5469664715274083E-2</v>
      </c>
      <c r="H156" s="165">
        <f>VLOOKUP($B156,'Data shares'!$C:$FB,66)</f>
        <v>573690</v>
      </c>
      <c r="I156" s="165">
        <f>VLOOKUP($B156,'Data shares'!$C:$FB,67)</f>
        <v>545385</v>
      </c>
      <c r="J156" s="81">
        <f t="shared" si="56"/>
        <v>5.189911713743502</v>
      </c>
      <c r="K156" s="5">
        <f>VLOOKUP($B156,'Data Vlaue (Cr)'!$C:$FB,99)</f>
        <v>1556</v>
      </c>
      <c r="L156" s="81">
        <f>VLOOKUP(B156,'OI(Value)'!$A$7:$C$226,3,0)</f>
        <v>68</v>
      </c>
      <c r="M156" s="33">
        <f t="shared" si="57"/>
        <v>4.3701799485861184</v>
      </c>
      <c r="N156" s="5">
        <f>VLOOKUP($B156,'Data Vlaue (Cr)'!$C:$FB,67)</f>
        <v>1893</v>
      </c>
      <c r="O156" s="5">
        <f>VLOOKUP($B156,'Data Vlaue (Cr)'!$C:$FB,68)</f>
        <v>1800</v>
      </c>
      <c r="P156" s="5">
        <f t="shared" si="58"/>
        <v>4.9128367670364499</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FMCG</v>
      </c>
      <c r="B157" s="79" t="str">
        <f>'Data shares'!C152</f>
        <v>PATANJALI</v>
      </c>
      <c r="C157" s="4">
        <f>VLOOKUP($B157,'Data shares'!$C:$FB,7)</f>
        <v>511</v>
      </c>
      <c r="D157" s="82">
        <f>VLOOKUP($B157,'Data shares'!$C:$FB,98)</f>
        <v>48560400</v>
      </c>
      <c r="E157" s="165">
        <f>VLOOKUP(B157,'Snapshot (Volume)'!$A$7:$G$168,7,0)</f>
        <v>49959000</v>
      </c>
      <c r="F157" s="165">
        <f t="shared" si="54"/>
        <v>-1398600</v>
      </c>
      <c r="G157" s="166">
        <f t="shared" si="55"/>
        <v>-2.7994955863808322E-2</v>
      </c>
      <c r="H157" s="165">
        <f>VLOOKUP($B157,'Data shares'!$C:$FB,66)</f>
        <v>31750200</v>
      </c>
      <c r="I157" s="165">
        <f>VLOOKUP($B157,'Data shares'!$C:$FB,67)</f>
        <v>40482900</v>
      </c>
      <c r="J157" s="81">
        <f t="shared" si="56"/>
        <v>-21.571330117160578</v>
      </c>
      <c r="K157" s="5">
        <f>VLOOKUP($B157,'Data Vlaue (Cr)'!$C:$FB,99)</f>
        <v>2479</v>
      </c>
      <c r="L157" s="81">
        <f>VLOOKUP(B157,'OI(Value)'!$A$7:$C$226,3,0)</f>
        <v>-71</v>
      </c>
      <c r="M157" s="33">
        <f t="shared" si="57"/>
        <v>-2.8640580879386852</v>
      </c>
      <c r="N157" s="5">
        <f>VLOOKUP($B157,'Data Vlaue (Cr)'!$C:$FB,67)</f>
        <v>1621</v>
      </c>
      <c r="O157" s="5">
        <f>VLOOKUP($B157,'Data Vlaue (Cr)'!$C:$FB,68)</f>
        <v>2067</v>
      </c>
      <c r="P157" s="5">
        <f t="shared" si="58"/>
        <v>-27.513880320789635</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New_Age</v>
      </c>
      <c r="B158" s="79" t="str">
        <f>'Data shares'!C153</f>
        <v>PAYTM</v>
      </c>
      <c r="C158" s="4">
        <f>VLOOKUP($B158,'Data shares'!$C:$FB,7)</f>
        <v>1260.5</v>
      </c>
      <c r="D158" s="82">
        <f>VLOOKUP($B158,'Data shares'!$C:$FB,98)</f>
        <v>27159225</v>
      </c>
      <c r="E158" s="165">
        <f>VLOOKUP(B158,'Snapshot (Volume)'!$A$7:$G$168,7,0)</f>
        <v>28366350</v>
      </c>
      <c r="F158" s="165">
        <f t="shared" si="54"/>
        <v>-1207125</v>
      </c>
      <c r="G158" s="166">
        <f t="shared" si="55"/>
        <v>-4.2554822879926395E-2</v>
      </c>
      <c r="H158" s="165">
        <f>VLOOKUP($B158,'Data shares'!$C:$FB,66)</f>
        <v>30186100</v>
      </c>
      <c r="I158" s="165">
        <f>VLOOKUP($B158,'Data shares'!$C:$FB,67)</f>
        <v>54864375</v>
      </c>
      <c r="J158" s="81">
        <f t="shared" si="56"/>
        <v>-44.980508754542456</v>
      </c>
      <c r="K158" s="5">
        <f>VLOOKUP($B158,'Data Vlaue (Cr)'!$C:$FB,99)</f>
        <v>3429</v>
      </c>
      <c r="L158" s="81">
        <f>VLOOKUP(B158,'OI(Value)'!$A$7:$C$226,3,0)</f>
        <v>-152</v>
      </c>
      <c r="M158" s="33">
        <f t="shared" si="57"/>
        <v>-4.4327792359288427</v>
      </c>
      <c r="N158" s="5">
        <f>VLOOKUP($B158,'Data Vlaue (Cr)'!$C:$FB,67)</f>
        <v>3811</v>
      </c>
      <c r="O158" s="5">
        <f>VLOOKUP($B158,'Data Vlaue (Cr)'!$C:$FB,68)</f>
        <v>6927</v>
      </c>
      <c r="P158" s="5">
        <f t="shared" si="58"/>
        <v>-81.763316714773026</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Technology</v>
      </c>
      <c r="B159" s="79" t="str">
        <f>'Data shares'!C154</f>
        <v>PERSISTENT</v>
      </c>
      <c r="C159" s="4">
        <f>VLOOKUP($B159,'Data shares'!$C:$FB,7)</f>
        <v>6320.5</v>
      </c>
      <c r="D159" s="82">
        <f>VLOOKUP($B159,'Data shares'!$C:$FB,98)</f>
        <v>4844000</v>
      </c>
      <c r="E159" s="165">
        <f>VLOOKUP(B159,'Snapshot (Volume)'!$A$7:$G$168,7,0)</f>
        <v>5650800</v>
      </c>
      <c r="F159" s="165">
        <f t="shared" si="54"/>
        <v>-806800</v>
      </c>
      <c r="G159" s="166">
        <f t="shared" si="55"/>
        <v>-0.14277624407163589</v>
      </c>
      <c r="H159" s="165">
        <f>VLOOKUP($B159,'Data shares'!$C:$FB,66)</f>
        <v>9510000</v>
      </c>
      <c r="I159" s="165">
        <f>VLOOKUP($B159,'Data shares'!$C:$FB,67)</f>
        <v>31996700</v>
      </c>
      <c r="J159" s="81">
        <f t="shared" si="56"/>
        <v>-70.278184937821706</v>
      </c>
      <c r="K159" s="5">
        <f>VLOOKUP($B159,'Data Vlaue (Cr)'!$C:$FB,99)</f>
        <v>3051</v>
      </c>
      <c r="L159" s="81">
        <f>VLOOKUP(B159,'OI(Value)'!$A$7:$C$226,3,0)</f>
        <v>-508</v>
      </c>
      <c r="M159" s="33">
        <f t="shared" si="57"/>
        <v>-16.650278597181252</v>
      </c>
      <c r="N159" s="5">
        <f>VLOOKUP($B159,'Data Vlaue (Cr)'!$C:$FB,67)</f>
        <v>5989</v>
      </c>
      <c r="O159" s="5">
        <f>VLOOKUP($B159,'Data Vlaue (Cr)'!$C:$FB,68)</f>
        <v>20150</v>
      </c>
      <c r="P159" s="5">
        <f t="shared" si="58"/>
        <v>-236.45015862414428</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Oil_Gas</v>
      </c>
      <c r="B160" s="79" t="str">
        <f>'Data shares'!C155</f>
        <v>PETRONET</v>
      </c>
      <c r="C160" s="4">
        <f>VLOOKUP($B160,'Data shares'!$C:$FB,7)</f>
        <v>275.05</v>
      </c>
      <c r="D160" s="82">
        <f>VLOOKUP($B160,'Data shares'!$C:$FB,98)</f>
        <v>72439400</v>
      </c>
      <c r="E160" s="165">
        <f>VLOOKUP(B160,'Snapshot (Volume)'!$A$7:$G$168,7,0)</f>
        <v>72838400</v>
      </c>
      <c r="F160" s="165">
        <f t="shared" si="54"/>
        <v>-399000</v>
      </c>
      <c r="G160" s="166">
        <f t="shared" si="55"/>
        <v>-5.47787979966611E-3</v>
      </c>
      <c r="H160" s="165">
        <f>VLOOKUP($B160,'Data shares'!$C:$FB,66)</f>
        <v>41399100</v>
      </c>
      <c r="I160" s="165">
        <f>VLOOKUP($B160,'Data shares'!$C:$FB,67)</f>
        <v>44976800</v>
      </c>
      <c r="J160" s="81">
        <f t="shared" si="56"/>
        <v>-7.9545454545454541</v>
      </c>
      <c r="K160" s="5">
        <f>VLOOKUP($B160,'Data Vlaue (Cr)'!$C:$FB,99)</f>
        <v>1993</v>
      </c>
      <c r="L160" s="81">
        <f>VLOOKUP(B160,'OI(Value)'!$A$7:$C$226,3,0)</f>
        <v>-11</v>
      </c>
      <c r="M160" s="33">
        <f t="shared" si="57"/>
        <v>-0.55193176116407427</v>
      </c>
      <c r="N160" s="5">
        <f>VLOOKUP($B160,'Data Vlaue (Cr)'!$C:$FB,67)</f>
        <v>1139</v>
      </c>
      <c r="O160" s="5">
        <f>VLOOKUP($B160,'Data Vlaue (Cr)'!$C:$FB,68)</f>
        <v>1238</v>
      </c>
      <c r="P160" s="5">
        <f t="shared" si="58"/>
        <v>-8.6918349429323971</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Finance</v>
      </c>
      <c r="B161" s="79" t="str">
        <f>'Data shares'!C156</f>
        <v>PFC</v>
      </c>
      <c r="C161" s="4">
        <f>VLOOKUP($B161,'Data shares'!$C:$FB,7)</f>
        <v>364.7</v>
      </c>
      <c r="D161" s="82">
        <f>VLOOKUP($B161,'Data shares'!$C:$FB,98)</f>
        <v>135343000</v>
      </c>
      <c r="E161" s="165">
        <f>VLOOKUP(B161,'Snapshot (Volume)'!$A$7:$G$168,7,0)</f>
        <v>139478300</v>
      </c>
      <c r="F161" s="165">
        <f t="shared" si="54"/>
        <v>-4135300</v>
      </c>
      <c r="G161" s="166">
        <f t="shared" si="55"/>
        <v>-2.9648339562498252E-2</v>
      </c>
      <c r="H161" s="165">
        <f>VLOOKUP($B161,'Data shares'!$C:$FB,66)</f>
        <v>96759000</v>
      </c>
      <c r="I161" s="165">
        <f>VLOOKUP($B161,'Data shares'!$C:$FB,67)</f>
        <v>126742200</v>
      </c>
      <c r="J161" s="81">
        <f t="shared" si="56"/>
        <v>-23.656840420948981</v>
      </c>
      <c r="K161" s="5">
        <f>VLOOKUP($B161,'Data Vlaue (Cr)'!$C:$FB,99)</f>
        <v>4935</v>
      </c>
      <c r="L161" s="81">
        <f>VLOOKUP(B161,'OI(Value)'!$A$7:$C$226,3,0)</f>
        <v>-151</v>
      </c>
      <c r="M161" s="33">
        <f t="shared" si="57"/>
        <v>-3.059777102330294</v>
      </c>
      <c r="N161" s="5">
        <f>VLOOKUP($B161,'Data Vlaue (Cr)'!$C:$FB,67)</f>
        <v>3528</v>
      </c>
      <c r="O161" s="5">
        <f>VLOOKUP($B161,'Data Vlaue (Cr)'!$C:$FB,68)</f>
        <v>4621</v>
      </c>
      <c r="P161" s="5">
        <f t="shared" si="58"/>
        <v>-30.980725623582767</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Capital_Goods</v>
      </c>
      <c r="B162" s="79" t="str">
        <f>'Data shares'!C157</f>
        <v>PGEL</v>
      </c>
      <c r="C162" s="4">
        <f>VLOOKUP($B162,'Data shares'!$C:$FB,7)</f>
        <v>530.4</v>
      </c>
      <c r="D162" s="82">
        <f>VLOOKUP($B162,'Data shares'!$C:$FB,98)</f>
        <v>24494800</v>
      </c>
      <c r="E162" s="165">
        <f>VLOOKUP(B162,'Snapshot (Volume)'!$A$7:$G$168,7,0)</f>
        <v>26670300</v>
      </c>
      <c r="F162" s="165">
        <f t="shared" si="54"/>
        <v>-2175500</v>
      </c>
      <c r="G162" s="166">
        <f t="shared" si="55"/>
        <v>-8.1570136068960603E-2</v>
      </c>
      <c r="H162" s="165">
        <f>VLOOKUP($B162,'Data shares'!$C:$FB,66)</f>
        <v>32050150</v>
      </c>
      <c r="I162" s="165">
        <f>VLOOKUP($B162,'Data shares'!$C:$FB,67)</f>
        <v>55082900</v>
      </c>
      <c r="J162" s="81">
        <f t="shared" si="56"/>
        <v>-41.81470111413887</v>
      </c>
      <c r="K162" s="5">
        <f>VLOOKUP($B162,'Data Vlaue (Cr)'!$C:$FB,99)</f>
        <v>1303</v>
      </c>
      <c r="L162" s="81">
        <f>VLOOKUP(B162,'OI(Value)'!$A$7:$C$226,3,0)</f>
        <v>-116</v>
      </c>
      <c r="M162" s="33">
        <f t="shared" si="57"/>
        <v>-8.902532617037604</v>
      </c>
      <c r="N162" s="5">
        <f>VLOOKUP($B162,'Data Vlaue (Cr)'!$C:$FB,67)</f>
        <v>1705</v>
      </c>
      <c r="O162" s="5">
        <f>VLOOKUP($B162,'Data Vlaue (Cr)'!$C:$FB,68)</f>
        <v>2931</v>
      </c>
      <c r="P162" s="5">
        <f>(N162-O162)/N162*100</f>
        <v>-71.906158357771261</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Realty</v>
      </c>
      <c r="B163" s="79" t="str">
        <f>'Data shares'!C158</f>
        <v>PHOENIXLTD</v>
      </c>
      <c r="C163" s="4">
        <f>VLOOKUP($B163,'Data shares'!$C:$FB,7)</f>
        <v>1768.2</v>
      </c>
      <c r="D163" s="82">
        <f>VLOOKUP($B163,'Data shares'!$C:$FB,98)</f>
        <v>5939150</v>
      </c>
      <c r="E163" s="165">
        <f>VLOOKUP(B163,'Snapshot (Volume)'!$A$7:$G$168,7,0)</f>
        <v>5991300</v>
      </c>
      <c r="F163" s="165">
        <f t="shared" si="54"/>
        <v>-52150</v>
      </c>
      <c r="G163" s="166">
        <f t="shared" si="55"/>
        <v>-8.7042878840986101E-3</v>
      </c>
      <c r="H163" s="165">
        <f>VLOOKUP($B163,'Data shares'!$C:$FB,66)</f>
        <v>6746950</v>
      </c>
      <c r="I163" s="165">
        <f>VLOOKUP($B163,'Data shares'!$C:$FB,67)</f>
        <v>6688500</v>
      </c>
      <c r="J163" s="81">
        <f t="shared" si="56"/>
        <v>0.87388801674515948</v>
      </c>
      <c r="K163" s="5">
        <f>VLOOKUP($B163,'Data Vlaue (Cr)'!$C:$FB,99)</f>
        <v>1052</v>
      </c>
      <c r="L163" s="81">
        <f>VLOOKUP(B163,'OI(Value)'!$A$7:$C$226,3,0)</f>
        <v>-9</v>
      </c>
      <c r="M163" s="33">
        <f t="shared" si="57"/>
        <v>-0.85551330798479086</v>
      </c>
      <c r="N163" s="5">
        <f>VLOOKUP($B163,'Data Vlaue (Cr)'!$C:$FB,67)</f>
        <v>1195</v>
      </c>
      <c r="O163" s="5">
        <f>VLOOKUP($B163,'Data Vlaue (Cr)'!$C:$FB,68)</f>
        <v>1184</v>
      </c>
      <c r="P163" s="5">
        <f>(N163-O163)/N163*100</f>
        <v>0.92050209205020928</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FMCG</v>
      </c>
      <c r="B164" s="79" t="str">
        <f>'Data shares'!C159</f>
        <v>PIDILITIND</v>
      </c>
      <c r="C164" s="4">
        <f>VLOOKUP($B164,'Data shares'!$C:$FB,7)</f>
        <v>1452.8</v>
      </c>
      <c r="D164" s="82">
        <f>VLOOKUP($B164,'Data shares'!$C:$FB,98)</f>
        <v>10764500</v>
      </c>
      <c r="E164" s="165">
        <f>VLOOKUP(B164,'Snapshot (Volume)'!$A$7:$G$168,7,0)</f>
        <v>10857000</v>
      </c>
      <c r="F164" s="165">
        <f t="shared" si="54"/>
        <v>-92500</v>
      </c>
      <c r="G164" s="166">
        <f t="shared" si="55"/>
        <v>-8.5198489453808604E-3</v>
      </c>
      <c r="H164" s="165">
        <f>VLOOKUP($B164,'Data shares'!$C:$FB,66)</f>
        <v>10569500</v>
      </c>
      <c r="I164" s="165">
        <f>VLOOKUP($B164,'Data shares'!$C:$FB,67)</f>
        <v>8588500</v>
      </c>
      <c r="J164" s="81">
        <f t="shared" si="56"/>
        <v>23.065727426209467</v>
      </c>
      <c r="K164" s="5">
        <f>VLOOKUP($B164,'Data Vlaue (Cr)'!$C:$FB,99)</f>
        <v>1566</v>
      </c>
      <c r="L164" s="81">
        <f>VLOOKUP(B164,'OI(Value)'!$A$7:$C$226,3,0)</f>
        <v>-13</v>
      </c>
      <c r="M164" s="33">
        <f t="shared" si="57"/>
        <v>-0.83014048531289908</v>
      </c>
      <c r="N164" s="5">
        <f>VLOOKUP($B164,'Data Vlaue (Cr)'!$C:$FB,67)</f>
        <v>1538</v>
      </c>
      <c r="O164" s="5">
        <f>VLOOKUP($B164,'Data Vlaue (Cr)'!$C:$FB,68)</f>
        <v>1250</v>
      </c>
      <c r="P164" s="5">
        <f>(N164-O164)/N164*100</f>
        <v>18.725617685305593</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VLOOKUP(B165,'OI(Value)'!$A$7:$C$226,3,0)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shares'!B215</f>
        <v>Pharma</v>
      </c>
      <c r="B166" s="79" t="str">
        <f>'Data shares'!C215</f>
        <v>ZYDUSLIFE</v>
      </c>
      <c r="C166" s="4">
        <f>VLOOKUP($B166,'Data shares'!$C:$FB,7)</f>
        <v>885.3</v>
      </c>
      <c r="D166" s="82">
        <f>VLOOKUP($B166,'Data shares'!$C:$FB,98)</f>
        <v>17699400</v>
      </c>
      <c r="E166" s="165" t="e">
        <f>VLOOKUP(B166,'Snapshot (Volume)'!$A$7:$G$168,7,0)</f>
        <v>#N/A</v>
      </c>
      <c r="F166" s="165" t="e">
        <f t="shared" si="54"/>
        <v>#N/A</v>
      </c>
      <c r="G166" s="166" t="e">
        <f t="shared" si="55"/>
        <v>#N/A</v>
      </c>
      <c r="H166" s="165">
        <f>VLOOKUP($B166,'Data shares'!$C:$FB,66)</f>
        <v>11968200</v>
      </c>
      <c r="I166" s="165">
        <f>VLOOKUP($B166,'Data shares'!$C:$FB,67)</f>
        <v>16900200</v>
      </c>
      <c r="J166" s="81">
        <f t="shared" si="56"/>
        <v>-29.183086590691232</v>
      </c>
      <c r="K166" s="5">
        <f>VLOOKUP($B166,'Data Vlaue (Cr)'!$C:$FB,99)</f>
        <v>1569</v>
      </c>
      <c r="L166" s="81">
        <f>VLOOKUP(B166,'OI(Value)'!$A$7:$C$226,3,0)</f>
        <v>-21</v>
      </c>
      <c r="M166" s="33">
        <f t="shared" si="57"/>
        <v>-1.338432122370937</v>
      </c>
      <c r="N166" s="5">
        <f>VLOOKUP($B166,'Data Vlaue (Cr)'!$C:$FB,67)</f>
        <v>1061</v>
      </c>
      <c r="O166" s="5">
        <f>VLOOKUP($B166,'Data Vlaue (Cr)'!$C:$FB,68)</f>
        <v>1499</v>
      </c>
      <c r="P166" s="5">
        <f>(N166-O166)/N166*100</f>
        <v>-41.281809613572101</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3"/>
  <sheetViews>
    <sheetView zoomScale="85" zoomScaleNormal="85" workbookViewId="0">
      <pane ySplit="6" topLeftCell="A205" activePane="bottomLeft" state="frozen"/>
      <selection activeCell="Q163" sqref="Q163"/>
      <selection pane="bottomLeft" activeCell="H234" sqref="H234"/>
    </sheetView>
  </sheetViews>
  <sheetFormatPr defaultRowHeight="15" x14ac:dyDescent="0.25"/>
  <cols>
    <col min="1" max="1" width="14.5703125" style="74" bestFit="1" customWidth="1"/>
    <col min="2" max="2" width="12.28515625" bestFit="1" customWidth="1"/>
    <col min="3" max="3" width="10.28515625" bestFit="1" customWidth="1"/>
    <col min="5" max="5" width="12.28515625" bestFit="1" customWidth="1"/>
    <col min="6" max="6" width="10.28515625" bestFit="1" customWidth="1"/>
    <col min="7" max="7" width="6.42578125" bestFit="1" customWidth="1"/>
    <col min="8" max="8" width="11.5703125" bestFit="1" customWidth="1"/>
    <col min="9" max="9" width="10.5703125" bestFit="1" customWidth="1"/>
    <col min="10" max="10" width="7.140625" bestFit="1" customWidth="1"/>
    <col min="11" max="11" width="11.5703125" bestFit="1" customWidth="1"/>
    <col min="12" max="12" width="10.28515625" bestFit="1" customWidth="1"/>
    <col min="13" max="13" width="7.140625" bestFit="1" customWidth="1"/>
    <col min="14" max="14" width="11.85546875" bestFit="1" customWidth="1"/>
  </cols>
  <sheetData>
    <row r="1" spans="1:15" hidden="1" x14ac:dyDescent="0.25"/>
    <row r="2" spans="1:15" ht="15.75" thickBot="1" x14ac:dyDescent="0.3"/>
    <row r="3" spans="1:15" s="85" customFormat="1" ht="23.25" customHeight="1" thickBot="1" x14ac:dyDescent="0.3">
      <c r="A3" s="274" t="s">
        <v>334</v>
      </c>
      <c r="B3" s="275"/>
      <c r="C3" s="275"/>
      <c r="D3" s="276"/>
      <c r="E3" s="277"/>
      <c r="F3" s="277"/>
      <c r="G3" s="277"/>
      <c r="H3" s="277"/>
      <c r="I3" s="277"/>
      <c r="J3" s="277"/>
      <c r="K3" s="277"/>
      <c r="L3" s="277"/>
      <c r="M3" s="277"/>
      <c r="N3" s="277"/>
      <c r="O3" s="278"/>
    </row>
    <row r="4" spans="1:15" s="84" customFormat="1" x14ac:dyDescent="0.25">
      <c r="A4" s="271" t="s">
        <v>330</v>
      </c>
      <c r="B4" s="271" t="s">
        <v>340</v>
      </c>
      <c r="C4" s="271"/>
      <c r="D4" s="271"/>
      <c r="E4" s="271"/>
      <c r="F4" s="271"/>
      <c r="G4" s="271"/>
      <c r="H4" s="271"/>
      <c r="I4" s="271"/>
      <c r="J4" s="271"/>
      <c r="K4" s="271"/>
      <c r="L4" s="271"/>
      <c r="M4" s="271"/>
      <c r="N4" s="271"/>
      <c r="O4" s="271"/>
    </row>
    <row r="5" spans="1:15" s="84" customFormat="1" x14ac:dyDescent="0.25">
      <c r="A5" s="272"/>
      <c r="B5" s="272" t="s">
        <v>314</v>
      </c>
      <c r="C5" s="272"/>
      <c r="D5" s="272"/>
      <c r="E5" s="272" t="s">
        <v>341</v>
      </c>
      <c r="F5" s="272"/>
      <c r="G5" s="272"/>
      <c r="H5" s="272" t="s">
        <v>336</v>
      </c>
      <c r="I5" s="272"/>
      <c r="J5" s="272"/>
      <c r="K5" s="272" t="s">
        <v>342</v>
      </c>
      <c r="L5" s="272"/>
      <c r="M5" s="272"/>
      <c r="N5" s="272" t="s">
        <v>338</v>
      </c>
      <c r="O5" s="272"/>
    </row>
    <row r="6" spans="1:15" s="84" customFormat="1" x14ac:dyDescent="0.25">
      <c r="A6" s="71" t="s">
        <v>318</v>
      </c>
      <c r="B6" s="66">
        <f>'OI(Value)'!B6</f>
        <v>46044</v>
      </c>
      <c r="C6" s="71" t="s">
        <v>333</v>
      </c>
      <c r="D6" s="71" t="s">
        <v>328</v>
      </c>
      <c r="E6" s="66">
        <f>B6</f>
        <v>46044</v>
      </c>
      <c r="F6" s="71" t="s">
        <v>333</v>
      </c>
      <c r="G6" s="71" t="s">
        <v>328</v>
      </c>
      <c r="H6" s="66">
        <f>B6</f>
        <v>46044</v>
      </c>
      <c r="I6" s="71" t="s">
        <v>333</v>
      </c>
      <c r="J6" s="71" t="s">
        <v>328</v>
      </c>
      <c r="K6" s="66">
        <f>B6</f>
        <v>46044</v>
      </c>
      <c r="L6" s="71" t="s">
        <v>333</v>
      </c>
      <c r="M6" s="71" t="s">
        <v>328</v>
      </c>
      <c r="N6" s="71" t="s">
        <v>339</v>
      </c>
      <c r="O6" s="71" t="s">
        <v>328</v>
      </c>
    </row>
    <row r="7" spans="1:15" x14ac:dyDescent="0.25">
      <c r="A7" s="100" t="str">
        <f>'Data Vlaue (Cr)'!C2</f>
        <v>360ONE</v>
      </c>
      <c r="B7" s="82">
        <f>VLOOKUP(A7,'Data shares'!$C$2:$CV$215,98,0)</f>
        <v>8517000</v>
      </c>
      <c r="C7" s="82">
        <f>VLOOKUP(A7,'Data shares'!$C$2:$CX$215,100,0)</f>
        <v>-849000</v>
      </c>
      <c r="D7" s="141">
        <f>VLOOKUP(A7,'Data shares'!$C$2:$CY$538,101,0)</f>
        <v>-9.06E-2</v>
      </c>
      <c r="E7" s="86">
        <f>VLOOKUP($A7,'Data shares'!$C:$FA,74)</f>
        <v>3610000</v>
      </c>
      <c r="F7" s="86">
        <f>VLOOKUP($A7,'Data shares'!$C:$FA,76)</f>
        <v>-190500</v>
      </c>
      <c r="G7" s="87">
        <f>VLOOKUP(A7,'Data shares'!$C$2:$CA$215,77,0)</f>
        <v>-5.0099999999999999E-2</v>
      </c>
      <c r="H7" s="86">
        <f>VLOOKUP($A7,'Data shares'!$C:$FA,90)</f>
        <v>3130500</v>
      </c>
      <c r="I7" s="86">
        <f>VLOOKUP($A7,'Data shares'!$C:$FA,92)</f>
        <v>-498000</v>
      </c>
      <c r="J7" s="87">
        <f>VLOOKUP($A7,'Data shares'!$C:$FA,93)</f>
        <v>-0.13719999999999999</v>
      </c>
      <c r="K7" s="86">
        <f>VLOOKUP($A7,'Data shares'!$C:$FA,94)</f>
        <v>1776500</v>
      </c>
      <c r="L7" s="86">
        <f>VLOOKUP($A7,'Data shares'!$C:$FA,96)</f>
        <v>-160500</v>
      </c>
      <c r="M7" s="87">
        <f>VLOOKUP($A7,'Data shares'!$C:$FA,97)</f>
        <v>-8.2900000000000001E-2</v>
      </c>
      <c r="N7" s="86">
        <f>VLOOKUP($A7,'Data shares'!$C:$FA,78)</f>
        <v>1793500</v>
      </c>
      <c r="O7" s="87">
        <f>VLOOKUP($A7,'Data shares'!$C:$FA,81)</f>
        <v>-0.36280000000000001</v>
      </c>
    </row>
    <row r="8" spans="1:15" x14ac:dyDescent="0.25">
      <c r="A8" s="100" t="str">
        <f>'Data Vlaue (Cr)'!C3</f>
        <v>ABB</v>
      </c>
      <c r="B8" s="82">
        <f>VLOOKUP(A8,'Data shares'!$C$2:$CV$215,98,0)</f>
        <v>4666750</v>
      </c>
      <c r="C8" s="82">
        <f>VLOOKUP(A8,'Data shares'!$C$2:$CX$215,100,0)</f>
        <v>-138125</v>
      </c>
      <c r="D8" s="141">
        <f>VLOOKUP(A8,'Data shares'!$C$2:$CY$538,101,0)</f>
        <v>-2.87E-2</v>
      </c>
      <c r="E8" s="86">
        <f>VLOOKUP($A8,'Data shares'!$C:$FA,74)</f>
        <v>2447125</v>
      </c>
      <c r="F8" s="86">
        <f>VLOOKUP($A8,'Data shares'!$C:$FA,76)</f>
        <v>-8625</v>
      </c>
      <c r="G8" s="87">
        <f>VLOOKUP(A8,'Data shares'!$C$2:$CA$215,77,0)</f>
        <v>-3.5000000000000001E-3</v>
      </c>
      <c r="H8" s="86">
        <f>VLOOKUP($A8,'Data shares'!$C:$FA,90)</f>
        <v>1362250</v>
      </c>
      <c r="I8" s="86">
        <f>VLOOKUP($A8,'Data shares'!$C:$FA,92)</f>
        <v>-85875</v>
      </c>
      <c r="J8" s="87">
        <f>VLOOKUP($A8,'Data shares'!$C:$FA,93)</f>
        <v>-5.9299999999999999E-2</v>
      </c>
      <c r="K8" s="86">
        <f>VLOOKUP($A8,'Data shares'!$C:$FA,94)</f>
        <v>857375</v>
      </c>
      <c r="L8" s="86">
        <f>VLOOKUP($A8,'Data shares'!$C:$FA,96)</f>
        <v>-43625</v>
      </c>
      <c r="M8" s="87">
        <f>VLOOKUP($A8,'Data shares'!$C:$FA,97)</f>
        <v>-4.8399999999999999E-2</v>
      </c>
      <c r="N8" s="86">
        <f>VLOOKUP($A8,'Data shares'!$C:$FA,78)</f>
        <v>955125</v>
      </c>
      <c r="O8" s="87">
        <f>VLOOKUP($A8,'Data shares'!$C:$FA,81)</f>
        <v>-0.34300000000000003</v>
      </c>
    </row>
    <row r="9" spans="1:15" x14ac:dyDescent="0.25">
      <c r="A9" s="100" t="str">
        <f>'Data Vlaue (Cr)'!C4</f>
        <v>ABCAPITAL</v>
      </c>
      <c r="B9" s="82">
        <f>VLOOKUP(A9,'Data shares'!$C$2:$CV$215,98,0)</f>
        <v>121551000</v>
      </c>
      <c r="C9" s="82">
        <f>VLOOKUP(A9,'Data shares'!$C$2:$CX$215,100,0)</f>
        <v>-2436600</v>
      </c>
      <c r="D9" s="141">
        <f>VLOOKUP(A9,'Data shares'!$C$2:$CY$538,101,0)</f>
        <v>-1.9699999999999999E-2</v>
      </c>
      <c r="E9" s="86">
        <f>VLOOKUP($A9,'Data shares'!$C:$FA,74)</f>
        <v>80854200</v>
      </c>
      <c r="F9" s="86">
        <f>VLOOKUP($A9,'Data shares'!$C:$FA,76)</f>
        <v>886600</v>
      </c>
      <c r="G9" s="87">
        <f>VLOOKUP(A9,'Data shares'!$C$2:$CA$215,77,0)</f>
        <v>1.11E-2</v>
      </c>
      <c r="H9" s="86">
        <f>VLOOKUP($A9,'Data shares'!$C:$FA,90)</f>
        <v>26095800</v>
      </c>
      <c r="I9" s="86">
        <f>VLOOKUP($A9,'Data shares'!$C:$FA,92)</f>
        <v>-2991500</v>
      </c>
      <c r="J9" s="87">
        <f>VLOOKUP($A9,'Data shares'!$C:$FA,93)</f>
        <v>-0.1028</v>
      </c>
      <c r="K9" s="86">
        <f>VLOOKUP($A9,'Data shares'!$C:$FA,94)</f>
        <v>14601000</v>
      </c>
      <c r="L9" s="86">
        <f>VLOOKUP($A9,'Data shares'!$C:$FA,96)</f>
        <v>-331700</v>
      </c>
      <c r="M9" s="87">
        <f>VLOOKUP($A9,'Data shares'!$C:$FA,97)</f>
        <v>-2.2200000000000001E-2</v>
      </c>
      <c r="N9" s="86">
        <f>VLOOKUP($A9,'Data shares'!$C:$FA,78)</f>
        <v>26945200</v>
      </c>
      <c r="O9" s="87">
        <f>VLOOKUP($A9,'Data shares'!$C:$FA,81)</f>
        <v>-0.54169999999999996</v>
      </c>
    </row>
    <row r="10" spans="1:15" x14ac:dyDescent="0.25">
      <c r="A10" s="100" t="str">
        <f>'Data Vlaue (Cr)'!C5</f>
        <v>ADANIENSOL</v>
      </c>
      <c r="B10" s="82">
        <f>VLOOKUP(A10,'Data shares'!$C$2:$CV$215,98,0)</f>
        <v>29228175</v>
      </c>
      <c r="C10" s="82">
        <f>VLOOKUP(A10,'Data shares'!$C$2:$CX$215,100,0)</f>
        <v>552825</v>
      </c>
      <c r="D10" s="141">
        <f>VLOOKUP(A10,'Data shares'!$C$2:$CY$538,101,0)</f>
        <v>1.9300000000000001E-2</v>
      </c>
      <c r="E10" s="86">
        <f>VLOOKUP($A10,'Data shares'!$C:$FA,74)</f>
        <v>19170000</v>
      </c>
      <c r="F10" s="86">
        <f>VLOOKUP($A10,'Data shares'!$C:$FA,76)</f>
        <v>413775</v>
      </c>
      <c r="G10" s="87">
        <f>VLOOKUP(A10,'Data shares'!$C$2:$CA$215,77,0)</f>
        <v>2.2100000000000002E-2</v>
      </c>
      <c r="H10" s="86">
        <f>VLOOKUP($A10,'Data shares'!$C:$FA,90)</f>
        <v>6272100</v>
      </c>
      <c r="I10" s="86">
        <f>VLOOKUP($A10,'Data shares'!$C:$FA,92)</f>
        <v>-313875</v>
      </c>
      <c r="J10" s="87">
        <f>VLOOKUP($A10,'Data shares'!$C:$FA,93)</f>
        <v>-4.7699999999999999E-2</v>
      </c>
      <c r="K10" s="86">
        <f>VLOOKUP($A10,'Data shares'!$C:$FA,94)</f>
        <v>3786075</v>
      </c>
      <c r="L10" s="86">
        <f>VLOOKUP($A10,'Data shares'!$C:$FA,96)</f>
        <v>452925</v>
      </c>
      <c r="M10" s="87">
        <f>VLOOKUP($A10,'Data shares'!$C:$FA,97)</f>
        <v>0.13589999999999999</v>
      </c>
      <c r="N10" s="86">
        <f>VLOOKUP($A10,'Data shares'!$C:$FA,78)</f>
        <v>6551550</v>
      </c>
      <c r="O10" s="87">
        <f>VLOOKUP($A10,'Data shares'!$C:$FA,81)</f>
        <v>-0.37109999999999999</v>
      </c>
    </row>
    <row r="11" spans="1:15" x14ac:dyDescent="0.25">
      <c r="A11" s="100" t="str">
        <f>'Data Vlaue (Cr)'!C6</f>
        <v>ADANIENT</v>
      </c>
      <c r="B11" s="82">
        <f>VLOOKUP(A11,'Data shares'!$C$2:$CV$215,98,0)</f>
        <v>38374710</v>
      </c>
      <c r="C11" s="82">
        <f>VLOOKUP(A11,'Data shares'!$C$2:$CX$215,100,0)</f>
        <v>-713790</v>
      </c>
      <c r="D11" s="141">
        <f>VLOOKUP(A11,'Data shares'!$C$2:$CY$538,101,0)</f>
        <v>-1.83E-2</v>
      </c>
      <c r="E11" s="86">
        <f>VLOOKUP($A11,'Data shares'!$C:$FA,74)</f>
        <v>21037029</v>
      </c>
      <c r="F11" s="86">
        <f>VLOOKUP($A11,'Data shares'!$C:$FA,76)</f>
        <v>-344535</v>
      </c>
      <c r="G11" s="87">
        <f>VLOOKUP(A11,'Data shares'!$C$2:$CA$215,77,0)</f>
        <v>-1.61E-2</v>
      </c>
      <c r="H11" s="86">
        <f>VLOOKUP($A11,'Data shares'!$C:$FA,90)</f>
        <v>9751113</v>
      </c>
      <c r="I11" s="86">
        <f>VLOOKUP($A11,'Data shares'!$C:$FA,92)</f>
        <v>-478641</v>
      </c>
      <c r="J11" s="87">
        <f>VLOOKUP($A11,'Data shares'!$C:$FA,93)</f>
        <v>-4.6800000000000001E-2</v>
      </c>
      <c r="K11" s="86">
        <f>VLOOKUP($A11,'Data shares'!$C:$FA,94)</f>
        <v>7586568</v>
      </c>
      <c r="L11" s="86">
        <f>VLOOKUP($A11,'Data shares'!$C:$FA,96)</f>
        <v>109386</v>
      </c>
      <c r="M11" s="87">
        <f>VLOOKUP($A11,'Data shares'!$C:$FA,97)</f>
        <v>1.46E-2</v>
      </c>
      <c r="N11" s="86">
        <f>VLOOKUP($A11,'Data shares'!$C:$FA,78)</f>
        <v>9905922</v>
      </c>
      <c r="O11" s="87">
        <f>VLOOKUP($A11,'Data shares'!$C:$FA,81)</f>
        <v>-0.26140000000000002</v>
      </c>
    </row>
    <row r="12" spans="1:15" x14ac:dyDescent="0.25">
      <c r="A12" s="100" t="str">
        <f>'Data Vlaue (Cr)'!C7</f>
        <v>ADANIGREEN</v>
      </c>
      <c r="B12" s="82">
        <f>VLOOKUP(A12,'Data shares'!$C$2:$CV$215,98,0)</f>
        <v>37726800</v>
      </c>
      <c r="C12" s="82">
        <f>VLOOKUP(A12,'Data shares'!$C$2:$CX$215,100,0)</f>
        <v>37800</v>
      </c>
      <c r="D12" s="141">
        <f>VLOOKUP(A12,'Data shares'!$C$2:$CY$538,101,0)</f>
        <v>1E-3</v>
      </c>
      <c r="E12" s="86">
        <f>VLOOKUP($A12,'Data shares'!$C:$FA,74)</f>
        <v>22675800</v>
      </c>
      <c r="F12" s="86">
        <f>VLOOKUP($A12,'Data shares'!$C:$FA,76)</f>
        <v>-7200</v>
      </c>
      <c r="G12" s="87">
        <f>VLOOKUP(A12,'Data shares'!$C$2:$CA$215,77,0)</f>
        <v>-2.9999999999999997E-4</v>
      </c>
      <c r="H12" s="86">
        <f>VLOOKUP($A12,'Data shares'!$C:$FA,90)</f>
        <v>9550800</v>
      </c>
      <c r="I12" s="86">
        <f>VLOOKUP($A12,'Data shares'!$C:$FA,92)</f>
        <v>103200</v>
      </c>
      <c r="J12" s="87">
        <f>VLOOKUP($A12,'Data shares'!$C:$FA,93)</f>
        <v>1.09E-2</v>
      </c>
      <c r="K12" s="86">
        <f>VLOOKUP($A12,'Data shares'!$C:$FA,94)</f>
        <v>5500200</v>
      </c>
      <c r="L12" s="86">
        <f>VLOOKUP($A12,'Data shares'!$C:$FA,96)</f>
        <v>-58200</v>
      </c>
      <c r="M12" s="87">
        <f>VLOOKUP($A12,'Data shares'!$C:$FA,97)</f>
        <v>-1.0500000000000001E-2</v>
      </c>
      <c r="N12" s="86">
        <f>VLOOKUP($A12,'Data shares'!$C:$FA,78)</f>
        <v>12316800</v>
      </c>
      <c r="O12" s="87">
        <f>VLOOKUP($A12,'Data shares'!$C:$FA,81)</f>
        <v>-0.18909999999999999</v>
      </c>
    </row>
    <row r="13" spans="1:15" x14ac:dyDescent="0.25">
      <c r="A13" s="100" t="str">
        <f>'Data Vlaue (Cr)'!C8</f>
        <v>ADANIPORTS</v>
      </c>
      <c r="B13" s="82">
        <f>VLOOKUP(A13,'Data shares'!$C$2:$CV$215,98,0)</f>
        <v>41581975</v>
      </c>
      <c r="C13" s="82">
        <f>VLOOKUP(A13,'Data shares'!$C$2:$CX$215,100,0)</f>
        <v>63175</v>
      </c>
      <c r="D13" s="141">
        <f>VLOOKUP(A13,'Data shares'!$C$2:$CY$538,101,0)</f>
        <v>1.5E-3</v>
      </c>
      <c r="E13" s="86">
        <f>VLOOKUP($A13,'Data shares'!$C:$FA,74)</f>
        <v>26789050</v>
      </c>
      <c r="F13" s="86">
        <f>VLOOKUP($A13,'Data shares'!$C:$FA,76)</f>
        <v>535325</v>
      </c>
      <c r="G13" s="87">
        <f>VLOOKUP(A13,'Data shares'!$C$2:$CA$215,77,0)</f>
        <v>2.0400000000000001E-2</v>
      </c>
      <c r="H13" s="86">
        <f>VLOOKUP($A13,'Data shares'!$C:$FA,90)</f>
        <v>8788450</v>
      </c>
      <c r="I13" s="86">
        <f>VLOOKUP($A13,'Data shares'!$C:$FA,92)</f>
        <v>-573325</v>
      </c>
      <c r="J13" s="87">
        <f>VLOOKUP($A13,'Data shares'!$C:$FA,93)</f>
        <v>-6.1199999999999997E-2</v>
      </c>
      <c r="K13" s="86">
        <f>VLOOKUP($A13,'Data shares'!$C:$FA,94)</f>
        <v>6004475</v>
      </c>
      <c r="L13" s="86">
        <f>VLOOKUP($A13,'Data shares'!$C:$FA,96)</f>
        <v>101175</v>
      </c>
      <c r="M13" s="87">
        <f>VLOOKUP($A13,'Data shares'!$C:$FA,97)</f>
        <v>1.7100000000000001E-2</v>
      </c>
      <c r="N13" s="86">
        <f>VLOOKUP($A13,'Data shares'!$C:$FA,78)</f>
        <v>11141125</v>
      </c>
      <c r="O13" s="87">
        <f>VLOOKUP($A13,'Data shares'!$C:$FA,81)</f>
        <v>-0.4415</v>
      </c>
    </row>
    <row r="14" spans="1:15" x14ac:dyDescent="0.25">
      <c r="A14" s="100" t="str">
        <f>'Data Vlaue (Cr)'!C9</f>
        <v>ALKEM</v>
      </c>
      <c r="B14" s="82">
        <f>VLOOKUP(A14,'Data shares'!$C$2:$CV$215,98,0)</f>
        <v>1983375</v>
      </c>
      <c r="C14" s="82">
        <f>VLOOKUP(A14,'Data shares'!$C$2:$CX$215,100,0)</f>
        <v>5250</v>
      </c>
      <c r="D14" s="141">
        <f>VLOOKUP(A14,'Data shares'!$C$2:$CY$538,101,0)</f>
        <v>2.7000000000000001E-3</v>
      </c>
      <c r="E14" s="86">
        <f>VLOOKUP($A14,'Data shares'!$C:$FA,74)</f>
        <v>1422500</v>
      </c>
      <c r="F14" s="86">
        <f>VLOOKUP($A14,'Data shares'!$C:$FA,76)</f>
        <v>61125</v>
      </c>
      <c r="G14" s="87">
        <f>VLOOKUP(A14,'Data shares'!$C$2:$CA$215,77,0)</f>
        <v>4.4900000000000002E-2</v>
      </c>
      <c r="H14" s="86">
        <f>VLOOKUP($A14,'Data shares'!$C:$FA,90)</f>
        <v>371625</v>
      </c>
      <c r="I14" s="86">
        <f>VLOOKUP($A14,'Data shares'!$C:$FA,92)</f>
        <v>-57500</v>
      </c>
      <c r="J14" s="87">
        <f>VLOOKUP($A14,'Data shares'!$C:$FA,93)</f>
        <v>-0.13400000000000001</v>
      </c>
      <c r="K14" s="86">
        <f>VLOOKUP($A14,'Data shares'!$C:$FA,94)</f>
        <v>189250</v>
      </c>
      <c r="L14" s="86">
        <f>VLOOKUP($A14,'Data shares'!$C:$FA,96)</f>
        <v>1625</v>
      </c>
      <c r="M14" s="87">
        <f>VLOOKUP($A14,'Data shares'!$C:$FA,97)</f>
        <v>8.6999999999999994E-3</v>
      </c>
      <c r="N14" s="86">
        <f>VLOOKUP($A14,'Data shares'!$C:$FA,78)</f>
        <v>710250</v>
      </c>
      <c r="O14" s="87">
        <f>VLOOKUP($A14,'Data shares'!$C:$FA,81)</f>
        <v>-0.35749999999999998</v>
      </c>
    </row>
    <row r="15" spans="1:15" x14ac:dyDescent="0.25">
      <c r="A15" s="100" t="str">
        <f>'Data Vlaue (Cr)'!C10</f>
        <v>AMBER</v>
      </c>
      <c r="B15" s="82">
        <f>VLOOKUP(A15,'Data shares'!$C$2:$CV$215,98,0)</f>
        <v>2139100</v>
      </c>
      <c r="C15" s="82">
        <f>VLOOKUP(A15,'Data shares'!$C$2:$CX$215,100,0)</f>
        <v>-60000</v>
      </c>
      <c r="D15" s="141">
        <f>VLOOKUP(A15,'Data shares'!$C$2:$CY$538,101,0)</f>
        <v>-2.7300000000000001E-2</v>
      </c>
      <c r="E15" s="86">
        <f>VLOOKUP($A15,'Data shares'!$C:$FA,74)</f>
        <v>1249400</v>
      </c>
      <c r="F15" s="86">
        <f>VLOOKUP($A15,'Data shares'!$C:$FA,76)</f>
        <v>17200</v>
      </c>
      <c r="G15" s="87">
        <f>VLOOKUP(A15,'Data shares'!$C$2:$CA$215,77,0)</f>
        <v>1.4E-2</v>
      </c>
      <c r="H15" s="86">
        <f>VLOOKUP($A15,'Data shares'!$C:$FA,90)</f>
        <v>607700</v>
      </c>
      <c r="I15" s="86">
        <f>VLOOKUP($A15,'Data shares'!$C:$FA,92)</f>
        <v>-33500</v>
      </c>
      <c r="J15" s="87">
        <f>VLOOKUP($A15,'Data shares'!$C:$FA,93)</f>
        <v>-5.2200000000000003E-2</v>
      </c>
      <c r="K15" s="86">
        <f>VLOOKUP($A15,'Data shares'!$C:$FA,94)</f>
        <v>282000</v>
      </c>
      <c r="L15" s="86">
        <f>VLOOKUP($A15,'Data shares'!$C:$FA,96)</f>
        <v>-43700</v>
      </c>
      <c r="M15" s="87">
        <f>VLOOKUP($A15,'Data shares'!$C:$FA,97)</f>
        <v>-0.13420000000000001</v>
      </c>
      <c r="N15" s="86">
        <f>VLOOKUP($A15,'Data shares'!$C:$FA,78)</f>
        <v>669200</v>
      </c>
      <c r="O15" s="87">
        <f>VLOOKUP($A15,'Data shares'!$C:$FA,81)</f>
        <v>-0.22500000000000001</v>
      </c>
    </row>
    <row r="16" spans="1:15" x14ac:dyDescent="0.25">
      <c r="A16" s="100" t="str">
        <f>'Data Vlaue (Cr)'!C11</f>
        <v>AMBUJACEM</v>
      </c>
      <c r="B16" s="82">
        <f>VLOOKUP(A16,'Data shares'!$C$2:$CV$215,98,0)</f>
        <v>76379100</v>
      </c>
      <c r="C16" s="82">
        <f>VLOOKUP(A16,'Data shares'!$C$2:$CX$215,100,0)</f>
        <v>-1203300</v>
      </c>
      <c r="D16" s="141">
        <f>VLOOKUP(A16,'Data shares'!$C$2:$CY$538,101,0)</f>
        <v>-1.55E-2</v>
      </c>
      <c r="E16" s="86">
        <f>VLOOKUP($A16,'Data shares'!$C:$FA,74)</f>
        <v>49795200</v>
      </c>
      <c r="F16" s="86">
        <f>VLOOKUP($A16,'Data shares'!$C:$FA,76)</f>
        <v>-292950</v>
      </c>
      <c r="G16" s="87">
        <f>VLOOKUP(A16,'Data shares'!$C$2:$CA$215,77,0)</f>
        <v>-5.7999999999999996E-3</v>
      </c>
      <c r="H16" s="86">
        <f>VLOOKUP($A16,'Data shares'!$C:$FA,90)</f>
        <v>14545650</v>
      </c>
      <c r="I16" s="86">
        <f>VLOOKUP($A16,'Data shares'!$C:$FA,92)</f>
        <v>-694050</v>
      </c>
      <c r="J16" s="87">
        <f>VLOOKUP($A16,'Data shares'!$C:$FA,93)</f>
        <v>-4.5499999999999999E-2</v>
      </c>
      <c r="K16" s="86">
        <f>VLOOKUP($A16,'Data shares'!$C:$FA,94)</f>
        <v>12038250</v>
      </c>
      <c r="L16" s="86">
        <f>VLOOKUP($A16,'Data shares'!$C:$FA,96)</f>
        <v>-216300</v>
      </c>
      <c r="M16" s="87">
        <f>VLOOKUP($A16,'Data shares'!$C:$FA,97)</f>
        <v>-1.77E-2</v>
      </c>
      <c r="N16" s="86">
        <f>VLOOKUP($A16,'Data shares'!$C:$FA,78)</f>
        <v>23937900</v>
      </c>
      <c r="O16" s="87">
        <f>VLOOKUP($A16,'Data shares'!$C:$FA,81)</f>
        <v>-0.29699999999999999</v>
      </c>
    </row>
    <row r="17" spans="1:15" x14ac:dyDescent="0.25">
      <c r="A17" s="100" t="str">
        <f>'Data Vlaue (Cr)'!C12</f>
        <v>ANGELONE</v>
      </c>
      <c r="B17" s="82">
        <f>VLOOKUP(A17,'Data shares'!$C$2:$CV$215,98,0)</f>
        <v>9401750</v>
      </c>
      <c r="C17" s="82">
        <f>VLOOKUP(A17,'Data shares'!$C$2:$CX$215,100,0)</f>
        <v>-672500</v>
      </c>
      <c r="D17" s="141">
        <f>VLOOKUP(A17,'Data shares'!$C$2:$CY$538,101,0)</f>
        <v>-6.6799999999999998E-2</v>
      </c>
      <c r="E17" s="86">
        <f>VLOOKUP($A17,'Data shares'!$C:$FA,74)</f>
        <v>4259500</v>
      </c>
      <c r="F17" s="86">
        <f>VLOOKUP($A17,'Data shares'!$C:$FA,76)</f>
        <v>69750</v>
      </c>
      <c r="G17" s="87">
        <f>VLOOKUP(A17,'Data shares'!$C$2:$CA$215,77,0)</f>
        <v>1.66E-2</v>
      </c>
      <c r="H17" s="86">
        <f>VLOOKUP($A17,'Data shares'!$C:$FA,90)</f>
        <v>3059250</v>
      </c>
      <c r="I17" s="86">
        <f>VLOOKUP($A17,'Data shares'!$C:$FA,92)</f>
        <v>-295750</v>
      </c>
      <c r="J17" s="87">
        <f>VLOOKUP($A17,'Data shares'!$C:$FA,93)</f>
        <v>-8.8200000000000001E-2</v>
      </c>
      <c r="K17" s="86">
        <f>VLOOKUP($A17,'Data shares'!$C:$FA,94)</f>
        <v>2083000</v>
      </c>
      <c r="L17" s="86">
        <f>VLOOKUP($A17,'Data shares'!$C:$FA,96)</f>
        <v>-446500</v>
      </c>
      <c r="M17" s="87">
        <f>VLOOKUP($A17,'Data shares'!$C:$FA,97)</f>
        <v>-0.17649999999999999</v>
      </c>
      <c r="N17" s="86">
        <f>VLOOKUP($A17,'Data shares'!$C:$FA,78)</f>
        <v>2091500</v>
      </c>
      <c r="O17" s="87">
        <f>VLOOKUP($A17,'Data shares'!$C:$FA,81)</f>
        <v>-0.26750000000000002</v>
      </c>
    </row>
    <row r="18" spans="1:15" x14ac:dyDescent="0.25">
      <c r="A18" s="100" t="str">
        <f>'Data Vlaue (Cr)'!C13</f>
        <v>APLAPOLLO</v>
      </c>
      <c r="B18" s="82">
        <f>VLOOKUP(A18,'Data shares'!$C$2:$CV$215,98,0)</f>
        <v>15146250</v>
      </c>
      <c r="C18" s="82">
        <f>VLOOKUP(A18,'Data shares'!$C$2:$CX$215,100,0)</f>
        <v>1047200</v>
      </c>
      <c r="D18" s="141">
        <f>VLOOKUP(A18,'Data shares'!$C$2:$CY$538,101,0)</f>
        <v>7.4300000000000005E-2</v>
      </c>
      <c r="E18" s="86">
        <f>VLOOKUP($A18,'Data shares'!$C:$FA,74)</f>
        <v>11788000</v>
      </c>
      <c r="F18" s="86">
        <f>VLOOKUP($A18,'Data shares'!$C:$FA,76)</f>
        <v>589750</v>
      </c>
      <c r="G18" s="87">
        <f>VLOOKUP(A18,'Data shares'!$C$2:$CA$215,77,0)</f>
        <v>5.2699999999999997E-2</v>
      </c>
      <c r="H18" s="86">
        <f>VLOOKUP($A18,'Data shares'!$C:$FA,90)</f>
        <v>2094750</v>
      </c>
      <c r="I18" s="86">
        <f>VLOOKUP($A18,'Data shares'!$C:$FA,92)</f>
        <v>223300</v>
      </c>
      <c r="J18" s="87">
        <f>VLOOKUP($A18,'Data shares'!$C:$FA,93)</f>
        <v>0.1193</v>
      </c>
      <c r="K18" s="86">
        <f>VLOOKUP($A18,'Data shares'!$C:$FA,94)</f>
        <v>1263500</v>
      </c>
      <c r="L18" s="86">
        <f>VLOOKUP($A18,'Data shares'!$C:$FA,96)</f>
        <v>234150</v>
      </c>
      <c r="M18" s="87">
        <f>VLOOKUP($A18,'Data shares'!$C:$FA,97)</f>
        <v>0.22750000000000001</v>
      </c>
      <c r="N18" s="86">
        <f>VLOOKUP($A18,'Data shares'!$C:$FA,78)</f>
        <v>7044450</v>
      </c>
      <c r="O18" s="87">
        <f>VLOOKUP($A18,'Data shares'!$C:$FA,81)</f>
        <v>-8.8099999999999998E-2</v>
      </c>
    </row>
    <row r="19" spans="1:15" x14ac:dyDescent="0.25">
      <c r="A19" s="100" t="str">
        <f>'Data Vlaue (Cr)'!C14</f>
        <v>APOLLOHOSP</v>
      </c>
      <c r="B19" s="82">
        <f>VLOOKUP(A19,'Data shares'!$C$2:$CV$215,98,0)</f>
        <v>7087750</v>
      </c>
      <c r="C19" s="82">
        <f>VLOOKUP(A19,'Data shares'!$C$2:$CX$215,100,0)</f>
        <v>593375</v>
      </c>
      <c r="D19" s="141">
        <f>VLOOKUP(A19,'Data shares'!$C$2:$CY$538,101,0)</f>
        <v>9.1399999999999995E-2</v>
      </c>
      <c r="E19" s="86">
        <f>VLOOKUP($A19,'Data shares'!$C:$FA,74)</f>
        <v>3984500</v>
      </c>
      <c r="F19" s="86">
        <f>VLOOKUP($A19,'Data shares'!$C:$FA,76)</f>
        <v>425750</v>
      </c>
      <c r="G19" s="87">
        <f>VLOOKUP(A19,'Data shares'!$C$2:$CA$215,77,0)</f>
        <v>0.1196</v>
      </c>
      <c r="H19" s="86">
        <f>VLOOKUP($A19,'Data shares'!$C:$FA,90)</f>
        <v>2007875</v>
      </c>
      <c r="I19" s="86">
        <f>VLOOKUP($A19,'Data shares'!$C:$FA,92)</f>
        <v>152750</v>
      </c>
      <c r="J19" s="87">
        <f>VLOOKUP($A19,'Data shares'!$C:$FA,93)</f>
        <v>8.2299999999999998E-2</v>
      </c>
      <c r="K19" s="86">
        <f>VLOOKUP($A19,'Data shares'!$C:$FA,94)</f>
        <v>1095375</v>
      </c>
      <c r="L19" s="86">
        <f>VLOOKUP($A19,'Data shares'!$C:$FA,96)</f>
        <v>14875</v>
      </c>
      <c r="M19" s="87">
        <f>VLOOKUP($A19,'Data shares'!$C:$FA,97)</f>
        <v>1.38E-2</v>
      </c>
      <c r="N19" s="86">
        <f>VLOOKUP($A19,'Data shares'!$C:$FA,78)</f>
        <v>2035125</v>
      </c>
      <c r="O19" s="87">
        <f>VLOOKUP($A19,'Data shares'!$C:$FA,81)</f>
        <v>-0.2457</v>
      </c>
    </row>
    <row r="20" spans="1:15" x14ac:dyDescent="0.25">
      <c r="A20" s="100" t="str">
        <f>'Data Vlaue (Cr)'!C15</f>
        <v>ASHOKLEY</v>
      </c>
      <c r="B20" s="82">
        <f>VLOOKUP(A20,'Data shares'!$C$2:$CV$215,98,0)</f>
        <v>286775000</v>
      </c>
      <c r="C20" s="82">
        <f>VLOOKUP(A20,'Data shares'!$C$2:$CX$215,100,0)</f>
        <v>-27915000</v>
      </c>
      <c r="D20" s="141">
        <f>VLOOKUP(A20,'Data shares'!$C$2:$CY$538,101,0)</f>
        <v>-8.8700000000000001E-2</v>
      </c>
      <c r="E20" s="86">
        <f>VLOOKUP($A20,'Data shares'!$C:$FA,74)</f>
        <v>179650000</v>
      </c>
      <c r="F20" s="86">
        <f>VLOOKUP($A20,'Data shares'!$C:$FA,76)</f>
        <v>-14655000</v>
      </c>
      <c r="G20" s="87">
        <f>VLOOKUP(A20,'Data shares'!$C$2:$CA$215,77,0)</f>
        <v>-7.5399999999999995E-2</v>
      </c>
      <c r="H20" s="86">
        <f>VLOOKUP($A20,'Data shares'!$C:$FA,90)</f>
        <v>60885000</v>
      </c>
      <c r="I20" s="86">
        <f>VLOOKUP($A20,'Data shares'!$C:$FA,92)</f>
        <v>-17235000</v>
      </c>
      <c r="J20" s="87">
        <f>VLOOKUP($A20,'Data shares'!$C:$FA,93)</f>
        <v>-0.22059999999999999</v>
      </c>
      <c r="K20" s="86">
        <f>VLOOKUP($A20,'Data shares'!$C:$FA,94)</f>
        <v>46240000</v>
      </c>
      <c r="L20" s="86">
        <f>VLOOKUP($A20,'Data shares'!$C:$FA,96)</f>
        <v>3975000</v>
      </c>
      <c r="M20" s="87">
        <f>VLOOKUP($A20,'Data shares'!$C:$FA,97)</f>
        <v>9.4E-2</v>
      </c>
      <c r="N20" s="86">
        <f>VLOOKUP($A20,'Data shares'!$C:$FA,78)</f>
        <v>56780000</v>
      </c>
      <c r="O20" s="87">
        <f>VLOOKUP($A20,'Data shares'!$C:$FA,81)</f>
        <v>-0.48459999999999998</v>
      </c>
    </row>
    <row r="21" spans="1:15" x14ac:dyDescent="0.25">
      <c r="A21" s="100" t="str">
        <f>'Data Vlaue (Cr)'!C16</f>
        <v>ASIANPAINT</v>
      </c>
      <c r="B21" s="82">
        <f>VLOOKUP(A21,'Data shares'!$C$2:$CV$215,98,0)</f>
        <v>21619500</v>
      </c>
      <c r="C21" s="82">
        <f>VLOOKUP(A21,'Data shares'!$C$2:$CX$215,100,0)</f>
        <v>96750</v>
      </c>
      <c r="D21" s="141">
        <f>VLOOKUP(A21,'Data shares'!$C$2:$CY$538,101,0)</f>
        <v>4.4999999999999997E-3</v>
      </c>
      <c r="E21" s="86">
        <f>VLOOKUP($A21,'Data shares'!$C:$FA,74)</f>
        <v>13099250</v>
      </c>
      <c r="F21" s="86">
        <f>VLOOKUP($A21,'Data shares'!$C:$FA,76)</f>
        <v>241250</v>
      </c>
      <c r="G21" s="87">
        <f>VLOOKUP(A21,'Data shares'!$C$2:$CA$215,77,0)</f>
        <v>1.8800000000000001E-2</v>
      </c>
      <c r="H21" s="86">
        <f>VLOOKUP($A21,'Data shares'!$C:$FA,90)</f>
        <v>4993750</v>
      </c>
      <c r="I21" s="86">
        <f>VLOOKUP($A21,'Data shares'!$C:$FA,92)</f>
        <v>-210250</v>
      </c>
      <c r="J21" s="87">
        <f>VLOOKUP($A21,'Data shares'!$C:$FA,93)</f>
        <v>-4.0399999999999998E-2</v>
      </c>
      <c r="K21" s="86">
        <f>VLOOKUP($A21,'Data shares'!$C:$FA,94)</f>
        <v>3526500</v>
      </c>
      <c r="L21" s="86">
        <f>VLOOKUP($A21,'Data shares'!$C:$FA,96)</f>
        <v>65750</v>
      </c>
      <c r="M21" s="87">
        <f>VLOOKUP($A21,'Data shares'!$C:$FA,97)</f>
        <v>1.9E-2</v>
      </c>
      <c r="N21" s="86">
        <f>VLOOKUP($A21,'Data shares'!$C:$FA,78)</f>
        <v>4758250</v>
      </c>
      <c r="O21" s="87">
        <f>VLOOKUP($A21,'Data shares'!$C:$FA,81)</f>
        <v>-0.4753</v>
      </c>
    </row>
    <row r="22" spans="1:15" x14ac:dyDescent="0.25">
      <c r="A22" s="100" t="str">
        <f>'Data Vlaue (Cr)'!C17</f>
        <v>ASTRAL</v>
      </c>
      <c r="B22" s="82">
        <f>VLOOKUP(A22,'Data shares'!$C$2:$CV$215,98,0)</f>
        <v>13482700</v>
      </c>
      <c r="C22" s="82">
        <f>VLOOKUP(A22,'Data shares'!$C$2:$CX$215,100,0)</f>
        <v>-545700</v>
      </c>
      <c r="D22" s="141">
        <f>VLOOKUP(A22,'Data shares'!$C$2:$CY$538,101,0)</f>
        <v>-3.8899999999999997E-2</v>
      </c>
      <c r="E22" s="86">
        <f>VLOOKUP($A22,'Data shares'!$C:$FA,74)</f>
        <v>7697600</v>
      </c>
      <c r="F22" s="86">
        <f>VLOOKUP($A22,'Data shares'!$C:$FA,76)</f>
        <v>-615825</v>
      </c>
      <c r="G22" s="87">
        <f>VLOOKUP(A22,'Data shares'!$C$2:$CA$215,77,0)</f>
        <v>-7.4099999999999999E-2</v>
      </c>
      <c r="H22" s="86">
        <f>VLOOKUP($A22,'Data shares'!$C:$FA,90)</f>
        <v>3476925</v>
      </c>
      <c r="I22" s="86">
        <f>VLOOKUP($A22,'Data shares'!$C:$FA,92)</f>
        <v>252875</v>
      </c>
      <c r="J22" s="87">
        <f>VLOOKUP($A22,'Data shares'!$C:$FA,93)</f>
        <v>7.8399999999999997E-2</v>
      </c>
      <c r="K22" s="86">
        <f>VLOOKUP($A22,'Data shares'!$C:$FA,94)</f>
        <v>2308175</v>
      </c>
      <c r="L22" s="86">
        <f>VLOOKUP($A22,'Data shares'!$C:$FA,96)</f>
        <v>-182750</v>
      </c>
      <c r="M22" s="87">
        <f>VLOOKUP($A22,'Data shares'!$C:$FA,97)</f>
        <v>-7.3400000000000007E-2</v>
      </c>
      <c r="N22" s="86">
        <f>VLOOKUP($A22,'Data shares'!$C:$FA,78)</f>
        <v>2194275</v>
      </c>
      <c r="O22" s="87">
        <f>VLOOKUP($A22,'Data shares'!$C:$FA,81)</f>
        <v>-0.54010000000000002</v>
      </c>
    </row>
    <row r="23" spans="1:15" x14ac:dyDescent="0.25">
      <c r="A23" s="100" t="str">
        <f>'Data Vlaue (Cr)'!C18</f>
        <v>AUBANK</v>
      </c>
      <c r="B23" s="82">
        <f>VLOOKUP(A23,'Data shares'!$C$2:$CV$215,98,0)</f>
        <v>43378000</v>
      </c>
      <c r="C23" s="82">
        <f>VLOOKUP(A23,'Data shares'!$C$2:$CX$215,100,0)</f>
        <v>-2449000</v>
      </c>
      <c r="D23" s="141">
        <f>VLOOKUP(A23,'Data shares'!$C$2:$CY$538,101,0)</f>
        <v>-5.3400000000000003E-2</v>
      </c>
      <c r="E23" s="86">
        <f>VLOOKUP($A23,'Data shares'!$C:$FA,74)</f>
        <v>26305000</v>
      </c>
      <c r="F23" s="86">
        <f>VLOOKUP($A23,'Data shares'!$C:$FA,76)</f>
        <v>-260000</v>
      </c>
      <c r="G23" s="87">
        <f>VLOOKUP(A23,'Data shares'!$C$2:$CA$215,77,0)</f>
        <v>-9.7999999999999997E-3</v>
      </c>
      <c r="H23" s="86">
        <f>VLOOKUP($A23,'Data shares'!$C:$FA,90)</f>
        <v>9885000</v>
      </c>
      <c r="I23" s="86">
        <f>VLOOKUP($A23,'Data shares'!$C:$FA,92)</f>
        <v>-1211000</v>
      </c>
      <c r="J23" s="87">
        <f>VLOOKUP($A23,'Data shares'!$C:$FA,93)</f>
        <v>-0.1091</v>
      </c>
      <c r="K23" s="86">
        <f>VLOOKUP($A23,'Data shares'!$C:$FA,94)</f>
        <v>7188000</v>
      </c>
      <c r="L23" s="86">
        <f>VLOOKUP($A23,'Data shares'!$C:$FA,96)</f>
        <v>-978000</v>
      </c>
      <c r="M23" s="87">
        <f>VLOOKUP($A23,'Data shares'!$C:$FA,97)</f>
        <v>-0.1198</v>
      </c>
      <c r="N23" s="86">
        <f>VLOOKUP($A23,'Data shares'!$C:$FA,78)</f>
        <v>8038000</v>
      </c>
      <c r="O23" s="87">
        <f>VLOOKUP($A23,'Data shares'!$C:$FA,81)</f>
        <v>-0.55369999999999997</v>
      </c>
    </row>
    <row r="24" spans="1:15" x14ac:dyDescent="0.25">
      <c r="A24" s="100" t="str">
        <f>'Data Vlaue (Cr)'!C19</f>
        <v>AUROPHARMA</v>
      </c>
      <c r="B24" s="82">
        <f>VLOOKUP(A24,'Data shares'!$C$2:$CV$215,98,0)</f>
        <v>31888450</v>
      </c>
      <c r="C24" s="82">
        <f>VLOOKUP(A24,'Data shares'!$C$2:$CX$215,100,0)</f>
        <v>-304150</v>
      </c>
      <c r="D24" s="141">
        <f>VLOOKUP(A24,'Data shares'!$C$2:$CY$538,101,0)</f>
        <v>-9.4000000000000004E-3</v>
      </c>
      <c r="E24" s="86">
        <f>VLOOKUP($A24,'Data shares'!$C:$FA,74)</f>
        <v>22613800</v>
      </c>
      <c r="F24" s="86">
        <f>VLOOKUP($A24,'Data shares'!$C:$FA,76)</f>
        <v>290400</v>
      </c>
      <c r="G24" s="87">
        <f>VLOOKUP(A24,'Data shares'!$C$2:$CA$215,77,0)</f>
        <v>1.2999999999999999E-2</v>
      </c>
      <c r="H24" s="86">
        <f>VLOOKUP($A24,'Data shares'!$C:$FA,90)</f>
        <v>6144600</v>
      </c>
      <c r="I24" s="86">
        <f>VLOOKUP($A24,'Data shares'!$C:$FA,92)</f>
        <v>-371250</v>
      </c>
      <c r="J24" s="87">
        <f>VLOOKUP($A24,'Data shares'!$C:$FA,93)</f>
        <v>-5.7000000000000002E-2</v>
      </c>
      <c r="K24" s="86">
        <f>VLOOKUP($A24,'Data shares'!$C:$FA,94)</f>
        <v>3130050</v>
      </c>
      <c r="L24" s="86">
        <f>VLOOKUP($A24,'Data shares'!$C:$FA,96)</f>
        <v>-223300</v>
      </c>
      <c r="M24" s="87">
        <f>VLOOKUP($A24,'Data shares'!$C:$FA,97)</f>
        <v>-6.6600000000000006E-2</v>
      </c>
      <c r="N24" s="86">
        <f>VLOOKUP($A24,'Data shares'!$C:$FA,78)</f>
        <v>7625200</v>
      </c>
      <c r="O24" s="87">
        <f>VLOOKUP($A24,'Data shares'!$C:$FA,81)</f>
        <v>-0.36399999999999999</v>
      </c>
    </row>
    <row r="25" spans="1:15" x14ac:dyDescent="0.25">
      <c r="A25" s="100" t="str">
        <f>'Data Vlaue (Cr)'!C20</f>
        <v>AXISBANK</v>
      </c>
      <c r="B25" s="82">
        <f>VLOOKUP(A25,'Data shares'!$C$2:$CV$215,98,0)</f>
        <v>133595000</v>
      </c>
      <c r="C25" s="82">
        <f>VLOOKUP(A25,'Data shares'!$C$2:$CX$215,100,0)</f>
        <v>1900625</v>
      </c>
      <c r="D25" s="141">
        <f>VLOOKUP(A25,'Data shares'!$C$2:$CY$538,101,0)</f>
        <v>1.44E-2</v>
      </c>
      <c r="E25" s="86">
        <f>VLOOKUP($A25,'Data shares'!$C:$FA,74)</f>
        <v>82404375</v>
      </c>
      <c r="F25" s="86">
        <f>VLOOKUP($A25,'Data shares'!$C:$FA,76)</f>
        <v>1585625</v>
      </c>
      <c r="G25" s="87">
        <f>VLOOKUP(A25,'Data shares'!$C$2:$CA$215,77,0)</f>
        <v>1.9599999999999999E-2</v>
      </c>
      <c r="H25" s="86">
        <f>VLOOKUP($A25,'Data shares'!$C:$FA,90)</f>
        <v>36246250</v>
      </c>
      <c r="I25" s="86">
        <f>VLOOKUP($A25,'Data shares'!$C:$FA,92)</f>
        <v>109375</v>
      </c>
      <c r="J25" s="87">
        <f>VLOOKUP($A25,'Data shares'!$C:$FA,93)</f>
        <v>3.0000000000000001E-3</v>
      </c>
      <c r="K25" s="86">
        <f>VLOOKUP($A25,'Data shares'!$C:$FA,94)</f>
        <v>14944375</v>
      </c>
      <c r="L25" s="86">
        <f>VLOOKUP($A25,'Data shares'!$C:$FA,96)</f>
        <v>205625</v>
      </c>
      <c r="M25" s="87">
        <f>VLOOKUP($A25,'Data shares'!$C:$FA,97)</f>
        <v>1.4E-2</v>
      </c>
      <c r="N25" s="86">
        <f>VLOOKUP($A25,'Data shares'!$C:$FA,78)</f>
        <v>31993750</v>
      </c>
      <c r="O25" s="87">
        <f>VLOOKUP($A25,'Data shares'!$C:$FA,81)</f>
        <v>-0.38350000000000001</v>
      </c>
    </row>
    <row r="26" spans="1:15" x14ac:dyDescent="0.25">
      <c r="A26" s="100" t="str">
        <f>'Data Vlaue (Cr)'!C21</f>
        <v>BAJAJ-AUTO</v>
      </c>
      <c r="B26" s="82">
        <f>VLOOKUP(A26,'Data shares'!$C$2:$CV$215,98,0)</f>
        <v>6053025</v>
      </c>
      <c r="C26" s="82">
        <f>VLOOKUP(A26,'Data shares'!$C$2:$CX$215,100,0)</f>
        <v>-532575</v>
      </c>
      <c r="D26" s="141">
        <f>VLOOKUP(A26,'Data shares'!$C$2:$CY$538,101,0)</f>
        <v>-8.09E-2</v>
      </c>
      <c r="E26" s="86">
        <f>VLOOKUP($A26,'Data shares'!$C:$FA,74)</f>
        <v>3699675</v>
      </c>
      <c r="F26" s="86">
        <f>VLOOKUP($A26,'Data shares'!$C:$FA,76)</f>
        <v>-252450</v>
      </c>
      <c r="G26" s="87">
        <f>VLOOKUP(A26,'Data shares'!$C$2:$CA$215,77,0)</f>
        <v>-6.3899999999999998E-2</v>
      </c>
      <c r="H26" s="86">
        <f>VLOOKUP($A26,'Data shares'!$C:$FA,90)</f>
        <v>1473975</v>
      </c>
      <c r="I26" s="86">
        <f>VLOOKUP($A26,'Data shares'!$C:$FA,92)</f>
        <v>-228450</v>
      </c>
      <c r="J26" s="87">
        <f>VLOOKUP($A26,'Data shares'!$C:$FA,93)</f>
        <v>-0.13420000000000001</v>
      </c>
      <c r="K26" s="86">
        <f>VLOOKUP($A26,'Data shares'!$C:$FA,94)</f>
        <v>879375</v>
      </c>
      <c r="L26" s="86">
        <f>VLOOKUP($A26,'Data shares'!$C:$FA,96)</f>
        <v>-51675</v>
      </c>
      <c r="M26" s="87">
        <f>VLOOKUP($A26,'Data shares'!$C:$FA,97)</f>
        <v>-5.5500000000000001E-2</v>
      </c>
      <c r="N26" s="86">
        <f>VLOOKUP($A26,'Data shares'!$C:$FA,78)</f>
        <v>1027575</v>
      </c>
      <c r="O26" s="87">
        <f>VLOOKUP($A26,'Data shares'!$C:$FA,81)</f>
        <v>-0.55089999999999995</v>
      </c>
    </row>
    <row r="27" spans="1:15" x14ac:dyDescent="0.25">
      <c r="A27" s="100" t="str">
        <f>'Data Vlaue (Cr)'!C22</f>
        <v>BAJAJFINSV</v>
      </c>
      <c r="B27" s="82">
        <f>VLOOKUP(A27,'Data shares'!$C$2:$CV$215,98,0)</f>
        <v>25105500</v>
      </c>
      <c r="C27" s="82">
        <f>VLOOKUP(A27,'Data shares'!$C$2:$CX$215,100,0)</f>
        <v>-485250</v>
      </c>
      <c r="D27" s="141">
        <f>VLOOKUP(A27,'Data shares'!$C$2:$CY$538,101,0)</f>
        <v>-1.9E-2</v>
      </c>
      <c r="E27" s="86">
        <f>VLOOKUP($A27,'Data shares'!$C:$FA,74)</f>
        <v>16104250</v>
      </c>
      <c r="F27" s="86">
        <f>VLOOKUP($A27,'Data shares'!$C:$FA,76)</f>
        <v>-359000</v>
      </c>
      <c r="G27" s="87">
        <f>VLOOKUP(A27,'Data shares'!$C$2:$CA$215,77,0)</f>
        <v>-2.18E-2</v>
      </c>
      <c r="H27" s="86">
        <f>VLOOKUP($A27,'Data shares'!$C:$FA,90)</f>
        <v>5674750</v>
      </c>
      <c r="I27" s="86">
        <f>VLOOKUP($A27,'Data shares'!$C:$FA,92)</f>
        <v>-214500</v>
      </c>
      <c r="J27" s="87">
        <f>VLOOKUP($A27,'Data shares'!$C:$FA,93)</f>
        <v>-3.6400000000000002E-2</v>
      </c>
      <c r="K27" s="86">
        <f>VLOOKUP($A27,'Data shares'!$C:$FA,94)</f>
        <v>3326500</v>
      </c>
      <c r="L27" s="86">
        <f>VLOOKUP($A27,'Data shares'!$C:$FA,96)</f>
        <v>88250</v>
      </c>
      <c r="M27" s="87">
        <f>VLOOKUP($A27,'Data shares'!$C:$FA,97)</f>
        <v>2.7300000000000001E-2</v>
      </c>
      <c r="N27" s="86">
        <f>VLOOKUP($A27,'Data shares'!$C:$FA,78)</f>
        <v>8331500</v>
      </c>
      <c r="O27" s="87">
        <f>VLOOKUP($A27,'Data shares'!$C:$FA,81)</f>
        <v>-0.33729999999999999</v>
      </c>
    </row>
    <row r="28" spans="1:15" x14ac:dyDescent="0.25">
      <c r="A28" s="100" t="str">
        <f>'Data Vlaue (Cr)'!C23</f>
        <v>BAJAJHLDNG</v>
      </c>
      <c r="B28" s="82">
        <f>VLOOKUP(A28,'Data shares'!$C$2:$CV$215,98,0)</f>
        <v>495250</v>
      </c>
      <c r="C28" s="82">
        <f>VLOOKUP(A28,'Data shares'!$C$2:$CX$215,100,0)</f>
        <v>-65200</v>
      </c>
      <c r="D28" s="141">
        <f>VLOOKUP(A28,'Data shares'!$C$2:$CY$538,101,0)</f>
        <v>-0.1163</v>
      </c>
      <c r="E28" s="86">
        <f>VLOOKUP($A28,'Data shares'!$C:$FA,74)</f>
        <v>233150</v>
      </c>
      <c r="F28" s="86">
        <f>VLOOKUP($A28,'Data shares'!$C:$FA,76)</f>
        <v>-6850</v>
      </c>
      <c r="G28" s="87">
        <f>VLOOKUP(A28,'Data shares'!$C$2:$CA$215,77,0)</f>
        <v>-2.8500000000000001E-2</v>
      </c>
      <c r="H28" s="86">
        <f>VLOOKUP($A28,'Data shares'!$C:$FA,90)</f>
        <v>174200</v>
      </c>
      <c r="I28" s="86">
        <f>VLOOKUP($A28,'Data shares'!$C:$FA,92)</f>
        <v>-65650</v>
      </c>
      <c r="J28" s="87">
        <f>VLOOKUP($A28,'Data shares'!$C:$FA,93)</f>
        <v>-0.2737</v>
      </c>
      <c r="K28" s="86">
        <f>VLOOKUP($A28,'Data shares'!$C:$FA,94)</f>
        <v>87900</v>
      </c>
      <c r="L28" s="86">
        <f>VLOOKUP($A28,'Data shares'!$C:$FA,96)</f>
        <v>7300</v>
      </c>
      <c r="M28" s="87">
        <f>VLOOKUP($A28,'Data shares'!$C:$FA,97)</f>
        <v>9.06E-2</v>
      </c>
      <c r="N28" s="86">
        <f>VLOOKUP($A28,'Data shares'!$C:$FA,78)</f>
        <v>140050</v>
      </c>
      <c r="O28" s="87">
        <f>VLOOKUP($A28,'Data shares'!$C:$FA,81)</f>
        <v>-0.31850000000000001</v>
      </c>
    </row>
    <row r="29" spans="1:15" x14ac:dyDescent="0.25">
      <c r="A29" s="100" t="str">
        <f>'Data Vlaue (Cr)'!C24</f>
        <v>BAJFINANCE</v>
      </c>
      <c r="B29" s="82">
        <f>VLOOKUP(A29,'Data shares'!$C$2:$CV$215,98,0)</f>
        <v>144366750</v>
      </c>
      <c r="C29" s="82">
        <f>VLOOKUP(A29,'Data shares'!$C$2:$CX$215,100,0)</f>
        <v>-1530000</v>
      </c>
      <c r="D29" s="141">
        <f>VLOOKUP(A29,'Data shares'!$C$2:$CY$538,101,0)</f>
        <v>-1.0500000000000001E-2</v>
      </c>
      <c r="E29" s="86">
        <f>VLOOKUP($A29,'Data shares'!$C:$FA,74)</f>
        <v>94620750</v>
      </c>
      <c r="F29" s="86">
        <f>VLOOKUP($A29,'Data shares'!$C:$FA,76)</f>
        <v>68250</v>
      </c>
      <c r="G29" s="87">
        <f>VLOOKUP(A29,'Data shares'!$C$2:$CA$215,77,0)</f>
        <v>6.9999999999999999E-4</v>
      </c>
      <c r="H29" s="86">
        <f>VLOOKUP($A29,'Data shares'!$C:$FA,90)</f>
        <v>30802500</v>
      </c>
      <c r="I29" s="86">
        <f>VLOOKUP($A29,'Data shares'!$C:$FA,92)</f>
        <v>-1321500</v>
      </c>
      <c r="J29" s="87">
        <f>VLOOKUP($A29,'Data shares'!$C:$FA,93)</f>
        <v>-4.1099999999999998E-2</v>
      </c>
      <c r="K29" s="86">
        <f>VLOOKUP($A29,'Data shares'!$C:$FA,94)</f>
        <v>18943500</v>
      </c>
      <c r="L29" s="86">
        <f>VLOOKUP($A29,'Data shares'!$C:$FA,96)</f>
        <v>-276750</v>
      </c>
      <c r="M29" s="87">
        <f>VLOOKUP($A29,'Data shares'!$C:$FA,97)</f>
        <v>-1.44E-2</v>
      </c>
      <c r="N29" s="86">
        <f>VLOOKUP($A29,'Data shares'!$C:$FA,78)</f>
        <v>30568500</v>
      </c>
      <c r="O29" s="87">
        <f>VLOOKUP($A29,'Data shares'!$C:$FA,81)</f>
        <v>-0.48120000000000002</v>
      </c>
    </row>
    <row r="30" spans="1:15" x14ac:dyDescent="0.25">
      <c r="A30" s="100" t="str">
        <f>'Data Vlaue (Cr)'!C25</f>
        <v>BANDHANBNK</v>
      </c>
      <c r="B30" s="82">
        <f>VLOOKUP(A30,'Data shares'!$C$2:$CV$215,98,0)</f>
        <v>202856400</v>
      </c>
      <c r="C30" s="82">
        <f>VLOOKUP(A30,'Data shares'!$C$2:$CX$215,100,0)</f>
        <v>-9802800</v>
      </c>
      <c r="D30" s="141">
        <f>VLOOKUP(A30,'Data shares'!$C$2:$CY$538,101,0)</f>
        <v>-4.6100000000000002E-2</v>
      </c>
      <c r="E30" s="86">
        <f>VLOOKUP($A30,'Data shares'!$C:$FA,74)</f>
        <v>132825600</v>
      </c>
      <c r="F30" s="86">
        <f>VLOOKUP($A30,'Data shares'!$C:$FA,76)</f>
        <v>-6886800</v>
      </c>
      <c r="G30" s="87">
        <f>VLOOKUP(A30,'Data shares'!$C$2:$CA$215,77,0)</f>
        <v>-4.9299999999999997E-2</v>
      </c>
      <c r="H30" s="86">
        <f>VLOOKUP($A30,'Data shares'!$C:$FA,90)</f>
        <v>38422800</v>
      </c>
      <c r="I30" s="86">
        <f>VLOOKUP($A30,'Data shares'!$C:$FA,92)</f>
        <v>-2080800</v>
      </c>
      <c r="J30" s="87">
        <f>VLOOKUP($A30,'Data shares'!$C:$FA,93)</f>
        <v>-5.1400000000000001E-2</v>
      </c>
      <c r="K30" s="86">
        <f>VLOOKUP($A30,'Data shares'!$C:$FA,94)</f>
        <v>31608000</v>
      </c>
      <c r="L30" s="86">
        <f>VLOOKUP($A30,'Data shares'!$C:$FA,96)</f>
        <v>-835200</v>
      </c>
      <c r="M30" s="87">
        <f>VLOOKUP($A30,'Data shares'!$C:$FA,97)</f>
        <v>-2.5700000000000001E-2</v>
      </c>
      <c r="N30" s="86">
        <f>VLOOKUP($A30,'Data shares'!$C:$FA,78)</f>
        <v>63831600</v>
      </c>
      <c r="O30" s="87">
        <f>VLOOKUP($A30,'Data shares'!$C:$FA,81)</f>
        <v>-0.1507</v>
      </c>
    </row>
    <row r="31" spans="1:15" x14ac:dyDescent="0.25">
      <c r="A31" s="100" t="str">
        <f>'Data Vlaue (Cr)'!C26</f>
        <v>BANKBARODA</v>
      </c>
      <c r="B31" s="82">
        <f>VLOOKUP(A31,'Data shares'!$C$2:$CV$215,98,0)</f>
        <v>178857900</v>
      </c>
      <c r="C31" s="82">
        <f>VLOOKUP(A31,'Data shares'!$C$2:$CX$215,100,0)</f>
        <v>-8897850</v>
      </c>
      <c r="D31" s="141">
        <f>VLOOKUP(A31,'Data shares'!$C$2:$CY$538,101,0)</f>
        <v>-4.7399999999999998E-2</v>
      </c>
      <c r="E31" s="86">
        <f>VLOOKUP($A31,'Data shares'!$C:$FA,74)</f>
        <v>79276275</v>
      </c>
      <c r="F31" s="86">
        <f>VLOOKUP($A31,'Data shares'!$C:$FA,76)</f>
        <v>634725</v>
      </c>
      <c r="G31" s="87">
        <f>VLOOKUP(A31,'Data shares'!$C$2:$CA$215,77,0)</f>
        <v>8.0999999999999996E-3</v>
      </c>
      <c r="H31" s="86">
        <f>VLOOKUP($A31,'Data shares'!$C:$FA,90)</f>
        <v>57268575</v>
      </c>
      <c r="I31" s="86">
        <f>VLOOKUP($A31,'Data shares'!$C:$FA,92)</f>
        <v>-8383050</v>
      </c>
      <c r="J31" s="87">
        <f>VLOOKUP($A31,'Data shares'!$C:$FA,93)</f>
        <v>-0.12770000000000001</v>
      </c>
      <c r="K31" s="86">
        <f>VLOOKUP($A31,'Data shares'!$C:$FA,94)</f>
        <v>42313050</v>
      </c>
      <c r="L31" s="86">
        <f>VLOOKUP($A31,'Data shares'!$C:$FA,96)</f>
        <v>-1149525</v>
      </c>
      <c r="M31" s="87">
        <f>VLOOKUP($A31,'Data shares'!$C:$FA,97)</f>
        <v>-2.64E-2</v>
      </c>
      <c r="N31" s="86">
        <f>VLOOKUP($A31,'Data shares'!$C:$FA,78)</f>
        <v>29601000</v>
      </c>
      <c r="O31" s="87">
        <f>VLOOKUP($A31,'Data shares'!$C:$FA,81)</f>
        <v>-0.43480000000000002</v>
      </c>
    </row>
    <row r="32" spans="1:15" x14ac:dyDescent="0.25">
      <c r="A32" s="100" t="str">
        <f>'Data Vlaue (Cr)'!C27</f>
        <v>BANKINDIA</v>
      </c>
      <c r="B32" s="82">
        <f>VLOOKUP(A32,'Data shares'!$C$2:$CV$215,98,0)</f>
        <v>133172000</v>
      </c>
      <c r="C32" s="82">
        <f>VLOOKUP(A32,'Data shares'!$C$2:$CX$215,100,0)</f>
        <v>-3426800</v>
      </c>
      <c r="D32" s="141">
        <f>VLOOKUP(A32,'Data shares'!$C$2:$CY$538,101,0)</f>
        <v>-2.5100000000000001E-2</v>
      </c>
      <c r="E32" s="86">
        <f>VLOOKUP($A32,'Data shares'!$C:$FA,74)</f>
        <v>56061200</v>
      </c>
      <c r="F32" s="86">
        <f>VLOOKUP($A32,'Data shares'!$C:$FA,76)</f>
        <v>1154400</v>
      </c>
      <c r="G32" s="87">
        <f>VLOOKUP(A32,'Data shares'!$C$2:$CA$215,77,0)</f>
        <v>2.1000000000000001E-2</v>
      </c>
      <c r="H32" s="86">
        <f>VLOOKUP($A32,'Data shares'!$C:$FA,90)</f>
        <v>42712800</v>
      </c>
      <c r="I32" s="86">
        <f>VLOOKUP($A32,'Data shares'!$C:$FA,92)</f>
        <v>-3541200</v>
      </c>
      <c r="J32" s="87">
        <f>VLOOKUP($A32,'Data shares'!$C:$FA,93)</f>
        <v>-7.6600000000000001E-2</v>
      </c>
      <c r="K32" s="86">
        <f>VLOOKUP($A32,'Data shares'!$C:$FA,94)</f>
        <v>34398000</v>
      </c>
      <c r="L32" s="86">
        <f>VLOOKUP($A32,'Data shares'!$C:$FA,96)</f>
        <v>-1040000</v>
      </c>
      <c r="M32" s="87">
        <f>VLOOKUP($A32,'Data shares'!$C:$FA,97)</f>
        <v>-2.93E-2</v>
      </c>
      <c r="N32" s="86">
        <f>VLOOKUP($A32,'Data shares'!$C:$FA,78)</f>
        <v>20774000</v>
      </c>
      <c r="O32" s="87">
        <f>VLOOKUP($A32,'Data shares'!$C:$FA,81)</f>
        <v>-0.47510000000000002</v>
      </c>
    </row>
    <row r="33" spans="1:15" x14ac:dyDescent="0.25">
      <c r="A33" s="100" t="str">
        <f>'Data Vlaue (Cr)'!C28</f>
        <v>BANKNIFTY</v>
      </c>
      <c r="B33" s="82">
        <f>VLOOKUP(A33,'Data shares'!$C$2:$CV$215,98,0)</f>
        <v>40857725</v>
      </c>
      <c r="C33" s="82">
        <f>VLOOKUP(A33,'Data shares'!$C$2:$CX$215,100,0)</f>
        <v>1601980</v>
      </c>
      <c r="D33" s="141">
        <f>VLOOKUP(A33,'Data shares'!$C$2:$CY$538,101,0)</f>
        <v>4.0800000000000003E-2</v>
      </c>
      <c r="E33" s="86">
        <f>VLOOKUP($A33,'Data shares'!$C:$FA,74)</f>
        <v>1577730</v>
      </c>
      <c r="F33" s="86">
        <f>VLOOKUP($A33,'Data shares'!$C:$FA,76)</f>
        <v>-15510</v>
      </c>
      <c r="G33" s="87">
        <f>VLOOKUP(A33,'Data shares'!$C$2:$CA$215,77,0)</f>
        <v>-9.7000000000000003E-3</v>
      </c>
      <c r="H33" s="86">
        <f>VLOOKUP($A33,'Data shares'!$C:$FA,90)</f>
        <v>21700675</v>
      </c>
      <c r="I33" s="86">
        <f>VLOOKUP($A33,'Data shares'!$C:$FA,92)</f>
        <v>30635</v>
      </c>
      <c r="J33" s="87">
        <f>VLOOKUP($A33,'Data shares'!$C:$FA,93)</f>
        <v>1.4E-3</v>
      </c>
      <c r="K33" s="86">
        <f>VLOOKUP($A33,'Data shares'!$C:$FA,94)</f>
        <v>17579320</v>
      </c>
      <c r="L33" s="86">
        <f>VLOOKUP($A33,'Data shares'!$C:$FA,96)</f>
        <v>1586855</v>
      </c>
      <c r="M33" s="87">
        <f>VLOOKUP($A33,'Data shares'!$C:$FA,97)</f>
        <v>9.9199999999999997E-2</v>
      </c>
      <c r="N33" s="86">
        <f>VLOOKUP($A33,'Data shares'!$C:$FA,78)</f>
        <v>924900</v>
      </c>
      <c r="O33" s="87">
        <f>VLOOKUP($A33,'Data shares'!$C:$FA,81)</f>
        <v>-0.17899999999999999</v>
      </c>
    </row>
    <row r="34" spans="1:15" x14ac:dyDescent="0.25">
      <c r="A34" s="100" t="str">
        <f>'Data Vlaue (Cr)'!C29</f>
        <v>BDL</v>
      </c>
      <c r="B34" s="82">
        <f>VLOOKUP(A34,'Data shares'!$C$2:$CV$215,98,0)</f>
        <v>12920950</v>
      </c>
      <c r="C34" s="82">
        <f>VLOOKUP(A34,'Data shares'!$C$2:$CX$215,100,0)</f>
        <v>-439250</v>
      </c>
      <c r="D34" s="141">
        <f>VLOOKUP(A34,'Data shares'!$C$2:$CY$538,101,0)</f>
        <v>-3.2899999999999999E-2</v>
      </c>
      <c r="E34" s="86">
        <f>VLOOKUP($A34,'Data shares'!$C:$FA,74)</f>
        <v>5140800</v>
      </c>
      <c r="F34" s="86">
        <f>VLOOKUP($A34,'Data shares'!$C:$FA,76)</f>
        <v>-307300</v>
      </c>
      <c r="G34" s="87">
        <f>VLOOKUP(A34,'Data shares'!$C$2:$CA$215,77,0)</f>
        <v>-5.6399999999999999E-2</v>
      </c>
      <c r="H34" s="86">
        <f>VLOOKUP($A34,'Data shares'!$C:$FA,90)</f>
        <v>5072900</v>
      </c>
      <c r="I34" s="86">
        <f>VLOOKUP($A34,'Data shares'!$C:$FA,92)</f>
        <v>-86800</v>
      </c>
      <c r="J34" s="87">
        <f>VLOOKUP($A34,'Data shares'!$C:$FA,93)</f>
        <v>-1.6799999999999999E-2</v>
      </c>
      <c r="K34" s="86">
        <f>VLOOKUP($A34,'Data shares'!$C:$FA,94)</f>
        <v>2707250</v>
      </c>
      <c r="L34" s="86">
        <f>VLOOKUP($A34,'Data shares'!$C:$FA,96)</f>
        <v>-45150</v>
      </c>
      <c r="M34" s="87">
        <f>VLOOKUP($A34,'Data shares'!$C:$FA,97)</f>
        <v>-1.6400000000000001E-2</v>
      </c>
      <c r="N34" s="86">
        <f>VLOOKUP($A34,'Data shares'!$C:$FA,78)</f>
        <v>2926000</v>
      </c>
      <c r="O34" s="87">
        <f>VLOOKUP($A34,'Data shares'!$C:$FA,81)</f>
        <v>-0.24560000000000001</v>
      </c>
    </row>
    <row r="35" spans="1:15" x14ac:dyDescent="0.25">
      <c r="A35" s="100" t="str">
        <f>'Data Vlaue (Cr)'!C30</f>
        <v>BEL</v>
      </c>
      <c r="B35" s="82">
        <f>VLOOKUP(A35,'Data shares'!$C$2:$CV$215,98,0)</f>
        <v>215261925</v>
      </c>
      <c r="C35" s="82">
        <f>VLOOKUP(A35,'Data shares'!$C$2:$CX$215,100,0)</f>
        <v>-8002800</v>
      </c>
      <c r="D35" s="141">
        <f>VLOOKUP(A35,'Data shares'!$C$2:$CY$538,101,0)</f>
        <v>-3.5799999999999998E-2</v>
      </c>
      <c r="E35" s="86">
        <f>VLOOKUP($A35,'Data shares'!$C:$FA,74)</f>
        <v>122501550</v>
      </c>
      <c r="F35" s="86">
        <f>VLOOKUP($A35,'Data shares'!$C:$FA,76)</f>
        <v>-4226550</v>
      </c>
      <c r="G35" s="87">
        <f>VLOOKUP(A35,'Data shares'!$C$2:$CA$215,77,0)</f>
        <v>-3.3399999999999999E-2</v>
      </c>
      <c r="H35" s="86">
        <f>VLOOKUP($A35,'Data shares'!$C:$FA,90)</f>
        <v>57252225</v>
      </c>
      <c r="I35" s="86">
        <f>VLOOKUP($A35,'Data shares'!$C:$FA,92)</f>
        <v>-4229400</v>
      </c>
      <c r="J35" s="87">
        <f>VLOOKUP($A35,'Data shares'!$C:$FA,93)</f>
        <v>-6.88E-2</v>
      </c>
      <c r="K35" s="86">
        <f>VLOOKUP($A35,'Data shares'!$C:$FA,94)</f>
        <v>35508150</v>
      </c>
      <c r="L35" s="86">
        <f>VLOOKUP($A35,'Data shares'!$C:$FA,96)</f>
        <v>453150</v>
      </c>
      <c r="M35" s="87">
        <f>VLOOKUP($A35,'Data shares'!$C:$FA,97)</f>
        <v>1.29E-2</v>
      </c>
      <c r="N35" s="86">
        <f>VLOOKUP($A35,'Data shares'!$C:$FA,78)</f>
        <v>58439250</v>
      </c>
      <c r="O35" s="87">
        <f>VLOOKUP($A35,'Data shares'!$C:$FA,81)</f>
        <v>-0.35160000000000002</v>
      </c>
    </row>
    <row r="36" spans="1:15" x14ac:dyDescent="0.25">
      <c r="A36" s="100" t="str">
        <f>'Data Vlaue (Cr)'!C31</f>
        <v>BHARATFORG</v>
      </c>
      <c r="B36" s="82">
        <f>VLOOKUP(A36,'Data shares'!$C$2:$CV$215,98,0)</f>
        <v>13904500</v>
      </c>
      <c r="C36" s="82">
        <f>VLOOKUP(A36,'Data shares'!$C$2:$CX$215,100,0)</f>
        <v>-794000</v>
      </c>
      <c r="D36" s="141">
        <f>VLOOKUP(A36,'Data shares'!$C$2:$CY$538,101,0)</f>
        <v>-5.3999999999999999E-2</v>
      </c>
      <c r="E36" s="86">
        <f>VLOOKUP($A36,'Data shares'!$C:$FA,74)</f>
        <v>7504500</v>
      </c>
      <c r="F36" s="86">
        <f>VLOOKUP($A36,'Data shares'!$C:$FA,76)</f>
        <v>-130500</v>
      </c>
      <c r="G36" s="87">
        <f>VLOOKUP(A36,'Data shares'!$C$2:$CA$215,77,0)</f>
        <v>-1.7100000000000001E-2</v>
      </c>
      <c r="H36" s="86">
        <f>VLOOKUP($A36,'Data shares'!$C:$FA,90)</f>
        <v>4168500</v>
      </c>
      <c r="I36" s="86">
        <f>VLOOKUP($A36,'Data shares'!$C:$FA,92)</f>
        <v>-393500</v>
      </c>
      <c r="J36" s="87">
        <f>VLOOKUP($A36,'Data shares'!$C:$FA,93)</f>
        <v>-8.6300000000000002E-2</v>
      </c>
      <c r="K36" s="86">
        <f>VLOOKUP($A36,'Data shares'!$C:$FA,94)</f>
        <v>2231500</v>
      </c>
      <c r="L36" s="86">
        <f>VLOOKUP($A36,'Data shares'!$C:$FA,96)</f>
        <v>-270000</v>
      </c>
      <c r="M36" s="87">
        <f>VLOOKUP($A36,'Data shares'!$C:$FA,97)</f>
        <v>-0.1079</v>
      </c>
      <c r="N36" s="86">
        <f>VLOOKUP($A36,'Data shares'!$C:$FA,78)</f>
        <v>3185500</v>
      </c>
      <c r="O36" s="87">
        <f>VLOOKUP($A36,'Data shares'!$C:$FA,81)</f>
        <v>-0.4622</v>
      </c>
    </row>
    <row r="37" spans="1:15" x14ac:dyDescent="0.25">
      <c r="A37" s="100" t="str">
        <f>'Data Vlaue (Cr)'!C32</f>
        <v>BHARTIARTL</v>
      </c>
      <c r="B37" s="82">
        <f>VLOOKUP(A37,'Data shares'!$C$2:$CV$215,98,0)</f>
        <v>76419425</v>
      </c>
      <c r="C37" s="82">
        <f>VLOOKUP(A37,'Data shares'!$C$2:$CX$215,100,0)</f>
        <v>-719625</v>
      </c>
      <c r="D37" s="141">
        <f>VLOOKUP(A37,'Data shares'!$C$2:$CY$538,101,0)</f>
        <v>-9.2999999999999992E-3</v>
      </c>
      <c r="E37" s="86">
        <f>VLOOKUP($A37,'Data shares'!$C:$FA,74)</f>
        <v>53711100</v>
      </c>
      <c r="F37" s="86">
        <f>VLOOKUP($A37,'Data shares'!$C:$FA,76)</f>
        <v>669750</v>
      </c>
      <c r="G37" s="87">
        <f>VLOOKUP(A37,'Data shares'!$C$2:$CA$215,77,0)</f>
        <v>1.26E-2</v>
      </c>
      <c r="H37" s="86">
        <f>VLOOKUP($A37,'Data shares'!$C:$FA,90)</f>
        <v>15474550</v>
      </c>
      <c r="I37" s="86">
        <f>VLOOKUP($A37,'Data shares'!$C:$FA,92)</f>
        <v>-1137150</v>
      </c>
      <c r="J37" s="87">
        <f>VLOOKUP($A37,'Data shares'!$C:$FA,93)</f>
        <v>-6.8500000000000005E-2</v>
      </c>
      <c r="K37" s="86">
        <f>VLOOKUP($A37,'Data shares'!$C:$FA,94)</f>
        <v>7233775</v>
      </c>
      <c r="L37" s="86">
        <f>VLOOKUP($A37,'Data shares'!$C:$FA,96)</f>
        <v>-252225</v>
      </c>
      <c r="M37" s="87">
        <f>VLOOKUP($A37,'Data shares'!$C:$FA,97)</f>
        <v>-3.3700000000000001E-2</v>
      </c>
      <c r="N37" s="86">
        <f>VLOOKUP($A37,'Data shares'!$C:$FA,78)</f>
        <v>20281075</v>
      </c>
      <c r="O37" s="87">
        <f>VLOOKUP($A37,'Data shares'!$C:$FA,81)</f>
        <v>-0.44740000000000002</v>
      </c>
    </row>
    <row r="38" spans="1:15" x14ac:dyDescent="0.25">
      <c r="A38" s="100" t="str">
        <f>'Data Vlaue (Cr)'!C33</f>
        <v>BHEL</v>
      </c>
      <c r="B38" s="82">
        <f>VLOOKUP(A38,'Data shares'!$C$2:$CV$215,98,0)</f>
        <v>240040500</v>
      </c>
      <c r="C38" s="82">
        <f>VLOOKUP(A38,'Data shares'!$C$2:$CX$215,100,0)</f>
        <v>-4326000</v>
      </c>
      <c r="D38" s="141">
        <f>VLOOKUP(A38,'Data shares'!$C$2:$CY$538,101,0)</f>
        <v>-1.77E-2</v>
      </c>
      <c r="E38" s="86">
        <f>VLOOKUP($A38,'Data shares'!$C:$FA,74)</f>
        <v>86790375</v>
      </c>
      <c r="F38" s="86">
        <f>VLOOKUP($A38,'Data shares'!$C:$FA,76)</f>
        <v>-31500</v>
      </c>
      <c r="G38" s="87">
        <f>VLOOKUP(A38,'Data shares'!$C$2:$CA$215,77,0)</f>
        <v>-4.0000000000000002E-4</v>
      </c>
      <c r="H38" s="86">
        <f>VLOOKUP($A38,'Data shares'!$C:$FA,90)</f>
        <v>109798500</v>
      </c>
      <c r="I38" s="86">
        <f>VLOOKUP($A38,'Data shares'!$C:$FA,92)</f>
        <v>-1882125</v>
      </c>
      <c r="J38" s="87">
        <f>VLOOKUP($A38,'Data shares'!$C:$FA,93)</f>
        <v>-1.6899999999999998E-2</v>
      </c>
      <c r="K38" s="86">
        <f>VLOOKUP($A38,'Data shares'!$C:$FA,94)</f>
        <v>43451625</v>
      </c>
      <c r="L38" s="86">
        <f>VLOOKUP($A38,'Data shares'!$C:$FA,96)</f>
        <v>-2412375</v>
      </c>
      <c r="M38" s="87">
        <f>VLOOKUP($A38,'Data shares'!$C:$FA,97)</f>
        <v>-5.2600000000000001E-2</v>
      </c>
      <c r="N38" s="86">
        <f>VLOOKUP($A38,'Data shares'!$C:$FA,78)</f>
        <v>48544125</v>
      </c>
      <c r="O38" s="87">
        <f>VLOOKUP($A38,'Data shares'!$C:$FA,81)</f>
        <v>-0.23419999999999999</v>
      </c>
    </row>
    <row r="39" spans="1:15" x14ac:dyDescent="0.25">
      <c r="A39" s="100" t="str">
        <f>'Data Vlaue (Cr)'!C34</f>
        <v>BIOCON</v>
      </c>
      <c r="B39" s="82">
        <f>VLOOKUP(A39,'Data shares'!$C$2:$CV$215,98,0)</f>
        <v>93912500</v>
      </c>
      <c r="C39" s="82">
        <f>VLOOKUP(A39,'Data shares'!$C$2:$CX$215,100,0)</f>
        <v>-3450000</v>
      </c>
      <c r="D39" s="141">
        <f>VLOOKUP(A39,'Data shares'!$C$2:$CY$538,101,0)</f>
        <v>-3.5400000000000001E-2</v>
      </c>
      <c r="E39" s="86">
        <f>VLOOKUP($A39,'Data shares'!$C:$FA,74)</f>
        <v>50660000</v>
      </c>
      <c r="F39" s="86">
        <f>VLOOKUP($A39,'Data shares'!$C:$FA,76)</f>
        <v>-267500</v>
      </c>
      <c r="G39" s="87">
        <f>VLOOKUP(A39,'Data shares'!$C$2:$CA$215,77,0)</f>
        <v>-5.3E-3</v>
      </c>
      <c r="H39" s="86">
        <f>VLOOKUP($A39,'Data shares'!$C:$FA,90)</f>
        <v>29702500</v>
      </c>
      <c r="I39" s="86">
        <f>VLOOKUP($A39,'Data shares'!$C:$FA,92)</f>
        <v>-2747500</v>
      </c>
      <c r="J39" s="87">
        <f>VLOOKUP($A39,'Data shares'!$C:$FA,93)</f>
        <v>-8.4699999999999998E-2</v>
      </c>
      <c r="K39" s="86">
        <f>VLOOKUP($A39,'Data shares'!$C:$FA,94)</f>
        <v>13550000</v>
      </c>
      <c r="L39" s="86">
        <f>VLOOKUP($A39,'Data shares'!$C:$FA,96)</f>
        <v>-435000</v>
      </c>
      <c r="M39" s="87">
        <f>VLOOKUP($A39,'Data shares'!$C:$FA,97)</f>
        <v>-3.1099999999999999E-2</v>
      </c>
      <c r="N39" s="86">
        <f>VLOOKUP($A39,'Data shares'!$C:$FA,78)</f>
        <v>33135000</v>
      </c>
      <c r="O39" s="87">
        <f>VLOOKUP($A39,'Data shares'!$C:$FA,81)</f>
        <v>-0.16400000000000001</v>
      </c>
    </row>
    <row r="40" spans="1:15" x14ac:dyDescent="0.25">
      <c r="A40" s="100" t="str">
        <f>'Data Vlaue (Cr)'!C35</f>
        <v>BLUESTARCO</v>
      </c>
      <c r="B40" s="82">
        <f>VLOOKUP(A40,'Data shares'!$C$2:$CV$215,98,0)</f>
        <v>4767750</v>
      </c>
      <c r="C40" s="82">
        <f>VLOOKUP(A40,'Data shares'!$C$2:$CX$215,100,0)</f>
        <v>-116675</v>
      </c>
      <c r="D40" s="141">
        <f>VLOOKUP(A40,'Data shares'!$C$2:$CY$538,101,0)</f>
        <v>-2.3900000000000001E-2</v>
      </c>
      <c r="E40" s="86">
        <f>VLOOKUP($A40,'Data shares'!$C:$FA,74)</f>
        <v>2857725</v>
      </c>
      <c r="F40" s="86">
        <f>VLOOKUP($A40,'Data shares'!$C:$FA,76)</f>
        <v>-135200</v>
      </c>
      <c r="G40" s="87">
        <f>VLOOKUP(A40,'Data shares'!$C$2:$CA$215,77,0)</f>
        <v>-4.5199999999999997E-2</v>
      </c>
      <c r="H40" s="86">
        <f>VLOOKUP($A40,'Data shares'!$C:$FA,90)</f>
        <v>965575</v>
      </c>
      <c r="I40" s="86">
        <f>VLOOKUP($A40,'Data shares'!$C:$FA,92)</f>
        <v>21450</v>
      </c>
      <c r="J40" s="87">
        <f>VLOOKUP($A40,'Data shares'!$C:$FA,93)</f>
        <v>2.2700000000000001E-2</v>
      </c>
      <c r="K40" s="86">
        <f>VLOOKUP($A40,'Data shares'!$C:$FA,94)</f>
        <v>944450</v>
      </c>
      <c r="L40" s="86">
        <f>VLOOKUP($A40,'Data shares'!$C:$FA,96)</f>
        <v>-2925</v>
      </c>
      <c r="M40" s="87">
        <f>VLOOKUP($A40,'Data shares'!$C:$FA,97)</f>
        <v>-3.0999999999999999E-3</v>
      </c>
      <c r="N40" s="86">
        <f>VLOOKUP($A40,'Data shares'!$C:$FA,78)</f>
        <v>970125</v>
      </c>
      <c r="O40" s="87">
        <f>VLOOKUP($A40,'Data shares'!$C:$FA,81)</f>
        <v>-0.44869999999999999</v>
      </c>
    </row>
    <row r="41" spans="1:15" x14ac:dyDescent="0.25">
      <c r="A41" s="100" t="str">
        <f>'Data Vlaue (Cr)'!C36</f>
        <v>BOSCHLTD</v>
      </c>
      <c r="B41" s="82">
        <f>VLOOKUP(A41,'Data shares'!$C$2:$CV$215,98,0)</f>
        <v>744425</v>
      </c>
      <c r="C41" s="82">
        <f>VLOOKUP(A41,'Data shares'!$C$2:$CX$215,100,0)</f>
        <v>-7700</v>
      </c>
      <c r="D41" s="141">
        <f>VLOOKUP(A41,'Data shares'!$C$2:$CY$538,101,0)</f>
        <v>-1.0200000000000001E-2</v>
      </c>
      <c r="E41" s="86">
        <f>VLOOKUP($A41,'Data shares'!$C:$FA,74)</f>
        <v>218075</v>
      </c>
      <c r="F41" s="86">
        <f>VLOOKUP($A41,'Data shares'!$C:$FA,76)</f>
        <v>-900</v>
      </c>
      <c r="G41" s="87">
        <f>VLOOKUP(A41,'Data shares'!$C$2:$CA$215,77,0)</f>
        <v>-4.1000000000000003E-3</v>
      </c>
      <c r="H41" s="86">
        <f>VLOOKUP($A41,'Data shares'!$C:$FA,90)</f>
        <v>414175</v>
      </c>
      <c r="I41" s="86">
        <f>VLOOKUP($A41,'Data shares'!$C:$FA,92)</f>
        <v>-4625</v>
      </c>
      <c r="J41" s="87">
        <f>VLOOKUP($A41,'Data shares'!$C:$FA,93)</f>
        <v>-1.0999999999999999E-2</v>
      </c>
      <c r="K41" s="86">
        <f>VLOOKUP($A41,'Data shares'!$C:$FA,94)</f>
        <v>112175</v>
      </c>
      <c r="L41" s="86">
        <f>VLOOKUP($A41,'Data shares'!$C:$FA,96)</f>
        <v>-2175</v>
      </c>
      <c r="M41" s="87">
        <f>VLOOKUP($A41,'Data shares'!$C:$FA,97)</f>
        <v>-1.9E-2</v>
      </c>
      <c r="N41" s="86">
        <f>VLOOKUP($A41,'Data shares'!$C:$FA,78)</f>
        <v>127150</v>
      </c>
      <c r="O41" s="87">
        <f>VLOOKUP($A41,'Data shares'!$C:$FA,81)</f>
        <v>-0.25900000000000001</v>
      </c>
    </row>
    <row r="42" spans="1:15" x14ac:dyDescent="0.25">
      <c r="A42" s="100" t="str">
        <f>'Data Vlaue (Cr)'!C37</f>
        <v>BPCL</v>
      </c>
      <c r="B42" s="82">
        <f>VLOOKUP(A42,'Data shares'!$C$2:$CV$215,98,0)</f>
        <v>64471900</v>
      </c>
      <c r="C42" s="82">
        <f>VLOOKUP(A42,'Data shares'!$C$2:$CX$215,100,0)</f>
        <v>-2776850</v>
      </c>
      <c r="D42" s="141">
        <f>VLOOKUP(A42,'Data shares'!$C$2:$CY$538,101,0)</f>
        <v>-4.1300000000000003E-2</v>
      </c>
      <c r="E42" s="86">
        <f>VLOOKUP($A42,'Data shares'!$C:$FA,74)</f>
        <v>30207625</v>
      </c>
      <c r="F42" s="86">
        <f>VLOOKUP($A42,'Data shares'!$C:$FA,76)</f>
        <v>-345625</v>
      </c>
      <c r="G42" s="87">
        <f>VLOOKUP(A42,'Data shares'!$C$2:$CA$215,77,0)</f>
        <v>-1.1299999999999999E-2</v>
      </c>
      <c r="H42" s="86">
        <f>VLOOKUP($A42,'Data shares'!$C:$FA,90)</f>
        <v>21898800</v>
      </c>
      <c r="I42" s="86">
        <f>VLOOKUP($A42,'Data shares'!$C:$FA,92)</f>
        <v>-2069800</v>
      </c>
      <c r="J42" s="87">
        <f>VLOOKUP($A42,'Data shares'!$C:$FA,93)</f>
        <v>-8.6400000000000005E-2</v>
      </c>
      <c r="K42" s="86">
        <f>VLOOKUP($A42,'Data shares'!$C:$FA,94)</f>
        <v>12365475</v>
      </c>
      <c r="L42" s="86">
        <f>VLOOKUP($A42,'Data shares'!$C:$FA,96)</f>
        <v>-361425</v>
      </c>
      <c r="M42" s="87">
        <f>VLOOKUP($A42,'Data shares'!$C:$FA,97)</f>
        <v>-2.8400000000000002E-2</v>
      </c>
      <c r="N42" s="86">
        <f>VLOOKUP($A42,'Data shares'!$C:$FA,78)</f>
        <v>17697975</v>
      </c>
      <c r="O42" s="87">
        <f>VLOOKUP($A42,'Data shares'!$C:$FA,81)</f>
        <v>-0.2127</v>
      </c>
    </row>
    <row r="43" spans="1:15" x14ac:dyDescent="0.25">
      <c r="A43" s="100" t="str">
        <f>'Data Vlaue (Cr)'!C38</f>
        <v>BRITANNIA</v>
      </c>
      <c r="B43" s="82">
        <f>VLOOKUP(A43,'Data shares'!$C$2:$CV$215,98,0)</f>
        <v>4629125</v>
      </c>
      <c r="C43" s="82">
        <f>VLOOKUP(A43,'Data shares'!$C$2:$CX$215,100,0)</f>
        <v>-228750</v>
      </c>
      <c r="D43" s="141">
        <f>VLOOKUP(A43,'Data shares'!$C$2:$CY$538,101,0)</f>
        <v>-4.7100000000000003E-2</v>
      </c>
      <c r="E43" s="86">
        <f>VLOOKUP($A43,'Data shares'!$C:$FA,74)</f>
        <v>3085000</v>
      </c>
      <c r="F43" s="86">
        <f>VLOOKUP($A43,'Data shares'!$C:$FA,76)</f>
        <v>-82000</v>
      </c>
      <c r="G43" s="87">
        <f>VLOOKUP(A43,'Data shares'!$C$2:$CA$215,77,0)</f>
        <v>-2.5899999999999999E-2</v>
      </c>
      <c r="H43" s="86">
        <f>VLOOKUP($A43,'Data shares'!$C:$FA,90)</f>
        <v>962875</v>
      </c>
      <c r="I43" s="86">
        <f>VLOOKUP($A43,'Data shares'!$C:$FA,92)</f>
        <v>-187625</v>
      </c>
      <c r="J43" s="87">
        <f>VLOOKUP($A43,'Data shares'!$C:$FA,93)</f>
        <v>-0.16309999999999999</v>
      </c>
      <c r="K43" s="86">
        <f>VLOOKUP($A43,'Data shares'!$C:$FA,94)</f>
        <v>581250</v>
      </c>
      <c r="L43" s="86">
        <f>VLOOKUP($A43,'Data shares'!$C:$FA,96)</f>
        <v>40875</v>
      </c>
      <c r="M43" s="87">
        <f>VLOOKUP($A43,'Data shares'!$C:$FA,97)</f>
        <v>7.5600000000000001E-2</v>
      </c>
      <c r="N43" s="86">
        <f>VLOOKUP($A43,'Data shares'!$C:$FA,78)</f>
        <v>1057625</v>
      </c>
      <c r="O43" s="87">
        <f>VLOOKUP($A43,'Data shares'!$C:$FA,81)</f>
        <v>-0.54900000000000004</v>
      </c>
    </row>
    <row r="44" spans="1:15" x14ac:dyDescent="0.25">
      <c r="A44" s="100" t="str">
        <f>'Data Vlaue (Cr)'!C39</f>
        <v>BSE</v>
      </c>
      <c r="B44" s="82">
        <f>VLOOKUP(A44,'Data shares'!$C$2:$CV$215,98,0)</f>
        <v>25443375</v>
      </c>
      <c r="C44" s="82">
        <f>VLOOKUP(A44,'Data shares'!$C$2:$CX$215,100,0)</f>
        <v>-3021000</v>
      </c>
      <c r="D44" s="141">
        <f>VLOOKUP(A44,'Data shares'!$C$2:$CY$538,101,0)</f>
        <v>-0.1061</v>
      </c>
      <c r="E44" s="86">
        <f>VLOOKUP($A44,'Data shares'!$C:$FA,74)</f>
        <v>11439375</v>
      </c>
      <c r="F44" s="86">
        <f>VLOOKUP($A44,'Data shares'!$C:$FA,76)</f>
        <v>-449250</v>
      </c>
      <c r="G44" s="87">
        <f>VLOOKUP(A44,'Data shares'!$C$2:$CA$215,77,0)</f>
        <v>-3.78E-2</v>
      </c>
      <c r="H44" s="86">
        <f>VLOOKUP($A44,'Data shares'!$C:$FA,90)</f>
        <v>8788500</v>
      </c>
      <c r="I44" s="86">
        <f>VLOOKUP($A44,'Data shares'!$C:$FA,92)</f>
        <v>-2233875</v>
      </c>
      <c r="J44" s="87">
        <f>VLOOKUP($A44,'Data shares'!$C:$FA,93)</f>
        <v>-0.20269999999999999</v>
      </c>
      <c r="K44" s="86">
        <f>VLOOKUP($A44,'Data shares'!$C:$FA,94)</f>
        <v>5215500</v>
      </c>
      <c r="L44" s="86">
        <f>VLOOKUP($A44,'Data shares'!$C:$FA,96)</f>
        <v>-337875</v>
      </c>
      <c r="M44" s="87">
        <f>VLOOKUP($A44,'Data shares'!$C:$FA,97)</f>
        <v>-6.08E-2</v>
      </c>
      <c r="N44" s="86">
        <f>VLOOKUP($A44,'Data shares'!$C:$FA,78)</f>
        <v>5479500</v>
      </c>
      <c r="O44" s="87">
        <f>VLOOKUP($A44,'Data shares'!$C:$FA,81)</f>
        <v>-0.314</v>
      </c>
    </row>
    <row r="45" spans="1:15" x14ac:dyDescent="0.25">
      <c r="A45" s="100" t="str">
        <f>'Data Vlaue (Cr)'!C40</f>
        <v>CAMS</v>
      </c>
      <c r="B45" s="82">
        <f>VLOOKUP(A45,'Data shares'!$C$2:$CV$215,98,0)</f>
        <v>16368750</v>
      </c>
      <c r="C45" s="82">
        <f>VLOOKUP(A45,'Data shares'!$C$2:$CX$215,100,0)</f>
        <v>1482000</v>
      </c>
      <c r="D45" s="141">
        <f>VLOOKUP(A45,'Data shares'!$C$2:$CY$538,101,0)</f>
        <v>9.9599999999999994E-2</v>
      </c>
      <c r="E45" s="86">
        <f>VLOOKUP($A45,'Data shares'!$C:$FA,74)</f>
        <v>7254000</v>
      </c>
      <c r="F45" s="86">
        <f>VLOOKUP($A45,'Data shares'!$C:$FA,76)</f>
        <v>285750</v>
      </c>
      <c r="G45" s="87">
        <f>VLOOKUP(A45,'Data shares'!$C$2:$CA$215,77,0)</f>
        <v>4.1000000000000002E-2</v>
      </c>
      <c r="H45" s="86">
        <f>VLOOKUP($A45,'Data shares'!$C:$FA,90)</f>
        <v>5443500</v>
      </c>
      <c r="I45" s="86">
        <f>VLOOKUP($A45,'Data shares'!$C:$FA,92)</f>
        <v>913500</v>
      </c>
      <c r="J45" s="87">
        <f>VLOOKUP($A45,'Data shares'!$C:$FA,93)</f>
        <v>0.20169999999999999</v>
      </c>
      <c r="K45" s="86">
        <f>VLOOKUP($A45,'Data shares'!$C:$FA,94)</f>
        <v>3671250</v>
      </c>
      <c r="L45" s="86">
        <f>VLOOKUP($A45,'Data shares'!$C:$FA,96)</f>
        <v>282750</v>
      </c>
      <c r="M45" s="87">
        <f>VLOOKUP($A45,'Data shares'!$C:$FA,97)</f>
        <v>8.3400000000000002E-2</v>
      </c>
      <c r="N45" s="86">
        <f>VLOOKUP($A45,'Data shares'!$C:$FA,78)</f>
        <v>3026250</v>
      </c>
      <c r="O45" s="87">
        <f>VLOOKUP($A45,'Data shares'!$C:$FA,81)</f>
        <v>-0.3745</v>
      </c>
    </row>
    <row r="46" spans="1:15" x14ac:dyDescent="0.25">
      <c r="A46" s="100" t="str">
        <f>'Data Vlaue (Cr)'!C41</f>
        <v>CANBK</v>
      </c>
      <c r="B46" s="82">
        <f>VLOOKUP(A46,'Data shares'!$C$2:$CV$215,98,0)</f>
        <v>362340000</v>
      </c>
      <c r="C46" s="82">
        <f>VLOOKUP(A46,'Data shares'!$C$2:$CX$215,100,0)</f>
        <v>-4785750</v>
      </c>
      <c r="D46" s="141">
        <f>VLOOKUP(A46,'Data shares'!$C$2:$CY$538,101,0)</f>
        <v>-1.2999999999999999E-2</v>
      </c>
      <c r="E46" s="86">
        <f>VLOOKUP($A46,'Data shares'!$C:$FA,74)</f>
        <v>165078000</v>
      </c>
      <c r="F46" s="86">
        <f>VLOOKUP($A46,'Data shares'!$C:$FA,76)</f>
        <v>5555250</v>
      </c>
      <c r="G46" s="87">
        <f>VLOOKUP(A46,'Data shares'!$C$2:$CA$215,77,0)</f>
        <v>3.4799999999999998E-2</v>
      </c>
      <c r="H46" s="86">
        <f>VLOOKUP($A46,'Data shares'!$C:$FA,90)</f>
        <v>103673250</v>
      </c>
      <c r="I46" s="86">
        <f>VLOOKUP($A46,'Data shares'!$C:$FA,92)</f>
        <v>-11313000</v>
      </c>
      <c r="J46" s="87">
        <f>VLOOKUP($A46,'Data shares'!$C:$FA,93)</f>
        <v>-9.8400000000000001E-2</v>
      </c>
      <c r="K46" s="86">
        <f>VLOOKUP($A46,'Data shares'!$C:$FA,94)</f>
        <v>93588750</v>
      </c>
      <c r="L46" s="86">
        <f>VLOOKUP($A46,'Data shares'!$C:$FA,96)</f>
        <v>972000</v>
      </c>
      <c r="M46" s="87">
        <f>VLOOKUP($A46,'Data shares'!$C:$FA,97)</f>
        <v>1.0500000000000001E-2</v>
      </c>
      <c r="N46" s="86">
        <f>VLOOKUP($A46,'Data shares'!$C:$FA,78)</f>
        <v>59845500</v>
      </c>
      <c r="O46" s="87">
        <f>VLOOKUP($A46,'Data shares'!$C:$FA,81)</f>
        <v>-0.29920000000000002</v>
      </c>
    </row>
    <row r="47" spans="1:15" x14ac:dyDescent="0.25">
      <c r="A47" s="100" t="str">
        <f>'Data Vlaue (Cr)'!C42</f>
        <v>CDSL</v>
      </c>
      <c r="B47" s="82">
        <f>VLOOKUP(A47,'Data shares'!$C$2:$CV$215,98,0)</f>
        <v>26805200</v>
      </c>
      <c r="C47" s="82">
        <f>VLOOKUP(A47,'Data shares'!$C$2:$CX$215,100,0)</f>
        <v>-1361350</v>
      </c>
      <c r="D47" s="141">
        <f>VLOOKUP(A47,'Data shares'!$C$2:$CY$538,101,0)</f>
        <v>-4.8300000000000003E-2</v>
      </c>
      <c r="E47" s="86">
        <f>VLOOKUP($A47,'Data shares'!$C:$FA,74)</f>
        <v>11618975</v>
      </c>
      <c r="F47" s="86">
        <f>VLOOKUP($A47,'Data shares'!$C:$FA,76)</f>
        <v>-60800</v>
      </c>
      <c r="G47" s="87">
        <f>VLOOKUP(A47,'Data shares'!$C$2:$CA$215,77,0)</f>
        <v>-5.1999999999999998E-3</v>
      </c>
      <c r="H47" s="86">
        <f>VLOOKUP($A47,'Data shares'!$C:$FA,90)</f>
        <v>9295275</v>
      </c>
      <c r="I47" s="86">
        <f>VLOOKUP($A47,'Data shares'!$C:$FA,92)</f>
        <v>-1445900</v>
      </c>
      <c r="J47" s="87">
        <f>VLOOKUP($A47,'Data shares'!$C:$FA,93)</f>
        <v>-0.1346</v>
      </c>
      <c r="K47" s="86">
        <f>VLOOKUP($A47,'Data shares'!$C:$FA,94)</f>
        <v>5890950</v>
      </c>
      <c r="L47" s="86">
        <f>VLOOKUP($A47,'Data shares'!$C:$FA,96)</f>
        <v>145350</v>
      </c>
      <c r="M47" s="87">
        <f>VLOOKUP($A47,'Data shares'!$C:$FA,97)</f>
        <v>2.53E-2</v>
      </c>
      <c r="N47" s="86">
        <f>VLOOKUP($A47,'Data shares'!$C:$FA,78)</f>
        <v>5142350</v>
      </c>
      <c r="O47" s="87">
        <f>VLOOKUP($A47,'Data shares'!$C:$FA,81)</f>
        <v>-0.30709999999999998</v>
      </c>
    </row>
    <row r="48" spans="1:15" x14ac:dyDescent="0.25">
      <c r="A48" s="100" t="str">
        <f>'Data Vlaue (Cr)'!C43</f>
        <v>CGPOWER</v>
      </c>
      <c r="B48" s="82">
        <f>VLOOKUP(A48,'Data shares'!$C$2:$CV$215,98,0)</f>
        <v>41712900</v>
      </c>
      <c r="C48" s="82">
        <f>VLOOKUP(A48,'Data shares'!$C$2:$CX$215,100,0)</f>
        <v>-2969900</v>
      </c>
      <c r="D48" s="141">
        <f>VLOOKUP(A48,'Data shares'!$C$2:$CY$538,101,0)</f>
        <v>-6.6500000000000004E-2</v>
      </c>
      <c r="E48" s="86">
        <f>VLOOKUP($A48,'Data shares'!$C:$FA,74)</f>
        <v>18567400</v>
      </c>
      <c r="F48" s="86">
        <f>VLOOKUP($A48,'Data shares'!$C:$FA,76)</f>
        <v>-1120300</v>
      </c>
      <c r="G48" s="87">
        <f>VLOOKUP(A48,'Data shares'!$C$2:$CA$215,77,0)</f>
        <v>-5.6899999999999999E-2</v>
      </c>
      <c r="H48" s="86">
        <f>VLOOKUP($A48,'Data shares'!$C:$FA,90)</f>
        <v>15294900</v>
      </c>
      <c r="I48" s="86">
        <f>VLOOKUP($A48,'Data shares'!$C:$FA,92)</f>
        <v>-1297950</v>
      </c>
      <c r="J48" s="87">
        <f>VLOOKUP($A48,'Data shares'!$C:$FA,93)</f>
        <v>-7.8200000000000006E-2</v>
      </c>
      <c r="K48" s="86">
        <f>VLOOKUP($A48,'Data shares'!$C:$FA,94)</f>
        <v>7850600</v>
      </c>
      <c r="L48" s="86">
        <f>VLOOKUP($A48,'Data shares'!$C:$FA,96)</f>
        <v>-551650</v>
      </c>
      <c r="M48" s="87">
        <f>VLOOKUP($A48,'Data shares'!$C:$FA,97)</f>
        <v>-6.5699999999999995E-2</v>
      </c>
      <c r="N48" s="86">
        <f>VLOOKUP($A48,'Data shares'!$C:$FA,78)</f>
        <v>8784750</v>
      </c>
      <c r="O48" s="87">
        <f>VLOOKUP($A48,'Data shares'!$C:$FA,81)</f>
        <v>-0.39019999999999999</v>
      </c>
    </row>
    <row r="49" spans="1:15" x14ac:dyDescent="0.25">
      <c r="A49" s="100" t="str">
        <f>'Data Vlaue (Cr)'!C44</f>
        <v>CHOLAFIN</v>
      </c>
      <c r="B49" s="82">
        <f>VLOOKUP(A49,'Data shares'!$C$2:$CV$215,98,0)</f>
        <v>23905625</v>
      </c>
      <c r="C49" s="82">
        <f>VLOOKUP(A49,'Data shares'!$C$2:$CX$215,100,0)</f>
        <v>-735625</v>
      </c>
      <c r="D49" s="141">
        <f>VLOOKUP(A49,'Data shares'!$C$2:$CY$538,101,0)</f>
        <v>-2.9899999999999999E-2</v>
      </c>
      <c r="E49" s="86">
        <f>VLOOKUP($A49,'Data shares'!$C:$FA,74)</f>
        <v>15633750</v>
      </c>
      <c r="F49" s="86">
        <f>VLOOKUP($A49,'Data shares'!$C:$FA,76)</f>
        <v>155625</v>
      </c>
      <c r="G49" s="87">
        <f>VLOOKUP(A49,'Data shares'!$C$2:$CA$215,77,0)</f>
        <v>1.01E-2</v>
      </c>
      <c r="H49" s="86">
        <f>VLOOKUP($A49,'Data shares'!$C:$FA,90)</f>
        <v>4818125</v>
      </c>
      <c r="I49" s="86">
        <f>VLOOKUP($A49,'Data shares'!$C:$FA,92)</f>
        <v>-705000</v>
      </c>
      <c r="J49" s="87">
        <f>VLOOKUP($A49,'Data shares'!$C:$FA,93)</f>
        <v>-0.12759999999999999</v>
      </c>
      <c r="K49" s="86">
        <f>VLOOKUP($A49,'Data shares'!$C:$FA,94)</f>
        <v>3453750</v>
      </c>
      <c r="L49" s="86">
        <f>VLOOKUP($A49,'Data shares'!$C:$FA,96)</f>
        <v>-186250</v>
      </c>
      <c r="M49" s="87">
        <f>VLOOKUP($A49,'Data shares'!$C:$FA,97)</f>
        <v>-5.1200000000000002E-2</v>
      </c>
      <c r="N49" s="86">
        <f>VLOOKUP($A49,'Data shares'!$C:$FA,78)</f>
        <v>6341875</v>
      </c>
      <c r="O49" s="87">
        <f>VLOOKUP($A49,'Data shares'!$C:$FA,81)</f>
        <v>-0.4501</v>
      </c>
    </row>
    <row r="50" spans="1:15" x14ac:dyDescent="0.25">
      <c r="A50" s="100" t="str">
        <f>'Data Vlaue (Cr)'!C45</f>
        <v>CIPLA</v>
      </c>
      <c r="B50" s="82">
        <f>VLOOKUP(A50,'Data shares'!$C$2:$CV$215,98,0)</f>
        <v>28593750</v>
      </c>
      <c r="C50" s="82">
        <f>VLOOKUP(A50,'Data shares'!$C$2:$CX$215,100,0)</f>
        <v>92250</v>
      </c>
      <c r="D50" s="141">
        <f>VLOOKUP(A50,'Data shares'!$C$2:$CY$538,101,0)</f>
        <v>3.2000000000000002E-3</v>
      </c>
      <c r="E50" s="86">
        <f>VLOOKUP($A50,'Data shares'!$C:$FA,74)</f>
        <v>14762250</v>
      </c>
      <c r="F50" s="86">
        <f>VLOOKUP($A50,'Data shares'!$C:$FA,76)</f>
        <v>255750</v>
      </c>
      <c r="G50" s="87">
        <f>VLOOKUP(A50,'Data shares'!$C$2:$CA$215,77,0)</f>
        <v>1.7600000000000001E-2</v>
      </c>
      <c r="H50" s="86">
        <f>VLOOKUP($A50,'Data shares'!$C:$FA,90)</f>
        <v>7841250</v>
      </c>
      <c r="I50" s="86">
        <f>VLOOKUP($A50,'Data shares'!$C:$FA,92)</f>
        <v>-84000</v>
      </c>
      <c r="J50" s="87">
        <f>VLOOKUP($A50,'Data shares'!$C:$FA,93)</f>
        <v>-1.06E-2</v>
      </c>
      <c r="K50" s="86">
        <f>VLOOKUP($A50,'Data shares'!$C:$FA,94)</f>
        <v>5990250</v>
      </c>
      <c r="L50" s="86">
        <f>VLOOKUP($A50,'Data shares'!$C:$FA,96)</f>
        <v>-79500</v>
      </c>
      <c r="M50" s="87">
        <f>VLOOKUP($A50,'Data shares'!$C:$FA,97)</f>
        <v>-1.3100000000000001E-2</v>
      </c>
      <c r="N50" s="86">
        <f>VLOOKUP($A50,'Data shares'!$C:$FA,78)</f>
        <v>6237750</v>
      </c>
      <c r="O50" s="87">
        <f>VLOOKUP($A50,'Data shares'!$C:$FA,81)</f>
        <v>-0.35580000000000001</v>
      </c>
    </row>
    <row r="51" spans="1:15" x14ac:dyDescent="0.25">
      <c r="A51" s="100" t="str">
        <f>'Data Vlaue (Cr)'!C46</f>
        <v>COALINDIA</v>
      </c>
      <c r="B51" s="82">
        <f>VLOOKUP(A51,'Data shares'!$C$2:$CV$215,98,0)</f>
        <v>135715500</v>
      </c>
      <c r="C51" s="82">
        <f>VLOOKUP(A51,'Data shares'!$C$2:$CX$215,100,0)</f>
        <v>-3960900</v>
      </c>
      <c r="D51" s="141">
        <f>VLOOKUP(A51,'Data shares'!$C$2:$CY$538,101,0)</f>
        <v>-2.8400000000000002E-2</v>
      </c>
      <c r="E51" s="86">
        <f>VLOOKUP($A51,'Data shares'!$C:$FA,74)</f>
        <v>57202200</v>
      </c>
      <c r="F51" s="86">
        <f>VLOOKUP($A51,'Data shares'!$C:$FA,76)</f>
        <v>329400</v>
      </c>
      <c r="G51" s="87">
        <f>VLOOKUP(A51,'Data shares'!$C$2:$CA$215,77,0)</f>
        <v>5.7999999999999996E-3</v>
      </c>
      <c r="H51" s="86">
        <f>VLOOKUP($A51,'Data shares'!$C:$FA,90)</f>
        <v>52323300</v>
      </c>
      <c r="I51" s="86">
        <f>VLOOKUP($A51,'Data shares'!$C:$FA,92)</f>
        <v>-4225500</v>
      </c>
      <c r="J51" s="87">
        <f>VLOOKUP($A51,'Data shares'!$C:$FA,93)</f>
        <v>-7.4700000000000003E-2</v>
      </c>
      <c r="K51" s="86">
        <f>VLOOKUP($A51,'Data shares'!$C:$FA,94)</f>
        <v>26190000</v>
      </c>
      <c r="L51" s="86">
        <f>VLOOKUP($A51,'Data shares'!$C:$FA,96)</f>
        <v>-64800</v>
      </c>
      <c r="M51" s="87">
        <f>VLOOKUP($A51,'Data shares'!$C:$FA,97)</f>
        <v>-2.5000000000000001E-3</v>
      </c>
      <c r="N51" s="86">
        <f>VLOOKUP($A51,'Data shares'!$C:$FA,78)</f>
        <v>32651100</v>
      </c>
      <c r="O51" s="87">
        <f>VLOOKUP($A51,'Data shares'!$C:$FA,81)</f>
        <v>-0.20469999999999999</v>
      </c>
    </row>
    <row r="52" spans="1:15" x14ac:dyDescent="0.25">
      <c r="A52" s="100" t="str">
        <f>'Data Vlaue (Cr)'!C47</f>
        <v>COFORGE</v>
      </c>
      <c r="B52" s="82">
        <f>VLOOKUP(A52,'Data shares'!$C$2:$CV$215,98,0)</f>
        <v>28599750</v>
      </c>
      <c r="C52" s="82">
        <f>VLOOKUP(A52,'Data shares'!$C$2:$CX$215,100,0)</f>
        <v>964125</v>
      </c>
      <c r="D52" s="141">
        <f>VLOOKUP(A52,'Data shares'!$C$2:$CY$538,101,0)</f>
        <v>3.49E-2</v>
      </c>
      <c r="E52" s="86">
        <f>VLOOKUP($A52,'Data shares'!$C:$FA,74)</f>
        <v>14464125</v>
      </c>
      <c r="F52" s="86">
        <f>VLOOKUP($A52,'Data shares'!$C:$FA,76)</f>
        <v>292500</v>
      </c>
      <c r="G52" s="87">
        <f>VLOOKUP(A52,'Data shares'!$C$2:$CA$215,77,0)</f>
        <v>2.06E-2</v>
      </c>
      <c r="H52" s="86">
        <f>VLOOKUP($A52,'Data shares'!$C:$FA,90)</f>
        <v>9026625</v>
      </c>
      <c r="I52" s="86">
        <f>VLOOKUP($A52,'Data shares'!$C:$FA,92)</f>
        <v>477375</v>
      </c>
      <c r="J52" s="87">
        <f>VLOOKUP($A52,'Data shares'!$C:$FA,93)</f>
        <v>5.5800000000000002E-2</v>
      </c>
      <c r="K52" s="86">
        <f>VLOOKUP($A52,'Data shares'!$C:$FA,94)</f>
        <v>5109000</v>
      </c>
      <c r="L52" s="86">
        <f>VLOOKUP($A52,'Data shares'!$C:$FA,96)</f>
        <v>194250</v>
      </c>
      <c r="M52" s="87">
        <f>VLOOKUP($A52,'Data shares'!$C:$FA,97)</f>
        <v>3.95E-2</v>
      </c>
      <c r="N52" s="86">
        <f>VLOOKUP($A52,'Data shares'!$C:$FA,78)</f>
        <v>6622875</v>
      </c>
      <c r="O52" s="87">
        <f>VLOOKUP($A52,'Data shares'!$C:$FA,81)</f>
        <v>-0.35759999999999997</v>
      </c>
    </row>
    <row r="53" spans="1:15" x14ac:dyDescent="0.25">
      <c r="A53" s="100" t="str">
        <f>'Data Vlaue (Cr)'!C48</f>
        <v>COLPAL</v>
      </c>
      <c r="B53" s="82">
        <f>VLOOKUP(A53,'Data shares'!$C$2:$CV$215,98,0)</f>
        <v>10265400</v>
      </c>
      <c r="C53" s="82">
        <f>VLOOKUP(A53,'Data shares'!$C$2:$CX$215,100,0)</f>
        <v>-990675</v>
      </c>
      <c r="D53" s="141">
        <f>VLOOKUP(A53,'Data shares'!$C$2:$CY$538,101,0)</f>
        <v>-8.7999999999999995E-2</v>
      </c>
      <c r="E53" s="86">
        <f>VLOOKUP($A53,'Data shares'!$C:$FA,74)</f>
        <v>6299550</v>
      </c>
      <c r="F53" s="86">
        <f>VLOOKUP($A53,'Data shares'!$C:$FA,76)</f>
        <v>-469125</v>
      </c>
      <c r="G53" s="87">
        <f>VLOOKUP(A53,'Data shares'!$C$2:$CA$215,77,0)</f>
        <v>-6.93E-2</v>
      </c>
      <c r="H53" s="86">
        <f>VLOOKUP($A53,'Data shares'!$C:$FA,90)</f>
        <v>2282400</v>
      </c>
      <c r="I53" s="86">
        <f>VLOOKUP($A53,'Data shares'!$C:$FA,92)</f>
        <v>-435375</v>
      </c>
      <c r="J53" s="87">
        <f>VLOOKUP($A53,'Data shares'!$C:$FA,93)</f>
        <v>-0.16020000000000001</v>
      </c>
      <c r="K53" s="86">
        <f>VLOOKUP($A53,'Data shares'!$C:$FA,94)</f>
        <v>1683450</v>
      </c>
      <c r="L53" s="86">
        <f>VLOOKUP($A53,'Data shares'!$C:$FA,96)</f>
        <v>-86175</v>
      </c>
      <c r="M53" s="87">
        <f>VLOOKUP($A53,'Data shares'!$C:$FA,97)</f>
        <v>-4.87E-2</v>
      </c>
      <c r="N53" s="86">
        <f>VLOOKUP($A53,'Data shares'!$C:$FA,78)</f>
        <v>2868075</v>
      </c>
      <c r="O53" s="87">
        <f>VLOOKUP($A53,'Data shares'!$C:$FA,81)</f>
        <v>-0.39760000000000001</v>
      </c>
    </row>
    <row r="54" spans="1:15" x14ac:dyDescent="0.25">
      <c r="A54" s="100" t="str">
        <f>'Data Vlaue (Cr)'!C49</f>
        <v>CONCOR</v>
      </c>
      <c r="B54" s="82">
        <f>VLOOKUP(A54,'Data shares'!$C$2:$CV$215,98,0)</f>
        <v>56642500</v>
      </c>
      <c r="C54" s="82">
        <f>VLOOKUP(A54,'Data shares'!$C$2:$CX$215,100,0)</f>
        <v>1730000</v>
      </c>
      <c r="D54" s="141">
        <f>VLOOKUP(A54,'Data shares'!$C$2:$CY$538,101,0)</f>
        <v>3.15E-2</v>
      </c>
      <c r="E54" s="86">
        <f>VLOOKUP($A54,'Data shares'!$C:$FA,74)</f>
        <v>34170000</v>
      </c>
      <c r="F54" s="86">
        <f>VLOOKUP($A54,'Data shares'!$C:$FA,76)</f>
        <v>332500</v>
      </c>
      <c r="G54" s="87">
        <f>VLOOKUP(A54,'Data shares'!$C$2:$CA$215,77,0)</f>
        <v>9.7999999999999997E-3</v>
      </c>
      <c r="H54" s="86">
        <f>VLOOKUP($A54,'Data shares'!$C:$FA,90)</f>
        <v>12691250</v>
      </c>
      <c r="I54" s="86">
        <f>VLOOKUP($A54,'Data shares'!$C:$FA,92)</f>
        <v>675000</v>
      </c>
      <c r="J54" s="87">
        <f>VLOOKUP($A54,'Data shares'!$C:$FA,93)</f>
        <v>5.62E-2</v>
      </c>
      <c r="K54" s="86">
        <f>VLOOKUP($A54,'Data shares'!$C:$FA,94)</f>
        <v>9781250</v>
      </c>
      <c r="L54" s="86">
        <f>VLOOKUP($A54,'Data shares'!$C:$FA,96)</f>
        <v>722500</v>
      </c>
      <c r="M54" s="87">
        <f>VLOOKUP($A54,'Data shares'!$C:$FA,97)</f>
        <v>7.9799999999999996E-2</v>
      </c>
      <c r="N54" s="86">
        <f>VLOOKUP($A54,'Data shares'!$C:$FA,78)</f>
        <v>15753750</v>
      </c>
      <c r="O54" s="87">
        <f>VLOOKUP($A54,'Data shares'!$C:$FA,81)</f>
        <v>-0.28499999999999998</v>
      </c>
    </row>
    <row r="55" spans="1:15" x14ac:dyDescent="0.25">
      <c r="A55" s="100" t="str">
        <f>'Data Vlaue (Cr)'!C50</f>
        <v>CROMPTON</v>
      </c>
      <c r="B55" s="82">
        <f>VLOOKUP(A55,'Data shares'!$C$2:$CV$215,98,0)</f>
        <v>91117800</v>
      </c>
      <c r="C55" s="82">
        <f>VLOOKUP(A55,'Data shares'!$C$2:$CX$215,100,0)</f>
        <v>1000800</v>
      </c>
      <c r="D55" s="141">
        <f>VLOOKUP(A55,'Data shares'!$C$2:$CY$538,101,0)</f>
        <v>1.11E-2</v>
      </c>
      <c r="E55" s="86">
        <f>VLOOKUP($A55,'Data shares'!$C:$FA,74)</f>
        <v>56223000</v>
      </c>
      <c r="F55" s="86">
        <f>VLOOKUP($A55,'Data shares'!$C:$FA,76)</f>
        <v>1238400</v>
      </c>
      <c r="G55" s="87">
        <f>VLOOKUP(A55,'Data shares'!$C$2:$CA$215,77,0)</f>
        <v>2.2499999999999999E-2</v>
      </c>
      <c r="H55" s="86">
        <f>VLOOKUP($A55,'Data shares'!$C:$FA,90)</f>
        <v>22813200</v>
      </c>
      <c r="I55" s="86">
        <f>VLOOKUP($A55,'Data shares'!$C:$FA,92)</f>
        <v>252000</v>
      </c>
      <c r="J55" s="87">
        <f>VLOOKUP($A55,'Data shares'!$C:$FA,93)</f>
        <v>1.12E-2</v>
      </c>
      <c r="K55" s="86">
        <f>VLOOKUP($A55,'Data shares'!$C:$FA,94)</f>
        <v>12081600</v>
      </c>
      <c r="L55" s="86">
        <f>VLOOKUP($A55,'Data shares'!$C:$FA,96)</f>
        <v>-489600</v>
      </c>
      <c r="M55" s="87">
        <f>VLOOKUP($A55,'Data shares'!$C:$FA,97)</f>
        <v>-3.8899999999999997E-2</v>
      </c>
      <c r="N55" s="86">
        <f>VLOOKUP($A55,'Data shares'!$C:$FA,78)</f>
        <v>26991000</v>
      </c>
      <c r="O55" s="87">
        <f>VLOOKUP($A55,'Data shares'!$C:$FA,81)</f>
        <v>-0.33029999999999998</v>
      </c>
    </row>
    <row r="56" spans="1:15" x14ac:dyDescent="0.25">
      <c r="A56" s="100" t="str">
        <f>'Data Vlaue (Cr)'!C51</f>
        <v>CUMMINSIND</v>
      </c>
      <c r="B56" s="82">
        <f>VLOOKUP(A56,'Data shares'!$C$2:$CV$215,98,0)</f>
        <v>6543200</v>
      </c>
      <c r="C56" s="82">
        <f>VLOOKUP(A56,'Data shares'!$C$2:$CX$215,100,0)</f>
        <v>-118000</v>
      </c>
      <c r="D56" s="141">
        <f>VLOOKUP(A56,'Data shares'!$C$2:$CY$538,101,0)</f>
        <v>-1.77E-2</v>
      </c>
      <c r="E56" s="86">
        <f>VLOOKUP($A56,'Data shares'!$C:$FA,74)</f>
        <v>3806000</v>
      </c>
      <c r="F56" s="86">
        <f>VLOOKUP($A56,'Data shares'!$C:$FA,76)</f>
        <v>32200</v>
      </c>
      <c r="G56" s="87">
        <f>VLOOKUP(A56,'Data shares'!$C$2:$CA$215,77,0)</f>
        <v>8.5000000000000006E-3</v>
      </c>
      <c r="H56" s="86">
        <f>VLOOKUP($A56,'Data shares'!$C:$FA,90)</f>
        <v>1713200</v>
      </c>
      <c r="I56" s="86">
        <f>VLOOKUP($A56,'Data shares'!$C:$FA,92)</f>
        <v>-118800</v>
      </c>
      <c r="J56" s="87">
        <f>VLOOKUP($A56,'Data shares'!$C:$FA,93)</f>
        <v>-6.4799999999999996E-2</v>
      </c>
      <c r="K56" s="86">
        <f>VLOOKUP($A56,'Data shares'!$C:$FA,94)</f>
        <v>1024000</v>
      </c>
      <c r="L56" s="86">
        <f>VLOOKUP($A56,'Data shares'!$C:$FA,96)</f>
        <v>-31400</v>
      </c>
      <c r="M56" s="87">
        <f>VLOOKUP($A56,'Data shares'!$C:$FA,97)</f>
        <v>-2.98E-2</v>
      </c>
      <c r="N56" s="86">
        <f>VLOOKUP($A56,'Data shares'!$C:$FA,78)</f>
        <v>1460800</v>
      </c>
      <c r="O56" s="87">
        <f>VLOOKUP($A56,'Data shares'!$C:$FA,81)</f>
        <v>-0.48</v>
      </c>
    </row>
    <row r="57" spans="1:15" x14ac:dyDescent="0.25">
      <c r="A57" s="100" t="str">
        <f>'Data Vlaue (Cr)'!C52</f>
        <v>DABUR</v>
      </c>
      <c r="B57" s="82">
        <f>VLOOKUP(A57,'Data shares'!$C$2:$CV$215,98,0)</f>
        <v>44515000</v>
      </c>
      <c r="C57" s="82">
        <f>VLOOKUP(A57,'Data shares'!$C$2:$CX$215,100,0)</f>
        <v>611250</v>
      </c>
      <c r="D57" s="141">
        <f>VLOOKUP(A57,'Data shares'!$C$2:$CY$538,101,0)</f>
        <v>1.3899999999999999E-2</v>
      </c>
      <c r="E57" s="86">
        <f>VLOOKUP($A57,'Data shares'!$C:$FA,74)</f>
        <v>24988750</v>
      </c>
      <c r="F57" s="86">
        <f>VLOOKUP($A57,'Data shares'!$C:$FA,76)</f>
        <v>1357500</v>
      </c>
      <c r="G57" s="87">
        <f>VLOOKUP(A57,'Data shares'!$C$2:$CA$215,77,0)</f>
        <v>5.74E-2</v>
      </c>
      <c r="H57" s="86">
        <f>VLOOKUP($A57,'Data shares'!$C:$FA,90)</f>
        <v>11762500</v>
      </c>
      <c r="I57" s="86">
        <f>VLOOKUP($A57,'Data shares'!$C:$FA,92)</f>
        <v>-617500</v>
      </c>
      <c r="J57" s="87">
        <f>VLOOKUP($A57,'Data shares'!$C:$FA,93)</f>
        <v>-4.99E-2</v>
      </c>
      <c r="K57" s="86">
        <f>VLOOKUP($A57,'Data shares'!$C:$FA,94)</f>
        <v>7763750</v>
      </c>
      <c r="L57" s="86">
        <f>VLOOKUP($A57,'Data shares'!$C:$FA,96)</f>
        <v>-128750</v>
      </c>
      <c r="M57" s="87">
        <f>VLOOKUP($A57,'Data shares'!$C:$FA,97)</f>
        <v>-1.6299999999999999E-2</v>
      </c>
      <c r="N57" s="86">
        <f>VLOOKUP($A57,'Data shares'!$C:$FA,78)</f>
        <v>9140000</v>
      </c>
      <c r="O57" s="87">
        <f>VLOOKUP($A57,'Data shares'!$C:$FA,81)</f>
        <v>-0.46160000000000001</v>
      </c>
    </row>
    <row r="58" spans="1:15" x14ac:dyDescent="0.25">
      <c r="A58" s="100" t="str">
        <f>'Data Vlaue (Cr)'!C53</f>
        <v>DALBHARAT</v>
      </c>
      <c r="B58" s="82">
        <f>VLOOKUP(A58,'Data shares'!$C$2:$CV$215,98,0)</f>
        <v>5484375</v>
      </c>
      <c r="C58" s="82">
        <f>VLOOKUP(A58,'Data shares'!$C$2:$CX$215,100,0)</f>
        <v>-398450</v>
      </c>
      <c r="D58" s="141">
        <f>VLOOKUP(A58,'Data shares'!$C$2:$CY$538,101,0)</f>
        <v>-6.7699999999999996E-2</v>
      </c>
      <c r="E58" s="86">
        <f>VLOOKUP($A58,'Data shares'!$C:$FA,74)</f>
        <v>3183050</v>
      </c>
      <c r="F58" s="86">
        <f>VLOOKUP($A58,'Data shares'!$C:$FA,76)</f>
        <v>75400</v>
      </c>
      <c r="G58" s="87">
        <f>VLOOKUP(A58,'Data shares'!$C$2:$CA$215,77,0)</f>
        <v>2.4299999999999999E-2</v>
      </c>
      <c r="H58" s="86">
        <f>VLOOKUP($A58,'Data shares'!$C:$FA,90)</f>
        <v>1542775</v>
      </c>
      <c r="I58" s="86">
        <f>VLOOKUP($A58,'Data shares'!$C:$FA,92)</f>
        <v>-177450</v>
      </c>
      <c r="J58" s="87">
        <f>VLOOKUP($A58,'Data shares'!$C:$FA,93)</f>
        <v>-0.1032</v>
      </c>
      <c r="K58" s="86">
        <f>VLOOKUP($A58,'Data shares'!$C:$FA,94)</f>
        <v>758550</v>
      </c>
      <c r="L58" s="86">
        <f>VLOOKUP($A58,'Data shares'!$C:$FA,96)</f>
        <v>-296400</v>
      </c>
      <c r="M58" s="87">
        <f>VLOOKUP($A58,'Data shares'!$C:$FA,97)</f>
        <v>-0.28100000000000003</v>
      </c>
      <c r="N58" s="86">
        <f>VLOOKUP($A58,'Data shares'!$C:$FA,78)</f>
        <v>1646125</v>
      </c>
      <c r="O58" s="87">
        <f>VLOOKUP($A58,'Data shares'!$C:$FA,81)</f>
        <v>-0.32429999999999998</v>
      </c>
    </row>
    <row r="59" spans="1:15" x14ac:dyDescent="0.25">
      <c r="A59" s="100" t="str">
        <f>'Data Vlaue (Cr)'!C54</f>
        <v>DELHIVERY</v>
      </c>
      <c r="B59" s="82">
        <f>VLOOKUP(A59,'Data shares'!$C$2:$CV$215,98,0)</f>
        <v>35831100</v>
      </c>
      <c r="C59" s="82">
        <f>VLOOKUP(A59,'Data shares'!$C$2:$CX$215,100,0)</f>
        <v>-1062400</v>
      </c>
      <c r="D59" s="141">
        <f>VLOOKUP(A59,'Data shares'!$C$2:$CY$538,101,0)</f>
        <v>-2.8799999999999999E-2</v>
      </c>
      <c r="E59" s="86">
        <f>VLOOKUP($A59,'Data shares'!$C:$FA,74)</f>
        <v>22849900</v>
      </c>
      <c r="F59" s="86">
        <f>VLOOKUP($A59,'Data shares'!$C:$FA,76)</f>
        <v>329925</v>
      </c>
      <c r="G59" s="87">
        <f>VLOOKUP(A59,'Data shares'!$C$2:$CA$215,77,0)</f>
        <v>1.47E-2</v>
      </c>
      <c r="H59" s="86">
        <f>VLOOKUP($A59,'Data shares'!$C:$FA,90)</f>
        <v>7156675</v>
      </c>
      <c r="I59" s="86">
        <f>VLOOKUP($A59,'Data shares'!$C:$FA,92)</f>
        <v>-939975</v>
      </c>
      <c r="J59" s="87">
        <f>VLOOKUP($A59,'Data shares'!$C:$FA,93)</f>
        <v>-0.11609999999999999</v>
      </c>
      <c r="K59" s="86">
        <f>VLOOKUP($A59,'Data shares'!$C:$FA,94)</f>
        <v>5824525</v>
      </c>
      <c r="L59" s="86">
        <f>VLOOKUP($A59,'Data shares'!$C:$FA,96)</f>
        <v>-452350</v>
      </c>
      <c r="M59" s="87">
        <f>VLOOKUP($A59,'Data shares'!$C:$FA,97)</f>
        <v>-7.2099999999999997E-2</v>
      </c>
      <c r="N59" s="86">
        <f>VLOOKUP($A59,'Data shares'!$C:$FA,78)</f>
        <v>10399900</v>
      </c>
      <c r="O59" s="87">
        <f>VLOOKUP($A59,'Data shares'!$C:$FA,81)</f>
        <v>-0.37130000000000002</v>
      </c>
    </row>
    <row r="60" spans="1:15" x14ac:dyDescent="0.25">
      <c r="A60" s="100" t="str">
        <f>'Data Vlaue (Cr)'!C55</f>
        <v>DIVISLAB</v>
      </c>
      <c r="B60" s="82">
        <f>VLOOKUP(A60,'Data shares'!$C$2:$CV$215,98,0)</f>
        <v>6394800</v>
      </c>
      <c r="C60" s="82">
        <f>VLOOKUP(A60,'Data shares'!$C$2:$CX$215,100,0)</f>
        <v>41900</v>
      </c>
      <c r="D60" s="141">
        <f>VLOOKUP(A60,'Data shares'!$C$2:$CY$538,101,0)</f>
        <v>6.6E-3</v>
      </c>
      <c r="E60" s="86">
        <f>VLOOKUP($A60,'Data shares'!$C:$FA,74)</f>
        <v>3560400</v>
      </c>
      <c r="F60" s="86">
        <f>VLOOKUP($A60,'Data shares'!$C:$FA,76)</f>
        <v>88400</v>
      </c>
      <c r="G60" s="87">
        <f>VLOOKUP(A60,'Data shares'!$C$2:$CA$215,77,0)</f>
        <v>2.5499999999999998E-2</v>
      </c>
      <c r="H60" s="86">
        <f>VLOOKUP($A60,'Data shares'!$C:$FA,90)</f>
        <v>1901900</v>
      </c>
      <c r="I60" s="86">
        <f>VLOOKUP($A60,'Data shares'!$C:$FA,92)</f>
        <v>-9100</v>
      </c>
      <c r="J60" s="87">
        <f>VLOOKUP($A60,'Data shares'!$C:$FA,93)</f>
        <v>-4.7999999999999996E-3</v>
      </c>
      <c r="K60" s="86">
        <f>VLOOKUP($A60,'Data shares'!$C:$FA,94)</f>
        <v>932500</v>
      </c>
      <c r="L60" s="86">
        <f>VLOOKUP($A60,'Data shares'!$C:$FA,96)</f>
        <v>-37400</v>
      </c>
      <c r="M60" s="87">
        <f>VLOOKUP($A60,'Data shares'!$C:$FA,97)</f>
        <v>-3.8600000000000002E-2</v>
      </c>
      <c r="N60" s="86">
        <f>VLOOKUP($A60,'Data shares'!$C:$FA,78)</f>
        <v>1317000</v>
      </c>
      <c r="O60" s="87">
        <f>VLOOKUP($A60,'Data shares'!$C:$FA,81)</f>
        <v>-0.44940000000000002</v>
      </c>
    </row>
    <row r="61" spans="1:15" x14ac:dyDescent="0.25">
      <c r="A61" s="100" t="str">
        <f>'Data Vlaue (Cr)'!C56</f>
        <v>DIXON</v>
      </c>
      <c r="B61" s="82">
        <f>VLOOKUP(A61,'Data shares'!$C$2:$CV$215,98,0)</f>
        <v>9405850</v>
      </c>
      <c r="C61" s="82">
        <f>VLOOKUP(A61,'Data shares'!$C$2:$CX$215,100,0)</f>
        <v>-43300</v>
      </c>
      <c r="D61" s="141">
        <f>VLOOKUP(A61,'Data shares'!$C$2:$CY$538,101,0)</f>
        <v>-4.5999999999999999E-3</v>
      </c>
      <c r="E61" s="86">
        <f>VLOOKUP($A61,'Data shares'!$C:$FA,74)</f>
        <v>3655650</v>
      </c>
      <c r="F61" s="86">
        <f>VLOOKUP($A61,'Data shares'!$C:$FA,76)</f>
        <v>62850</v>
      </c>
      <c r="G61" s="87">
        <f>VLOOKUP(A61,'Data shares'!$C$2:$CA$215,77,0)</f>
        <v>1.7500000000000002E-2</v>
      </c>
      <c r="H61" s="86">
        <f>VLOOKUP($A61,'Data shares'!$C:$FA,90)</f>
        <v>3759350</v>
      </c>
      <c r="I61" s="86">
        <f>VLOOKUP($A61,'Data shares'!$C:$FA,92)</f>
        <v>-52900</v>
      </c>
      <c r="J61" s="87">
        <f>VLOOKUP($A61,'Data shares'!$C:$FA,93)</f>
        <v>-1.3899999999999999E-2</v>
      </c>
      <c r="K61" s="86">
        <f>VLOOKUP($A61,'Data shares'!$C:$FA,94)</f>
        <v>1990850</v>
      </c>
      <c r="L61" s="86">
        <f>VLOOKUP($A61,'Data shares'!$C:$FA,96)</f>
        <v>-53250</v>
      </c>
      <c r="M61" s="87">
        <f>VLOOKUP($A61,'Data shares'!$C:$FA,97)</f>
        <v>-2.6100000000000002E-2</v>
      </c>
      <c r="N61" s="86">
        <f>VLOOKUP($A61,'Data shares'!$C:$FA,78)</f>
        <v>1993100</v>
      </c>
      <c r="O61" s="87">
        <f>VLOOKUP($A61,'Data shares'!$C:$FA,81)</f>
        <v>-0.20930000000000001</v>
      </c>
    </row>
    <row r="62" spans="1:15" x14ac:dyDescent="0.25">
      <c r="A62" s="100" t="str">
        <f>'Data Vlaue (Cr)'!C57</f>
        <v>DLF</v>
      </c>
      <c r="B62" s="82">
        <f>VLOOKUP(A62,'Data shares'!$C$2:$CV$215,98,0)</f>
        <v>102681975</v>
      </c>
      <c r="C62" s="82">
        <f>VLOOKUP(A62,'Data shares'!$C$2:$CX$215,100,0)</f>
        <v>5746125</v>
      </c>
      <c r="D62" s="141">
        <f>VLOOKUP(A62,'Data shares'!$C$2:$CY$538,101,0)</f>
        <v>5.9299999999999999E-2</v>
      </c>
      <c r="E62" s="86">
        <f>VLOOKUP($A62,'Data shares'!$C:$FA,74)</f>
        <v>61461675</v>
      </c>
      <c r="F62" s="86">
        <f>VLOOKUP($A62,'Data shares'!$C:$FA,76)</f>
        <v>1011450</v>
      </c>
      <c r="G62" s="87">
        <f>VLOOKUP(A62,'Data shares'!$C$2:$CA$215,77,0)</f>
        <v>1.67E-2</v>
      </c>
      <c r="H62" s="86">
        <f>VLOOKUP($A62,'Data shares'!$C:$FA,90)</f>
        <v>25742475</v>
      </c>
      <c r="I62" s="86">
        <f>VLOOKUP($A62,'Data shares'!$C:$FA,92)</f>
        <v>2295150</v>
      </c>
      <c r="J62" s="87">
        <f>VLOOKUP($A62,'Data shares'!$C:$FA,93)</f>
        <v>9.7900000000000001E-2</v>
      </c>
      <c r="K62" s="86">
        <f>VLOOKUP($A62,'Data shares'!$C:$FA,94)</f>
        <v>15477825</v>
      </c>
      <c r="L62" s="86">
        <f>VLOOKUP($A62,'Data shares'!$C:$FA,96)</f>
        <v>2439525</v>
      </c>
      <c r="M62" s="87">
        <f>VLOOKUP($A62,'Data shares'!$C:$FA,97)</f>
        <v>0.18709999999999999</v>
      </c>
      <c r="N62" s="86">
        <f>VLOOKUP($A62,'Data shares'!$C:$FA,78)</f>
        <v>27402375</v>
      </c>
      <c r="O62" s="87">
        <f>VLOOKUP($A62,'Data shares'!$C:$FA,81)</f>
        <v>-0.29220000000000002</v>
      </c>
    </row>
    <row r="63" spans="1:15" x14ac:dyDescent="0.25">
      <c r="A63" s="100" t="str">
        <f>'Data Vlaue (Cr)'!C58</f>
        <v>DMART</v>
      </c>
      <c r="B63" s="82">
        <f>VLOOKUP(A63,'Data shares'!$C$2:$CV$215,98,0)</f>
        <v>10179600</v>
      </c>
      <c r="C63" s="82">
        <f>VLOOKUP(A63,'Data shares'!$C$2:$CX$215,100,0)</f>
        <v>-605700</v>
      </c>
      <c r="D63" s="141">
        <f>VLOOKUP(A63,'Data shares'!$C$2:$CY$538,101,0)</f>
        <v>-5.62E-2</v>
      </c>
      <c r="E63" s="86">
        <f>VLOOKUP($A63,'Data shares'!$C:$FA,74)</f>
        <v>5261250</v>
      </c>
      <c r="F63" s="86">
        <f>VLOOKUP($A63,'Data shares'!$C:$FA,76)</f>
        <v>-128400</v>
      </c>
      <c r="G63" s="87">
        <f>VLOOKUP(A63,'Data shares'!$C$2:$CA$215,77,0)</f>
        <v>-2.3800000000000002E-2</v>
      </c>
      <c r="H63" s="86">
        <f>VLOOKUP($A63,'Data shares'!$C:$FA,90)</f>
        <v>3534000</v>
      </c>
      <c r="I63" s="86">
        <f>VLOOKUP($A63,'Data shares'!$C:$FA,92)</f>
        <v>-352650</v>
      </c>
      <c r="J63" s="87">
        <f>VLOOKUP($A63,'Data shares'!$C:$FA,93)</f>
        <v>-9.0700000000000003E-2</v>
      </c>
      <c r="K63" s="86">
        <f>VLOOKUP($A63,'Data shares'!$C:$FA,94)</f>
        <v>1384350</v>
      </c>
      <c r="L63" s="86">
        <f>VLOOKUP($A63,'Data shares'!$C:$FA,96)</f>
        <v>-124650</v>
      </c>
      <c r="M63" s="87">
        <f>VLOOKUP($A63,'Data shares'!$C:$FA,97)</f>
        <v>-8.2600000000000007E-2</v>
      </c>
      <c r="N63" s="86">
        <f>VLOOKUP($A63,'Data shares'!$C:$FA,78)</f>
        <v>1711350</v>
      </c>
      <c r="O63" s="87">
        <f>VLOOKUP($A63,'Data shares'!$C:$FA,81)</f>
        <v>-0.46960000000000002</v>
      </c>
    </row>
    <row r="64" spans="1:15" x14ac:dyDescent="0.25">
      <c r="A64" s="100" t="str">
        <f>'Data Vlaue (Cr)'!C59</f>
        <v>DRREDDY</v>
      </c>
      <c r="B64" s="82">
        <f>VLOOKUP(A64,'Data shares'!$C$2:$CV$215,98,0)</f>
        <v>33220000</v>
      </c>
      <c r="C64" s="82">
        <f>VLOOKUP(A64,'Data shares'!$C$2:$CX$215,100,0)</f>
        <v>-761875</v>
      </c>
      <c r="D64" s="141">
        <f>VLOOKUP(A64,'Data shares'!$C$2:$CY$538,101,0)</f>
        <v>-2.24E-2</v>
      </c>
      <c r="E64" s="86">
        <f>VLOOKUP($A64,'Data shares'!$C:$FA,74)</f>
        <v>15102500</v>
      </c>
      <c r="F64" s="86">
        <f>VLOOKUP($A64,'Data shares'!$C:$FA,76)</f>
        <v>140625</v>
      </c>
      <c r="G64" s="87">
        <f>VLOOKUP(A64,'Data shares'!$C$2:$CA$215,77,0)</f>
        <v>9.4000000000000004E-3</v>
      </c>
      <c r="H64" s="86">
        <f>VLOOKUP($A64,'Data shares'!$C:$FA,90)</f>
        <v>11327500</v>
      </c>
      <c r="I64" s="86">
        <f>VLOOKUP($A64,'Data shares'!$C:$FA,92)</f>
        <v>-430625</v>
      </c>
      <c r="J64" s="87">
        <f>VLOOKUP($A64,'Data shares'!$C:$FA,93)</f>
        <v>-3.6600000000000001E-2</v>
      </c>
      <c r="K64" s="86">
        <f>VLOOKUP($A64,'Data shares'!$C:$FA,94)</f>
        <v>6790000</v>
      </c>
      <c r="L64" s="86">
        <f>VLOOKUP($A64,'Data shares'!$C:$FA,96)</f>
        <v>-471875</v>
      </c>
      <c r="M64" s="87">
        <f>VLOOKUP($A64,'Data shares'!$C:$FA,97)</f>
        <v>-6.5000000000000002E-2</v>
      </c>
      <c r="N64" s="86">
        <f>VLOOKUP($A64,'Data shares'!$C:$FA,78)</f>
        <v>7557500</v>
      </c>
      <c r="O64" s="87">
        <f>VLOOKUP($A64,'Data shares'!$C:$FA,81)</f>
        <v>-0.35930000000000001</v>
      </c>
    </row>
    <row r="65" spans="1:15" x14ac:dyDescent="0.25">
      <c r="A65" s="100" t="str">
        <f>'Data Vlaue (Cr)'!C60</f>
        <v>EICHERMOT</v>
      </c>
      <c r="B65" s="82">
        <f>VLOOKUP(A65,'Data shares'!$C$2:$CV$215,98,0)</f>
        <v>5925600</v>
      </c>
      <c r="C65" s="82">
        <f>VLOOKUP(A65,'Data shares'!$C$2:$CX$215,100,0)</f>
        <v>102700</v>
      </c>
      <c r="D65" s="141">
        <f>VLOOKUP(A65,'Data shares'!$C$2:$CY$538,101,0)</f>
        <v>1.7600000000000001E-2</v>
      </c>
      <c r="E65" s="86">
        <f>VLOOKUP($A65,'Data shares'!$C:$FA,74)</f>
        <v>3046900</v>
      </c>
      <c r="F65" s="86">
        <f>VLOOKUP($A65,'Data shares'!$C:$FA,76)</f>
        <v>16400</v>
      </c>
      <c r="G65" s="87">
        <f>VLOOKUP(A65,'Data shares'!$C$2:$CA$215,77,0)</f>
        <v>5.4000000000000003E-3</v>
      </c>
      <c r="H65" s="86">
        <f>VLOOKUP($A65,'Data shares'!$C:$FA,90)</f>
        <v>1931100</v>
      </c>
      <c r="I65" s="86">
        <f>VLOOKUP($A65,'Data shares'!$C:$FA,92)</f>
        <v>82800</v>
      </c>
      <c r="J65" s="87">
        <f>VLOOKUP($A65,'Data shares'!$C:$FA,93)</f>
        <v>4.48E-2</v>
      </c>
      <c r="K65" s="86">
        <f>VLOOKUP($A65,'Data shares'!$C:$FA,94)</f>
        <v>947600</v>
      </c>
      <c r="L65" s="86">
        <f>VLOOKUP($A65,'Data shares'!$C:$FA,96)</f>
        <v>3500</v>
      </c>
      <c r="M65" s="87">
        <f>VLOOKUP($A65,'Data shares'!$C:$FA,97)</f>
        <v>3.7000000000000002E-3</v>
      </c>
      <c r="N65" s="86">
        <f>VLOOKUP($A65,'Data shares'!$C:$FA,78)</f>
        <v>1433000</v>
      </c>
      <c r="O65" s="87">
        <f>VLOOKUP($A65,'Data shares'!$C:$FA,81)</f>
        <v>-0.3629</v>
      </c>
    </row>
    <row r="66" spans="1:15" x14ac:dyDescent="0.25">
      <c r="A66" s="100" t="str">
        <f>'Data Vlaue (Cr)'!C61</f>
        <v>ETERNAL</v>
      </c>
      <c r="B66" s="82">
        <f>VLOOKUP(A66,'Data shares'!$C$2:$CV$215,98,0)</f>
        <v>514594700</v>
      </c>
      <c r="C66" s="82">
        <f>VLOOKUP(A66,'Data shares'!$C$2:$CX$215,100,0)</f>
        <v>1338600</v>
      </c>
      <c r="D66" s="141">
        <f>VLOOKUP(A66,'Data shares'!$C$2:$CY$538,101,0)</f>
        <v>2.5999999999999999E-3</v>
      </c>
      <c r="E66" s="86">
        <f>VLOOKUP($A66,'Data shares'!$C:$FA,74)</f>
        <v>344599775</v>
      </c>
      <c r="F66" s="86">
        <f>VLOOKUP($A66,'Data shares'!$C:$FA,76)</f>
        <v>12321425</v>
      </c>
      <c r="G66" s="87">
        <f>VLOOKUP(A66,'Data shares'!$C$2:$CA$215,77,0)</f>
        <v>3.7100000000000001E-2</v>
      </c>
      <c r="H66" s="86">
        <f>VLOOKUP($A66,'Data shares'!$C:$FA,90)</f>
        <v>109629400</v>
      </c>
      <c r="I66" s="86">
        <f>VLOOKUP($A66,'Data shares'!$C:$FA,92)</f>
        <v>7134350</v>
      </c>
      <c r="J66" s="87">
        <f>VLOOKUP($A66,'Data shares'!$C:$FA,93)</f>
        <v>6.9599999999999995E-2</v>
      </c>
      <c r="K66" s="86">
        <f>VLOOKUP($A66,'Data shares'!$C:$FA,94)</f>
        <v>60365525</v>
      </c>
      <c r="L66" s="86">
        <f>VLOOKUP($A66,'Data shares'!$C:$FA,96)</f>
        <v>-18117175</v>
      </c>
      <c r="M66" s="87">
        <f>VLOOKUP($A66,'Data shares'!$C:$FA,97)</f>
        <v>-0.23080000000000001</v>
      </c>
      <c r="N66" s="86">
        <f>VLOOKUP($A66,'Data shares'!$C:$FA,78)</f>
        <v>106675750</v>
      </c>
      <c r="O66" s="87">
        <f>VLOOKUP($A66,'Data shares'!$C:$FA,81)</f>
        <v>-0.46560000000000001</v>
      </c>
    </row>
    <row r="67" spans="1:15" x14ac:dyDescent="0.25">
      <c r="A67" s="100" t="str">
        <f>'Data Vlaue (Cr)'!C62</f>
        <v>EXIDEIND</v>
      </c>
      <c r="B67" s="82">
        <f>VLOOKUP(A67,'Data shares'!$C$2:$CV$215,98,0)</f>
        <v>63457200</v>
      </c>
      <c r="C67" s="82">
        <f>VLOOKUP(A67,'Data shares'!$C$2:$CX$215,100,0)</f>
        <v>-3799800</v>
      </c>
      <c r="D67" s="141">
        <f>VLOOKUP(A67,'Data shares'!$C$2:$CY$538,101,0)</f>
        <v>-5.6500000000000002E-2</v>
      </c>
      <c r="E67" s="86">
        <f>VLOOKUP($A67,'Data shares'!$C:$FA,74)</f>
        <v>32558400</v>
      </c>
      <c r="F67" s="86">
        <f>VLOOKUP($A67,'Data shares'!$C:$FA,76)</f>
        <v>-909000</v>
      </c>
      <c r="G67" s="87">
        <f>VLOOKUP(A67,'Data shares'!$C$2:$CA$215,77,0)</f>
        <v>-2.7199999999999998E-2</v>
      </c>
      <c r="H67" s="86">
        <f>VLOOKUP($A67,'Data shares'!$C:$FA,90)</f>
        <v>18842400</v>
      </c>
      <c r="I67" s="86">
        <f>VLOOKUP($A67,'Data shares'!$C:$FA,92)</f>
        <v>-2358000</v>
      </c>
      <c r="J67" s="87">
        <f>VLOOKUP($A67,'Data shares'!$C:$FA,93)</f>
        <v>-0.11119999999999999</v>
      </c>
      <c r="K67" s="86">
        <f>VLOOKUP($A67,'Data shares'!$C:$FA,94)</f>
        <v>12056400</v>
      </c>
      <c r="L67" s="86">
        <f>VLOOKUP($A67,'Data shares'!$C:$FA,96)</f>
        <v>-532800</v>
      </c>
      <c r="M67" s="87">
        <f>VLOOKUP($A67,'Data shares'!$C:$FA,97)</f>
        <v>-4.2299999999999997E-2</v>
      </c>
      <c r="N67" s="86">
        <f>VLOOKUP($A67,'Data shares'!$C:$FA,78)</f>
        <v>16774200</v>
      </c>
      <c r="O67" s="87">
        <f>VLOOKUP($A67,'Data shares'!$C:$FA,81)</f>
        <v>-0.27979999999999999</v>
      </c>
    </row>
    <row r="68" spans="1:15" x14ac:dyDescent="0.25">
      <c r="A68" s="100" t="str">
        <f>'Data Vlaue (Cr)'!C63</f>
        <v>FEDERALBNK</v>
      </c>
      <c r="B68" s="82">
        <f>VLOOKUP(A68,'Data shares'!$C$2:$CV$215,98,0)</f>
        <v>192005000</v>
      </c>
      <c r="C68" s="82">
        <f>VLOOKUP(A68,'Data shares'!$C$2:$CX$215,100,0)</f>
        <v>2340000</v>
      </c>
      <c r="D68" s="141">
        <f>VLOOKUP(A68,'Data shares'!$C$2:$CY$538,101,0)</f>
        <v>1.23E-2</v>
      </c>
      <c r="E68" s="86">
        <f>VLOOKUP($A68,'Data shares'!$C:$FA,74)</f>
        <v>67985000</v>
      </c>
      <c r="F68" s="86">
        <f>VLOOKUP($A68,'Data shares'!$C:$FA,76)</f>
        <v>4275000</v>
      </c>
      <c r="G68" s="87">
        <f>VLOOKUP(A68,'Data shares'!$C$2:$CA$215,77,0)</f>
        <v>6.7100000000000007E-2</v>
      </c>
      <c r="H68" s="86">
        <f>VLOOKUP($A68,'Data shares'!$C:$FA,90)</f>
        <v>58060000</v>
      </c>
      <c r="I68" s="86">
        <f>VLOOKUP($A68,'Data shares'!$C:$FA,92)</f>
        <v>-2235000</v>
      </c>
      <c r="J68" s="87">
        <f>VLOOKUP($A68,'Data shares'!$C:$FA,93)</f>
        <v>-3.7100000000000001E-2</v>
      </c>
      <c r="K68" s="86">
        <f>VLOOKUP($A68,'Data shares'!$C:$FA,94)</f>
        <v>65960000</v>
      </c>
      <c r="L68" s="86">
        <f>VLOOKUP($A68,'Data shares'!$C:$FA,96)</f>
        <v>300000</v>
      </c>
      <c r="M68" s="87">
        <f>VLOOKUP($A68,'Data shares'!$C:$FA,97)</f>
        <v>4.5999999999999999E-3</v>
      </c>
      <c r="N68" s="86">
        <f>VLOOKUP($A68,'Data shares'!$C:$FA,78)</f>
        <v>29975000</v>
      </c>
      <c r="O68" s="87">
        <f>VLOOKUP($A68,'Data shares'!$C:$FA,81)</f>
        <v>-0.25569999999999998</v>
      </c>
    </row>
    <row r="69" spans="1:15" x14ac:dyDescent="0.25">
      <c r="A69" s="100" t="str">
        <f>'Data Vlaue (Cr)'!C64</f>
        <v>FINNIFTY</v>
      </c>
      <c r="B69" s="82">
        <f>VLOOKUP(A69,'Data shares'!$C$2:$CV$215,98,0)</f>
        <v>2204940</v>
      </c>
      <c r="C69" s="82">
        <f>VLOOKUP(A69,'Data shares'!$C$2:$CX$215,100,0)</f>
        <v>-208440</v>
      </c>
      <c r="D69" s="141">
        <f>VLOOKUP(A69,'Data shares'!$C$2:$CY$538,101,0)</f>
        <v>-8.6400000000000005E-2</v>
      </c>
      <c r="E69" s="86">
        <f>VLOOKUP($A69,'Data shares'!$C:$FA,74)</f>
        <v>57000</v>
      </c>
      <c r="F69" s="86">
        <f>VLOOKUP($A69,'Data shares'!$C:$FA,76)</f>
        <v>1920</v>
      </c>
      <c r="G69" s="87">
        <f>VLOOKUP(A69,'Data shares'!$C$2:$CA$215,77,0)</f>
        <v>3.49E-2</v>
      </c>
      <c r="H69" s="86">
        <f>VLOOKUP($A69,'Data shares'!$C:$FA,90)</f>
        <v>1198020</v>
      </c>
      <c r="I69" s="86">
        <f>VLOOKUP($A69,'Data shares'!$C:$FA,92)</f>
        <v>-384480</v>
      </c>
      <c r="J69" s="87">
        <f>VLOOKUP($A69,'Data shares'!$C:$FA,93)</f>
        <v>-0.24299999999999999</v>
      </c>
      <c r="K69" s="86">
        <f>VLOOKUP($A69,'Data shares'!$C:$FA,94)</f>
        <v>949920</v>
      </c>
      <c r="L69" s="86">
        <f>VLOOKUP($A69,'Data shares'!$C:$FA,96)</f>
        <v>174120</v>
      </c>
      <c r="M69" s="87">
        <f>VLOOKUP($A69,'Data shares'!$C:$FA,97)</f>
        <v>0.22439999999999999</v>
      </c>
      <c r="N69" s="86">
        <f>VLOOKUP($A69,'Data shares'!$C:$FA,78)</f>
        <v>48120</v>
      </c>
      <c r="O69" s="87">
        <f>VLOOKUP($A69,'Data shares'!$C:$FA,81)</f>
        <v>2.5000000000000001E-3</v>
      </c>
    </row>
    <row r="70" spans="1:15" x14ac:dyDescent="0.25">
      <c r="A70" s="100" t="str">
        <f>'Data Vlaue (Cr)'!C65</f>
        <v>FORTIS</v>
      </c>
      <c r="B70" s="82">
        <f>VLOOKUP(A70,'Data shares'!$C$2:$CV$215,98,0)</f>
        <v>20094200</v>
      </c>
      <c r="C70" s="82">
        <f>VLOOKUP(A70,'Data shares'!$C$2:$CX$215,100,0)</f>
        <v>1943700</v>
      </c>
      <c r="D70" s="141">
        <f>VLOOKUP(A70,'Data shares'!$C$2:$CY$538,101,0)</f>
        <v>0.1071</v>
      </c>
      <c r="E70" s="86">
        <f>VLOOKUP($A70,'Data shares'!$C:$FA,74)</f>
        <v>12706125</v>
      </c>
      <c r="F70" s="86">
        <f>VLOOKUP($A70,'Data shares'!$C:$FA,76)</f>
        <v>1171800</v>
      </c>
      <c r="G70" s="87">
        <f>VLOOKUP(A70,'Data shares'!$C$2:$CA$215,77,0)</f>
        <v>0.1016</v>
      </c>
      <c r="H70" s="86">
        <f>VLOOKUP($A70,'Data shares'!$C:$FA,90)</f>
        <v>4424475</v>
      </c>
      <c r="I70" s="86">
        <f>VLOOKUP($A70,'Data shares'!$C:$FA,92)</f>
        <v>494450</v>
      </c>
      <c r="J70" s="87">
        <f>VLOOKUP($A70,'Data shares'!$C:$FA,93)</f>
        <v>0.1258</v>
      </c>
      <c r="K70" s="86">
        <f>VLOOKUP($A70,'Data shares'!$C:$FA,94)</f>
        <v>2963600</v>
      </c>
      <c r="L70" s="86">
        <f>VLOOKUP($A70,'Data shares'!$C:$FA,96)</f>
        <v>277450</v>
      </c>
      <c r="M70" s="87">
        <f>VLOOKUP($A70,'Data shares'!$C:$FA,97)</f>
        <v>0.1033</v>
      </c>
      <c r="N70" s="86">
        <f>VLOOKUP($A70,'Data shares'!$C:$FA,78)</f>
        <v>5107250</v>
      </c>
      <c r="O70" s="87">
        <f>VLOOKUP($A70,'Data shares'!$C:$FA,81)</f>
        <v>-0.4168</v>
      </c>
    </row>
    <row r="71" spans="1:15" x14ac:dyDescent="0.25">
      <c r="A71" s="100" t="str">
        <f>'Data Vlaue (Cr)'!C66</f>
        <v>GAIL</v>
      </c>
      <c r="B71" s="82">
        <f>VLOOKUP(A71,'Data shares'!$C$2:$CV$215,98,0)</f>
        <v>169397550</v>
      </c>
      <c r="C71" s="82">
        <f>VLOOKUP(A71,'Data shares'!$C$2:$CX$215,100,0)</f>
        <v>-5377050</v>
      </c>
      <c r="D71" s="141">
        <f>VLOOKUP(A71,'Data shares'!$C$2:$CY$538,101,0)</f>
        <v>-3.0800000000000001E-2</v>
      </c>
      <c r="E71" s="86">
        <f>VLOOKUP($A71,'Data shares'!$C:$FA,74)</f>
        <v>92767500</v>
      </c>
      <c r="F71" s="86">
        <f>VLOOKUP($A71,'Data shares'!$C:$FA,76)</f>
        <v>-4542300</v>
      </c>
      <c r="G71" s="87">
        <f>VLOOKUP(A71,'Data shares'!$C$2:$CA$215,77,0)</f>
        <v>-4.6699999999999998E-2</v>
      </c>
      <c r="H71" s="86">
        <f>VLOOKUP($A71,'Data shares'!$C:$FA,90)</f>
        <v>42077700</v>
      </c>
      <c r="I71" s="86">
        <f>VLOOKUP($A71,'Data shares'!$C:$FA,92)</f>
        <v>-837900</v>
      </c>
      <c r="J71" s="87">
        <f>VLOOKUP($A71,'Data shares'!$C:$FA,93)</f>
        <v>-1.95E-2</v>
      </c>
      <c r="K71" s="86">
        <f>VLOOKUP($A71,'Data shares'!$C:$FA,94)</f>
        <v>34552350</v>
      </c>
      <c r="L71" s="86">
        <f>VLOOKUP($A71,'Data shares'!$C:$FA,96)</f>
        <v>3150</v>
      </c>
      <c r="M71" s="87">
        <f>VLOOKUP($A71,'Data shares'!$C:$FA,97)</f>
        <v>1E-4</v>
      </c>
      <c r="N71" s="86">
        <f>VLOOKUP($A71,'Data shares'!$C:$FA,78)</f>
        <v>49804650</v>
      </c>
      <c r="O71" s="87">
        <f>VLOOKUP($A71,'Data shares'!$C:$FA,81)</f>
        <v>-0.30170000000000002</v>
      </c>
    </row>
    <row r="72" spans="1:15" x14ac:dyDescent="0.25">
      <c r="A72" s="100" t="str">
        <f>'Data Vlaue (Cr)'!C67</f>
        <v>GLENMARK</v>
      </c>
      <c r="B72" s="82">
        <f>VLOOKUP(A72,'Data shares'!$C$2:$CV$215,98,0)</f>
        <v>16743000</v>
      </c>
      <c r="C72" s="82">
        <f>VLOOKUP(A72,'Data shares'!$C$2:$CX$215,100,0)</f>
        <v>-720375</v>
      </c>
      <c r="D72" s="141">
        <f>VLOOKUP(A72,'Data shares'!$C$2:$CY$538,101,0)</f>
        <v>-4.1300000000000003E-2</v>
      </c>
      <c r="E72" s="86">
        <f>VLOOKUP($A72,'Data shares'!$C:$FA,74)</f>
        <v>11172375</v>
      </c>
      <c r="F72" s="86">
        <f>VLOOKUP($A72,'Data shares'!$C:$FA,76)</f>
        <v>-276000</v>
      </c>
      <c r="G72" s="87">
        <f>VLOOKUP(A72,'Data shares'!$C$2:$CA$215,77,0)</f>
        <v>-2.41E-2</v>
      </c>
      <c r="H72" s="86">
        <f>VLOOKUP($A72,'Data shares'!$C:$FA,90)</f>
        <v>3588375</v>
      </c>
      <c r="I72" s="86">
        <f>VLOOKUP($A72,'Data shares'!$C:$FA,92)</f>
        <v>-292875</v>
      </c>
      <c r="J72" s="87">
        <f>VLOOKUP($A72,'Data shares'!$C:$FA,93)</f>
        <v>-7.5499999999999998E-2</v>
      </c>
      <c r="K72" s="86">
        <f>VLOOKUP($A72,'Data shares'!$C:$FA,94)</f>
        <v>1982250</v>
      </c>
      <c r="L72" s="86">
        <f>VLOOKUP($A72,'Data shares'!$C:$FA,96)</f>
        <v>-151500</v>
      </c>
      <c r="M72" s="87">
        <f>VLOOKUP($A72,'Data shares'!$C:$FA,97)</f>
        <v>-7.0999999999999994E-2</v>
      </c>
      <c r="N72" s="86">
        <f>VLOOKUP($A72,'Data shares'!$C:$FA,78)</f>
        <v>5589000</v>
      </c>
      <c r="O72" s="87">
        <f>VLOOKUP($A72,'Data shares'!$C:$FA,81)</f>
        <v>-0.33310000000000001</v>
      </c>
    </row>
    <row r="73" spans="1:15" x14ac:dyDescent="0.25">
      <c r="A73" s="100" t="str">
        <f>'Data Vlaue (Cr)'!C68</f>
        <v>GMRAIRPORT</v>
      </c>
      <c r="B73" s="82">
        <f>VLOOKUP(A73,'Data shares'!$C$2:$CV$215,98,0)</f>
        <v>360851625</v>
      </c>
      <c r="C73" s="82">
        <f>VLOOKUP(A73,'Data shares'!$C$2:$CX$215,100,0)</f>
        <v>-5245200</v>
      </c>
      <c r="D73" s="141">
        <f>VLOOKUP(A73,'Data shares'!$C$2:$CY$538,101,0)</f>
        <v>-1.43E-2</v>
      </c>
      <c r="E73" s="86">
        <f>VLOOKUP($A73,'Data shares'!$C:$FA,74)</f>
        <v>181803375</v>
      </c>
      <c r="F73" s="86">
        <f>VLOOKUP($A73,'Data shares'!$C:$FA,76)</f>
        <v>983475</v>
      </c>
      <c r="G73" s="87">
        <f>VLOOKUP(A73,'Data shares'!$C$2:$CA$215,77,0)</f>
        <v>5.4000000000000003E-3</v>
      </c>
      <c r="H73" s="86">
        <f>VLOOKUP($A73,'Data shares'!$C:$FA,90)</f>
        <v>117103275</v>
      </c>
      <c r="I73" s="86">
        <f>VLOOKUP($A73,'Data shares'!$C:$FA,92)</f>
        <v>-7812000</v>
      </c>
      <c r="J73" s="87">
        <f>VLOOKUP($A73,'Data shares'!$C:$FA,93)</f>
        <v>-6.25E-2</v>
      </c>
      <c r="K73" s="86">
        <f>VLOOKUP($A73,'Data shares'!$C:$FA,94)</f>
        <v>61944975</v>
      </c>
      <c r="L73" s="86">
        <f>VLOOKUP($A73,'Data shares'!$C:$FA,96)</f>
        <v>1583325</v>
      </c>
      <c r="M73" s="87">
        <f>VLOOKUP($A73,'Data shares'!$C:$FA,97)</f>
        <v>2.6200000000000001E-2</v>
      </c>
      <c r="N73" s="86">
        <f>VLOOKUP($A73,'Data shares'!$C:$FA,78)</f>
        <v>102553425</v>
      </c>
      <c r="O73" s="87">
        <f>VLOOKUP($A73,'Data shares'!$C:$FA,81)</f>
        <v>-0.2351</v>
      </c>
    </row>
    <row r="74" spans="1:15" x14ac:dyDescent="0.25">
      <c r="A74" s="100" t="str">
        <f>'Data Vlaue (Cr)'!C69</f>
        <v>GODREJCP</v>
      </c>
      <c r="B74" s="82">
        <f>VLOOKUP(A74,'Data shares'!$C$2:$CV$215,98,0)</f>
        <v>11969500</v>
      </c>
      <c r="C74" s="82">
        <f>VLOOKUP(A74,'Data shares'!$C$2:$CX$215,100,0)</f>
        <v>-335000</v>
      </c>
      <c r="D74" s="141">
        <f>VLOOKUP(A74,'Data shares'!$C$2:$CY$538,101,0)</f>
        <v>-2.7199999999999998E-2</v>
      </c>
      <c r="E74" s="86">
        <f>VLOOKUP($A74,'Data shares'!$C:$FA,74)</f>
        <v>8809000</v>
      </c>
      <c r="F74" s="86">
        <f>VLOOKUP($A74,'Data shares'!$C:$FA,76)</f>
        <v>78500</v>
      </c>
      <c r="G74" s="87">
        <f>VLOOKUP(A74,'Data shares'!$C$2:$CA$215,77,0)</f>
        <v>8.9999999999999993E-3</v>
      </c>
      <c r="H74" s="86">
        <f>VLOOKUP($A74,'Data shares'!$C:$FA,90)</f>
        <v>1881500</v>
      </c>
      <c r="I74" s="86">
        <f>VLOOKUP($A74,'Data shares'!$C:$FA,92)</f>
        <v>-312000</v>
      </c>
      <c r="J74" s="87">
        <f>VLOOKUP($A74,'Data shares'!$C:$FA,93)</f>
        <v>-0.14219999999999999</v>
      </c>
      <c r="K74" s="86">
        <f>VLOOKUP($A74,'Data shares'!$C:$FA,94)</f>
        <v>1279000</v>
      </c>
      <c r="L74" s="86">
        <f>VLOOKUP($A74,'Data shares'!$C:$FA,96)</f>
        <v>-101500</v>
      </c>
      <c r="M74" s="87">
        <f>VLOOKUP($A74,'Data shares'!$C:$FA,97)</f>
        <v>-7.3499999999999996E-2</v>
      </c>
      <c r="N74" s="86">
        <f>VLOOKUP($A74,'Data shares'!$C:$FA,78)</f>
        <v>3515000</v>
      </c>
      <c r="O74" s="87">
        <f>VLOOKUP($A74,'Data shares'!$C:$FA,81)</f>
        <v>-0.46970000000000001</v>
      </c>
    </row>
    <row r="75" spans="1:15" x14ac:dyDescent="0.25">
      <c r="A75" s="100" t="str">
        <f>'Data Vlaue (Cr)'!C70</f>
        <v>GODREJPROP</v>
      </c>
      <c r="B75" s="82">
        <f>VLOOKUP(A75,'Data shares'!$C$2:$CV$215,98,0)</f>
        <v>23287275</v>
      </c>
      <c r="C75" s="82">
        <f>VLOOKUP(A75,'Data shares'!$C$2:$CX$215,100,0)</f>
        <v>456500</v>
      </c>
      <c r="D75" s="141">
        <f>VLOOKUP(A75,'Data shares'!$C$2:$CY$538,101,0)</f>
        <v>0.02</v>
      </c>
      <c r="E75" s="86">
        <f>VLOOKUP($A75,'Data shares'!$C:$FA,74)</f>
        <v>11694925</v>
      </c>
      <c r="F75" s="86">
        <f>VLOOKUP($A75,'Data shares'!$C:$FA,76)</f>
        <v>370975</v>
      </c>
      <c r="G75" s="87">
        <f>VLOOKUP(A75,'Data shares'!$C$2:$CA$215,77,0)</f>
        <v>3.2800000000000003E-2</v>
      </c>
      <c r="H75" s="86">
        <f>VLOOKUP($A75,'Data shares'!$C:$FA,90)</f>
        <v>7253400</v>
      </c>
      <c r="I75" s="86">
        <f>VLOOKUP($A75,'Data shares'!$C:$FA,92)</f>
        <v>5775</v>
      </c>
      <c r="J75" s="87">
        <f>VLOOKUP($A75,'Data shares'!$C:$FA,93)</f>
        <v>8.0000000000000004E-4</v>
      </c>
      <c r="K75" s="86">
        <f>VLOOKUP($A75,'Data shares'!$C:$FA,94)</f>
        <v>4338950</v>
      </c>
      <c r="L75" s="86">
        <f>VLOOKUP($A75,'Data shares'!$C:$FA,96)</f>
        <v>79750</v>
      </c>
      <c r="M75" s="87">
        <f>VLOOKUP($A75,'Data shares'!$C:$FA,97)</f>
        <v>1.8700000000000001E-2</v>
      </c>
      <c r="N75" s="86">
        <f>VLOOKUP($A75,'Data shares'!$C:$FA,78)</f>
        <v>4653275</v>
      </c>
      <c r="O75" s="87">
        <f>VLOOKUP($A75,'Data shares'!$C:$FA,81)</f>
        <v>-0.3795</v>
      </c>
    </row>
    <row r="76" spans="1:15" x14ac:dyDescent="0.25">
      <c r="A76" s="100" t="str">
        <f>'Data Vlaue (Cr)'!C71</f>
        <v>GRASIM</v>
      </c>
      <c r="B76" s="82">
        <f>VLOOKUP(A76,'Data shares'!$C$2:$CV$215,98,0)</f>
        <v>19878500</v>
      </c>
      <c r="C76" s="82">
        <f>VLOOKUP(A76,'Data shares'!$C$2:$CX$215,100,0)</f>
        <v>-289000</v>
      </c>
      <c r="D76" s="141">
        <f>VLOOKUP(A76,'Data shares'!$C$2:$CY$538,101,0)</f>
        <v>-1.43E-2</v>
      </c>
      <c r="E76" s="86">
        <f>VLOOKUP($A76,'Data shares'!$C:$FA,74)</f>
        <v>16800250</v>
      </c>
      <c r="F76" s="86">
        <f>VLOOKUP($A76,'Data shares'!$C:$FA,76)</f>
        <v>-102250</v>
      </c>
      <c r="G76" s="87">
        <f>VLOOKUP(A76,'Data shares'!$C$2:$CA$215,77,0)</f>
        <v>-6.0000000000000001E-3</v>
      </c>
      <c r="H76" s="86">
        <f>VLOOKUP($A76,'Data shares'!$C:$FA,90)</f>
        <v>1528000</v>
      </c>
      <c r="I76" s="86">
        <f>VLOOKUP($A76,'Data shares'!$C:$FA,92)</f>
        <v>-130000</v>
      </c>
      <c r="J76" s="87">
        <f>VLOOKUP($A76,'Data shares'!$C:$FA,93)</f>
        <v>-7.8399999999999997E-2</v>
      </c>
      <c r="K76" s="86">
        <f>VLOOKUP($A76,'Data shares'!$C:$FA,94)</f>
        <v>1550250</v>
      </c>
      <c r="L76" s="86">
        <f>VLOOKUP($A76,'Data shares'!$C:$FA,96)</f>
        <v>-56750</v>
      </c>
      <c r="M76" s="87">
        <f>VLOOKUP($A76,'Data shares'!$C:$FA,97)</f>
        <v>-3.5299999999999998E-2</v>
      </c>
      <c r="N76" s="86">
        <f>VLOOKUP($A76,'Data shares'!$C:$FA,78)</f>
        <v>5055750</v>
      </c>
      <c r="O76" s="87">
        <f>VLOOKUP($A76,'Data shares'!$C:$FA,81)</f>
        <v>-0.51039999999999996</v>
      </c>
    </row>
    <row r="77" spans="1:15" x14ac:dyDescent="0.25">
      <c r="A77" s="100" t="str">
        <f>'Data Vlaue (Cr)'!C72</f>
        <v>HAL</v>
      </c>
      <c r="B77" s="82">
        <f>VLOOKUP(A77,'Data shares'!$C$2:$CV$215,98,0)</f>
        <v>18452100</v>
      </c>
      <c r="C77" s="82">
        <f>VLOOKUP(A77,'Data shares'!$C$2:$CX$215,100,0)</f>
        <v>-744900</v>
      </c>
      <c r="D77" s="141">
        <f>VLOOKUP(A77,'Data shares'!$C$2:$CY$538,101,0)</f>
        <v>-3.8800000000000001E-2</v>
      </c>
      <c r="E77" s="86">
        <f>VLOOKUP($A77,'Data shares'!$C:$FA,74)</f>
        <v>9230400</v>
      </c>
      <c r="F77" s="86">
        <f>VLOOKUP($A77,'Data shares'!$C:$FA,76)</f>
        <v>-136950</v>
      </c>
      <c r="G77" s="87">
        <f>VLOOKUP(A77,'Data shares'!$C$2:$CA$215,77,0)</f>
        <v>-1.46E-2</v>
      </c>
      <c r="H77" s="86">
        <f>VLOOKUP($A77,'Data shares'!$C:$FA,90)</f>
        <v>5795550</v>
      </c>
      <c r="I77" s="86">
        <f>VLOOKUP($A77,'Data shares'!$C:$FA,92)</f>
        <v>-612900</v>
      </c>
      <c r="J77" s="87">
        <f>VLOOKUP($A77,'Data shares'!$C:$FA,93)</f>
        <v>-9.5600000000000004E-2</v>
      </c>
      <c r="K77" s="86">
        <f>VLOOKUP($A77,'Data shares'!$C:$FA,94)</f>
        <v>3426150</v>
      </c>
      <c r="L77" s="86">
        <f>VLOOKUP($A77,'Data shares'!$C:$FA,96)</f>
        <v>4950</v>
      </c>
      <c r="M77" s="87">
        <f>VLOOKUP($A77,'Data shares'!$C:$FA,97)</f>
        <v>1.4E-3</v>
      </c>
      <c r="N77" s="86">
        <f>VLOOKUP($A77,'Data shares'!$C:$FA,78)</f>
        <v>4584450</v>
      </c>
      <c r="O77" s="87">
        <f>VLOOKUP($A77,'Data shares'!$C:$FA,81)</f>
        <v>-0.2641</v>
      </c>
    </row>
    <row r="78" spans="1:15" x14ac:dyDescent="0.25">
      <c r="A78" s="100" t="str">
        <f>'Data Vlaue (Cr)'!C73</f>
        <v>HAVELLS</v>
      </c>
      <c r="B78" s="82">
        <f>VLOOKUP(A78,'Data shares'!$C$2:$CV$215,98,0)</f>
        <v>23037000</v>
      </c>
      <c r="C78" s="82">
        <f>VLOOKUP(A78,'Data shares'!$C$2:$CX$215,100,0)</f>
        <v>-1112500</v>
      </c>
      <c r="D78" s="141">
        <f>VLOOKUP(A78,'Data shares'!$C$2:$CY$538,101,0)</f>
        <v>-4.6100000000000002E-2</v>
      </c>
      <c r="E78" s="86">
        <f>VLOOKUP($A78,'Data shares'!$C:$FA,74)</f>
        <v>10641000</v>
      </c>
      <c r="F78" s="86">
        <f>VLOOKUP($A78,'Data shares'!$C:$FA,76)</f>
        <v>-271500</v>
      </c>
      <c r="G78" s="87">
        <f>VLOOKUP(A78,'Data shares'!$C$2:$CA$215,77,0)</f>
        <v>-2.4899999999999999E-2</v>
      </c>
      <c r="H78" s="86">
        <f>VLOOKUP($A78,'Data shares'!$C:$FA,90)</f>
        <v>7679000</v>
      </c>
      <c r="I78" s="86">
        <f>VLOOKUP($A78,'Data shares'!$C:$FA,92)</f>
        <v>-691500</v>
      </c>
      <c r="J78" s="87">
        <f>VLOOKUP($A78,'Data shares'!$C:$FA,93)</f>
        <v>-8.2600000000000007E-2</v>
      </c>
      <c r="K78" s="86">
        <f>VLOOKUP($A78,'Data shares'!$C:$FA,94)</f>
        <v>4717000</v>
      </c>
      <c r="L78" s="86">
        <f>VLOOKUP($A78,'Data shares'!$C:$FA,96)</f>
        <v>-149500</v>
      </c>
      <c r="M78" s="87">
        <f>VLOOKUP($A78,'Data shares'!$C:$FA,97)</f>
        <v>-3.0700000000000002E-2</v>
      </c>
      <c r="N78" s="86">
        <f>VLOOKUP($A78,'Data shares'!$C:$FA,78)</f>
        <v>4971000</v>
      </c>
      <c r="O78" s="87">
        <f>VLOOKUP($A78,'Data shares'!$C:$FA,81)</f>
        <v>-0.37440000000000001</v>
      </c>
    </row>
    <row r="79" spans="1:15" x14ac:dyDescent="0.25">
      <c r="A79" s="100" t="str">
        <f>'Data Vlaue (Cr)'!C74</f>
        <v>HCLTECH</v>
      </c>
      <c r="B79" s="82">
        <f>VLOOKUP(A79,'Data shares'!$C$2:$CV$215,98,0)</f>
        <v>30254700</v>
      </c>
      <c r="C79" s="82">
        <f>VLOOKUP(A79,'Data shares'!$C$2:$CX$215,100,0)</f>
        <v>-29750</v>
      </c>
      <c r="D79" s="141">
        <f>VLOOKUP(A79,'Data shares'!$C$2:$CY$538,101,0)</f>
        <v>-1E-3</v>
      </c>
      <c r="E79" s="86">
        <f>VLOOKUP($A79,'Data shares'!$C:$FA,74)</f>
        <v>17749200</v>
      </c>
      <c r="F79" s="86">
        <f>VLOOKUP($A79,'Data shares'!$C:$FA,76)</f>
        <v>400750</v>
      </c>
      <c r="G79" s="87">
        <f>VLOOKUP(A79,'Data shares'!$C$2:$CA$215,77,0)</f>
        <v>2.3099999999999999E-2</v>
      </c>
      <c r="H79" s="86">
        <f>VLOOKUP($A79,'Data shares'!$C:$FA,90)</f>
        <v>7841050</v>
      </c>
      <c r="I79" s="86">
        <f>VLOOKUP($A79,'Data shares'!$C:$FA,92)</f>
        <v>-404600</v>
      </c>
      <c r="J79" s="87">
        <f>VLOOKUP($A79,'Data shares'!$C:$FA,93)</f>
        <v>-4.9099999999999998E-2</v>
      </c>
      <c r="K79" s="86">
        <f>VLOOKUP($A79,'Data shares'!$C:$FA,94)</f>
        <v>4664450</v>
      </c>
      <c r="L79" s="86">
        <f>VLOOKUP($A79,'Data shares'!$C:$FA,96)</f>
        <v>-25900</v>
      </c>
      <c r="M79" s="87">
        <f>VLOOKUP($A79,'Data shares'!$C:$FA,97)</f>
        <v>-5.4999999999999997E-3</v>
      </c>
      <c r="N79" s="86">
        <f>VLOOKUP($A79,'Data shares'!$C:$FA,78)</f>
        <v>6685700</v>
      </c>
      <c r="O79" s="87">
        <f>VLOOKUP($A79,'Data shares'!$C:$FA,81)</f>
        <v>-0.41589999999999999</v>
      </c>
    </row>
    <row r="80" spans="1:15" x14ac:dyDescent="0.25">
      <c r="A80" s="100" t="str">
        <f>'Data Vlaue (Cr)'!C75</f>
        <v>HDFCAMC</v>
      </c>
      <c r="B80" s="82">
        <f>VLOOKUP(A80,'Data shares'!$C$2:$CV$215,98,0)</f>
        <v>12630000</v>
      </c>
      <c r="C80" s="82">
        <f>VLOOKUP(A80,'Data shares'!$C$2:$CX$215,100,0)</f>
        <v>-598500</v>
      </c>
      <c r="D80" s="141">
        <f>VLOOKUP(A80,'Data shares'!$C$2:$CY$538,101,0)</f>
        <v>-4.5199999999999997E-2</v>
      </c>
      <c r="E80" s="86">
        <f>VLOOKUP($A80,'Data shares'!$C:$FA,74)</f>
        <v>7771800</v>
      </c>
      <c r="F80" s="86">
        <f>VLOOKUP($A80,'Data shares'!$C:$FA,76)</f>
        <v>-184800</v>
      </c>
      <c r="G80" s="87">
        <f>VLOOKUP(A80,'Data shares'!$C$2:$CA$215,77,0)</f>
        <v>-2.3199999999999998E-2</v>
      </c>
      <c r="H80" s="86">
        <f>VLOOKUP($A80,'Data shares'!$C:$FA,90)</f>
        <v>3314400</v>
      </c>
      <c r="I80" s="86">
        <f>VLOOKUP($A80,'Data shares'!$C:$FA,92)</f>
        <v>-317100</v>
      </c>
      <c r="J80" s="87">
        <f>VLOOKUP($A80,'Data shares'!$C:$FA,93)</f>
        <v>-8.7300000000000003E-2</v>
      </c>
      <c r="K80" s="86">
        <f>VLOOKUP($A80,'Data shares'!$C:$FA,94)</f>
        <v>1543800</v>
      </c>
      <c r="L80" s="86">
        <f>VLOOKUP($A80,'Data shares'!$C:$FA,96)</f>
        <v>-96600</v>
      </c>
      <c r="M80" s="87">
        <f>VLOOKUP($A80,'Data shares'!$C:$FA,97)</f>
        <v>-5.8900000000000001E-2</v>
      </c>
      <c r="N80" s="86">
        <f>VLOOKUP($A80,'Data shares'!$C:$FA,78)</f>
        <v>3458400</v>
      </c>
      <c r="O80" s="87">
        <f>VLOOKUP($A80,'Data shares'!$C:$FA,81)</f>
        <v>-0.41749999999999998</v>
      </c>
    </row>
    <row r="81" spans="1:15" x14ac:dyDescent="0.25">
      <c r="A81" s="100" t="str">
        <f>'Data Vlaue (Cr)'!C76</f>
        <v>HDFCBANK</v>
      </c>
      <c r="B81" s="82">
        <f>VLOOKUP(A81,'Data shares'!$C$2:$CV$215,98,0)</f>
        <v>408159400</v>
      </c>
      <c r="C81" s="82">
        <f>VLOOKUP(A81,'Data shares'!$C$2:$CX$215,100,0)</f>
        <v>8377050</v>
      </c>
      <c r="D81" s="141">
        <f>VLOOKUP(A81,'Data shares'!$C$2:$CY$538,101,0)</f>
        <v>2.1000000000000001E-2</v>
      </c>
      <c r="E81" s="86">
        <f>VLOOKUP($A81,'Data shares'!$C:$FA,74)</f>
        <v>266649350</v>
      </c>
      <c r="F81" s="86">
        <f>VLOOKUP($A81,'Data shares'!$C:$FA,76)</f>
        <v>12480600</v>
      </c>
      <c r="G81" s="87">
        <f>VLOOKUP(A81,'Data shares'!$C$2:$CA$215,77,0)</f>
        <v>4.9099999999999998E-2</v>
      </c>
      <c r="H81" s="86">
        <f>VLOOKUP($A81,'Data shares'!$C:$FA,90)</f>
        <v>95184100</v>
      </c>
      <c r="I81" s="86">
        <f>VLOOKUP($A81,'Data shares'!$C:$FA,92)</f>
        <v>-3293950</v>
      </c>
      <c r="J81" s="87">
        <f>VLOOKUP($A81,'Data shares'!$C:$FA,93)</f>
        <v>-3.3399999999999999E-2</v>
      </c>
      <c r="K81" s="86">
        <f>VLOOKUP($A81,'Data shares'!$C:$FA,94)</f>
        <v>46325950</v>
      </c>
      <c r="L81" s="86">
        <f>VLOOKUP($A81,'Data shares'!$C:$FA,96)</f>
        <v>-809600</v>
      </c>
      <c r="M81" s="87">
        <f>VLOOKUP($A81,'Data shares'!$C:$FA,97)</f>
        <v>-1.72E-2</v>
      </c>
      <c r="N81" s="86">
        <f>VLOOKUP($A81,'Data shares'!$C:$FA,78)</f>
        <v>105827700</v>
      </c>
      <c r="O81" s="87">
        <f>VLOOKUP($A81,'Data shares'!$C:$FA,81)</f>
        <v>-0.29089999999999999</v>
      </c>
    </row>
    <row r="82" spans="1:15" x14ac:dyDescent="0.25">
      <c r="A82" s="100" t="str">
        <f>'Data Vlaue (Cr)'!C77</f>
        <v>HDFCLIFE</v>
      </c>
      <c r="B82" s="82">
        <f>VLOOKUP(A82,'Data shares'!$C$2:$CV$215,98,0)</f>
        <v>61250200</v>
      </c>
      <c r="C82" s="82">
        <f>VLOOKUP(A82,'Data shares'!$C$2:$CX$215,100,0)</f>
        <v>95700</v>
      </c>
      <c r="D82" s="141">
        <f>VLOOKUP(A82,'Data shares'!$C$2:$CY$538,101,0)</f>
        <v>1.6000000000000001E-3</v>
      </c>
      <c r="E82" s="86">
        <f>VLOOKUP($A82,'Data shares'!$C:$FA,74)</f>
        <v>39074200</v>
      </c>
      <c r="F82" s="86">
        <f>VLOOKUP($A82,'Data shares'!$C:$FA,76)</f>
        <v>104500</v>
      </c>
      <c r="G82" s="87">
        <f>VLOOKUP(A82,'Data shares'!$C$2:$CA$215,77,0)</f>
        <v>2.7000000000000001E-3</v>
      </c>
      <c r="H82" s="86">
        <f>VLOOKUP($A82,'Data shares'!$C:$FA,90)</f>
        <v>15304300</v>
      </c>
      <c r="I82" s="86">
        <f>VLOOKUP($A82,'Data shares'!$C:$FA,92)</f>
        <v>262900</v>
      </c>
      <c r="J82" s="87">
        <f>VLOOKUP($A82,'Data shares'!$C:$FA,93)</f>
        <v>1.7500000000000002E-2</v>
      </c>
      <c r="K82" s="86">
        <f>VLOOKUP($A82,'Data shares'!$C:$FA,94)</f>
        <v>6871700</v>
      </c>
      <c r="L82" s="86">
        <f>VLOOKUP($A82,'Data shares'!$C:$FA,96)</f>
        <v>-271700</v>
      </c>
      <c r="M82" s="87">
        <f>VLOOKUP($A82,'Data shares'!$C:$FA,97)</f>
        <v>-3.7999999999999999E-2</v>
      </c>
      <c r="N82" s="86">
        <f>VLOOKUP($A82,'Data shares'!$C:$FA,78)</f>
        <v>16253600</v>
      </c>
      <c r="O82" s="87">
        <f>VLOOKUP($A82,'Data shares'!$C:$FA,81)</f>
        <v>-0.40229999999999999</v>
      </c>
    </row>
    <row r="83" spans="1:15" x14ac:dyDescent="0.25">
      <c r="A83" s="100" t="str">
        <f>'Data Vlaue (Cr)'!C78</f>
        <v>HEROMOTOCO</v>
      </c>
      <c r="B83" s="82">
        <f>VLOOKUP(A83,'Data shares'!$C$2:$CV$215,98,0)</f>
        <v>9807000</v>
      </c>
      <c r="C83" s="82">
        <f>VLOOKUP(A83,'Data shares'!$C$2:$CX$215,100,0)</f>
        <v>-382500</v>
      </c>
      <c r="D83" s="141">
        <f>VLOOKUP(A83,'Data shares'!$C$2:$CY$538,101,0)</f>
        <v>-3.7499999999999999E-2</v>
      </c>
      <c r="E83" s="86">
        <f>VLOOKUP($A83,'Data shares'!$C:$FA,74)</f>
        <v>4800600</v>
      </c>
      <c r="F83" s="86">
        <f>VLOOKUP($A83,'Data shares'!$C:$FA,76)</f>
        <v>-154200</v>
      </c>
      <c r="G83" s="87">
        <f>VLOOKUP(A83,'Data shares'!$C$2:$CA$215,77,0)</f>
        <v>-3.1099999999999999E-2</v>
      </c>
      <c r="H83" s="86">
        <f>VLOOKUP($A83,'Data shares'!$C:$FA,90)</f>
        <v>3389850</v>
      </c>
      <c r="I83" s="86">
        <f>VLOOKUP($A83,'Data shares'!$C:$FA,92)</f>
        <v>-187200</v>
      </c>
      <c r="J83" s="87">
        <f>VLOOKUP($A83,'Data shares'!$C:$FA,93)</f>
        <v>-5.2299999999999999E-2</v>
      </c>
      <c r="K83" s="86">
        <f>VLOOKUP($A83,'Data shares'!$C:$FA,94)</f>
        <v>1616550</v>
      </c>
      <c r="L83" s="86">
        <f>VLOOKUP($A83,'Data shares'!$C:$FA,96)</f>
        <v>-41100</v>
      </c>
      <c r="M83" s="87">
        <f>VLOOKUP($A83,'Data shares'!$C:$FA,97)</f>
        <v>-2.4799999999999999E-2</v>
      </c>
      <c r="N83" s="86">
        <f>VLOOKUP($A83,'Data shares'!$C:$FA,78)</f>
        <v>2295450</v>
      </c>
      <c r="O83" s="87">
        <f>VLOOKUP($A83,'Data shares'!$C:$FA,81)</f>
        <v>-0.36709999999999998</v>
      </c>
    </row>
    <row r="84" spans="1:15" x14ac:dyDescent="0.25">
      <c r="A84" s="100" t="str">
        <f>'Data Vlaue (Cr)'!C79</f>
        <v>HINDALCO</v>
      </c>
      <c r="B84" s="82">
        <f>VLOOKUP(A84,'Data shares'!$C$2:$CV$215,98,0)</f>
        <v>80038700</v>
      </c>
      <c r="C84" s="82">
        <f>VLOOKUP(A84,'Data shares'!$C$2:$CX$215,100,0)</f>
        <v>-2879800</v>
      </c>
      <c r="D84" s="141">
        <f>VLOOKUP(A84,'Data shares'!$C$2:$CY$538,101,0)</f>
        <v>-3.4700000000000002E-2</v>
      </c>
      <c r="E84" s="86">
        <f>VLOOKUP($A84,'Data shares'!$C:$FA,74)</f>
        <v>50845900</v>
      </c>
      <c r="F84" s="86">
        <f>VLOOKUP($A84,'Data shares'!$C:$FA,76)</f>
        <v>-271600</v>
      </c>
      <c r="G84" s="87">
        <f>VLOOKUP(A84,'Data shares'!$C$2:$CA$215,77,0)</f>
        <v>-5.3E-3</v>
      </c>
      <c r="H84" s="86">
        <f>VLOOKUP($A84,'Data shares'!$C:$FA,90)</f>
        <v>16547300</v>
      </c>
      <c r="I84" s="86">
        <f>VLOOKUP($A84,'Data shares'!$C:$FA,92)</f>
        <v>-2031400</v>
      </c>
      <c r="J84" s="87">
        <f>VLOOKUP($A84,'Data shares'!$C:$FA,93)</f>
        <v>-0.10929999999999999</v>
      </c>
      <c r="K84" s="86">
        <f>VLOOKUP($A84,'Data shares'!$C:$FA,94)</f>
        <v>12645500</v>
      </c>
      <c r="L84" s="86">
        <f>VLOOKUP($A84,'Data shares'!$C:$FA,96)</f>
        <v>-576800</v>
      </c>
      <c r="M84" s="87">
        <f>VLOOKUP($A84,'Data shares'!$C:$FA,97)</f>
        <v>-4.36E-2</v>
      </c>
      <c r="N84" s="86">
        <f>VLOOKUP($A84,'Data shares'!$C:$FA,78)</f>
        <v>17799600</v>
      </c>
      <c r="O84" s="87">
        <f>VLOOKUP($A84,'Data shares'!$C:$FA,81)</f>
        <v>-0.45350000000000001</v>
      </c>
    </row>
    <row r="85" spans="1:15" x14ac:dyDescent="0.25">
      <c r="A85" s="100" t="str">
        <f>'Data Vlaue (Cr)'!C80</f>
        <v>HINDPETRO</v>
      </c>
      <c r="B85" s="82">
        <f>VLOOKUP(A85,'Data shares'!$C$2:$CV$215,98,0)</f>
        <v>74135250</v>
      </c>
      <c r="C85" s="82">
        <f>VLOOKUP(A85,'Data shares'!$C$2:$CX$215,100,0)</f>
        <v>-2531250</v>
      </c>
      <c r="D85" s="141">
        <f>VLOOKUP(A85,'Data shares'!$C$2:$CY$538,101,0)</f>
        <v>-3.3000000000000002E-2</v>
      </c>
      <c r="E85" s="86">
        <f>VLOOKUP($A85,'Data shares'!$C:$FA,74)</f>
        <v>39821625</v>
      </c>
      <c r="F85" s="86">
        <f>VLOOKUP($A85,'Data shares'!$C:$FA,76)</f>
        <v>360450</v>
      </c>
      <c r="G85" s="87">
        <f>VLOOKUP(A85,'Data shares'!$C$2:$CA$215,77,0)</f>
        <v>9.1000000000000004E-3</v>
      </c>
      <c r="H85" s="86">
        <f>VLOOKUP($A85,'Data shares'!$C:$FA,90)</f>
        <v>22546350</v>
      </c>
      <c r="I85" s="86">
        <f>VLOOKUP($A85,'Data shares'!$C:$FA,92)</f>
        <v>-1741500</v>
      </c>
      <c r="J85" s="87">
        <f>VLOOKUP($A85,'Data shares'!$C:$FA,93)</f>
        <v>-7.17E-2</v>
      </c>
      <c r="K85" s="86">
        <f>VLOOKUP($A85,'Data shares'!$C:$FA,94)</f>
        <v>11767275</v>
      </c>
      <c r="L85" s="86">
        <f>VLOOKUP($A85,'Data shares'!$C:$FA,96)</f>
        <v>-1150200</v>
      </c>
      <c r="M85" s="87">
        <f>VLOOKUP($A85,'Data shares'!$C:$FA,97)</f>
        <v>-8.8999999999999996E-2</v>
      </c>
      <c r="N85" s="86">
        <f>VLOOKUP($A85,'Data shares'!$C:$FA,78)</f>
        <v>23080950</v>
      </c>
      <c r="O85" s="87">
        <f>VLOOKUP($A85,'Data shares'!$C:$FA,81)</f>
        <v>-0.27350000000000002</v>
      </c>
    </row>
    <row r="86" spans="1:15" x14ac:dyDescent="0.25">
      <c r="A86" s="100" t="str">
        <f>'Data Vlaue (Cr)'!C81</f>
        <v>HINDUNILVR</v>
      </c>
      <c r="B86" s="82">
        <f>VLOOKUP(A86,'Data shares'!$C$2:$CV$215,98,0)</f>
        <v>24432300</v>
      </c>
      <c r="C86" s="82">
        <f>VLOOKUP(A86,'Data shares'!$C$2:$CX$215,100,0)</f>
        <v>-837300</v>
      </c>
      <c r="D86" s="141">
        <f>VLOOKUP(A86,'Data shares'!$C$2:$CY$538,101,0)</f>
        <v>-3.3099999999999997E-2</v>
      </c>
      <c r="E86" s="86">
        <f>VLOOKUP($A86,'Data shares'!$C:$FA,74)</f>
        <v>13515300</v>
      </c>
      <c r="F86" s="86">
        <f>VLOOKUP($A86,'Data shares'!$C:$FA,76)</f>
        <v>-826200</v>
      </c>
      <c r="G86" s="87">
        <f>VLOOKUP(A86,'Data shares'!$C$2:$CA$215,77,0)</f>
        <v>-5.7599999999999998E-2</v>
      </c>
      <c r="H86" s="86">
        <f>VLOOKUP($A86,'Data shares'!$C:$FA,90)</f>
        <v>7157700</v>
      </c>
      <c r="I86" s="86">
        <f>VLOOKUP($A86,'Data shares'!$C:$FA,92)</f>
        <v>-234900</v>
      </c>
      <c r="J86" s="87">
        <f>VLOOKUP($A86,'Data shares'!$C:$FA,93)</f>
        <v>-3.1800000000000002E-2</v>
      </c>
      <c r="K86" s="86">
        <f>VLOOKUP($A86,'Data shares'!$C:$FA,94)</f>
        <v>3759300</v>
      </c>
      <c r="L86" s="86">
        <f>VLOOKUP($A86,'Data shares'!$C:$FA,96)</f>
        <v>223800</v>
      </c>
      <c r="M86" s="87">
        <f>VLOOKUP($A86,'Data shares'!$C:$FA,97)</f>
        <v>6.3299999999999995E-2</v>
      </c>
      <c r="N86" s="86">
        <f>VLOOKUP($A86,'Data shares'!$C:$FA,78)</f>
        <v>4094100</v>
      </c>
      <c r="O86" s="87">
        <f>VLOOKUP($A86,'Data shares'!$C:$FA,81)</f>
        <v>-0.54800000000000004</v>
      </c>
    </row>
    <row r="87" spans="1:15" x14ac:dyDescent="0.25">
      <c r="A87" s="100" t="str">
        <f>'Data Vlaue (Cr)'!C82</f>
        <v>HINDZINC</v>
      </c>
      <c r="B87" s="82">
        <f>VLOOKUP(A87,'Data shares'!$C$2:$CV$215,98,0)</f>
        <v>139414800</v>
      </c>
      <c r="C87" s="82">
        <f>VLOOKUP(A87,'Data shares'!$C$2:$CX$215,100,0)</f>
        <v>-2637425</v>
      </c>
      <c r="D87" s="141">
        <f>VLOOKUP(A87,'Data shares'!$C$2:$CY$538,101,0)</f>
        <v>-1.8599999999999998E-2</v>
      </c>
      <c r="E87" s="86">
        <f>VLOOKUP($A87,'Data shares'!$C:$FA,74)</f>
        <v>35155050</v>
      </c>
      <c r="F87" s="86">
        <f>VLOOKUP($A87,'Data shares'!$C:$FA,76)</f>
        <v>-1499400</v>
      </c>
      <c r="G87" s="87">
        <f>VLOOKUP(A87,'Data shares'!$C$2:$CA$215,77,0)</f>
        <v>-4.0899999999999999E-2</v>
      </c>
      <c r="H87" s="86">
        <f>VLOOKUP($A87,'Data shares'!$C:$FA,90)</f>
        <v>66042200</v>
      </c>
      <c r="I87" s="86">
        <f>VLOOKUP($A87,'Data shares'!$C:$FA,92)</f>
        <v>-134750</v>
      </c>
      <c r="J87" s="87">
        <f>VLOOKUP($A87,'Data shares'!$C:$FA,93)</f>
        <v>-2E-3</v>
      </c>
      <c r="K87" s="86">
        <f>VLOOKUP($A87,'Data shares'!$C:$FA,94)</f>
        <v>38217550</v>
      </c>
      <c r="L87" s="86">
        <f>VLOOKUP($A87,'Data shares'!$C:$FA,96)</f>
        <v>-1003275</v>
      </c>
      <c r="M87" s="87">
        <f>VLOOKUP($A87,'Data shares'!$C:$FA,97)</f>
        <v>-2.5600000000000001E-2</v>
      </c>
      <c r="N87" s="86">
        <f>VLOOKUP($A87,'Data shares'!$C:$FA,78)</f>
        <v>11573800</v>
      </c>
      <c r="O87" s="87">
        <f>VLOOKUP($A87,'Data shares'!$C:$FA,81)</f>
        <v>-0.40439999999999998</v>
      </c>
    </row>
    <row r="88" spans="1:15" x14ac:dyDescent="0.25">
      <c r="A88" s="100" t="str">
        <f>'Data Vlaue (Cr)'!C83</f>
        <v>HUDCO</v>
      </c>
      <c r="B88" s="82">
        <f>VLOOKUP(A88,'Data shares'!$C$2:$CV$215,98,0)</f>
        <v>85952850</v>
      </c>
      <c r="C88" s="82">
        <f>VLOOKUP(A88,'Data shares'!$C$2:$CX$215,100,0)</f>
        <v>-1792650</v>
      </c>
      <c r="D88" s="141">
        <f>VLOOKUP(A88,'Data shares'!$C$2:$CY$538,101,0)</f>
        <v>-2.0400000000000001E-2</v>
      </c>
      <c r="E88" s="86">
        <f>VLOOKUP($A88,'Data shares'!$C:$FA,74)</f>
        <v>41722125</v>
      </c>
      <c r="F88" s="86">
        <f>VLOOKUP($A88,'Data shares'!$C:$FA,76)</f>
        <v>-122100</v>
      </c>
      <c r="G88" s="87">
        <f>VLOOKUP(A88,'Data shares'!$C$2:$CA$215,77,0)</f>
        <v>-2.8999999999999998E-3</v>
      </c>
      <c r="H88" s="86">
        <f>VLOOKUP($A88,'Data shares'!$C:$FA,90)</f>
        <v>27619575</v>
      </c>
      <c r="I88" s="86">
        <f>VLOOKUP($A88,'Data shares'!$C:$FA,92)</f>
        <v>-1487400</v>
      </c>
      <c r="J88" s="87">
        <f>VLOOKUP($A88,'Data shares'!$C:$FA,93)</f>
        <v>-5.11E-2</v>
      </c>
      <c r="K88" s="86">
        <f>VLOOKUP($A88,'Data shares'!$C:$FA,94)</f>
        <v>16611150</v>
      </c>
      <c r="L88" s="86">
        <f>VLOOKUP($A88,'Data shares'!$C:$FA,96)</f>
        <v>-183150</v>
      </c>
      <c r="M88" s="87">
        <f>VLOOKUP($A88,'Data shares'!$C:$FA,97)</f>
        <v>-1.09E-2</v>
      </c>
      <c r="N88" s="86">
        <f>VLOOKUP($A88,'Data shares'!$C:$FA,78)</f>
        <v>25407900</v>
      </c>
      <c r="O88" s="87">
        <f>VLOOKUP($A88,'Data shares'!$C:$FA,81)</f>
        <v>-0.22439999999999999</v>
      </c>
    </row>
    <row r="89" spans="1:15" x14ac:dyDescent="0.25">
      <c r="A89" s="100" t="str">
        <f>'Data Vlaue (Cr)'!C84</f>
        <v>ICICIBANK</v>
      </c>
      <c r="B89" s="82">
        <f>VLOOKUP(A89,'Data shares'!$C$2:$CV$215,98,0)</f>
        <v>209731200</v>
      </c>
      <c r="C89" s="82">
        <f>VLOOKUP(A89,'Data shares'!$C$2:$CX$215,100,0)</f>
        <v>-1365700</v>
      </c>
      <c r="D89" s="141">
        <f>VLOOKUP(A89,'Data shares'!$C$2:$CY$538,101,0)</f>
        <v>-6.4999999999999997E-3</v>
      </c>
      <c r="E89" s="86">
        <f>VLOOKUP($A89,'Data shares'!$C:$FA,74)</f>
        <v>133422100</v>
      </c>
      <c r="F89" s="86">
        <f>VLOOKUP($A89,'Data shares'!$C:$FA,76)</f>
        <v>585200</v>
      </c>
      <c r="G89" s="87">
        <f>VLOOKUP(A89,'Data shares'!$C$2:$CA$215,77,0)</f>
        <v>4.4000000000000003E-3</v>
      </c>
      <c r="H89" s="86">
        <f>VLOOKUP($A89,'Data shares'!$C:$FA,90)</f>
        <v>51892400</v>
      </c>
      <c r="I89" s="86">
        <f>VLOOKUP($A89,'Data shares'!$C:$FA,92)</f>
        <v>-1115800</v>
      </c>
      <c r="J89" s="87">
        <f>VLOOKUP($A89,'Data shares'!$C:$FA,93)</f>
        <v>-2.1000000000000001E-2</v>
      </c>
      <c r="K89" s="86">
        <f>VLOOKUP($A89,'Data shares'!$C:$FA,94)</f>
        <v>24416700</v>
      </c>
      <c r="L89" s="86">
        <f>VLOOKUP($A89,'Data shares'!$C:$FA,96)</f>
        <v>-835100</v>
      </c>
      <c r="M89" s="87">
        <f>VLOOKUP($A89,'Data shares'!$C:$FA,97)</f>
        <v>-3.3099999999999997E-2</v>
      </c>
      <c r="N89" s="86">
        <f>VLOOKUP($A89,'Data shares'!$C:$FA,78)</f>
        <v>52949400</v>
      </c>
      <c r="O89" s="87">
        <f>VLOOKUP($A89,'Data shares'!$C:$FA,81)</f>
        <v>-0.311</v>
      </c>
    </row>
    <row r="90" spans="1:15" x14ac:dyDescent="0.25">
      <c r="A90" s="100" t="str">
        <f>'Data Vlaue (Cr)'!C85</f>
        <v>ICICIGI</v>
      </c>
      <c r="B90" s="82">
        <f>VLOOKUP(A90,'Data shares'!$C$2:$CV$215,98,0)</f>
        <v>8705450</v>
      </c>
      <c r="C90" s="82">
        <f>VLOOKUP(A90,'Data shares'!$C$2:$CX$215,100,0)</f>
        <v>-455000</v>
      </c>
      <c r="D90" s="141">
        <f>VLOOKUP(A90,'Data shares'!$C$2:$CY$538,101,0)</f>
        <v>-4.9700000000000001E-2</v>
      </c>
      <c r="E90" s="86">
        <f>VLOOKUP($A90,'Data shares'!$C:$FA,74)</f>
        <v>6439550</v>
      </c>
      <c r="F90" s="86">
        <f>VLOOKUP($A90,'Data shares'!$C:$FA,76)</f>
        <v>-320775</v>
      </c>
      <c r="G90" s="87">
        <f>VLOOKUP(A90,'Data shares'!$C$2:$CA$215,77,0)</f>
        <v>-4.7399999999999998E-2</v>
      </c>
      <c r="H90" s="86">
        <f>VLOOKUP($A90,'Data shares'!$C:$FA,90)</f>
        <v>1397500</v>
      </c>
      <c r="I90" s="86">
        <f>VLOOKUP($A90,'Data shares'!$C:$FA,92)</f>
        <v>-81575</v>
      </c>
      <c r="J90" s="87">
        <f>VLOOKUP($A90,'Data shares'!$C:$FA,93)</f>
        <v>-5.5199999999999999E-2</v>
      </c>
      <c r="K90" s="86">
        <f>VLOOKUP($A90,'Data shares'!$C:$FA,94)</f>
        <v>868400</v>
      </c>
      <c r="L90" s="86">
        <f>VLOOKUP($A90,'Data shares'!$C:$FA,96)</f>
        <v>-52650</v>
      </c>
      <c r="M90" s="87">
        <f>VLOOKUP($A90,'Data shares'!$C:$FA,97)</f>
        <v>-5.7200000000000001E-2</v>
      </c>
      <c r="N90" s="86">
        <f>VLOOKUP($A90,'Data shares'!$C:$FA,78)</f>
        <v>2781350</v>
      </c>
      <c r="O90" s="87">
        <f>VLOOKUP($A90,'Data shares'!$C:$FA,81)</f>
        <v>-0.3579</v>
      </c>
    </row>
    <row r="91" spans="1:15" x14ac:dyDescent="0.25">
      <c r="A91" s="100" t="str">
        <f>'Data Vlaue (Cr)'!C86</f>
        <v>ICICIPRULI</v>
      </c>
      <c r="B91" s="82">
        <f>VLOOKUP(A91,'Data shares'!$C$2:$CV$215,98,0)</f>
        <v>25228450</v>
      </c>
      <c r="C91" s="82">
        <f>VLOOKUP(A91,'Data shares'!$C$2:$CX$215,100,0)</f>
        <v>-592925</v>
      </c>
      <c r="D91" s="141">
        <f>VLOOKUP(A91,'Data shares'!$C$2:$CY$538,101,0)</f>
        <v>-2.3E-2</v>
      </c>
      <c r="E91" s="86">
        <f>VLOOKUP($A91,'Data shares'!$C:$FA,74)</f>
        <v>17483425</v>
      </c>
      <c r="F91" s="86">
        <f>VLOOKUP($A91,'Data shares'!$C:$FA,76)</f>
        <v>211825</v>
      </c>
      <c r="G91" s="87">
        <f>VLOOKUP(A91,'Data shares'!$C$2:$CA$215,77,0)</f>
        <v>1.23E-2</v>
      </c>
      <c r="H91" s="86">
        <f>VLOOKUP($A91,'Data shares'!$C:$FA,90)</f>
        <v>4781325</v>
      </c>
      <c r="I91" s="86">
        <f>VLOOKUP($A91,'Data shares'!$C:$FA,92)</f>
        <v>-616050</v>
      </c>
      <c r="J91" s="87">
        <f>VLOOKUP($A91,'Data shares'!$C:$FA,93)</f>
        <v>-0.11409999999999999</v>
      </c>
      <c r="K91" s="86">
        <f>VLOOKUP($A91,'Data shares'!$C:$FA,94)</f>
        <v>2963700</v>
      </c>
      <c r="L91" s="86">
        <f>VLOOKUP($A91,'Data shares'!$C:$FA,96)</f>
        <v>-188700</v>
      </c>
      <c r="M91" s="87">
        <f>VLOOKUP($A91,'Data shares'!$C:$FA,97)</f>
        <v>-5.9900000000000002E-2</v>
      </c>
      <c r="N91" s="86">
        <f>VLOOKUP($A91,'Data shares'!$C:$FA,78)</f>
        <v>6675725</v>
      </c>
      <c r="O91" s="87">
        <f>VLOOKUP($A91,'Data shares'!$C:$FA,81)</f>
        <v>-0.52459999999999996</v>
      </c>
    </row>
    <row r="92" spans="1:15" x14ac:dyDescent="0.25">
      <c r="A92" s="100" t="str">
        <f>'Data Vlaue (Cr)'!C87</f>
        <v>IDEA</v>
      </c>
      <c r="B92" s="82">
        <f>VLOOKUP(A92,'Data shares'!$C$2:$CV$215,98,0)</f>
        <v>11928534225</v>
      </c>
      <c r="C92" s="82">
        <f>VLOOKUP(A92,'Data shares'!$C$2:$CX$215,100,0)</f>
        <v>-74548425</v>
      </c>
      <c r="D92" s="141">
        <f>VLOOKUP(A92,'Data shares'!$C$2:$CY$538,101,0)</f>
        <v>-6.1999999999999998E-3</v>
      </c>
      <c r="E92" s="86">
        <f>VLOOKUP($A92,'Data shares'!$C:$FA,74)</f>
        <v>7418604675</v>
      </c>
      <c r="F92" s="86">
        <f>VLOOKUP($A92,'Data shares'!$C:$FA,76)</f>
        <v>63755700</v>
      </c>
      <c r="G92" s="87">
        <f>VLOOKUP(A92,'Data shares'!$C$2:$CA$215,77,0)</f>
        <v>8.6999999999999994E-3</v>
      </c>
      <c r="H92" s="86">
        <f>VLOOKUP($A92,'Data shares'!$C:$FA,90)</f>
        <v>2917752450</v>
      </c>
      <c r="I92" s="86">
        <f>VLOOKUP($A92,'Data shares'!$C:$FA,92)</f>
        <v>-127368450</v>
      </c>
      <c r="J92" s="87">
        <f>VLOOKUP($A92,'Data shares'!$C:$FA,93)</f>
        <v>-4.1799999999999997E-2</v>
      </c>
      <c r="K92" s="86">
        <f>VLOOKUP($A92,'Data shares'!$C:$FA,94)</f>
        <v>1592177100</v>
      </c>
      <c r="L92" s="86">
        <f>VLOOKUP($A92,'Data shares'!$C:$FA,96)</f>
        <v>-10935675</v>
      </c>
      <c r="M92" s="87">
        <f>VLOOKUP($A92,'Data shares'!$C:$FA,97)</f>
        <v>-6.7999999999999996E-3</v>
      </c>
      <c r="N92" s="86">
        <f>VLOOKUP($A92,'Data shares'!$C:$FA,78)</f>
        <v>3635790300</v>
      </c>
      <c r="O92" s="87">
        <f>VLOOKUP($A92,'Data shares'!$C:$FA,81)</f>
        <v>-0.20530000000000001</v>
      </c>
    </row>
    <row r="93" spans="1:15" x14ac:dyDescent="0.25">
      <c r="A93" s="100" t="str">
        <f>'Data Vlaue (Cr)'!C88</f>
        <v>IDFCFIRSTB</v>
      </c>
      <c r="B93" s="82">
        <f>VLOOKUP(A93,'Data shares'!$C$2:$CV$215,98,0)</f>
        <v>535696175</v>
      </c>
      <c r="C93" s="82">
        <f>VLOOKUP(A93,'Data shares'!$C$2:$CX$215,100,0)</f>
        <v>-18837525</v>
      </c>
      <c r="D93" s="141">
        <f>VLOOKUP(A93,'Data shares'!$C$2:$CY$538,101,0)</f>
        <v>-3.4000000000000002E-2</v>
      </c>
      <c r="E93" s="86">
        <f>VLOOKUP($A93,'Data shares'!$C:$FA,74)</f>
        <v>303125550</v>
      </c>
      <c r="F93" s="86">
        <f>VLOOKUP($A93,'Data shares'!$C:$FA,76)</f>
        <v>-16416750</v>
      </c>
      <c r="G93" s="87">
        <f>VLOOKUP(A93,'Data shares'!$C$2:$CA$215,77,0)</f>
        <v>-5.1400000000000001E-2</v>
      </c>
      <c r="H93" s="86">
        <f>VLOOKUP($A93,'Data shares'!$C:$FA,90)</f>
        <v>144968250</v>
      </c>
      <c r="I93" s="86">
        <f>VLOOKUP($A93,'Data shares'!$C:$FA,92)</f>
        <v>-6668725</v>
      </c>
      <c r="J93" s="87">
        <f>VLOOKUP($A93,'Data shares'!$C:$FA,93)</f>
        <v>-4.3999999999999997E-2</v>
      </c>
      <c r="K93" s="86">
        <f>VLOOKUP($A93,'Data shares'!$C:$FA,94)</f>
        <v>87602375</v>
      </c>
      <c r="L93" s="86">
        <f>VLOOKUP($A93,'Data shares'!$C:$FA,96)</f>
        <v>4247950</v>
      </c>
      <c r="M93" s="87">
        <f>VLOOKUP($A93,'Data shares'!$C:$FA,97)</f>
        <v>5.0999999999999997E-2</v>
      </c>
      <c r="N93" s="86">
        <f>VLOOKUP($A93,'Data shares'!$C:$FA,78)</f>
        <v>96413625</v>
      </c>
      <c r="O93" s="87">
        <f>VLOOKUP($A93,'Data shares'!$C:$FA,81)</f>
        <v>-0.44040000000000001</v>
      </c>
    </row>
    <row r="94" spans="1:15" x14ac:dyDescent="0.25">
      <c r="A94" s="100" t="str">
        <f>'Data Vlaue (Cr)'!C89</f>
        <v>IEX</v>
      </c>
      <c r="B94" s="82">
        <f>VLOOKUP(A94,'Data shares'!$C$2:$CV$215,98,0)</f>
        <v>260216250</v>
      </c>
      <c r="C94" s="82">
        <f>VLOOKUP(A94,'Data shares'!$C$2:$CX$215,100,0)</f>
        <v>-18592500</v>
      </c>
      <c r="D94" s="141">
        <f>VLOOKUP(A94,'Data shares'!$C$2:$CY$538,101,0)</f>
        <v>-6.6699999999999995E-2</v>
      </c>
      <c r="E94" s="86">
        <f>VLOOKUP($A94,'Data shares'!$C:$FA,74)</f>
        <v>84817500</v>
      </c>
      <c r="F94" s="86">
        <f>VLOOKUP($A94,'Data shares'!$C:$FA,76)</f>
        <v>-8688750</v>
      </c>
      <c r="G94" s="87">
        <f>VLOOKUP(A94,'Data shares'!$C$2:$CA$215,77,0)</f>
        <v>-9.2899999999999996E-2</v>
      </c>
      <c r="H94" s="86">
        <f>VLOOKUP($A94,'Data shares'!$C:$FA,90)</f>
        <v>105116250</v>
      </c>
      <c r="I94" s="86">
        <f>VLOOKUP($A94,'Data shares'!$C:$FA,92)</f>
        <v>-6978750</v>
      </c>
      <c r="J94" s="87">
        <f>VLOOKUP($A94,'Data shares'!$C:$FA,93)</f>
        <v>-6.2300000000000001E-2</v>
      </c>
      <c r="K94" s="86">
        <f>VLOOKUP($A94,'Data shares'!$C:$FA,94)</f>
        <v>70282500</v>
      </c>
      <c r="L94" s="86">
        <f>VLOOKUP($A94,'Data shares'!$C:$FA,96)</f>
        <v>-2925000</v>
      </c>
      <c r="M94" s="87">
        <f>VLOOKUP($A94,'Data shares'!$C:$FA,97)</f>
        <v>-0.04</v>
      </c>
      <c r="N94" s="86">
        <f>VLOOKUP($A94,'Data shares'!$C:$FA,78)</f>
        <v>37882500</v>
      </c>
      <c r="O94" s="87">
        <f>VLOOKUP($A94,'Data shares'!$C:$FA,81)</f>
        <v>-0.35210000000000002</v>
      </c>
    </row>
    <row r="95" spans="1:15" x14ac:dyDescent="0.25">
      <c r="A95" s="100" t="str">
        <f>'Data Vlaue (Cr)'!C90</f>
        <v>IIFL</v>
      </c>
      <c r="B95" s="82">
        <f>VLOOKUP(A95,'Data shares'!$C$2:$CV$215,98,0)</f>
        <v>33198000</v>
      </c>
      <c r="C95" s="82">
        <f>VLOOKUP(A95,'Data shares'!$C$2:$CX$215,100,0)</f>
        <v>10500600</v>
      </c>
      <c r="D95" s="141">
        <f>VLOOKUP(A95,'Data shares'!$C$2:$CY$538,101,0)</f>
        <v>0.46260000000000001</v>
      </c>
      <c r="E95" s="86">
        <f>VLOOKUP($A95,'Data shares'!$C:$FA,74)</f>
        <v>11015400</v>
      </c>
      <c r="F95" s="86">
        <f>VLOOKUP($A95,'Data shares'!$C:$FA,76)</f>
        <v>1631850</v>
      </c>
      <c r="G95" s="87">
        <f>VLOOKUP(A95,'Data shares'!$C$2:$CA$215,77,0)</f>
        <v>0.1739</v>
      </c>
      <c r="H95" s="86">
        <f>VLOOKUP($A95,'Data shares'!$C:$FA,90)</f>
        <v>14191650</v>
      </c>
      <c r="I95" s="86">
        <f>VLOOKUP($A95,'Data shares'!$C:$FA,92)</f>
        <v>6057150</v>
      </c>
      <c r="J95" s="87">
        <f>VLOOKUP($A95,'Data shares'!$C:$FA,93)</f>
        <v>0.74460000000000004</v>
      </c>
      <c r="K95" s="86">
        <f>VLOOKUP($A95,'Data shares'!$C:$FA,94)</f>
        <v>7990950</v>
      </c>
      <c r="L95" s="86">
        <f>VLOOKUP($A95,'Data shares'!$C:$FA,96)</f>
        <v>2811600</v>
      </c>
      <c r="M95" s="87">
        <f>VLOOKUP($A95,'Data shares'!$C:$FA,97)</f>
        <v>0.54279999999999995</v>
      </c>
      <c r="N95" s="86">
        <f>VLOOKUP($A95,'Data shares'!$C:$FA,78)</f>
        <v>11015400</v>
      </c>
      <c r="O95" s="87">
        <f>VLOOKUP($A95,'Data shares'!$C:$FA,81)</f>
        <v>0.1739</v>
      </c>
    </row>
    <row r="96" spans="1:15" x14ac:dyDescent="0.25">
      <c r="A96" s="100" t="str">
        <f>'Data Vlaue (Cr)'!C91</f>
        <v>INDHOTEL</v>
      </c>
      <c r="B96" s="82">
        <f>VLOOKUP(A96,'Data shares'!$C$2:$CV$215,98,0)</f>
        <v>51615000</v>
      </c>
      <c r="C96" s="82">
        <f>VLOOKUP(A96,'Data shares'!$C$2:$CX$215,100,0)</f>
        <v>-17000</v>
      </c>
      <c r="D96" s="141">
        <f>VLOOKUP(A96,'Data shares'!$C$2:$CY$538,101,0)</f>
        <v>-2.9999999999999997E-4</v>
      </c>
      <c r="E96" s="86">
        <f>VLOOKUP($A96,'Data shares'!$C:$FA,74)</f>
        <v>28566000</v>
      </c>
      <c r="F96" s="86">
        <f>VLOOKUP($A96,'Data shares'!$C:$FA,76)</f>
        <v>931000</v>
      </c>
      <c r="G96" s="87">
        <f>VLOOKUP(A96,'Data shares'!$C$2:$CA$215,77,0)</f>
        <v>3.3700000000000001E-2</v>
      </c>
      <c r="H96" s="86">
        <f>VLOOKUP($A96,'Data shares'!$C:$FA,90)</f>
        <v>13842000</v>
      </c>
      <c r="I96" s="86">
        <f>VLOOKUP($A96,'Data shares'!$C:$FA,92)</f>
        <v>-1084000</v>
      </c>
      <c r="J96" s="87">
        <f>VLOOKUP($A96,'Data shares'!$C:$FA,93)</f>
        <v>-7.2599999999999998E-2</v>
      </c>
      <c r="K96" s="86">
        <f>VLOOKUP($A96,'Data shares'!$C:$FA,94)</f>
        <v>9207000</v>
      </c>
      <c r="L96" s="86">
        <f>VLOOKUP($A96,'Data shares'!$C:$FA,96)</f>
        <v>136000</v>
      </c>
      <c r="M96" s="87">
        <f>VLOOKUP($A96,'Data shares'!$C:$FA,97)</f>
        <v>1.4999999999999999E-2</v>
      </c>
      <c r="N96" s="86">
        <f>VLOOKUP($A96,'Data shares'!$C:$FA,78)</f>
        <v>13858000</v>
      </c>
      <c r="O96" s="87">
        <f>VLOOKUP($A96,'Data shares'!$C:$FA,81)</f>
        <v>-0.34300000000000003</v>
      </c>
    </row>
    <row r="97" spans="1:15" x14ac:dyDescent="0.25">
      <c r="A97" s="100" t="str">
        <f>'Data Vlaue (Cr)'!C92</f>
        <v>INDIANB</v>
      </c>
      <c r="B97" s="82">
        <f>VLOOKUP(A97,'Data shares'!$C$2:$CV$215,98,0)</f>
        <v>25837000</v>
      </c>
      <c r="C97" s="82">
        <f>VLOOKUP(A97,'Data shares'!$C$2:$CX$215,100,0)</f>
        <v>3079000</v>
      </c>
      <c r="D97" s="141">
        <f>VLOOKUP(A97,'Data shares'!$C$2:$CY$538,101,0)</f>
        <v>0.1353</v>
      </c>
      <c r="E97" s="86">
        <f>VLOOKUP($A97,'Data shares'!$C:$FA,74)</f>
        <v>11129000</v>
      </c>
      <c r="F97" s="86">
        <f>VLOOKUP($A97,'Data shares'!$C:$FA,76)</f>
        <v>216000</v>
      </c>
      <c r="G97" s="87">
        <f>VLOOKUP(A97,'Data shares'!$C$2:$CA$215,77,0)</f>
        <v>1.9800000000000002E-2</v>
      </c>
      <c r="H97" s="86">
        <f>VLOOKUP($A97,'Data shares'!$C:$FA,90)</f>
        <v>8284000</v>
      </c>
      <c r="I97" s="86">
        <f>VLOOKUP($A97,'Data shares'!$C:$FA,92)</f>
        <v>1800000</v>
      </c>
      <c r="J97" s="87">
        <f>VLOOKUP($A97,'Data shares'!$C:$FA,93)</f>
        <v>0.27760000000000001</v>
      </c>
      <c r="K97" s="86">
        <f>VLOOKUP($A97,'Data shares'!$C:$FA,94)</f>
        <v>6424000</v>
      </c>
      <c r="L97" s="86">
        <f>VLOOKUP($A97,'Data shares'!$C:$FA,96)</f>
        <v>1063000</v>
      </c>
      <c r="M97" s="87">
        <f>VLOOKUP($A97,'Data shares'!$C:$FA,97)</f>
        <v>0.1983</v>
      </c>
      <c r="N97" s="86">
        <f>VLOOKUP($A97,'Data shares'!$C:$FA,78)</f>
        <v>4462000</v>
      </c>
      <c r="O97" s="87">
        <f>VLOOKUP($A97,'Data shares'!$C:$FA,81)</f>
        <v>-0.47120000000000001</v>
      </c>
    </row>
    <row r="98" spans="1:15" x14ac:dyDescent="0.25">
      <c r="A98" s="100" t="str">
        <f>'Data Vlaue (Cr)'!C93</f>
        <v>INDIAVIX</v>
      </c>
      <c r="B98" s="82">
        <f>VLOOKUP(A98,'Data shares'!$C$2:$CV$215,98,0)</f>
        <v>0</v>
      </c>
      <c r="C98" s="82">
        <f>VLOOKUP(A98,'Data shares'!$C$2:$CX$215,100,0)</f>
        <v>0</v>
      </c>
      <c r="D98" s="141">
        <f>VLOOKUP(A98,'Data shares'!$C$2:$CY$538,101,0)</f>
        <v>0</v>
      </c>
      <c r="E98" s="86">
        <f>VLOOKUP($A98,'Data shares'!$C:$FA,74)</f>
        <v>0</v>
      </c>
      <c r="F98" s="86">
        <f>VLOOKUP($A98,'Data shares'!$C:$FA,76)</f>
        <v>0</v>
      </c>
      <c r="G98" s="87">
        <f>VLOOKUP(A98,'Data shares'!$C$2:$CA$215,77,0)</f>
        <v>0</v>
      </c>
      <c r="H98" s="86">
        <f>VLOOKUP($A98,'Data shares'!$C:$FA,90)</f>
        <v>0</v>
      </c>
      <c r="I98" s="86">
        <f>VLOOKUP($A98,'Data shares'!$C:$FA,92)</f>
        <v>0</v>
      </c>
      <c r="J98" s="87">
        <f>VLOOKUP($A98,'Data shares'!$C:$FA,93)</f>
        <v>0</v>
      </c>
      <c r="K98" s="86">
        <f>VLOOKUP($A98,'Data shares'!$C:$FA,94)</f>
        <v>0</v>
      </c>
      <c r="L98" s="86">
        <f>VLOOKUP($A98,'Data shares'!$C:$FA,96)</f>
        <v>0</v>
      </c>
      <c r="M98" s="87">
        <f>VLOOKUP($A98,'Data shares'!$C:$FA,97)</f>
        <v>0</v>
      </c>
      <c r="N98" s="86">
        <f>VLOOKUP($A98,'Data shares'!$C:$FA,78)</f>
        <v>0</v>
      </c>
      <c r="O98" s="87">
        <f>VLOOKUP($A98,'Data shares'!$C:$FA,81)</f>
        <v>0</v>
      </c>
    </row>
    <row r="99" spans="1:15" x14ac:dyDescent="0.25">
      <c r="A99" s="100" t="str">
        <f>'Data Vlaue (Cr)'!C94</f>
        <v>INDIGO</v>
      </c>
      <c r="B99" s="82">
        <f>VLOOKUP(A99,'Data shares'!$C$2:$CV$215,98,0)</f>
        <v>18997500</v>
      </c>
      <c r="C99" s="82">
        <f>VLOOKUP(A99,'Data shares'!$C$2:$CX$215,100,0)</f>
        <v>518250</v>
      </c>
      <c r="D99" s="141">
        <f>VLOOKUP(A99,'Data shares'!$C$2:$CY$538,101,0)</f>
        <v>2.8000000000000001E-2</v>
      </c>
      <c r="E99" s="86">
        <f>VLOOKUP($A99,'Data shares'!$C:$FA,74)</f>
        <v>8992200</v>
      </c>
      <c r="F99" s="86">
        <f>VLOOKUP($A99,'Data shares'!$C:$FA,76)</f>
        <v>189300</v>
      </c>
      <c r="G99" s="87">
        <f>VLOOKUP(A99,'Data shares'!$C$2:$CA$215,77,0)</f>
        <v>2.1499999999999998E-2</v>
      </c>
      <c r="H99" s="86">
        <f>VLOOKUP($A99,'Data shares'!$C:$FA,90)</f>
        <v>5932650</v>
      </c>
      <c r="I99" s="86">
        <f>VLOOKUP($A99,'Data shares'!$C:$FA,92)</f>
        <v>176100</v>
      </c>
      <c r="J99" s="87">
        <f>VLOOKUP($A99,'Data shares'!$C:$FA,93)</f>
        <v>3.0599999999999999E-2</v>
      </c>
      <c r="K99" s="86">
        <f>VLOOKUP($A99,'Data shares'!$C:$FA,94)</f>
        <v>4072650</v>
      </c>
      <c r="L99" s="86">
        <f>VLOOKUP($A99,'Data shares'!$C:$FA,96)</f>
        <v>152850</v>
      </c>
      <c r="M99" s="87">
        <f>VLOOKUP($A99,'Data shares'!$C:$FA,97)</f>
        <v>3.9E-2</v>
      </c>
      <c r="N99" s="86">
        <f>VLOOKUP($A99,'Data shares'!$C:$FA,78)</f>
        <v>4376100</v>
      </c>
      <c r="O99" s="87">
        <f>VLOOKUP($A99,'Data shares'!$C:$FA,81)</f>
        <v>-0.28920000000000001</v>
      </c>
    </row>
    <row r="100" spans="1:15" x14ac:dyDescent="0.25">
      <c r="A100" s="100" t="str">
        <f>'Data Vlaue (Cr)'!C95</f>
        <v>INDUSINDBK</v>
      </c>
      <c r="B100" s="82">
        <f>VLOOKUP(A100,'Data shares'!$C$2:$CV$215,98,0)</f>
        <v>61406100</v>
      </c>
      <c r="C100" s="82">
        <f>VLOOKUP(A100,'Data shares'!$C$2:$CX$215,100,0)</f>
        <v>688100</v>
      </c>
      <c r="D100" s="141">
        <f>VLOOKUP(A100,'Data shares'!$C$2:$CY$538,101,0)</f>
        <v>1.1299999999999999E-2</v>
      </c>
      <c r="E100" s="86">
        <f>VLOOKUP($A100,'Data shares'!$C:$FA,74)</f>
        <v>39314800</v>
      </c>
      <c r="F100" s="86">
        <f>VLOOKUP($A100,'Data shares'!$C:$FA,76)</f>
        <v>229600</v>
      </c>
      <c r="G100" s="87">
        <f>VLOOKUP(A100,'Data shares'!$C$2:$CA$215,77,0)</f>
        <v>5.8999999999999999E-3</v>
      </c>
      <c r="H100" s="86">
        <f>VLOOKUP($A100,'Data shares'!$C:$FA,90)</f>
        <v>11303600</v>
      </c>
      <c r="I100" s="86">
        <f>VLOOKUP($A100,'Data shares'!$C:$FA,92)</f>
        <v>354900</v>
      </c>
      <c r="J100" s="87">
        <f>VLOOKUP($A100,'Data shares'!$C:$FA,93)</f>
        <v>3.2399999999999998E-2</v>
      </c>
      <c r="K100" s="86">
        <f>VLOOKUP($A100,'Data shares'!$C:$FA,94)</f>
        <v>10787700</v>
      </c>
      <c r="L100" s="86">
        <f>VLOOKUP($A100,'Data shares'!$C:$FA,96)</f>
        <v>103600</v>
      </c>
      <c r="M100" s="87">
        <f>VLOOKUP($A100,'Data shares'!$C:$FA,97)</f>
        <v>9.7000000000000003E-3</v>
      </c>
      <c r="N100" s="86">
        <f>VLOOKUP($A100,'Data shares'!$C:$FA,78)</f>
        <v>19822600</v>
      </c>
      <c r="O100" s="87">
        <f>VLOOKUP($A100,'Data shares'!$C:$FA,81)</f>
        <v>-0.25340000000000001</v>
      </c>
    </row>
    <row r="101" spans="1:15" x14ac:dyDescent="0.25">
      <c r="A101" s="100" t="str">
        <f>'Data Vlaue (Cr)'!C96</f>
        <v>INDUSTOWER</v>
      </c>
      <c r="B101" s="82">
        <f>VLOOKUP(A101,'Data shares'!$C$2:$CV$215,98,0)</f>
        <v>147090800</v>
      </c>
      <c r="C101" s="82">
        <f>VLOOKUP(A101,'Data shares'!$C$2:$CX$215,100,0)</f>
        <v>-1268200</v>
      </c>
      <c r="D101" s="141">
        <f>VLOOKUP(A101,'Data shares'!$C$2:$CY$538,101,0)</f>
        <v>-8.5000000000000006E-3</v>
      </c>
      <c r="E101" s="86">
        <f>VLOOKUP($A101,'Data shares'!$C:$FA,74)</f>
        <v>100752200</v>
      </c>
      <c r="F101" s="86">
        <f>VLOOKUP($A101,'Data shares'!$C:$FA,76)</f>
        <v>1599700</v>
      </c>
      <c r="G101" s="87">
        <f>VLOOKUP(A101,'Data shares'!$C$2:$CA$215,77,0)</f>
        <v>1.61E-2</v>
      </c>
      <c r="H101" s="86">
        <f>VLOOKUP($A101,'Data shares'!$C:$FA,90)</f>
        <v>30314400</v>
      </c>
      <c r="I101" s="86">
        <f>VLOOKUP($A101,'Data shares'!$C:$FA,92)</f>
        <v>-1725500</v>
      </c>
      <c r="J101" s="87">
        <f>VLOOKUP($A101,'Data shares'!$C:$FA,93)</f>
        <v>-5.3900000000000003E-2</v>
      </c>
      <c r="K101" s="86">
        <f>VLOOKUP($A101,'Data shares'!$C:$FA,94)</f>
        <v>16024200</v>
      </c>
      <c r="L101" s="86">
        <f>VLOOKUP($A101,'Data shares'!$C:$FA,96)</f>
        <v>-1142400</v>
      </c>
      <c r="M101" s="87">
        <f>VLOOKUP($A101,'Data shares'!$C:$FA,97)</f>
        <v>-6.6500000000000004E-2</v>
      </c>
      <c r="N101" s="86">
        <f>VLOOKUP($A101,'Data shares'!$C:$FA,78)</f>
        <v>50207800</v>
      </c>
      <c r="O101" s="87">
        <f>VLOOKUP($A101,'Data shares'!$C:$FA,81)</f>
        <v>-0.26219999999999999</v>
      </c>
    </row>
    <row r="102" spans="1:15" x14ac:dyDescent="0.25">
      <c r="A102" s="100" t="str">
        <f>'Data Vlaue (Cr)'!C97</f>
        <v>INFY</v>
      </c>
      <c r="B102" s="82">
        <f>VLOOKUP(A102,'Data shares'!$C$2:$CV$215,98,0)</f>
        <v>120017200</v>
      </c>
      <c r="C102" s="82">
        <f>VLOOKUP(A102,'Data shares'!$C$2:$CX$215,100,0)</f>
        <v>-815200</v>
      </c>
      <c r="D102" s="141">
        <f>VLOOKUP(A102,'Data shares'!$C$2:$CY$538,101,0)</f>
        <v>-6.7000000000000002E-3</v>
      </c>
      <c r="E102" s="86">
        <f>VLOOKUP($A102,'Data shares'!$C:$FA,74)</f>
        <v>71394000</v>
      </c>
      <c r="F102" s="86">
        <f>VLOOKUP($A102,'Data shares'!$C:$FA,76)</f>
        <v>1078400</v>
      </c>
      <c r="G102" s="87">
        <f>VLOOKUP(A102,'Data shares'!$C$2:$CA$215,77,0)</f>
        <v>1.5299999999999999E-2</v>
      </c>
      <c r="H102" s="86">
        <f>VLOOKUP($A102,'Data shares'!$C:$FA,90)</f>
        <v>30394800</v>
      </c>
      <c r="I102" s="86">
        <f>VLOOKUP($A102,'Data shares'!$C:$FA,92)</f>
        <v>-336400</v>
      </c>
      <c r="J102" s="87">
        <f>VLOOKUP($A102,'Data shares'!$C:$FA,93)</f>
        <v>-1.09E-2</v>
      </c>
      <c r="K102" s="86">
        <f>VLOOKUP($A102,'Data shares'!$C:$FA,94)</f>
        <v>18228400</v>
      </c>
      <c r="L102" s="86">
        <f>VLOOKUP($A102,'Data shares'!$C:$FA,96)</f>
        <v>-1557200</v>
      </c>
      <c r="M102" s="87">
        <f>VLOOKUP($A102,'Data shares'!$C:$FA,97)</f>
        <v>-7.8700000000000006E-2</v>
      </c>
      <c r="N102" s="86">
        <f>VLOOKUP($A102,'Data shares'!$C:$FA,78)</f>
        <v>25454000</v>
      </c>
      <c r="O102" s="87">
        <f>VLOOKUP($A102,'Data shares'!$C:$FA,81)</f>
        <v>-0.41239999999999999</v>
      </c>
    </row>
    <row r="103" spans="1:15" x14ac:dyDescent="0.25">
      <c r="A103" s="100" t="str">
        <f>'Data Vlaue (Cr)'!C98</f>
        <v>INOXWIND</v>
      </c>
      <c r="B103" s="82">
        <f>VLOOKUP(A103,'Data shares'!$C$2:$CV$215,98,0)</f>
        <v>182160550</v>
      </c>
      <c r="C103" s="82">
        <f>VLOOKUP(A103,'Data shares'!$C$2:$CX$215,100,0)</f>
        <v>160875</v>
      </c>
      <c r="D103" s="141">
        <f>VLOOKUP(A103,'Data shares'!$C$2:$CY$538,101,0)</f>
        <v>8.9999999999999998E-4</v>
      </c>
      <c r="E103" s="86">
        <f>VLOOKUP($A103,'Data shares'!$C:$FA,74)</f>
        <v>109502250</v>
      </c>
      <c r="F103" s="86">
        <f>VLOOKUP($A103,'Data shares'!$C:$FA,76)</f>
        <v>2030600</v>
      </c>
      <c r="G103" s="87">
        <f>VLOOKUP(A103,'Data shares'!$C$2:$CA$215,77,0)</f>
        <v>1.89E-2</v>
      </c>
      <c r="H103" s="86">
        <f>VLOOKUP($A103,'Data shares'!$C:$FA,90)</f>
        <v>45162975</v>
      </c>
      <c r="I103" s="86">
        <f>VLOOKUP($A103,'Data shares'!$C:$FA,92)</f>
        <v>-1605175</v>
      </c>
      <c r="J103" s="87">
        <f>VLOOKUP($A103,'Data shares'!$C:$FA,93)</f>
        <v>-3.4299999999999997E-2</v>
      </c>
      <c r="K103" s="86">
        <f>VLOOKUP($A103,'Data shares'!$C:$FA,94)</f>
        <v>27495325</v>
      </c>
      <c r="L103" s="86">
        <f>VLOOKUP($A103,'Data shares'!$C:$FA,96)</f>
        <v>-264550</v>
      </c>
      <c r="M103" s="87">
        <f>VLOOKUP($A103,'Data shares'!$C:$FA,97)</f>
        <v>-9.4999999999999998E-3</v>
      </c>
      <c r="N103" s="86">
        <f>VLOOKUP($A103,'Data shares'!$C:$FA,78)</f>
        <v>61086025</v>
      </c>
      <c r="O103" s="87">
        <f>VLOOKUP($A103,'Data shares'!$C:$FA,81)</f>
        <v>-0.2412</v>
      </c>
    </row>
    <row r="104" spans="1:15" x14ac:dyDescent="0.25">
      <c r="A104" s="100" t="str">
        <f>'Data Vlaue (Cr)'!C99</f>
        <v>IOC</v>
      </c>
      <c r="B104" s="82">
        <f>VLOOKUP(A104,'Data shares'!$C$2:$CV$215,98,0)</f>
        <v>185757000</v>
      </c>
      <c r="C104" s="82">
        <f>VLOOKUP(A104,'Data shares'!$C$2:$CX$215,100,0)</f>
        <v>-3417375</v>
      </c>
      <c r="D104" s="141">
        <f>VLOOKUP(A104,'Data shares'!$C$2:$CY$538,101,0)</f>
        <v>-1.8100000000000002E-2</v>
      </c>
      <c r="E104" s="86">
        <f>VLOOKUP($A104,'Data shares'!$C:$FA,74)</f>
        <v>96330000</v>
      </c>
      <c r="F104" s="86">
        <f>VLOOKUP($A104,'Data shares'!$C:$FA,76)</f>
        <v>872625</v>
      </c>
      <c r="G104" s="87">
        <f>VLOOKUP(A104,'Data shares'!$C$2:$CA$215,77,0)</f>
        <v>9.1000000000000004E-3</v>
      </c>
      <c r="H104" s="86">
        <f>VLOOKUP($A104,'Data shares'!$C:$FA,90)</f>
        <v>54853500</v>
      </c>
      <c r="I104" s="86">
        <f>VLOOKUP($A104,'Data shares'!$C:$FA,92)</f>
        <v>-2159625</v>
      </c>
      <c r="J104" s="87">
        <f>VLOOKUP($A104,'Data shares'!$C:$FA,93)</f>
        <v>-3.7900000000000003E-2</v>
      </c>
      <c r="K104" s="86">
        <f>VLOOKUP($A104,'Data shares'!$C:$FA,94)</f>
        <v>34573500</v>
      </c>
      <c r="L104" s="86">
        <f>VLOOKUP($A104,'Data shares'!$C:$FA,96)</f>
        <v>-2130375</v>
      </c>
      <c r="M104" s="87">
        <f>VLOOKUP($A104,'Data shares'!$C:$FA,97)</f>
        <v>-5.8000000000000003E-2</v>
      </c>
      <c r="N104" s="86">
        <f>VLOOKUP($A104,'Data shares'!$C:$FA,78)</f>
        <v>46156500</v>
      </c>
      <c r="O104" s="87">
        <f>VLOOKUP($A104,'Data shares'!$C:$FA,81)</f>
        <v>-0.33660000000000001</v>
      </c>
    </row>
    <row r="105" spans="1:15" x14ac:dyDescent="0.25">
      <c r="A105" s="100" t="str">
        <f>'Data Vlaue (Cr)'!C100</f>
        <v>IRCTC</v>
      </c>
      <c r="B105" s="82">
        <f>VLOOKUP(A105,'Data shares'!$C$2:$CV$215,98,0)</f>
        <v>63889875</v>
      </c>
      <c r="C105" s="82">
        <f>VLOOKUP(A105,'Data shares'!$C$2:$CX$215,100,0)</f>
        <v>-96250</v>
      </c>
      <c r="D105" s="141">
        <f>VLOOKUP(A105,'Data shares'!$C$2:$CY$538,101,0)</f>
        <v>-1.5E-3</v>
      </c>
      <c r="E105" s="86">
        <f>VLOOKUP($A105,'Data shares'!$C:$FA,74)</f>
        <v>26356750</v>
      </c>
      <c r="F105" s="86">
        <f>VLOOKUP($A105,'Data shares'!$C:$FA,76)</f>
        <v>1205750</v>
      </c>
      <c r="G105" s="87">
        <f>VLOOKUP(A105,'Data shares'!$C$2:$CA$215,77,0)</f>
        <v>4.7899999999999998E-2</v>
      </c>
      <c r="H105" s="86">
        <f>VLOOKUP($A105,'Data shares'!$C:$FA,90)</f>
        <v>25291875</v>
      </c>
      <c r="I105" s="86">
        <f>VLOOKUP($A105,'Data shares'!$C:$FA,92)</f>
        <v>-1493625</v>
      </c>
      <c r="J105" s="87">
        <f>VLOOKUP($A105,'Data shares'!$C:$FA,93)</f>
        <v>-5.5800000000000002E-2</v>
      </c>
      <c r="K105" s="86">
        <f>VLOOKUP($A105,'Data shares'!$C:$FA,94)</f>
        <v>12241250</v>
      </c>
      <c r="L105" s="86">
        <f>VLOOKUP($A105,'Data shares'!$C:$FA,96)</f>
        <v>191625</v>
      </c>
      <c r="M105" s="87">
        <f>VLOOKUP($A105,'Data shares'!$C:$FA,97)</f>
        <v>1.5900000000000001E-2</v>
      </c>
      <c r="N105" s="86">
        <f>VLOOKUP($A105,'Data shares'!$C:$FA,78)</f>
        <v>9981125</v>
      </c>
      <c r="O105" s="87">
        <f>VLOOKUP($A105,'Data shares'!$C:$FA,81)</f>
        <v>-0.35539999999999999</v>
      </c>
    </row>
    <row r="106" spans="1:15" x14ac:dyDescent="0.25">
      <c r="A106" s="100" t="str">
        <f>'Data Vlaue (Cr)'!C101</f>
        <v>IREDA</v>
      </c>
      <c r="B106" s="82">
        <f>VLOOKUP(A106,'Data shares'!$C$2:$CV$215,98,0)</f>
        <v>159407250</v>
      </c>
      <c r="C106" s="82">
        <f>VLOOKUP(A106,'Data shares'!$C$2:$CX$215,100,0)</f>
        <v>-15480150</v>
      </c>
      <c r="D106" s="141">
        <f>VLOOKUP(A106,'Data shares'!$C$2:$CY$538,101,0)</f>
        <v>-8.8499999999999995E-2</v>
      </c>
      <c r="E106" s="86">
        <f>VLOOKUP($A106,'Data shares'!$C:$FA,74)</f>
        <v>72198150</v>
      </c>
      <c r="F106" s="86">
        <f>VLOOKUP($A106,'Data shares'!$C:$FA,76)</f>
        <v>-8876850</v>
      </c>
      <c r="G106" s="87">
        <f>VLOOKUP(A106,'Data shares'!$C$2:$CA$215,77,0)</f>
        <v>-0.1095</v>
      </c>
      <c r="H106" s="86">
        <f>VLOOKUP($A106,'Data shares'!$C:$FA,90)</f>
        <v>57984150</v>
      </c>
      <c r="I106" s="86">
        <f>VLOOKUP($A106,'Data shares'!$C:$FA,92)</f>
        <v>-6430800</v>
      </c>
      <c r="J106" s="87">
        <f>VLOOKUP($A106,'Data shares'!$C:$FA,93)</f>
        <v>-9.98E-2</v>
      </c>
      <c r="K106" s="86">
        <f>VLOOKUP($A106,'Data shares'!$C:$FA,94)</f>
        <v>29224950</v>
      </c>
      <c r="L106" s="86">
        <f>VLOOKUP($A106,'Data shares'!$C:$FA,96)</f>
        <v>-172500</v>
      </c>
      <c r="M106" s="87">
        <f>VLOOKUP($A106,'Data shares'!$C:$FA,97)</f>
        <v>-5.8999999999999999E-3</v>
      </c>
      <c r="N106" s="86">
        <f>VLOOKUP($A106,'Data shares'!$C:$FA,78)</f>
        <v>24139650</v>
      </c>
      <c r="O106" s="87">
        <f>VLOOKUP($A106,'Data shares'!$C:$FA,81)</f>
        <v>-0.46960000000000002</v>
      </c>
    </row>
    <row r="107" spans="1:15" x14ac:dyDescent="0.25">
      <c r="A107" s="100" t="str">
        <f>'Data Vlaue (Cr)'!C102</f>
        <v>IRFC</v>
      </c>
      <c r="B107" s="82">
        <f>VLOOKUP(A107,'Data shares'!$C$2:$CV$215,98,0)</f>
        <v>226648250</v>
      </c>
      <c r="C107" s="82">
        <f>VLOOKUP(A107,'Data shares'!$C$2:$CX$215,100,0)</f>
        <v>-6604500</v>
      </c>
      <c r="D107" s="141">
        <f>VLOOKUP(A107,'Data shares'!$C$2:$CY$538,101,0)</f>
        <v>-2.8299999999999999E-2</v>
      </c>
      <c r="E107" s="86">
        <f>VLOOKUP($A107,'Data shares'!$C:$FA,74)</f>
        <v>67039500</v>
      </c>
      <c r="F107" s="86">
        <f>VLOOKUP($A107,'Data shares'!$C:$FA,76)</f>
        <v>-6821250</v>
      </c>
      <c r="G107" s="87">
        <f>VLOOKUP(A107,'Data shares'!$C$2:$CA$215,77,0)</f>
        <v>-9.2399999999999996E-2</v>
      </c>
      <c r="H107" s="86">
        <f>VLOOKUP($A107,'Data shares'!$C:$FA,90)</f>
        <v>116836750</v>
      </c>
      <c r="I107" s="86">
        <f>VLOOKUP($A107,'Data shares'!$C:$FA,92)</f>
        <v>-131750</v>
      </c>
      <c r="J107" s="87">
        <f>VLOOKUP($A107,'Data shares'!$C:$FA,93)</f>
        <v>-1.1000000000000001E-3</v>
      </c>
      <c r="K107" s="86">
        <f>VLOOKUP($A107,'Data shares'!$C:$FA,94)</f>
        <v>42772000</v>
      </c>
      <c r="L107" s="86">
        <f>VLOOKUP($A107,'Data shares'!$C:$FA,96)</f>
        <v>348500</v>
      </c>
      <c r="M107" s="87">
        <f>VLOOKUP($A107,'Data shares'!$C:$FA,97)</f>
        <v>8.2000000000000007E-3</v>
      </c>
      <c r="N107" s="86">
        <f>VLOOKUP($A107,'Data shares'!$C:$FA,78)</f>
        <v>28764000</v>
      </c>
      <c r="O107" s="87">
        <f>VLOOKUP($A107,'Data shares'!$C:$FA,81)</f>
        <v>-0.36109999999999998</v>
      </c>
    </row>
    <row r="108" spans="1:15" x14ac:dyDescent="0.25">
      <c r="A108" s="100" t="str">
        <f>'Data Vlaue (Cr)'!C103</f>
        <v>ITC</v>
      </c>
      <c r="B108" s="82">
        <f>VLOOKUP(A108,'Data shares'!$C$2:$CV$215,98,0)</f>
        <v>649211200</v>
      </c>
      <c r="C108" s="82">
        <f>VLOOKUP(A108,'Data shares'!$C$2:$CX$215,100,0)</f>
        <v>-28475200</v>
      </c>
      <c r="D108" s="141">
        <f>VLOOKUP(A108,'Data shares'!$C$2:$CY$538,101,0)</f>
        <v>-4.2000000000000003E-2</v>
      </c>
      <c r="E108" s="86">
        <f>VLOOKUP($A108,'Data shares'!$C:$FA,74)</f>
        <v>238308800</v>
      </c>
      <c r="F108" s="86">
        <f>VLOOKUP($A108,'Data shares'!$C:$FA,76)</f>
        <v>-11440000</v>
      </c>
      <c r="G108" s="87">
        <f>VLOOKUP(A108,'Data shares'!$C$2:$CA$215,77,0)</f>
        <v>-4.58E-2</v>
      </c>
      <c r="H108" s="86">
        <f>VLOOKUP($A108,'Data shares'!$C:$FA,90)</f>
        <v>292944000</v>
      </c>
      <c r="I108" s="86">
        <f>VLOOKUP($A108,'Data shares'!$C:$FA,92)</f>
        <v>-16976000</v>
      </c>
      <c r="J108" s="87">
        <f>VLOOKUP($A108,'Data shares'!$C:$FA,93)</f>
        <v>-5.4800000000000001E-2</v>
      </c>
      <c r="K108" s="86">
        <f>VLOOKUP($A108,'Data shares'!$C:$FA,94)</f>
        <v>117958400</v>
      </c>
      <c r="L108" s="86">
        <f>VLOOKUP($A108,'Data shares'!$C:$FA,96)</f>
        <v>-59200</v>
      </c>
      <c r="M108" s="87">
        <f>VLOOKUP($A108,'Data shares'!$C:$FA,97)</f>
        <v>-5.0000000000000001E-4</v>
      </c>
      <c r="N108" s="86">
        <f>VLOOKUP($A108,'Data shares'!$C:$FA,78)</f>
        <v>148833600</v>
      </c>
      <c r="O108" s="87">
        <f>VLOOKUP($A108,'Data shares'!$C:$FA,81)</f>
        <v>-0.17699999999999999</v>
      </c>
    </row>
    <row r="109" spans="1:15" x14ac:dyDescent="0.25">
      <c r="A109" s="100" t="str">
        <f>'Data Vlaue (Cr)'!C104</f>
        <v>JINDALSTEL</v>
      </c>
      <c r="B109" s="82">
        <f>VLOOKUP(A109,'Data shares'!$C$2:$CV$215,98,0)</f>
        <v>19980000</v>
      </c>
      <c r="C109" s="82">
        <f>VLOOKUP(A109,'Data shares'!$C$2:$CX$215,100,0)</f>
        <v>-415625</v>
      </c>
      <c r="D109" s="141">
        <f>VLOOKUP(A109,'Data shares'!$C$2:$CY$538,101,0)</f>
        <v>-2.0400000000000001E-2</v>
      </c>
      <c r="E109" s="86">
        <f>VLOOKUP($A109,'Data shares'!$C:$FA,74)</f>
        <v>11535625</v>
      </c>
      <c r="F109" s="86">
        <f>VLOOKUP($A109,'Data shares'!$C:$FA,76)</f>
        <v>-148750</v>
      </c>
      <c r="G109" s="87">
        <f>VLOOKUP(A109,'Data shares'!$C$2:$CA$215,77,0)</f>
        <v>-1.2699999999999999E-2</v>
      </c>
      <c r="H109" s="86">
        <f>VLOOKUP($A109,'Data shares'!$C:$FA,90)</f>
        <v>4353125</v>
      </c>
      <c r="I109" s="86">
        <f>VLOOKUP($A109,'Data shares'!$C:$FA,92)</f>
        <v>-439375</v>
      </c>
      <c r="J109" s="87">
        <f>VLOOKUP($A109,'Data shares'!$C:$FA,93)</f>
        <v>-9.1700000000000004E-2</v>
      </c>
      <c r="K109" s="86">
        <f>VLOOKUP($A109,'Data shares'!$C:$FA,94)</f>
        <v>4091250</v>
      </c>
      <c r="L109" s="86">
        <f>VLOOKUP($A109,'Data shares'!$C:$FA,96)</f>
        <v>172500</v>
      </c>
      <c r="M109" s="87">
        <f>VLOOKUP($A109,'Data shares'!$C:$FA,97)</f>
        <v>4.3999999999999997E-2</v>
      </c>
      <c r="N109" s="86">
        <f>VLOOKUP($A109,'Data shares'!$C:$FA,78)</f>
        <v>4317500</v>
      </c>
      <c r="O109" s="87">
        <f>VLOOKUP($A109,'Data shares'!$C:$FA,81)</f>
        <v>-0.40029999999999999</v>
      </c>
    </row>
    <row r="110" spans="1:15" x14ac:dyDescent="0.25">
      <c r="A110" s="100" t="str">
        <f>'Data Vlaue (Cr)'!C105</f>
        <v>JIOFIN</v>
      </c>
      <c r="B110" s="82">
        <f>VLOOKUP(A110,'Data shares'!$C$2:$CV$215,98,0)</f>
        <v>322469350</v>
      </c>
      <c r="C110" s="82">
        <f>VLOOKUP(A110,'Data shares'!$C$2:$CX$215,100,0)</f>
        <v>956450</v>
      </c>
      <c r="D110" s="141">
        <f>VLOOKUP(A110,'Data shares'!$C$2:$CY$538,101,0)</f>
        <v>3.0000000000000001E-3</v>
      </c>
      <c r="E110" s="86">
        <f>VLOOKUP($A110,'Data shares'!$C:$FA,74)</f>
        <v>167059150</v>
      </c>
      <c r="F110" s="86">
        <f>VLOOKUP($A110,'Data shares'!$C:$FA,76)</f>
        <v>2190200</v>
      </c>
      <c r="G110" s="87">
        <f>VLOOKUP(A110,'Data shares'!$C$2:$CA$215,77,0)</f>
        <v>1.3299999999999999E-2</v>
      </c>
      <c r="H110" s="86">
        <f>VLOOKUP($A110,'Data shares'!$C:$FA,90)</f>
        <v>96568550</v>
      </c>
      <c r="I110" s="86">
        <f>VLOOKUP($A110,'Data shares'!$C:$FA,92)</f>
        <v>-89300</v>
      </c>
      <c r="J110" s="87">
        <f>VLOOKUP($A110,'Data shares'!$C:$FA,93)</f>
        <v>-8.9999999999999998E-4</v>
      </c>
      <c r="K110" s="86">
        <f>VLOOKUP($A110,'Data shares'!$C:$FA,94)</f>
        <v>58841650</v>
      </c>
      <c r="L110" s="86">
        <f>VLOOKUP($A110,'Data shares'!$C:$FA,96)</f>
        <v>-1144450</v>
      </c>
      <c r="M110" s="87">
        <f>VLOOKUP($A110,'Data shares'!$C:$FA,97)</f>
        <v>-1.9099999999999999E-2</v>
      </c>
      <c r="N110" s="86">
        <f>VLOOKUP($A110,'Data shares'!$C:$FA,78)</f>
        <v>76078900</v>
      </c>
      <c r="O110" s="87">
        <f>VLOOKUP($A110,'Data shares'!$C:$FA,81)</f>
        <v>-0.29959999999999998</v>
      </c>
    </row>
    <row r="111" spans="1:15" x14ac:dyDescent="0.25">
      <c r="A111" s="100" t="str">
        <f>'Data Vlaue (Cr)'!C106</f>
        <v>JSWENERGY</v>
      </c>
      <c r="B111" s="82">
        <f>VLOOKUP(A111,'Data shares'!$C$2:$CV$215,98,0)</f>
        <v>53056000</v>
      </c>
      <c r="C111" s="82">
        <f>VLOOKUP(A111,'Data shares'!$C$2:$CX$215,100,0)</f>
        <v>-1106000</v>
      </c>
      <c r="D111" s="141">
        <f>VLOOKUP(A111,'Data shares'!$C$2:$CY$538,101,0)</f>
        <v>-2.0400000000000001E-2</v>
      </c>
      <c r="E111" s="86">
        <f>VLOOKUP($A111,'Data shares'!$C:$FA,74)</f>
        <v>37745000</v>
      </c>
      <c r="F111" s="86">
        <f>VLOOKUP($A111,'Data shares'!$C:$FA,76)</f>
        <v>-704000</v>
      </c>
      <c r="G111" s="87">
        <f>VLOOKUP(A111,'Data shares'!$C$2:$CA$215,77,0)</f>
        <v>-1.83E-2</v>
      </c>
      <c r="H111" s="86">
        <f>VLOOKUP($A111,'Data shares'!$C:$FA,90)</f>
        <v>8811000</v>
      </c>
      <c r="I111" s="86">
        <f>VLOOKUP($A111,'Data shares'!$C:$FA,92)</f>
        <v>-141000</v>
      </c>
      <c r="J111" s="87">
        <f>VLOOKUP($A111,'Data shares'!$C:$FA,93)</f>
        <v>-1.5800000000000002E-2</v>
      </c>
      <c r="K111" s="86">
        <f>VLOOKUP($A111,'Data shares'!$C:$FA,94)</f>
        <v>6500000</v>
      </c>
      <c r="L111" s="86">
        <f>VLOOKUP($A111,'Data shares'!$C:$FA,96)</f>
        <v>-261000</v>
      </c>
      <c r="M111" s="87">
        <f>VLOOKUP($A111,'Data shares'!$C:$FA,97)</f>
        <v>-3.8600000000000002E-2</v>
      </c>
      <c r="N111" s="86">
        <f>VLOOKUP($A111,'Data shares'!$C:$FA,78)</f>
        <v>23223000</v>
      </c>
      <c r="O111" s="87">
        <f>VLOOKUP($A111,'Data shares'!$C:$FA,81)</f>
        <v>-0.1988</v>
      </c>
    </row>
    <row r="112" spans="1:15" x14ac:dyDescent="0.25">
      <c r="A112" s="100" t="str">
        <f>'Data Vlaue (Cr)'!C107</f>
        <v>JSWSTEEL</v>
      </c>
      <c r="B112" s="82">
        <f>VLOOKUP(A112,'Data shares'!$C$2:$CV$215,98,0)</f>
        <v>63620775</v>
      </c>
      <c r="C112" s="82">
        <f>VLOOKUP(A112,'Data shares'!$C$2:$CX$215,100,0)</f>
        <v>186975</v>
      </c>
      <c r="D112" s="141">
        <f>VLOOKUP(A112,'Data shares'!$C$2:$CY$538,101,0)</f>
        <v>2.8999999999999998E-3</v>
      </c>
      <c r="E112" s="86">
        <f>VLOOKUP($A112,'Data shares'!$C:$FA,74)</f>
        <v>50118075</v>
      </c>
      <c r="F112" s="86">
        <f>VLOOKUP($A112,'Data shares'!$C:$FA,76)</f>
        <v>316575</v>
      </c>
      <c r="G112" s="87">
        <f>VLOOKUP(A112,'Data shares'!$C$2:$CA$215,77,0)</f>
        <v>6.4000000000000003E-3</v>
      </c>
      <c r="H112" s="86">
        <f>VLOOKUP($A112,'Data shares'!$C:$FA,90)</f>
        <v>7013925</v>
      </c>
      <c r="I112" s="86">
        <f>VLOOKUP($A112,'Data shares'!$C:$FA,92)</f>
        <v>-197100</v>
      </c>
      <c r="J112" s="87">
        <f>VLOOKUP($A112,'Data shares'!$C:$FA,93)</f>
        <v>-2.7300000000000001E-2</v>
      </c>
      <c r="K112" s="86">
        <f>VLOOKUP($A112,'Data shares'!$C:$FA,94)</f>
        <v>6488775</v>
      </c>
      <c r="L112" s="86">
        <f>VLOOKUP($A112,'Data shares'!$C:$FA,96)</f>
        <v>67500</v>
      </c>
      <c r="M112" s="87">
        <f>VLOOKUP($A112,'Data shares'!$C:$FA,97)</f>
        <v>1.0500000000000001E-2</v>
      </c>
      <c r="N112" s="86">
        <f>VLOOKUP($A112,'Data shares'!$C:$FA,78)</f>
        <v>20731950</v>
      </c>
      <c r="O112" s="87">
        <f>VLOOKUP($A112,'Data shares'!$C:$FA,81)</f>
        <v>-0.3901</v>
      </c>
    </row>
    <row r="113" spans="1:15" x14ac:dyDescent="0.25">
      <c r="A113" s="100" t="str">
        <f>'Data Vlaue (Cr)'!C108</f>
        <v>JUBLFOOD</v>
      </c>
      <c r="B113" s="82">
        <f>VLOOKUP(A113,'Data shares'!$C$2:$CV$215,98,0)</f>
        <v>46830000</v>
      </c>
      <c r="C113" s="82">
        <f>VLOOKUP(A113,'Data shares'!$C$2:$CX$215,100,0)</f>
        <v>2392500</v>
      </c>
      <c r="D113" s="141">
        <f>VLOOKUP(A113,'Data shares'!$C$2:$CY$538,101,0)</f>
        <v>5.3800000000000001E-2</v>
      </c>
      <c r="E113" s="86">
        <f>VLOOKUP($A113,'Data shares'!$C:$FA,74)</f>
        <v>26746250</v>
      </c>
      <c r="F113" s="86">
        <f>VLOOKUP($A113,'Data shares'!$C:$FA,76)</f>
        <v>2827500</v>
      </c>
      <c r="G113" s="87">
        <f>VLOOKUP(A113,'Data shares'!$C$2:$CA$215,77,0)</f>
        <v>0.1182</v>
      </c>
      <c r="H113" s="86">
        <f>VLOOKUP($A113,'Data shares'!$C:$FA,90)</f>
        <v>12468750</v>
      </c>
      <c r="I113" s="86">
        <f>VLOOKUP($A113,'Data shares'!$C:$FA,92)</f>
        <v>-328750</v>
      </c>
      <c r="J113" s="87">
        <f>VLOOKUP($A113,'Data shares'!$C:$FA,93)</f>
        <v>-2.5700000000000001E-2</v>
      </c>
      <c r="K113" s="86">
        <f>VLOOKUP($A113,'Data shares'!$C:$FA,94)</f>
        <v>7615000</v>
      </c>
      <c r="L113" s="86">
        <f>VLOOKUP($A113,'Data shares'!$C:$FA,96)</f>
        <v>-106250</v>
      </c>
      <c r="M113" s="87">
        <f>VLOOKUP($A113,'Data shares'!$C:$FA,97)</f>
        <v>-1.38E-2</v>
      </c>
      <c r="N113" s="86">
        <f>VLOOKUP($A113,'Data shares'!$C:$FA,78)</f>
        <v>9451250</v>
      </c>
      <c r="O113" s="87">
        <f>VLOOKUP($A113,'Data shares'!$C:$FA,81)</f>
        <v>-0.36020000000000002</v>
      </c>
    </row>
    <row r="114" spans="1:15" x14ac:dyDescent="0.25">
      <c r="A114" s="100" t="str">
        <f>'Data Vlaue (Cr)'!C109</f>
        <v>KALYANKJIL</v>
      </c>
      <c r="B114" s="82">
        <f>VLOOKUP(A114,'Data shares'!$C$2:$CV$215,98,0)</f>
        <v>81977400</v>
      </c>
      <c r="C114" s="82">
        <f>VLOOKUP(A114,'Data shares'!$C$2:$CX$215,100,0)</f>
        <v>891825</v>
      </c>
      <c r="D114" s="141">
        <f>VLOOKUP(A114,'Data shares'!$C$2:$CY$538,101,0)</f>
        <v>1.0999999999999999E-2</v>
      </c>
      <c r="E114" s="86">
        <f>VLOOKUP($A114,'Data shares'!$C:$FA,74)</f>
        <v>34315875</v>
      </c>
      <c r="F114" s="86">
        <f>VLOOKUP($A114,'Data shares'!$C:$FA,76)</f>
        <v>-748475</v>
      </c>
      <c r="G114" s="87">
        <f>VLOOKUP(A114,'Data shares'!$C$2:$CA$215,77,0)</f>
        <v>-2.1299999999999999E-2</v>
      </c>
      <c r="H114" s="86">
        <f>VLOOKUP($A114,'Data shares'!$C:$FA,90)</f>
        <v>30592300</v>
      </c>
      <c r="I114" s="86">
        <f>VLOOKUP($A114,'Data shares'!$C:$FA,92)</f>
        <v>-621575</v>
      </c>
      <c r="J114" s="87">
        <f>VLOOKUP($A114,'Data shares'!$C:$FA,93)</f>
        <v>-1.9900000000000001E-2</v>
      </c>
      <c r="K114" s="86">
        <f>VLOOKUP($A114,'Data shares'!$C:$FA,94)</f>
        <v>17069225</v>
      </c>
      <c r="L114" s="86">
        <f>VLOOKUP($A114,'Data shares'!$C:$FA,96)</f>
        <v>2261875</v>
      </c>
      <c r="M114" s="87">
        <f>VLOOKUP($A114,'Data shares'!$C:$FA,97)</f>
        <v>0.15279999999999999</v>
      </c>
      <c r="N114" s="86">
        <f>VLOOKUP($A114,'Data shares'!$C:$FA,78)</f>
        <v>14669875</v>
      </c>
      <c r="O114" s="87">
        <f>VLOOKUP($A114,'Data shares'!$C:$FA,81)</f>
        <v>-0.35759999999999997</v>
      </c>
    </row>
    <row r="115" spans="1:15" x14ac:dyDescent="0.25">
      <c r="A115" s="100" t="str">
        <f>'Data Vlaue (Cr)'!C110</f>
        <v>KAYNES</v>
      </c>
      <c r="B115" s="82">
        <f>VLOOKUP(A115,'Data shares'!$C$2:$CV$215,98,0)</f>
        <v>8633200</v>
      </c>
      <c r="C115" s="82">
        <f>VLOOKUP(A115,'Data shares'!$C$2:$CX$215,100,0)</f>
        <v>-236000</v>
      </c>
      <c r="D115" s="141">
        <f>VLOOKUP(A115,'Data shares'!$C$2:$CY$538,101,0)</f>
        <v>-2.6599999999999999E-2</v>
      </c>
      <c r="E115" s="86">
        <f>VLOOKUP($A115,'Data shares'!$C:$FA,74)</f>
        <v>3593300</v>
      </c>
      <c r="F115" s="86">
        <f>VLOOKUP($A115,'Data shares'!$C:$FA,76)</f>
        <v>212300</v>
      </c>
      <c r="G115" s="87">
        <f>VLOOKUP(A115,'Data shares'!$C$2:$CA$215,77,0)</f>
        <v>6.2799999999999995E-2</v>
      </c>
      <c r="H115" s="86">
        <f>VLOOKUP($A115,'Data shares'!$C:$FA,90)</f>
        <v>3395700</v>
      </c>
      <c r="I115" s="86">
        <f>VLOOKUP($A115,'Data shares'!$C:$FA,92)</f>
        <v>-297000</v>
      </c>
      <c r="J115" s="87">
        <f>VLOOKUP($A115,'Data shares'!$C:$FA,93)</f>
        <v>-8.0399999999999999E-2</v>
      </c>
      <c r="K115" s="86">
        <f>VLOOKUP($A115,'Data shares'!$C:$FA,94)</f>
        <v>1644200</v>
      </c>
      <c r="L115" s="86">
        <f>VLOOKUP($A115,'Data shares'!$C:$FA,96)</f>
        <v>-151300</v>
      </c>
      <c r="M115" s="87">
        <f>VLOOKUP($A115,'Data shares'!$C:$FA,97)</f>
        <v>-8.43E-2</v>
      </c>
      <c r="N115" s="86">
        <f>VLOOKUP($A115,'Data shares'!$C:$FA,78)</f>
        <v>1646400</v>
      </c>
      <c r="O115" s="87">
        <f>VLOOKUP($A115,'Data shares'!$C:$FA,81)</f>
        <v>-0.35010000000000002</v>
      </c>
    </row>
    <row r="116" spans="1:15" x14ac:dyDescent="0.25">
      <c r="A116" s="100" t="str">
        <f>'Data Vlaue (Cr)'!C111</f>
        <v>KEI</v>
      </c>
      <c r="B116" s="82">
        <f>VLOOKUP(A116,'Data shares'!$C$2:$CV$215,98,0)</f>
        <v>3058300</v>
      </c>
      <c r="C116" s="82">
        <f>VLOOKUP(A116,'Data shares'!$C$2:$CX$215,100,0)</f>
        <v>430325</v>
      </c>
      <c r="D116" s="141">
        <f>VLOOKUP(A116,'Data shares'!$C$2:$CY$538,101,0)</f>
        <v>0.16370000000000001</v>
      </c>
      <c r="E116" s="86">
        <f>VLOOKUP($A116,'Data shares'!$C:$FA,74)</f>
        <v>1148700</v>
      </c>
      <c r="F116" s="86">
        <f>VLOOKUP($A116,'Data shares'!$C:$FA,76)</f>
        <v>226800</v>
      </c>
      <c r="G116" s="87">
        <f>VLOOKUP(A116,'Data shares'!$C$2:$CA$215,77,0)</f>
        <v>0.246</v>
      </c>
      <c r="H116" s="86">
        <f>VLOOKUP($A116,'Data shares'!$C:$FA,90)</f>
        <v>1195075</v>
      </c>
      <c r="I116" s="86">
        <f>VLOOKUP($A116,'Data shares'!$C:$FA,92)</f>
        <v>242025</v>
      </c>
      <c r="J116" s="87">
        <f>VLOOKUP($A116,'Data shares'!$C:$FA,93)</f>
        <v>0.25390000000000001</v>
      </c>
      <c r="K116" s="86">
        <f>VLOOKUP($A116,'Data shares'!$C:$FA,94)</f>
        <v>714525</v>
      </c>
      <c r="L116" s="86">
        <f>VLOOKUP($A116,'Data shares'!$C:$FA,96)</f>
        <v>-38500</v>
      </c>
      <c r="M116" s="87">
        <f>VLOOKUP($A116,'Data shares'!$C:$FA,97)</f>
        <v>-5.11E-2</v>
      </c>
      <c r="N116" s="86">
        <f>VLOOKUP($A116,'Data shares'!$C:$FA,78)</f>
        <v>389025</v>
      </c>
      <c r="O116" s="87">
        <f>VLOOKUP($A116,'Data shares'!$C:$FA,81)</f>
        <v>-0.48170000000000002</v>
      </c>
    </row>
    <row r="117" spans="1:15" x14ac:dyDescent="0.25">
      <c r="A117" s="100" t="str">
        <f>'Data Vlaue (Cr)'!C112</f>
        <v>KFINTECH</v>
      </c>
      <c r="B117" s="82">
        <f>VLOOKUP(A117,'Data shares'!$C$2:$CV$215,98,0)</f>
        <v>10355000</v>
      </c>
      <c r="C117" s="82">
        <f>VLOOKUP(A117,'Data shares'!$C$2:$CX$215,100,0)</f>
        <v>-1065000</v>
      </c>
      <c r="D117" s="141">
        <f>VLOOKUP(A117,'Data shares'!$C$2:$CY$538,101,0)</f>
        <v>-9.3299999999999994E-2</v>
      </c>
      <c r="E117" s="86">
        <f>VLOOKUP($A117,'Data shares'!$C:$FA,74)</f>
        <v>6813000</v>
      </c>
      <c r="F117" s="86">
        <f>VLOOKUP($A117,'Data shares'!$C:$FA,76)</f>
        <v>-653500</v>
      </c>
      <c r="G117" s="87">
        <f>VLOOKUP(A117,'Data shares'!$C$2:$CA$215,77,0)</f>
        <v>-8.7499999999999994E-2</v>
      </c>
      <c r="H117" s="86">
        <f>VLOOKUP($A117,'Data shares'!$C:$FA,90)</f>
        <v>1866000</v>
      </c>
      <c r="I117" s="86">
        <f>VLOOKUP($A117,'Data shares'!$C:$FA,92)</f>
        <v>-321000</v>
      </c>
      <c r="J117" s="87">
        <f>VLOOKUP($A117,'Data shares'!$C:$FA,93)</f>
        <v>-0.14680000000000001</v>
      </c>
      <c r="K117" s="86">
        <f>VLOOKUP($A117,'Data shares'!$C:$FA,94)</f>
        <v>1676000</v>
      </c>
      <c r="L117" s="86">
        <f>VLOOKUP($A117,'Data shares'!$C:$FA,96)</f>
        <v>-90500</v>
      </c>
      <c r="M117" s="87">
        <f>VLOOKUP($A117,'Data shares'!$C:$FA,97)</f>
        <v>-5.1200000000000002E-2</v>
      </c>
      <c r="N117" s="86">
        <f>VLOOKUP($A117,'Data shares'!$C:$FA,78)</f>
        <v>2620500</v>
      </c>
      <c r="O117" s="87">
        <f>VLOOKUP($A117,'Data shares'!$C:$FA,81)</f>
        <v>-0.38090000000000002</v>
      </c>
    </row>
    <row r="118" spans="1:15" x14ac:dyDescent="0.25">
      <c r="A118" s="100" t="str">
        <f>'Data Vlaue (Cr)'!C113</f>
        <v>KOTAKBANK</v>
      </c>
      <c r="B118" s="82">
        <f>VLOOKUP(A118,'Data shares'!$C$2:$CV$215,98,0)</f>
        <v>267124000</v>
      </c>
      <c r="C118" s="82">
        <f>VLOOKUP(A118,'Data shares'!$C$2:$CX$215,100,0)</f>
        <v>-1872000</v>
      </c>
      <c r="D118" s="141">
        <f>VLOOKUP(A118,'Data shares'!$C$2:$CY$538,101,0)</f>
        <v>-7.0000000000000001E-3</v>
      </c>
      <c r="E118" s="86">
        <f>VLOOKUP($A118,'Data shares'!$C:$FA,74)</f>
        <v>196264000</v>
      </c>
      <c r="F118" s="86">
        <f>VLOOKUP($A118,'Data shares'!$C:$FA,76)</f>
        <v>222000</v>
      </c>
      <c r="G118" s="87">
        <f>VLOOKUP(A118,'Data shares'!$C$2:$CA$215,77,0)</f>
        <v>1.1000000000000001E-3</v>
      </c>
      <c r="H118" s="86">
        <f>VLOOKUP($A118,'Data shares'!$C:$FA,90)</f>
        <v>43444000</v>
      </c>
      <c r="I118" s="86">
        <f>VLOOKUP($A118,'Data shares'!$C:$FA,92)</f>
        <v>-974000</v>
      </c>
      <c r="J118" s="87">
        <f>VLOOKUP($A118,'Data shares'!$C:$FA,93)</f>
        <v>-2.1899999999999999E-2</v>
      </c>
      <c r="K118" s="86">
        <f>VLOOKUP($A118,'Data shares'!$C:$FA,94)</f>
        <v>27416000</v>
      </c>
      <c r="L118" s="86">
        <f>VLOOKUP($A118,'Data shares'!$C:$FA,96)</f>
        <v>-1120000</v>
      </c>
      <c r="M118" s="87">
        <f>VLOOKUP($A118,'Data shares'!$C:$FA,97)</f>
        <v>-3.9199999999999999E-2</v>
      </c>
      <c r="N118" s="86">
        <f>VLOOKUP($A118,'Data shares'!$C:$FA,78)</f>
        <v>67000000</v>
      </c>
      <c r="O118" s="87">
        <f>VLOOKUP($A118,'Data shares'!$C:$FA,81)</f>
        <v>-0.3911</v>
      </c>
    </row>
    <row r="119" spans="1:15" x14ac:dyDescent="0.25">
      <c r="A119" s="100" t="str">
        <f>'Data Vlaue (Cr)'!C114</f>
        <v>KPITTECH</v>
      </c>
      <c r="B119" s="82">
        <f>VLOOKUP(A119,'Data shares'!$C$2:$CV$215,98,0)</f>
        <v>9022750</v>
      </c>
      <c r="C119" s="82">
        <f>VLOOKUP(A119,'Data shares'!$C$2:$CX$215,100,0)</f>
        <v>-43350</v>
      </c>
      <c r="D119" s="141">
        <f>VLOOKUP(A119,'Data shares'!$C$2:$CY$538,101,0)</f>
        <v>-4.7999999999999996E-3</v>
      </c>
      <c r="E119" s="86">
        <f>VLOOKUP($A119,'Data shares'!$C:$FA,74)</f>
        <v>4396625</v>
      </c>
      <c r="F119" s="86">
        <f>VLOOKUP($A119,'Data shares'!$C:$FA,76)</f>
        <v>-45900</v>
      </c>
      <c r="G119" s="87">
        <f>VLOOKUP(A119,'Data shares'!$C$2:$CA$215,77,0)</f>
        <v>-1.03E-2</v>
      </c>
      <c r="H119" s="86">
        <f>VLOOKUP($A119,'Data shares'!$C:$FA,90)</f>
        <v>2756550</v>
      </c>
      <c r="I119" s="86">
        <f>VLOOKUP($A119,'Data shares'!$C:$FA,92)</f>
        <v>5100</v>
      </c>
      <c r="J119" s="87">
        <f>VLOOKUP($A119,'Data shares'!$C:$FA,93)</f>
        <v>1.9E-3</v>
      </c>
      <c r="K119" s="86">
        <f>VLOOKUP($A119,'Data shares'!$C:$FA,94)</f>
        <v>1869575</v>
      </c>
      <c r="L119" s="86">
        <f>VLOOKUP($A119,'Data shares'!$C:$FA,96)</f>
        <v>-2550</v>
      </c>
      <c r="M119" s="87">
        <f>VLOOKUP($A119,'Data shares'!$C:$FA,97)</f>
        <v>-1.4E-3</v>
      </c>
      <c r="N119" s="86">
        <f>VLOOKUP($A119,'Data shares'!$C:$FA,78)</f>
        <v>1738675</v>
      </c>
      <c r="O119" s="87">
        <f>VLOOKUP($A119,'Data shares'!$C:$FA,81)</f>
        <v>-0.36080000000000001</v>
      </c>
    </row>
    <row r="120" spans="1:15" x14ac:dyDescent="0.25">
      <c r="A120" s="100" t="str">
        <f>'Data Vlaue (Cr)'!C115</f>
        <v>LAURUSLABS</v>
      </c>
      <c r="B120" s="82">
        <f>VLOOKUP(A120,'Data shares'!$C$2:$CV$215,98,0)</f>
        <v>42481300</v>
      </c>
      <c r="C120" s="82">
        <f>VLOOKUP(A120,'Data shares'!$C$2:$CX$215,100,0)</f>
        <v>1307300</v>
      </c>
      <c r="D120" s="141">
        <f>VLOOKUP(A120,'Data shares'!$C$2:$CY$538,101,0)</f>
        <v>3.1800000000000002E-2</v>
      </c>
      <c r="E120" s="86">
        <f>VLOOKUP($A120,'Data shares'!$C:$FA,74)</f>
        <v>19228700</v>
      </c>
      <c r="F120" s="86">
        <f>VLOOKUP($A120,'Data shares'!$C:$FA,76)</f>
        <v>957950</v>
      </c>
      <c r="G120" s="87">
        <f>VLOOKUP(A120,'Data shares'!$C$2:$CA$215,77,0)</f>
        <v>5.2400000000000002E-2</v>
      </c>
      <c r="H120" s="86">
        <f>VLOOKUP($A120,'Data shares'!$C:$FA,90)</f>
        <v>15251550</v>
      </c>
      <c r="I120" s="86">
        <f>VLOOKUP($A120,'Data shares'!$C:$FA,92)</f>
        <v>380800</v>
      </c>
      <c r="J120" s="87">
        <f>VLOOKUP($A120,'Data shares'!$C:$FA,93)</f>
        <v>2.5600000000000001E-2</v>
      </c>
      <c r="K120" s="86">
        <f>VLOOKUP($A120,'Data shares'!$C:$FA,94)</f>
        <v>8001050</v>
      </c>
      <c r="L120" s="86">
        <f>VLOOKUP($A120,'Data shares'!$C:$FA,96)</f>
        <v>-31450</v>
      </c>
      <c r="M120" s="87">
        <f>VLOOKUP($A120,'Data shares'!$C:$FA,97)</f>
        <v>-3.8999999999999998E-3</v>
      </c>
      <c r="N120" s="86">
        <f>VLOOKUP($A120,'Data shares'!$C:$FA,78)</f>
        <v>8278150</v>
      </c>
      <c r="O120" s="87">
        <f>VLOOKUP($A120,'Data shares'!$C:$FA,81)</f>
        <v>-0.2334</v>
      </c>
    </row>
    <row r="121" spans="1:15" x14ac:dyDescent="0.25">
      <c r="A121" s="100" t="str">
        <f>'Data Vlaue (Cr)'!C116</f>
        <v>LICHSGFIN</v>
      </c>
      <c r="B121" s="82">
        <f>VLOOKUP(A121,'Data shares'!$C$2:$CV$215,98,0)</f>
        <v>49135000</v>
      </c>
      <c r="C121" s="82">
        <f>VLOOKUP(A121,'Data shares'!$C$2:$CX$215,100,0)</f>
        <v>-1439000</v>
      </c>
      <c r="D121" s="141">
        <f>VLOOKUP(A121,'Data shares'!$C$2:$CY$538,101,0)</f>
        <v>-2.8500000000000001E-2</v>
      </c>
      <c r="E121" s="86">
        <f>VLOOKUP($A121,'Data shares'!$C:$FA,74)</f>
        <v>31761000</v>
      </c>
      <c r="F121" s="86">
        <f>VLOOKUP($A121,'Data shares'!$C:$FA,76)</f>
        <v>-480000</v>
      </c>
      <c r="G121" s="87">
        <f>VLOOKUP(A121,'Data shares'!$C$2:$CA$215,77,0)</f>
        <v>-1.49E-2</v>
      </c>
      <c r="H121" s="86">
        <f>VLOOKUP($A121,'Data shares'!$C:$FA,90)</f>
        <v>8295000</v>
      </c>
      <c r="I121" s="86">
        <f>VLOOKUP($A121,'Data shares'!$C:$FA,92)</f>
        <v>-1034000</v>
      </c>
      <c r="J121" s="87">
        <f>VLOOKUP($A121,'Data shares'!$C:$FA,93)</f>
        <v>-0.1108</v>
      </c>
      <c r="K121" s="86">
        <f>VLOOKUP($A121,'Data shares'!$C:$FA,94)</f>
        <v>9079000</v>
      </c>
      <c r="L121" s="86">
        <f>VLOOKUP($A121,'Data shares'!$C:$FA,96)</f>
        <v>75000</v>
      </c>
      <c r="M121" s="87">
        <f>VLOOKUP($A121,'Data shares'!$C:$FA,97)</f>
        <v>8.3000000000000001E-3</v>
      </c>
      <c r="N121" s="86">
        <f>VLOOKUP($A121,'Data shares'!$C:$FA,78)</f>
        <v>15283000</v>
      </c>
      <c r="O121" s="87">
        <f>VLOOKUP($A121,'Data shares'!$C:$FA,81)</f>
        <v>-0.2429</v>
      </c>
    </row>
    <row r="122" spans="1:15" x14ac:dyDescent="0.25">
      <c r="A122" s="100" t="str">
        <f>'Data Vlaue (Cr)'!C117</f>
        <v>LICI</v>
      </c>
      <c r="B122" s="82">
        <f>VLOOKUP(A122,'Data shares'!$C$2:$CV$215,98,0)</f>
        <v>22969100</v>
      </c>
      <c r="C122" s="82">
        <f>VLOOKUP(A122,'Data shares'!$C$2:$CX$215,100,0)</f>
        <v>-684600</v>
      </c>
      <c r="D122" s="141">
        <f>VLOOKUP(A122,'Data shares'!$C$2:$CY$538,101,0)</f>
        <v>-2.8899999999999999E-2</v>
      </c>
      <c r="E122" s="86">
        <f>VLOOKUP($A122,'Data shares'!$C:$FA,74)</f>
        <v>12013400</v>
      </c>
      <c r="F122" s="86">
        <f>VLOOKUP($A122,'Data shares'!$C:$FA,76)</f>
        <v>-251300</v>
      </c>
      <c r="G122" s="87">
        <f>VLOOKUP(A122,'Data shares'!$C$2:$CA$215,77,0)</f>
        <v>-2.0500000000000001E-2</v>
      </c>
      <c r="H122" s="86">
        <f>VLOOKUP($A122,'Data shares'!$C:$FA,90)</f>
        <v>6934200</v>
      </c>
      <c r="I122" s="86">
        <f>VLOOKUP($A122,'Data shares'!$C:$FA,92)</f>
        <v>-173600</v>
      </c>
      <c r="J122" s="87">
        <f>VLOOKUP($A122,'Data shares'!$C:$FA,93)</f>
        <v>-2.4400000000000002E-2</v>
      </c>
      <c r="K122" s="86">
        <f>VLOOKUP($A122,'Data shares'!$C:$FA,94)</f>
        <v>4021500</v>
      </c>
      <c r="L122" s="86">
        <f>VLOOKUP($A122,'Data shares'!$C:$FA,96)</f>
        <v>-259700</v>
      </c>
      <c r="M122" s="87">
        <f>VLOOKUP($A122,'Data shares'!$C:$FA,97)</f>
        <v>-6.0699999999999997E-2</v>
      </c>
      <c r="N122" s="86">
        <f>VLOOKUP($A122,'Data shares'!$C:$FA,78)</f>
        <v>6118000</v>
      </c>
      <c r="O122" s="87">
        <f>VLOOKUP($A122,'Data shares'!$C:$FA,81)</f>
        <v>-0.29709999999999998</v>
      </c>
    </row>
    <row r="123" spans="1:15" x14ac:dyDescent="0.25">
      <c r="A123" s="100" t="str">
        <f>'Data Vlaue (Cr)'!C118</f>
        <v>LODHA</v>
      </c>
      <c r="B123" s="82">
        <f>VLOOKUP(A123,'Data shares'!$C$2:$CV$215,98,0)</f>
        <v>18966150</v>
      </c>
      <c r="C123" s="82">
        <f>VLOOKUP(A123,'Data shares'!$C$2:$CX$215,100,0)</f>
        <v>819000</v>
      </c>
      <c r="D123" s="141">
        <f>VLOOKUP(A123,'Data shares'!$C$2:$CY$538,101,0)</f>
        <v>4.5100000000000001E-2</v>
      </c>
      <c r="E123" s="86">
        <f>VLOOKUP($A123,'Data shares'!$C:$FA,74)</f>
        <v>11537550</v>
      </c>
      <c r="F123" s="86">
        <f>VLOOKUP($A123,'Data shares'!$C:$FA,76)</f>
        <v>827550</v>
      </c>
      <c r="G123" s="87">
        <f>VLOOKUP(A123,'Data shares'!$C$2:$CA$215,77,0)</f>
        <v>7.7299999999999994E-2</v>
      </c>
      <c r="H123" s="86">
        <f>VLOOKUP($A123,'Data shares'!$C:$FA,90)</f>
        <v>4887000</v>
      </c>
      <c r="I123" s="86">
        <f>VLOOKUP($A123,'Data shares'!$C:$FA,92)</f>
        <v>-43650</v>
      </c>
      <c r="J123" s="87">
        <f>VLOOKUP($A123,'Data shares'!$C:$FA,93)</f>
        <v>-8.8999999999999999E-3</v>
      </c>
      <c r="K123" s="86">
        <f>VLOOKUP($A123,'Data shares'!$C:$FA,94)</f>
        <v>2541600</v>
      </c>
      <c r="L123" s="86">
        <f>VLOOKUP($A123,'Data shares'!$C:$FA,96)</f>
        <v>35100</v>
      </c>
      <c r="M123" s="87">
        <f>VLOOKUP($A123,'Data shares'!$C:$FA,97)</f>
        <v>1.4E-2</v>
      </c>
      <c r="N123" s="86">
        <f>VLOOKUP($A123,'Data shares'!$C:$FA,78)</f>
        <v>4881600</v>
      </c>
      <c r="O123" s="87">
        <f>VLOOKUP($A123,'Data shares'!$C:$FA,81)</f>
        <v>-0.2848</v>
      </c>
    </row>
    <row r="124" spans="1:15" x14ac:dyDescent="0.25">
      <c r="A124" s="100" t="str">
        <f>'Data Vlaue (Cr)'!C119</f>
        <v>LT</v>
      </c>
      <c r="B124" s="82">
        <f>VLOOKUP(A124,'Data shares'!$C$2:$CV$215,98,0)</f>
        <v>25759475</v>
      </c>
      <c r="C124" s="82">
        <f>VLOOKUP(A124,'Data shares'!$C$2:$CX$215,100,0)</f>
        <v>62825</v>
      </c>
      <c r="D124" s="141">
        <f>VLOOKUP(A124,'Data shares'!$C$2:$CY$538,101,0)</f>
        <v>2.3999999999999998E-3</v>
      </c>
      <c r="E124" s="86">
        <f>VLOOKUP($A124,'Data shares'!$C:$FA,74)</f>
        <v>15075025</v>
      </c>
      <c r="F124" s="86">
        <f>VLOOKUP($A124,'Data shares'!$C:$FA,76)</f>
        <v>161175</v>
      </c>
      <c r="G124" s="87">
        <f>VLOOKUP(A124,'Data shares'!$C$2:$CA$215,77,0)</f>
        <v>1.0800000000000001E-2</v>
      </c>
      <c r="H124" s="86">
        <f>VLOOKUP($A124,'Data shares'!$C:$FA,90)</f>
        <v>7199325</v>
      </c>
      <c r="I124" s="86">
        <f>VLOOKUP($A124,'Data shares'!$C:$FA,92)</f>
        <v>-199325</v>
      </c>
      <c r="J124" s="87">
        <f>VLOOKUP($A124,'Data shares'!$C:$FA,93)</f>
        <v>-2.69E-2</v>
      </c>
      <c r="K124" s="86">
        <f>VLOOKUP($A124,'Data shares'!$C:$FA,94)</f>
        <v>3485125</v>
      </c>
      <c r="L124" s="86">
        <f>VLOOKUP($A124,'Data shares'!$C:$FA,96)</f>
        <v>100975</v>
      </c>
      <c r="M124" s="87">
        <f>VLOOKUP($A124,'Data shares'!$C:$FA,97)</f>
        <v>2.98E-2</v>
      </c>
      <c r="N124" s="86">
        <f>VLOOKUP($A124,'Data shares'!$C:$FA,78)</f>
        <v>6747125</v>
      </c>
      <c r="O124" s="87">
        <f>VLOOKUP($A124,'Data shares'!$C:$FA,81)</f>
        <v>-0.35580000000000001</v>
      </c>
    </row>
    <row r="125" spans="1:15" x14ac:dyDescent="0.25">
      <c r="A125" s="100" t="str">
        <f>'Data Vlaue (Cr)'!C120</f>
        <v>LTF</v>
      </c>
      <c r="B125" s="82">
        <f>VLOOKUP(A125,'Data shares'!$C$2:$CV$215,98,0)</f>
        <v>129132000</v>
      </c>
      <c r="C125" s="82">
        <f>VLOOKUP(A125,'Data shares'!$C$2:$CX$215,100,0)</f>
        <v>-5514750</v>
      </c>
      <c r="D125" s="141">
        <f>VLOOKUP(A125,'Data shares'!$C$2:$CY$538,101,0)</f>
        <v>-4.1000000000000002E-2</v>
      </c>
      <c r="E125" s="86">
        <f>VLOOKUP($A125,'Data shares'!$C:$FA,74)</f>
        <v>51509250</v>
      </c>
      <c r="F125" s="86">
        <f>VLOOKUP($A125,'Data shares'!$C:$FA,76)</f>
        <v>783000</v>
      </c>
      <c r="G125" s="87">
        <f>VLOOKUP(A125,'Data shares'!$C$2:$CA$215,77,0)</f>
        <v>1.54E-2</v>
      </c>
      <c r="H125" s="86">
        <f>VLOOKUP($A125,'Data shares'!$C:$FA,90)</f>
        <v>53124750</v>
      </c>
      <c r="I125" s="86">
        <f>VLOOKUP($A125,'Data shares'!$C:$FA,92)</f>
        <v>-5260500</v>
      </c>
      <c r="J125" s="87">
        <f>VLOOKUP($A125,'Data shares'!$C:$FA,93)</f>
        <v>-9.01E-2</v>
      </c>
      <c r="K125" s="86">
        <f>VLOOKUP($A125,'Data shares'!$C:$FA,94)</f>
        <v>24498000</v>
      </c>
      <c r="L125" s="86">
        <f>VLOOKUP($A125,'Data shares'!$C:$FA,96)</f>
        <v>-1037250</v>
      </c>
      <c r="M125" s="87">
        <f>VLOOKUP($A125,'Data shares'!$C:$FA,97)</f>
        <v>-4.0599999999999997E-2</v>
      </c>
      <c r="N125" s="86">
        <f>VLOOKUP($A125,'Data shares'!$C:$FA,78)</f>
        <v>19647000</v>
      </c>
      <c r="O125" s="87">
        <f>VLOOKUP($A125,'Data shares'!$C:$FA,81)</f>
        <v>-0.3952</v>
      </c>
    </row>
    <row r="126" spans="1:15" x14ac:dyDescent="0.25">
      <c r="A126" s="100" t="str">
        <f>'Data Vlaue (Cr)'!C121</f>
        <v>LTIM</v>
      </c>
      <c r="B126" s="82">
        <f>VLOOKUP(A126,'Data shares'!$C$2:$CV$215,98,0)</f>
        <v>5721000</v>
      </c>
      <c r="C126" s="82">
        <f>VLOOKUP(A126,'Data shares'!$C$2:$CX$215,100,0)</f>
        <v>-527550</v>
      </c>
      <c r="D126" s="141">
        <f>VLOOKUP(A126,'Data shares'!$C$2:$CY$538,101,0)</f>
        <v>-8.4400000000000003E-2</v>
      </c>
      <c r="E126" s="86">
        <f>VLOOKUP($A126,'Data shares'!$C:$FA,74)</f>
        <v>2841450</v>
      </c>
      <c r="F126" s="86">
        <f>VLOOKUP($A126,'Data shares'!$C:$FA,76)</f>
        <v>-53250</v>
      </c>
      <c r="G126" s="87">
        <f>VLOOKUP(A126,'Data shares'!$C$2:$CA$215,77,0)</f>
        <v>-1.84E-2</v>
      </c>
      <c r="H126" s="86">
        <f>VLOOKUP($A126,'Data shares'!$C:$FA,90)</f>
        <v>1814400</v>
      </c>
      <c r="I126" s="86">
        <f>VLOOKUP($A126,'Data shares'!$C:$FA,92)</f>
        <v>-415050</v>
      </c>
      <c r="J126" s="87">
        <f>VLOOKUP($A126,'Data shares'!$C:$FA,93)</f>
        <v>-0.1862</v>
      </c>
      <c r="K126" s="86">
        <f>VLOOKUP($A126,'Data shares'!$C:$FA,94)</f>
        <v>1065150</v>
      </c>
      <c r="L126" s="86">
        <f>VLOOKUP($A126,'Data shares'!$C:$FA,96)</f>
        <v>-59250</v>
      </c>
      <c r="M126" s="87">
        <f>VLOOKUP($A126,'Data shares'!$C:$FA,97)</f>
        <v>-5.2699999999999997E-2</v>
      </c>
      <c r="N126" s="86">
        <f>VLOOKUP($A126,'Data shares'!$C:$FA,78)</f>
        <v>1327200</v>
      </c>
      <c r="O126" s="87">
        <f>VLOOKUP($A126,'Data shares'!$C:$FA,81)</f>
        <v>-0.35630000000000001</v>
      </c>
    </row>
    <row r="127" spans="1:15" x14ac:dyDescent="0.25">
      <c r="A127" s="100" t="str">
        <f>'Data Vlaue (Cr)'!C122</f>
        <v>LUPIN</v>
      </c>
      <c r="B127" s="82">
        <f>VLOOKUP(A127,'Data shares'!$C$2:$CV$215,98,0)</f>
        <v>11141800</v>
      </c>
      <c r="C127" s="82">
        <f>VLOOKUP(A127,'Data shares'!$C$2:$CX$215,100,0)</f>
        <v>-247350</v>
      </c>
      <c r="D127" s="141">
        <f>VLOOKUP(A127,'Data shares'!$C$2:$CY$538,101,0)</f>
        <v>-2.1700000000000001E-2</v>
      </c>
      <c r="E127" s="86">
        <f>VLOOKUP($A127,'Data shares'!$C:$FA,74)</f>
        <v>7400100</v>
      </c>
      <c r="F127" s="86">
        <f>VLOOKUP($A127,'Data shares'!$C:$FA,76)</f>
        <v>297925</v>
      </c>
      <c r="G127" s="87">
        <f>VLOOKUP(A127,'Data shares'!$C$2:$CA$215,77,0)</f>
        <v>4.19E-2</v>
      </c>
      <c r="H127" s="86">
        <f>VLOOKUP($A127,'Data shares'!$C:$FA,90)</f>
        <v>2349400</v>
      </c>
      <c r="I127" s="86">
        <f>VLOOKUP($A127,'Data shares'!$C:$FA,92)</f>
        <v>-336600</v>
      </c>
      <c r="J127" s="87">
        <f>VLOOKUP($A127,'Data shares'!$C:$FA,93)</f>
        <v>-0.12529999999999999</v>
      </c>
      <c r="K127" s="86">
        <f>VLOOKUP($A127,'Data shares'!$C:$FA,94)</f>
        <v>1392300</v>
      </c>
      <c r="L127" s="86">
        <f>VLOOKUP($A127,'Data shares'!$C:$FA,96)</f>
        <v>-208675</v>
      </c>
      <c r="M127" s="87">
        <f>VLOOKUP($A127,'Data shares'!$C:$FA,97)</f>
        <v>-0.1303</v>
      </c>
      <c r="N127" s="86">
        <f>VLOOKUP($A127,'Data shares'!$C:$FA,78)</f>
        <v>3738300</v>
      </c>
      <c r="O127" s="87">
        <f>VLOOKUP($A127,'Data shares'!$C:$FA,81)</f>
        <v>-0.31790000000000002</v>
      </c>
    </row>
    <row r="128" spans="1:15" x14ac:dyDescent="0.25">
      <c r="A128" s="100" t="str">
        <f>'Data Vlaue (Cr)'!C123</f>
        <v>M&amp;M</v>
      </c>
      <c r="B128" s="82">
        <f>VLOOKUP(A128,'Data shares'!$C$2:$CV$215,98,0)</f>
        <v>24416000</v>
      </c>
      <c r="C128" s="82">
        <f>VLOOKUP(A128,'Data shares'!$C$2:$CX$215,100,0)</f>
        <v>-209800</v>
      </c>
      <c r="D128" s="141">
        <f>VLOOKUP(A128,'Data shares'!$C$2:$CY$538,101,0)</f>
        <v>-8.5000000000000006E-3</v>
      </c>
      <c r="E128" s="86">
        <f>VLOOKUP($A128,'Data shares'!$C:$FA,74)</f>
        <v>18254000</v>
      </c>
      <c r="F128" s="86">
        <f>VLOOKUP($A128,'Data shares'!$C:$FA,76)</f>
        <v>397800</v>
      </c>
      <c r="G128" s="87">
        <f>VLOOKUP(A128,'Data shares'!$C$2:$CA$215,77,0)</f>
        <v>2.23E-2</v>
      </c>
      <c r="H128" s="86">
        <f>VLOOKUP($A128,'Data shares'!$C:$FA,90)</f>
        <v>3853000</v>
      </c>
      <c r="I128" s="86">
        <f>VLOOKUP($A128,'Data shares'!$C:$FA,92)</f>
        <v>-547800</v>
      </c>
      <c r="J128" s="87">
        <f>VLOOKUP($A128,'Data shares'!$C:$FA,93)</f>
        <v>-0.1245</v>
      </c>
      <c r="K128" s="86">
        <f>VLOOKUP($A128,'Data shares'!$C:$FA,94)</f>
        <v>2309000</v>
      </c>
      <c r="L128" s="86">
        <f>VLOOKUP($A128,'Data shares'!$C:$FA,96)</f>
        <v>-59800</v>
      </c>
      <c r="M128" s="87">
        <f>VLOOKUP($A128,'Data shares'!$C:$FA,97)</f>
        <v>-2.52E-2</v>
      </c>
      <c r="N128" s="86">
        <f>VLOOKUP($A128,'Data shares'!$C:$FA,78)</f>
        <v>5898200</v>
      </c>
      <c r="O128" s="87">
        <f>VLOOKUP($A128,'Data shares'!$C:$FA,81)</f>
        <v>-0.54179999999999995</v>
      </c>
    </row>
    <row r="129" spans="1:15" x14ac:dyDescent="0.25">
      <c r="A129" s="100" t="str">
        <f>'Data Vlaue (Cr)'!C124</f>
        <v>MANAPPURAM</v>
      </c>
      <c r="B129" s="82">
        <f>VLOOKUP(A129,'Data shares'!$C$2:$CV$215,98,0)</f>
        <v>94983000</v>
      </c>
      <c r="C129" s="82">
        <f>VLOOKUP(A129,'Data shares'!$C$2:$CX$215,100,0)</f>
        <v>-8187000</v>
      </c>
      <c r="D129" s="141">
        <f>VLOOKUP(A129,'Data shares'!$C$2:$CY$538,101,0)</f>
        <v>-7.9399999999999998E-2</v>
      </c>
      <c r="E129" s="86">
        <f>VLOOKUP($A129,'Data shares'!$C:$FA,74)</f>
        <v>43419000</v>
      </c>
      <c r="F129" s="86">
        <f>VLOOKUP($A129,'Data shares'!$C:$FA,76)</f>
        <v>-1944000</v>
      </c>
      <c r="G129" s="87">
        <f>VLOOKUP(A129,'Data shares'!$C$2:$CA$215,77,0)</f>
        <v>-4.2900000000000001E-2</v>
      </c>
      <c r="H129" s="86">
        <f>VLOOKUP($A129,'Data shares'!$C:$FA,90)</f>
        <v>29541000</v>
      </c>
      <c r="I129" s="86">
        <f>VLOOKUP($A129,'Data shares'!$C:$FA,92)</f>
        <v>-6237000</v>
      </c>
      <c r="J129" s="87">
        <f>VLOOKUP($A129,'Data shares'!$C:$FA,93)</f>
        <v>-0.17430000000000001</v>
      </c>
      <c r="K129" s="86">
        <f>VLOOKUP($A129,'Data shares'!$C:$FA,94)</f>
        <v>22023000</v>
      </c>
      <c r="L129" s="86">
        <f>VLOOKUP($A129,'Data shares'!$C:$FA,96)</f>
        <v>-6000</v>
      </c>
      <c r="M129" s="87">
        <f>VLOOKUP($A129,'Data shares'!$C:$FA,97)</f>
        <v>-2.9999999999999997E-4</v>
      </c>
      <c r="N129" s="86">
        <f>VLOOKUP($A129,'Data shares'!$C:$FA,78)</f>
        <v>24666000</v>
      </c>
      <c r="O129" s="87">
        <f>VLOOKUP($A129,'Data shares'!$C:$FA,81)</f>
        <v>-0.25719999999999998</v>
      </c>
    </row>
    <row r="130" spans="1:15" x14ac:dyDescent="0.25">
      <c r="A130" s="100" t="str">
        <f>'Data Vlaue (Cr)'!C125</f>
        <v>MANKIND</v>
      </c>
      <c r="B130" s="82">
        <f>VLOOKUP(A130,'Data shares'!$C$2:$CV$215,98,0)</f>
        <v>3824325</v>
      </c>
      <c r="C130" s="82">
        <f>VLOOKUP(A130,'Data shares'!$C$2:$CX$215,100,0)</f>
        <v>-220725</v>
      </c>
      <c r="D130" s="141">
        <f>VLOOKUP(A130,'Data shares'!$C$2:$CY$538,101,0)</f>
        <v>-5.4600000000000003E-2</v>
      </c>
      <c r="E130" s="86">
        <f>VLOOKUP($A130,'Data shares'!$C:$FA,74)</f>
        <v>2144025</v>
      </c>
      <c r="F130" s="86">
        <f>VLOOKUP($A130,'Data shares'!$C:$FA,76)</f>
        <v>-27000</v>
      </c>
      <c r="G130" s="87">
        <f>VLOOKUP(A130,'Data shares'!$C$2:$CA$215,77,0)</f>
        <v>-1.24E-2</v>
      </c>
      <c r="H130" s="86">
        <f>VLOOKUP($A130,'Data shares'!$C:$FA,90)</f>
        <v>1066050</v>
      </c>
      <c r="I130" s="86">
        <f>VLOOKUP($A130,'Data shares'!$C:$FA,92)</f>
        <v>-105075</v>
      </c>
      <c r="J130" s="87">
        <f>VLOOKUP($A130,'Data shares'!$C:$FA,93)</f>
        <v>-8.9700000000000002E-2</v>
      </c>
      <c r="K130" s="86">
        <f>VLOOKUP($A130,'Data shares'!$C:$FA,94)</f>
        <v>614250</v>
      </c>
      <c r="L130" s="86">
        <f>VLOOKUP($A130,'Data shares'!$C:$FA,96)</f>
        <v>-88650</v>
      </c>
      <c r="M130" s="87">
        <f>VLOOKUP($A130,'Data shares'!$C:$FA,97)</f>
        <v>-0.12609999999999999</v>
      </c>
      <c r="N130" s="86">
        <f>VLOOKUP($A130,'Data shares'!$C:$FA,78)</f>
        <v>787500</v>
      </c>
      <c r="O130" s="87">
        <f>VLOOKUP($A130,'Data shares'!$C:$FA,81)</f>
        <v>-0.50129999999999997</v>
      </c>
    </row>
    <row r="131" spans="1:15" x14ac:dyDescent="0.25">
      <c r="A131" s="100" t="str">
        <f>'Data Vlaue (Cr)'!C126</f>
        <v>MARICO</v>
      </c>
      <c r="B131" s="82">
        <f>VLOOKUP(A131,'Data shares'!$C$2:$CV$215,98,0)</f>
        <v>43974000</v>
      </c>
      <c r="C131" s="82">
        <f>VLOOKUP(A131,'Data shares'!$C$2:$CX$215,100,0)</f>
        <v>-16800</v>
      </c>
      <c r="D131" s="141">
        <f>VLOOKUP(A131,'Data shares'!$C$2:$CY$538,101,0)</f>
        <v>-4.0000000000000002E-4</v>
      </c>
      <c r="E131" s="86">
        <f>VLOOKUP($A131,'Data shares'!$C:$FA,74)</f>
        <v>32968800</v>
      </c>
      <c r="F131" s="86">
        <f>VLOOKUP($A131,'Data shares'!$C:$FA,76)</f>
        <v>601200</v>
      </c>
      <c r="G131" s="87">
        <f>VLOOKUP(A131,'Data shares'!$C$2:$CA$215,77,0)</f>
        <v>1.8599999999999998E-2</v>
      </c>
      <c r="H131" s="86">
        <f>VLOOKUP($A131,'Data shares'!$C:$FA,90)</f>
        <v>7255200</v>
      </c>
      <c r="I131" s="86">
        <f>VLOOKUP($A131,'Data shares'!$C:$FA,92)</f>
        <v>-261600</v>
      </c>
      <c r="J131" s="87">
        <f>VLOOKUP($A131,'Data shares'!$C:$FA,93)</f>
        <v>-3.4799999999999998E-2</v>
      </c>
      <c r="K131" s="86">
        <f>VLOOKUP($A131,'Data shares'!$C:$FA,94)</f>
        <v>3750000</v>
      </c>
      <c r="L131" s="86">
        <f>VLOOKUP($A131,'Data shares'!$C:$FA,96)</f>
        <v>-356400</v>
      </c>
      <c r="M131" s="87">
        <f>VLOOKUP($A131,'Data shares'!$C:$FA,97)</f>
        <v>-8.6800000000000002E-2</v>
      </c>
      <c r="N131" s="86">
        <f>VLOOKUP($A131,'Data shares'!$C:$FA,78)</f>
        <v>12616800</v>
      </c>
      <c r="O131" s="87">
        <f>VLOOKUP($A131,'Data shares'!$C:$FA,81)</f>
        <v>-0.47939999999999999</v>
      </c>
    </row>
    <row r="132" spans="1:15" x14ac:dyDescent="0.25">
      <c r="A132" s="100" t="str">
        <f>'Data Vlaue (Cr)'!C127</f>
        <v>MARUTI</v>
      </c>
      <c r="B132" s="82">
        <f>VLOOKUP(A132,'Data shares'!$C$2:$CV$215,98,0)</f>
        <v>6778000</v>
      </c>
      <c r="C132" s="82">
        <f>VLOOKUP(A132,'Data shares'!$C$2:$CX$215,100,0)</f>
        <v>-268550</v>
      </c>
      <c r="D132" s="141">
        <f>VLOOKUP(A132,'Data shares'!$C$2:$CY$538,101,0)</f>
        <v>-3.8100000000000002E-2</v>
      </c>
      <c r="E132" s="86">
        <f>VLOOKUP($A132,'Data shares'!$C:$FA,74)</f>
        <v>3063100</v>
      </c>
      <c r="F132" s="86">
        <f>VLOOKUP($A132,'Data shares'!$C:$FA,76)</f>
        <v>-24450</v>
      </c>
      <c r="G132" s="87">
        <f>VLOOKUP(A132,'Data shares'!$C$2:$CA$215,77,0)</f>
        <v>-7.9000000000000008E-3</v>
      </c>
      <c r="H132" s="86">
        <f>VLOOKUP($A132,'Data shares'!$C:$FA,90)</f>
        <v>2725000</v>
      </c>
      <c r="I132" s="86">
        <f>VLOOKUP($A132,'Data shares'!$C:$FA,92)</f>
        <v>-177850</v>
      </c>
      <c r="J132" s="87">
        <f>VLOOKUP($A132,'Data shares'!$C:$FA,93)</f>
        <v>-6.13E-2</v>
      </c>
      <c r="K132" s="86">
        <f>VLOOKUP($A132,'Data shares'!$C:$FA,94)</f>
        <v>989900</v>
      </c>
      <c r="L132" s="86">
        <f>VLOOKUP($A132,'Data shares'!$C:$FA,96)</f>
        <v>-66250</v>
      </c>
      <c r="M132" s="87">
        <f>VLOOKUP($A132,'Data shares'!$C:$FA,97)</f>
        <v>-6.2700000000000006E-2</v>
      </c>
      <c r="N132" s="86">
        <f>VLOOKUP($A132,'Data shares'!$C:$FA,78)</f>
        <v>1003500</v>
      </c>
      <c r="O132" s="87">
        <f>VLOOKUP($A132,'Data shares'!$C:$FA,81)</f>
        <v>-0.47560000000000002</v>
      </c>
    </row>
    <row r="133" spans="1:15" x14ac:dyDescent="0.25">
      <c r="A133" s="100" t="str">
        <f>'Data Vlaue (Cr)'!C128</f>
        <v>MAXHEALTH</v>
      </c>
      <c r="B133" s="82">
        <f>VLOOKUP(A133,'Data shares'!$C$2:$CV$215,98,0)</f>
        <v>25438350</v>
      </c>
      <c r="C133" s="82">
        <f>VLOOKUP(A133,'Data shares'!$C$2:$CX$215,100,0)</f>
        <v>-70875</v>
      </c>
      <c r="D133" s="141">
        <f>VLOOKUP(A133,'Data shares'!$C$2:$CY$538,101,0)</f>
        <v>-2.8E-3</v>
      </c>
      <c r="E133" s="86">
        <f>VLOOKUP($A133,'Data shares'!$C:$FA,74)</f>
        <v>19513200</v>
      </c>
      <c r="F133" s="86">
        <f>VLOOKUP($A133,'Data shares'!$C:$FA,76)</f>
        <v>-65100</v>
      </c>
      <c r="G133" s="87">
        <f>VLOOKUP(A133,'Data shares'!$C$2:$CA$215,77,0)</f>
        <v>-3.3E-3</v>
      </c>
      <c r="H133" s="86">
        <f>VLOOKUP($A133,'Data shares'!$C:$FA,90)</f>
        <v>3608325</v>
      </c>
      <c r="I133" s="86">
        <f>VLOOKUP($A133,'Data shares'!$C:$FA,92)</f>
        <v>144375</v>
      </c>
      <c r="J133" s="87">
        <f>VLOOKUP($A133,'Data shares'!$C:$FA,93)</f>
        <v>4.1700000000000001E-2</v>
      </c>
      <c r="K133" s="86">
        <f>VLOOKUP($A133,'Data shares'!$C:$FA,94)</f>
        <v>2316825</v>
      </c>
      <c r="L133" s="86">
        <f>VLOOKUP($A133,'Data shares'!$C:$FA,96)</f>
        <v>-150150</v>
      </c>
      <c r="M133" s="87">
        <f>VLOOKUP($A133,'Data shares'!$C:$FA,97)</f>
        <v>-6.0900000000000003E-2</v>
      </c>
      <c r="N133" s="86">
        <f>VLOOKUP($A133,'Data shares'!$C:$FA,78)</f>
        <v>7676025</v>
      </c>
      <c r="O133" s="87">
        <f>VLOOKUP($A133,'Data shares'!$C:$FA,81)</f>
        <v>-0.46410000000000001</v>
      </c>
    </row>
    <row r="134" spans="1:15" x14ac:dyDescent="0.25">
      <c r="A134" s="100" t="str">
        <f>'Data Vlaue (Cr)'!C129</f>
        <v>MAZDOCK</v>
      </c>
      <c r="B134" s="82">
        <f>VLOOKUP(A134,'Data shares'!$C$2:$CV$215,98,0)</f>
        <v>11896400</v>
      </c>
      <c r="C134" s="82">
        <f>VLOOKUP(A134,'Data shares'!$C$2:$CX$215,100,0)</f>
        <v>-983600</v>
      </c>
      <c r="D134" s="141">
        <f>VLOOKUP(A134,'Data shares'!$C$2:$CY$538,101,0)</f>
        <v>-7.6399999999999996E-2</v>
      </c>
      <c r="E134" s="86">
        <f>VLOOKUP($A134,'Data shares'!$C:$FA,74)</f>
        <v>5237200</v>
      </c>
      <c r="F134" s="86">
        <f>VLOOKUP($A134,'Data shares'!$C:$FA,76)</f>
        <v>-402400</v>
      </c>
      <c r="G134" s="87">
        <f>VLOOKUP(A134,'Data shares'!$C$2:$CA$215,77,0)</f>
        <v>-7.1400000000000005E-2</v>
      </c>
      <c r="H134" s="86">
        <f>VLOOKUP($A134,'Data shares'!$C:$FA,90)</f>
        <v>4542600</v>
      </c>
      <c r="I134" s="86">
        <f>VLOOKUP($A134,'Data shares'!$C:$FA,92)</f>
        <v>-523600</v>
      </c>
      <c r="J134" s="87">
        <f>VLOOKUP($A134,'Data shares'!$C:$FA,93)</f>
        <v>-0.10340000000000001</v>
      </c>
      <c r="K134" s="86">
        <f>VLOOKUP($A134,'Data shares'!$C:$FA,94)</f>
        <v>2116600</v>
      </c>
      <c r="L134" s="86">
        <f>VLOOKUP($A134,'Data shares'!$C:$FA,96)</f>
        <v>-57600</v>
      </c>
      <c r="M134" s="87">
        <f>VLOOKUP($A134,'Data shares'!$C:$FA,97)</f>
        <v>-2.6499999999999999E-2</v>
      </c>
      <c r="N134" s="86">
        <f>VLOOKUP($A134,'Data shares'!$C:$FA,78)</f>
        <v>2989400</v>
      </c>
      <c r="O134" s="87">
        <f>VLOOKUP($A134,'Data shares'!$C:$FA,81)</f>
        <v>-0.31780000000000003</v>
      </c>
    </row>
    <row r="135" spans="1:15" x14ac:dyDescent="0.25">
      <c r="A135" s="100" t="str">
        <f>'Data Vlaue (Cr)'!C130</f>
        <v>MCX</v>
      </c>
      <c r="B135" s="82">
        <f>VLOOKUP(A135,'Data shares'!$C$2:$CV$215,98,0)</f>
        <v>43815625</v>
      </c>
      <c r="C135" s="82">
        <f>VLOOKUP(A135,'Data shares'!$C$2:$CX$215,100,0)</f>
        <v>2448125</v>
      </c>
      <c r="D135" s="141">
        <f>VLOOKUP(A135,'Data shares'!$C$2:$CY$538,101,0)</f>
        <v>5.9200000000000003E-2</v>
      </c>
      <c r="E135" s="86">
        <f>VLOOKUP($A135,'Data shares'!$C:$FA,74)</f>
        <v>16064375</v>
      </c>
      <c r="F135" s="86">
        <f>VLOOKUP($A135,'Data shares'!$C:$FA,76)</f>
        <v>410000</v>
      </c>
      <c r="G135" s="87">
        <f>VLOOKUP(A135,'Data shares'!$C$2:$CA$215,77,0)</f>
        <v>2.6200000000000001E-2</v>
      </c>
      <c r="H135" s="86">
        <f>VLOOKUP($A135,'Data shares'!$C:$FA,90)</f>
        <v>19133750</v>
      </c>
      <c r="I135" s="86">
        <f>VLOOKUP($A135,'Data shares'!$C:$FA,92)</f>
        <v>1828125</v>
      </c>
      <c r="J135" s="87">
        <f>VLOOKUP($A135,'Data shares'!$C:$FA,93)</f>
        <v>0.1056</v>
      </c>
      <c r="K135" s="86">
        <f>VLOOKUP($A135,'Data shares'!$C:$FA,94)</f>
        <v>8617500</v>
      </c>
      <c r="L135" s="86">
        <f>VLOOKUP($A135,'Data shares'!$C:$FA,96)</f>
        <v>210000</v>
      </c>
      <c r="M135" s="87">
        <f>VLOOKUP($A135,'Data shares'!$C:$FA,97)</f>
        <v>2.5000000000000001E-2</v>
      </c>
      <c r="N135" s="86">
        <f>VLOOKUP($A135,'Data shares'!$C:$FA,78)</f>
        <v>5469375</v>
      </c>
      <c r="O135" s="87">
        <f>VLOOKUP($A135,'Data shares'!$C:$FA,81)</f>
        <v>-0.49830000000000002</v>
      </c>
    </row>
    <row r="136" spans="1:15" x14ac:dyDescent="0.25">
      <c r="A136" s="100" t="str">
        <f>'Data Vlaue (Cr)'!C131</f>
        <v>MFSL</v>
      </c>
      <c r="B136" s="82">
        <f>VLOOKUP(A136,'Data shares'!$C$2:$CV$215,98,0)</f>
        <v>11514400</v>
      </c>
      <c r="C136" s="82">
        <f>VLOOKUP(A136,'Data shares'!$C$2:$CX$215,100,0)</f>
        <v>-394800</v>
      </c>
      <c r="D136" s="141">
        <f>VLOOKUP(A136,'Data shares'!$C$2:$CY$538,101,0)</f>
        <v>-3.32E-2</v>
      </c>
      <c r="E136" s="86">
        <f>VLOOKUP($A136,'Data shares'!$C:$FA,74)</f>
        <v>9093600</v>
      </c>
      <c r="F136" s="86">
        <f>VLOOKUP($A136,'Data shares'!$C:$FA,76)</f>
        <v>-119200</v>
      </c>
      <c r="G136" s="87">
        <f>VLOOKUP(A136,'Data shares'!$C$2:$CA$215,77,0)</f>
        <v>-1.29E-2</v>
      </c>
      <c r="H136" s="86">
        <f>VLOOKUP($A136,'Data shares'!$C:$FA,90)</f>
        <v>1435600</v>
      </c>
      <c r="I136" s="86">
        <f>VLOOKUP($A136,'Data shares'!$C:$FA,92)</f>
        <v>-166400</v>
      </c>
      <c r="J136" s="87">
        <f>VLOOKUP($A136,'Data shares'!$C:$FA,93)</f>
        <v>-0.10390000000000001</v>
      </c>
      <c r="K136" s="86">
        <f>VLOOKUP($A136,'Data shares'!$C:$FA,94)</f>
        <v>985200</v>
      </c>
      <c r="L136" s="86">
        <f>VLOOKUP($A136,'Data shares'!$C:$FA,96)</f>
        <v>-109200</v>
      </c>
      <c r="M136" s="87">
        <f>VLOOKUP($A136,'Data shares'!$C:$FA,97)</f>
        <v>-9.98E-2</v>
      </c>
      <c r="N136" s="86">
        <f>VLOOKUP($A136,'Data shares'!$C:$FA,78)</f>
        <v>3003200</v>
      </c>
      <c r="O136" s="87">
        <f>VLOOKUP($A136,'Data shares'!$C:$FA,81)</f>
        <v>-0.53349999999999997</v>
      </c>
    </row>
    <row r="137" spans="1:15" x14ac:dyDescent="0.25">
      <c r="A137" s="100" t="str">
        <f>'Data Vlaue (Cr)'!C132</f>
        <v>MIDCPNIFTY</v>
      </c>
      <c r="B137" s="82">
        <f>VLOOKUP(A137,'Data shares'!$C$2:$CV$215,98,0)</f>
        <v>29907600</v>
      </c>
      <c r="C137" s="82">
        <f>VLOOKUP(A137,'Data shares'!$C$2:$CX$215,100,0)</f>
        <v>946080</v>
      </c>
      <c r="D137" s="141">
        <f>VLOOKUP(A137,'Data shares'!$C$2:$CY$538,101,0)</f>
        <v>3.27E-2</v>
      </c>
      <c r="E137" s="86">
        <f>VLOOKUP($A137,'Data shares'!$C:$FA,74)</f>
        <v>2627040</v>
      </c>
      <c r="F137" s="86">
        <f>VLOOKUP($A137,'Data shares'!$C:$FA,76)</f>
        <v>-43200</v>
      </c>
      <c r="G137" s="87">
        <f>VLOOKUP(A137,'Data shares'!$C$2:$CA$215,77,0)</f>
        <v>-1.6199999999999999E-2</v>
      </c>
      <c r="H137" s="86">
        <f>VLOOKUP($A137,'Data shares'!$C:$FA,90)</f>
        <v>15685560</v>
      </c>
      <c r="I137" s="86">
        <f>VLOOKUP($A137,'Data shares'!$C:$FA,92)</f>
        <v>-13560</v>
      </c>
      <c r="J137" s="87">
        <f>VLOOKUP($A137,'Data shares'!$C:$FA,93)</f>
        <v>-8.9999999999999998E-4</v>
      </c>
      <c r="K137" s="86">
        <f>VLOOKUP($A137,'Data shares'!$C:$FA,94)</f>
        <v>11595000</v>
      </c>
      <c r="L137" s="86">
        <f>VLOOKUP($A137,'Data shares'!$C:$FA,96)</f>
        <v>1002840</v>
      </c>
      <c r="M137" s="87">
        <f>VLOOKUP($A137,'Data shares'!$C:$FA,97)</f>
        <v>9.4700000000000006E-2</v>
      </c>
      <c r="N137" s="86">
        <f>VLOOKUP($A137,'Data shares'!$C:$FA,78)</f>
        <v>1272600</v>
      </c>
      <c r="O137" s="87">
        <f>VLOOKUP($A137,'Data shares'!$C:$FA,81)</f>
        <v>-0.44529999999999997</v>
      </c>
    </row>
    <row r="138" spans="1:15" x14ac:dyDescent="0.25">
      <c r="A138" s="100" t="str">
        <f>'Data Vlaue (Cr)'!C133</f>
        <v>MOTHERSON</v>
      </c>
      <c r="B138" s="82">
        <f>VLOOKUP(A138,'Data shares'!$C$2:$CV$215,98,0)</f>
        <v>285329250</v>
      </c>
      <c r="C138" s="82">
        <f>VLOOKUP(A138,'Data shares'!$C$2:$CX$215,100,0)</f>
        <v>-3954450</v>
      </c>
      <c r="D138" s="141">
        <f>VLOOKUP(A138,'Data shares'!$C$2:$CY$538,101,0)</f>
        <v>-1.37E-2</v>
      </c>
      <c r="E138" s="86">
        <f>VLOOKUP($A138,'Data shares'!$C:$FA,74)</f>
        <v>177728850</v>
      </c>
      <c r="F138" s="86">
        <f>VLOOKUP($A138,'Data shares'!$C:$FA,76)</f>
        <v>2115600</v>
      </c>
      <c r="G138" s="87">
        <f>VLOOKUP(A138,'Data shares'!$C$2:$CA$215,77,0)</f>
        <v>1.2E-2</v>
      </c>
      <c r="H138" s="86">
        <f>VLOOKUP($A138,'Data shares'!$C:$FA,90)</f>
        <v>69962400</v>
      </c>
      <c r="I138" s="86">
        <f>VLOOKUP($A138,'Data shares'!$C:$FA,92)</f>
        <v>-6482100</v>
      </c>
      <c r="J138" s="87">
        <f>VLOOKUP($A138,'Data shares'!$C:$FA,93)</f>
        <v>-8.48E-2</v>
      </c>
      <c r="K138" s="86">
        <f>VLOOKUP($A138,'Data shares'!$C:$FA,94)</f>
        <v>37638000</v>
      </c>
      <c r="L138" s="86">
        <f>VLOOKUP($A138,'Data shares'!$C:$FA,96)</f>
        <v>412050</v>
      </c>
      <c r="M138" s="87">
        <f>VLOOKUP($A138,'Data shares'!$C:$FA,97)</f>
        <v>1.11E-2</v>
      </c>
      <c r="N138" s="86">
        <f>VLOOKUP($A138,'Data shares'!$C:$FA,78)</f>
        <v>74913150</v>
      </c>
      <c r="O138" s="87">
        <f>VLOOKUP($A138,'Data shares'!$C:$FA,81)</f>
        <v>-0.39079999999999998</v>
      </c>
    </row>
    <row r="139" spans="1:15" x14ac:dyDescent="0.25">
      <c r="A139" s="100" t="str">
        <f>'Data Vlaue (Cr)'!C134</f>
        <v>MPHASIS</v>
      </c>
      <c r="B139" s="82">
        <f>VLOOKUP(A139,'Data shares'!$C$2:$CV$215,98,0)</f>
        <v>7047425</v>
      </c>
      <c r="C139" s="82">
        <f>VLOOKUP(A139,'Data shares'!$C$2:$CX$215,100,0)</f>
        <v>128150</v>
      </c>
      <c r="D139" s="141">
        <f>VLOOKUP(A139,'Data shares'!$C$2:$CY$538,101,0)</f>
        <v>1.8499999999999999E-2</v>
      </c>
      <c r="E139" s="86">
        <f>VLOOKUP($A139,'Data shares'!$C:$FA,74)</f>
        <v>4787475</v>
      </c>
      <c r="F139" s="86">
        <f>VLOOKUP($A139,'Data shares'!$C:$FA,76)</f>
        <v>-30525</v>
      </c>
      <c r="G139" s="87">
        <f>VLOOKUP(A139,'Data shares'!$C$2:$CA$215,77,0)</f>
        <v>-6.3E-3</v>
      </c>
      <c r="H139" s="86">
        <f>VLOOKUP($A139,'Data shares'!$C:$FA,90)</f>
        <v>1294150</v>
      </c>
      <c r="I139" s="86">
        <f>VLOOKUP($A139,'Data shares'!$C:$FA,92)</f>
        <v>131450</v>
      </c>
      <c r="J139" s="87">
        <f>VLOOKUP($A139,'Data shares'!$C:$FA,93)</f>
        <v>0.11310000000000001</v>
      </c>
      <c r="K139" s="86">
        <f>VLOOKUP($A139,'Data shares'!$C:$FA,94)</f>
        <v>965800</v>
      </c>
      <c r="L139" s="86">
        <f>VLOOKUP($A139,'Data shares'!$C:$FA,96)</f>
        <v>27225</v>
      </c>
      <c r="M139" s="87">
        <f>VLOOKUP($A139,'Data shares'!$C:$FA,97)</f>
        <v>2.9000000000000001E-2</v>
      </c>
      <c r="N139" s="86">
        <f>VLOOKUP($A139,'Data shares'!$C:$FA,78)</f>
        <v>1694000</v>
      </c>
      <c r="O139" s="87">
        <f>VLOOKUP($A139,'Data shares'!$C:$FA,81)</f>
        <v>-0.46920000000000001</v>
      </c>
    </row>
    <row r="140" spans="1:15" x14ac:dyDescent="0.25">
      <c r="A140" s="100" t="str">
        <f>'Data Vlaue (Cr)'!C135</f>
        <v>MUTHOOTFIN</v>
      </c>
      <c r="B140" s="82">
        <f>VLOOKUP(A140,'Data shares'!$C$2:$CV$215,98,0)</f>
        <v>8045400</v>
      </c>
      <c r="C140" s="82">
        <f>VLOOKUP(A140,'Data shares'!$C$2:$CX$215,100,0)</f>
        <v>165825</v>
      </c>
      <c r="D140" s="141">
        <f>VLOOKUP(A140,'Data shares'!$C$2:$CY$538,101,0)</f>
        <v>2.1000000000000001E-2</v>
      </c>
      <c r="E140" s="86">
        <f>VLOOKUP($A140,'Data shares'!$C:$FA,74)</f>
        <v>4139300</v>
      </c>
      <c r="F140" s="86">
        <f>VLOOKUP($A140,'Data shares'!$C:$FA,76)</f>
        <v>56100</v>
      </c>
      <c r="G140" s="87">
        <f>VLOOKUP(A140,'Data shares'!$C$2:$CA$215,77,0)</f>
        <v>1.37E-2</v>
      </c>
      <c r="H140" s="86">
        <f>VLOOKUP($A140,'Data shares'!$C:$FA,90)</f>
        <v>2382875</v>
      </c>
      <c r="I140" s="86">
        <f>VLOOKUP($A140,'Data shares'!$C:$FA,92)</f>
        <v>10175</v>
      </c>
      <c r="J140" s="87">
        <f>VLOOKUP($A140,'Data shares'!$C:$FA,93)</f>
        <v>4.3E-3</v>
      </c>
      <c r="K140" s="86">
        <f>VLOOKUP($A140,'Data shares'!$C:$FA,94)</f>
        <v>1523225</v>
      </c>
      <c r="L140" s="86">
        <f>VLOOKUP($A140,'Data shares'!$C:$FA,96)</f>
        <v>99550</v>
      </c>
      <c r="M140" s="87">
        <f>VLOOKUP($A140,'Data shares'!$C:$FA,97)</f>
        <v>6.9900000000000004E-2</v>
      </c>
      <c r="N140" s="86">
        <f>VLOOKUP($A140,'Data shares'!$C:$FA,78)</f>
        <v>1357125</v>
      </c>
      <c r="O140" s="87">
        <f>VLOOKUP($A140,'Data shares'!$C:$FA,81)</f>
        <v>-0.52410000000000001</v>
      </c>
    </row>
    <row r="141" spans="1:15" x14ac:dyDescent="0.25">
      <c r="A141" s="100" t="str">
        <f>'Data Vlaue (Cr)'!C136</f>
        <v>NATIONALUM</v>
      </c>
      <c r="B141" s="82">
        <f>VLOOKUP(A141,'Data shares'!$C$2:$CV$215,98,0)</f>
        <v>139117500</v>
      </c>
      <c r="C141" s="82">
        <f>VLOOKUP(A141,'Data shares'!$C$2:$CX$215,100,0)</f>
        <v>-2501250</v>
      </c>
      <c r="D141" s="141">
        <f>VLOOKUP(A141,'Data shares'!$C$2:$CY$538,101,0)</f>
        <v>-1.77E-2</v>
      </c>
      <c r="E141" s="86">
        <f>VLOOKUP($A141,'Data shares'!$C:$FA,74)</f>
        <v>54585000</v>
      </c>
      <c r="F141" s="86">
        <f>VLOOKUP($A141,'Data shares'!$C:$FA,76)</f>
        <v>1076250</v>
      </c>
      <c r="G141" s="87">
        <f>VLOOKUP(A141,'Data shares'!$C$2:$CA$215,77,0)</f>
        <v>2.01E-2</v>
      </c>
      <c r="H141" s="86">
        <f>VLOOKUP($A141,'Data shares'!$C:$FA,90)</f>
        <v>46046250</v>
      </c>
      <c r="I141" s="86">
        <f>VLOOKUP($A141,'Data shares'!$C:$FA,92)</f>
        <v>-3247500</v>
      </c>
      <c r="J141" s="87">
        <f>VLOOKUP($A141,'Data shares'!$C:$FA,93)</f>
        <v>-6.59E-2</v>
      </c>
      <c r="K141" s="86">
        <f>VLOOKUP($A141,'Data shares'!$C:$FA,94)</f>
        <v>38486250</v>
      </c>
      <c r="L141" s="86">
        <f>VLOOKUP($A141,'Data shares'!$C:$FA,96)</f>
        <v>-330000</v>
      </c>
      <c r="M141" s="87">
        <f>VLOOKUP($A141,'Data shares'!$C:$FA,97)</f>
        <v>-8.5000000000000006E-3</v>
      </c>
      <c r="N141" s="86">
        <f>VLOOKUP($A141,'Data shares'!$C:$FA,78)</f>
        <v>21513750</v>
      </c>
      <c r="O141" s="87">
        <f>VLOOKUP($A141,'Data shares'!$C:$FA,81)</f>
        <v>-0.40570000000000001</v>
      </c>
    </row>
    <row r="142" spans="1:15" x14ac:dyDescent="0.25">
      <c r="A142" s="100" t="str">
        <f>'Data Vlaue (Cr)'!C137</f>
        <v>NAUKRI</v>
      </c>
      <c r="B142" s="82">
        <f>VLOOKUP(A142,'Data shares'!$C$2:$CV$215,98,0)</f>
        <v>13254750</v>
      </c>
      <c r="C142" s="82">
        <f>VLOOKUP(A142,'Data shares'!$C$2:$CX$215,100,0)</f>
        <v>-626250</v>
      </c>
      <c r="D142" s="141">
        <f>VLOOKUP(A142,'Data shares'!$C$2:$CY$538,101,0)</f>
        <v>-4.5100000000000001E-2</v>
      </c>
      <c r="E142" s="86">
        <f>VLOOKUP($A142,'Data shares'!$C:$FA,74)</f>
        <v>8360625</v>
      </c>
      <c r="F142" s="86">
        <f>VLOOKUP($A142,'Data shares'!$C:$FA,76)</f>
        <v>-327375</v>
      </c>
      <c r="G142" s="87">
        <f>VLOOKUP(A142,'Data shares'!$C$2:$CA$215,77,0)</f>
        <v>-3.7699999999999997E-2</v>
      </c>
      <c r="H142" s="86">
        <f>VLOOKUP($A142,'Data shares'!$C:$FA,90)</f>
        <v>3106500</v>
      </c>
      <c r="I142" s="86">
        <f>VLOOKUP($A142,'Data shares'!$C:$FA,92)</f>
        <v>-180750</v>
      </c>
      <c r="J142" s="87">
        <f>VLOOKUP($A142,'Data shares'!$C:$FA,93)</f>
        <v>-5.5E-2</v>
      </c>
      <c r="K142" s="86">
        <f>VLOOKUP($A142,'Data shares'!$C:$FA,94)</f>
        <v>1787625</v>
      </c>
      <c r="L142" s="86">
        <f>VLOOKUP($A142,'Data shares'!$C:$FA,96)</f>
        <v>-118125</v>
      </c>
      <c r="M142" s="87">
        <f>VLOOKUP($A142,'Data shares'!$C:$FA,97)</f>
        <v>-6.2E-2</v>
      </c>
      <c r="N142" s="86">
        <f>VLOOKUP($A142,'Data shares'!$C:$FA,78)</f>
        <v>2210250</v>
      </c>
      <c r="O142" s="87">
        <f>VLOOKUP($A142,'Data shares'!$C:$FA,81)</f>
        <v>-0.55049999999999999</v>
      </c>
    </row>
    <row r="143" spans="1:15" x14ac:dyDescent="0.25">
      <c r="A143" s="100" t="str">
        <f>'Data Vlaue (Cr)'!C138</f>
        <v>NBCC</v>
      </c>
      <c r="B143" s="82">
        <f>VLOOKUP(A143,'Data shares'!$C$2:$CV$215,98,0)</f>
        <v>202013500</v>
      </c>
      <c r="C143" s="82">
        <f>VLOOKUP(A143,'Data shares'!$C$2:$CX$215,100,0)</f>
        <v>-3393000</v>
      </c>
      <c r="D143" s="141">
        <f>VLOOKUP(A143,'Data shares'!$C$2:$CY$538,101,0)</f>
        <v>-1.6500000000000001E-2</v>
      </c>
      <c r="E143" s="86">
        <f>VLOOKUP($A143,'Data shares'!$C:$FA,74)</f>
        <v>93268500</v>
      </c>
      <c r="F143" s="86">
        <f>VLOOKUP($A143,'Data shares'!$C:$FA,76)</f>
        <v>2372500</v>
      </c>
      <c r="G143" s="87">
        <f>VLOOKUP(A143,'Data shares'!$C$2:$CA$215,77,0)</f>
        <v>2.6100000000000002E-2</v>
      </c>
      <c r="H143" s="86">
        <f>VLOOKUP($A143,'Data shares'!$C:$FA,90)</f>
        <v>77954500</v>
      </c>
      <c r="I143" s="86">
        <f>VLOOKUP($A143,'Data shares'!$C:$FA,92)</f>
        <v>-4725500</v>
      </c>
      <c r="J143" s="87">
        <f>VLOOKUP($A143,'Data shares'!$C:$FA,93)</f>
        <v>-5.7200000000000001E-2</v>
      </c>
      <c r="K143" s="86">
        <f>VLOOKUP($A143,'Data shares'!$C:$FA,94)</f>
        <v>30790500</v>
      </c>
      <c r="L143" s="86">
        <f>VLOOKUP($A143,'Data shares'!$C:$FA,96)</f>
        <v>-1040000</v>
      </c>
      <c r="M143" s="87">
        <f>VLOOKUP($A143,'Data shares'!$C:$FA,97)</f>
        <v>-3.27E-2</v>
      </c>
      <c r="N143" s="86">
        <f>VLOOKUP($A143,'Data shares'!$C:$FA,78)</f>
        <v>55932500</v>
      </c>
      <c r="O143" s="87">
        <f>VLOOKUP($A143,'Data shares'!$C:$FA,81)</f>
        <v>-0.15570000000000001</v>
      </c>
    </row>
    <row r="144" spans="1:15" x14ac:dyDescent="0.25">
      <c r="A144" s="100" t="str">
        <f>'Data Vlaue (Cr)'!C139</f>
        <v>NESTLEIND</v>
      </c>
      <c r="B144" s="82">
        <f>VLOOKUP(A144,'Data shares'!$C$2:$CV$215,98,0)</f>
        <v>22797000</v>
      </c>
      <c r="C144" s="82">
        <f>VLOOKUP(A144,'Data shares'!$C$2:$CX$215,100,0)</f>
        <v>-537000</v>
      </c>
      <c r="D144" s="141">
        <f>VLOOKUP(A144,'Data shares'!$C$2:$CY$538,101,0)</f>
        <v>-2.3E-2</v>
      </c>
      <c r="E144" s="86">
        <f>VLOOKUP($A144,'Data shares'!$C:$FA,74)</f>
        <v>17482000</v>
      </c>
      <c r="F144" s="86">
        <f>VLOOKUP($A144,'Data shares'!$C:$FA,76)</f>
        <v>-93500</v>
      </c>
      <c r="G144" s="87">
        <f>VLOOKUP(A144,'Data shares'!$C$2:$CA$215,77,0)</f>
        <v>-5.3E-3</v>
      </c>
      <c r="H144" s="86">
        <f>VLOOKUP($A144,'Data shares'!$C:$FA,90)</f>
        <v>3418000</v>
      </c>
      <c r="I144" s="86">
        <f>VLOOKUP($A144,'Data shares'!$C:$FA,92)</f>
        <v>-462000</v>
      </c>
      <c r="J144" s="87">
        <f>VLOOKUP($A144,'Data shares'!$C:$FA,93)</f>
        <v>-0.1191</v>
      </c>
      <c r="K144" s="86">
        <f>VLOOKUP($A144,'Data shares'!$C:$FA,94)</f>
        <v>1897000</v>
      </c>
      <c r="L144" s="86">
        <f>VLOOKUP($A144,'Data shares'!$C:$FA,96)</f>
        <v>18500</v>
      </c>
      <c r="M144" s="87">
        <f>VLOOKUP($A144,'Data shares'!$C:$FA,97)</f>
        <v>9.7999999999999997E-3</v>
      </c>
      <c r="N144" s="86">
        <f>VLOOKUP($A144,'Data shares'!$C:$FA,78)</f>
        <v>7118500</v>
      </c>
      <c r="O144" s="87">
        <f>VLOOKUP($A144,'Data shares'!$C:$FA,81)</f>
        <v>-0.42949999999999999</v>
      </c>
    </row>
    <row r="145" spans="1:15" x14ac:dyDescent="0.25">
      <c r="A145" s="100" t="str">
        <f>'Data Vlaue (Cr)'!C140</f>
        <v>NHPC</v>
      </c>
      <c r="B145" s="82">
        <f>VLOOKUP(A145,'Data shares'!$C$2:$CV$215,98,0)</f>
        <v>142092800</v>
      </c>
      <c r="C145" s="82">
        <f>VLOOKUP(A145,'Data shares'!$C$2:$CX$215,100,0)</f>
        <v>-8928000</v>
      </c>
      <c r="D145" s="141">
        <f>VLOOKUP(A145,'Data shares'!$C$2:$CY$538,101,0)</f>
        <v>-5.91E-2</v>
      </c>
      <c r="E145" s="86">
        <f>VLOOKUP($A145,'Data shares'!$C:$FA,74)</f>
        <v>75372800</v>
      </c>
      <c r="F145" s="86">
        <f>VLOOKUP($A145,'Data shares'!$C:$FA,76)</f>
        <v>-3712000</v>
      </c>
      <c r="G145" s="87">
        <f>VLOOKUP(A145,'Data shares'!$C$2:$CA$215,77,0)</f>
        <v>-4.6899999999999997E-2</v>
      </c>
      <c r="H145" s="86">
        <f>VLOOKUP($A145,'Data shares'!$C:$FA,90)</f>
        <v>44268800</v>
      </c>
      <c r="I145" s="86">
        <f>VLOOKUP($A145,'Data shares'!$C:$FA,92)</f>
        <v>-4608000</v>
      </c>
      <c r="J145" s="87">
        <f>VLOOKUP($A145,'Data shares'!$C:$FA,93)</f>
        <v>-9.4299999999999995E-2</v>
      </c>
      <c r="K145" s="86">
        <f>VLOOKUP($A145,'Data shares'!$C:$FA,94)</f>
        <v>22451200</v>
      </c>
      <c r="L145" s="86">
        <f>VLOOKUP($A145,'Data shares'!$C:$FA,96)</f>
        <v>-608000</v>
      </c>
      <c r="M145" s="87">
        <f>VLOOKUP($A145,'Data shares'!$C:$FA,97)</f>
        <v>-2.64E-2</v>
      </c>
      <c r="N145" s="86">
        <f>VLOOKUP($A145,'Data shares'!$C:$FA,78)</f>
        <v>33248000</v>
      </c>
      <c r="O145" s="87">
        <f>VLOOKUP($A145,'Data shares'!$C:$FA,81)</f>
        <v>-0.37909999999999999</v>
      </c>
    </row>
    <row r="146" spans="1:15" x14ac:dyDescent="0.25">
      <c r="A146" s="100" t="str">
        <f>'Data Vlaue (Cr)'!C141</f>
        <v>NIFTY</v>
      </c>
      <c r="B146" s="82">
        <f>VLOOKUP(A146,'Data shares'!$C$2:$CV$215,98,0)</f>
        <v>488519765</v>
      </c>
      <c r="C146" s="82">
        <f>VLOOKUP(A146,'Data shares'!$C$2:$CX$215,100,0)</f>
        <v>34582065</v>
      </c>
      <c r="D146" s="141">
        <f>VLOOKUP(A146,'Data shares'!$C$2:$CY$538,101,0)</f>
        <v>7.6200000000000004E-2</v>
      </c>
      <c r="E146" s="86">
        <f>VLOOKUP($A146,'Data shares'!$C:$FA,74)</f>
        <v>20976085</v>
      </c>
      <c r="F146" s="86">
        <f>VLOOKUP($A146,'Data shares'!$C:$FA,76)</f>
        <v>837265</v>
      </c>
      <c r="G146" s="87">
        <f>VLOOKUP(A146,'Data shares'!$C$2:$CA$215,77,0)</f>
        <v>4.1599999999999998E-2</v>
      </c>
      <c r="H146" s="86">
        <f>VLOOKUP($A146,'Data shares'!$C:$FA,90)</f>
        <v>249425910</v>
      </c>
      <c r="I146" s="86">
        <f>VLOOKUP($A146,'Data shares'!$C:$FA,92)</f>
        <v>6151480</v>
      </c>
      <c r="J146" s="87">
        <f>VLOOKUP($A146,'Data shares'!$C:$FA,93)</f>
        <v>2.53E-2</v>
      </c>
      <c r="K146" s="86">
        <f>VLOOKUP($A146,'Data shares'!$C:$FA,94)</f>
        <v>218117770</v>
      </c>
      <c r="L146" s="86">
        <f>VLOOKUP($A146,'Data shares'!$C:$FA,96)</f>
        <v>27593320</v>
      </c>
      <c r="M146" s="87">
        <f>VLOOKUP($A146,'Data shares'!$C:$FA,97)</f>
        <v>0.14480000000000001</v>
      </c>
      <c r="N146" s="86">
        <f>VLOOKUP($A146,'Data shares'!$C:$FA,78)</f>
        <v>12272325</v>
      </c>
      <c r="O146" s="87">
        <f>VLOOKUP($A146,'Data shares'!$C:$FA,81)</f>
        <v>-0.16889999999999999</v>
      </c>
    </row>
    <row r="147" spans="1:15" x14ac:dyDescent="0.25">
      <c r="A147" s="100" t="str">
        <f>'Data Vlaue (Cr)'!C142</f>
        <v>NIFTYNXT50</v>
      </c>
      <c r="B147" s="82">
        <f>VLOOKUP(A147,'Data shares'!$C$2:$CV$215,98,0)</f>
        <v>54875</v>
      </c>
      <c r="C147" s="82">
        <f>VLOOKUP(A147,'Data shares'!$C$2:$CX$215,100,0)</f>
        <v>375</v>
      </c>
      <c r="D147" s="141">
        <f>VLOOKUP(A147,'Data shares'!$C$2:$CY$538,101,0)</f>
        <v>6.8999999999999999E-3</v>
      </c>
      <c r="E147" s="86">
        <f>VLOOKUP($A147,'Data shares'!$C:$FA,74)</f>
        <v>24675</v>
      </c>
      <c r="F147" s="86">
        <f>VLOOKUP($A147,'Data shares'!$C:$FA,76)</f>
        <v>100</v>
      </c>
      <c r="G147" s="87">
        <f>VLOOKUP(A147,'Data shares'!$C$2:$CA$215,77,0)</f>
        <v>4.1000000000000003E-3</v>
      </c>
      <c r="H147" s="86">
        <f>VLOOKUP($A147,'Data shares'!$C:$FA,90)</f>
        <v>23300</v>
      </c>
      <c r="I147" s="86">
        <f>VLOOKUP($A147,'Data shares'!$C:$FA,92)</f>
        <v>350</v>
      </c>
      <c r="J147" s="87">
        <f>VLOOKUP($A147,'Data shares'!$C:$FA,93)</f>
        <v>1.5299999999999999E-2</v>
      </c>
      <c r="K147" s="86">
        <f>VLOOKUP($A147,'Data shares'!$C:$FA,94)</f>
        <v>6900</v>
      </c>
      <c r="L147" s="86">
        <f>VLOOKUP($A147,'Data shares'!$C:$FA,96)</f>
        <v>-75</v>
      </c>
      <c r="M147" s="87">
        <f>VLOOKUP($A147,'Data shares'!$C:$FA,97)</f>
        <v>-1.0800000000000001E-2</v>
      </c>
      <c r="N147" s="86">
        <f>VLOOKUP($A147,'Data shares'!$C:$FA,78)</f>
        <v>17175</v>
      </c>
      <c r="O147" s="87">
        <f>VLOOKUP($A147,'Data shares'!$C:$FA,81)</f>
        <v>-7.1599999999999997E-2</v>
      </c>
    </row>
    <row r="148" spans="1:15" x14ac:dyDescent="0.25">
      <c r="A148" s="100" t="str">
        <f>'Data Vlaue (Cr)'!C143</f>
        <v>NMDC</v>
      </c>
      <c r="B148" s="82">
        <f>VLOOKUP(A148,'Data shares'!$C$2:$CV$215,98,0)</f>
        <v>560742750</v>
      </c>
      <c r="C148" s="82">
        <f>VLOOKUP(A148,'Data shares'!$C$2:$CX$215,100,0)</f>
        <v>-3213000</v>
      </c>
      <c r="D148" s="141">
        <f>VLOOKUP(A148,'Data shares'!$C$2:$CY$538,101,0)</f>
        <v>-5.7000000000000002E-3</v>
      </c>
      <c r="E148" s="86">
        <f>VLOOKUP($A148,'Data shares'!$C:$FA,74)</f>
        <v>353976750</v>
      </c>
      <c r="F148" s="86">
        <f>VLOOKUP($A148,'Data shares'!$C:$FA,76)</f>
        <v>1032750</v>
      </c>
      <c r="G148" s="87">
        <f>VLOOKUP(A148,'Data shares'!$C$2:$CA$215,77,0)</f>
        <v>2.8999999999999998E-3</v>
      </c>
      <c r="H148" s="86">
        <f>VLOOKUP($A148,'Data shares'!$C:$FA,90)</f>
        <v>149249250</v>
      </c>
      <c r="I148" s="86">
        <f>VLOOKUP($A148,'Data shares'!$C:$FA,92)</f>
        <v>-2632500</v>
      </c>
      <c r="J148" s="87">
        <f>VLOOKUP($A148,'Data shares'!$C:$FA,93)</f>
        <v>-1.7299999999999999E-2</v>
      </c>
      <c r="K148" s="86">
        <f>VLOOKUP($A148,'Data shares'!$C:$FA,94)</f>
        <v>57516750</v>
      </c>
      <c r="L148" s="86">
        <f>VLOOKUP($A148,'Data shares'!$C:$FA,96)</f>
        <v>-1613250</v>
      </c>
      <c r="M148" s="87">
        <f>VLOOKUP($A148,'Data shares'!$C:$FA,97)</f>
        <v>-2.7300000000000001E-2</v>
      </c>
      <c r="N148" s="86">
        <f>VLOOKUP($A148,'Data shares'!$C:$FA,78)</f>
        <v>205591500</v>
      </c>
      <c r="O148" s="87">
        <f>VLOOKUP($A148,'Data shares'!$C:$FA,81)</f>
        <v>-0.2147</v>
      </c>
    </row>
    <row r="149" spans="1:15" x14ac:dyDescent="0.25">
      <c r="A149" s="100" t="str">
        <f>'Data Vlaue (Cr)'!C144</f>
        <v>NTPC</v>
      </c>
      <c r="B149" s="82">
        <f>VLOOKUP(A149,'Data shares'!$C$2:$CV$215,98,0)</f>
        <v>181783500</v>
      </c>
      <c r="C149" s="82">
        <f>VLOOKUP(A149,'Data shares'!$C$2:$CX$215,100,0)</f>
        <v>967500</v>
      </c>
      <c r="D149" s="141">
        <f>VLOOKUP(A149,'Data shares'!$C$2:$CY$538,101,0)</f>
        <v>5.4000000000000003E-3</v>
      </c>
      <c r="E149" s="86">
        <f>VLOOKUP($A149,'Data shares'!$C:$FA,74)</f>
        <v>85038000</v>
      </c>
      <c r="F149" s="86">
        <f>VLOOKUP($A149,'Data shares'!$C:$FA,76)</f>
        <v>1375500</v>
      </c>
      <c r="G149" s="87">
        <f>VLOOKUP(A149,'Data shares'!$C$2:$CA$215,77,0)</f>
        <v>1.6400000000000001E-2</v>
      </c>
      <c r="H149" s="86">
        <f>VLOOKUP($A149,'Data shares'!$C:$FA,90)</f>
        <v>67656000</v>
      </c>
      <c r="I149" s="86">
        <f>VLOOKUP($A149,'Data shares'!$C:$FA,92)</f>
        <v>-1935000</v>
      </c>
      <c r="J149" s="87">
        <f>VLOOKUP($A149,'Data shares'!$C:$FA,93)</f>
        <v>-2.7799999999999998E-2</v>
      </c>
      <c r="K149" s="86">
        <f>VLOOKUP($A149,'Data shares'!$C:$FA,94)</f>
        <v>29089500</v>
      </c>
      <c r="L149" s="86">
        <f>VLOOKUP($A149,'Data shares'!$C:$FA,96)</f>
        <v>1527000</v>
      </c>
      <c r="M149" s="87">
        <f>VLOOKUP($A149,'Data shares'!$C:$FA,97)</f>
        <v>5.5399999999999998E-2</v>
      </c>
      <c r="N149" s="86">
        <f>VLOOKUP($A149,'Data shares'!$C:$FA,78)</f>
        <v>35851500</v>
      </c>
      <c r="O149" s="87">
        <f>VLOOKUP($A149,'Data shares'!$C:$FA,81)</f>
        <v>-0.36649999999999999</v>
      </c>
    </row>
    <row r="150" spans="1:15" x14ac:dyDescent="0.25">
      <c r="A150" s="100" t="str">
        <f>'Data Vlaue (Cr)'!C145</f>
        <v>NUVAMA</v>
      </c>
      <c r="B150" s="82">
        <f>VLOOKUP(A150,'Data shares'!$C$2:$CV$215,98,0)</f>
        <v>4783500</v>
      </c>
      <c r="C150" s="82">
        <f>VLOOKUP(A150,'Data shares'!$C$2:$CX$215,100,0)</f>
        <v>-89000</v>
      </c>
      <c r="D150" s="141">
        <f>VLOOKUP(A150,'Data shares'!$C$2:$CY$538,101,0)</f>
        <v>-1.83E-2</v>
      </c>
      <c r="E150" s="86">
        <f>VLOOKUP($A150,'Data shares'!$C:$FA,74)</f>
        <v>2686500</v>
      </c>
      <c r="F150" s="86">
        <f>VLOOKUP($A150,'Data shares'!$C:$FA,76)</f>
        <v>96000</v>
      </c>
      <c r="G150" s="87">
        <f>VLOOKUP(A150,'Data shares'!$C$2:$CA$215,77,0)</f>
        <v>3.7100000000000001E-2</v>
      </c>
      <c r="H150" s="86">
        <f>VLOOKUP($A150,'Data shares'!$C:$FA,90)</f>
        <v>1483500</v>
      </c>
      <c r="I150" s="86">
        <f>VLOOKUP($A150,'Data shares'!$C:$FA,92)</f>
        <v>-161500</v>
      </c>
      <c r="J150" s="87">
        <f>VLOOKUP($A150,'Data shares'!$C:$FA,93)</f>
        <v>-9.8199999999999996E-2</v>
      </c>
      <c r="K150" s="86">
        <f>VLOOKUP($A150,'Data shares'!$C:$FA,94)</f>
        <v>613500</v>
      </c>
      <c r="L150" s="86">
        <f>VLOOKUP($A150,'Data shares'!$C:$FA,96)</f>
        <v>-23500</v>
      </c>
      <c r="M150" s="87">
        <f>VLOOKUP($A150,'Data shares'!$C:$FA,97)</f>
        <v>-3.6900000000000002E-2</v>
      </c>
      <c r="N150" s="86">
        <f>VLOOKUP($A150,'Data shares'!$C:$FA,78)</f>
        <v>1459500</v>
      </c>
      <c r="O150" s="87">
        <f>VLOOKUP($A150,'Data shares'!$C:$FA,81)</f>
        <v>-0.27039999999999997</v>
      </c>
    </row>
    <row r="151" spans="1:15" x14ac:dyDescent="0.25">
      <c r="A151" s="100" t="str">
        <f>'Data Vlaue (Cr)'!C146</f>
        <v>NYKAA</v>
      </c>
      <c r="B151" s="82">
        <f>VLOOKUP(A151,'Data shares'!$C$2:$CV$215,98,0)</f>
        <v>76953125</v>
      </c>
      <c r="C151" s="82">
        <f>VLOOKUP(A151,'Data shares'!$C$2:$CX$215,100,0)</f>
        <v>1793750</v>
      </c>
      <c r="D151" s="141">
        <f>VLOOKUP(A151,'Data shares'!$C$2:$CY$538,101,0)</f>
        <v>2.3900000000000001E-2</v>
      </c>
      <c r="E151" s="86">
        <f>VLOOKUP($A151,'Data shares'!$C:$FA,74)</f>
        <v>48168750</v>
      </c>
      <c r="F151" s="86">
        <f>VLOOKUP($A151,'Data shares'!$C:$FA,76)</f>
        <v>1956250</v>
      </c>
      <c r="G151" s="87">
        <f>VLOOKUP(A151,'Data shares'!$C$2:$CA$215,77,0)</f>
        <v>4.2299999999999997E-2</v>
      </c>
      <c r="H151" s="86">
        <f>VLOOKUP($A151,'Data shares'!$C:$FA,90)</f>
        <v>17118750</v>
      </c>
      <c r="I151" s="86">
        <f>VLOOKUP($A151,'Data shares'!$C:$FA,92)</f>
        <v>-534375</v>
      </c>
      <c r="J151" s="87">
        <f>VLOOKUP($A151,'Data shares'!$C:$FA,93)</f>
        <v>-3.0300000000000001E-2</v>
      </c>
      <c r="K151" s="86">
        <f>VLOOKUP($A151,'Data shares'!$C:$FA,94)</f>
        <v>11665625</v>
      </c>
      <c r="L151" s="86">
        <f>VLOOKUP($A151,'Data shares'!$C:$FA,96)</f>
        <v>371875</v>
      </c>
      <c r="M151" s="87">
        <f>VLOOKUP($A151,'Data shares'!$C:$FA,97)</f>
        <v>3.2899999999999999E-2</v>
      </c>
      <c r="N151" s="86">
        <f>VLOOKUP($A151,'Data shares'!$C:$FA,78)</f>
        <v>23803125</v>
      </c>
      <c r="O151" s="87">
        <f>VLOOKUP($A151,'Data shares'!$C:$FA,81)</f>
        <v>-0.34449999999999997</v>
      </c>
    </row>
    <row r="152" spans="1:15" x14ac:dyDescent="0.25">
      <c r="A152" s="100" t="str">
        <f>'Data Vlaue (Cr)'!C147</f>
        <v>OBEROIRLTY</v>
      </c>
      <c r="B152" s="82">
        <f>VLOOKUP(A152,'Data shares'!$C$2:$CV$215,98,0)</f>
        <v>10156300</v>
      </c>
      <c r="C152" s="82">
        <f>VLOOKUP(A152,'Data shares'!$C$2:$CX$215,100,0)</f>
        <v>-824950</v>
      </c>
      <c r="D152" s="141">
        <f>VLOOKUP(A152,'Data shares'!$C$2:$CY$538,101,0)</f>
        <v>-7.51E-2</v>
      </c>
      <c r="E152" s="86">
        <f>VLOOKUP($A152,'Data shares'!$C:$FA,74)</f>
        <v>6017550</v>
      </c>
      <c r="F152" s="86">
        <f>VLOOKUP($A152,'Data shares'!$C:$FA,76)</f>
        <v>-393400</v>
      </c>
      <c r="G152" s="87">
        <f>VLOOKUP(A152,'Data shares'!$C$2:$CA$215,77,0)</f>
        <v>-6.1400000000000003E-2</v>
      </c>
      <c r="H152" s="86">
        <f>VLOOKUP($A152,'Data shares'!$C:$FA,90)</f>
        <v>2712500</v>
      </c>
      <c r="I152" s="86">
        <f>VLOOKUP($A152,'Data shares'!$C:$FA,92)</f>
        <v>-310800</v>
      </c>
      <c r="J152" s="87">
        <f>VLOOKUP($A152,'Data shares'!$C:$FA,93)</f>
        <v>-0.1028</v>
      </c>
      <c r="K152" s="86">
        <f>VLOOKUP($A152,'Data shares'!$C:$FA,94)</f>
        <v>1426250</v>
      </c>
      <c r="L152" s="86">
        <f>VLOOKUP($A152,'Data shares'!$C:$FA,96)</f>
        <v>-120750</v>
      </c>
      <c r="M152" s="87">
        <f>VLOOKUP($A152,'Data shares'!$C:$FA,97)</f>
        <v>-7.8100000000000003E-2</v>
      </c>
      <c r="N152" s="86">
        <f>VLOOKUP($A152,'Data shares'!$C:$FA,78)</f>
        <v>2280250</v>
      </c>
      <c r="O152" s="87">
        <f>VLOOKUP($A152,'Data shares'!$C:$FA,81)</f>
        <v>-0.39069999999999999</v>
      </c>
    </row>
    <row r="153" spans="1:15" x14ac:dyDescent="0.25">
      <c r="A153" s="100" t="str">
        <f>'Data Vlaue (Cr)'!C148</f>
        <v>OFSS</v>
      </c>
      <c r="B153" s="82">
        <f>VLOOKUP(A153,'Data shares'!$C$2:$CV$215,98,0)</f>
        <v>2469900</v>
      </c>
      <c r="C153" s="82">
        <f>VLOOKUP(A153,'Data shares'!$C$2:$CX$215,100,0)</f>
        <v>-511875</v>
      </c>
      <c r="D153" s="141">
        <f>VLOOKUP(A153,'Data shares'!$C$2:$CY$538,101,0)</f>
        <v>-0.17169999999999999</v>
      </c>
      <c r="E153" s="86">
        <f>VLOOKUP($A153,'Data shares'!$C:$FA,74)</f>
        <v>1481625</v>
      </c>
      <c r="F153" s="86">
        <f>VLOOKUP($A153,'Data shares'!$C:$FA,76)</f>
        <v>-328500</v>
      </c>
      <c r="G153" s="87">
        <f>VLOOKUP(A153,'Data shares'!$C$2:$CA$215,77,0)</f>
        <v>-0.18149999999999999</v>
      </c>
      <c r="H153" s="86">
        <f>VLOOKUP($A153,'Data shares'!$C:$FA,90)</f>
        <v>553350</v>
      </c>
      <c r="I153" s="86">
        <f>VLOOKUP($A153,'Data shares'!$C:$FA,92)</f>
        <v>-97125</v>
      </c>
      <c r="J153" s="87">
        <f>VLOOKUP($A153,'Data shares'!$C:$FA,93)</f>
        <v>-0.14929999999999999</v>
      </c>
      <c r="K153" s="86">
        <f>VLOOKUP($A153,'Data shares'!$C:$FA,94)</f>
        <v>434925</v>
      </c>
      <c r="L153" s="86">
        <f>VLOOKUP($A153,'Data shares'!$C:$FA,96)</f>
        <v>-86250</v>
      </c>
      <c r="M153" s="87">
        <f>VLOOKUP($A153,'Data shares'!$C:$FA,97)</f>
        <v>-0.16550000000000001</v>
      </c>
      <c r="N153" s="86">
        <f>VLOOKUP($A153,'Data shares'!$C:$FA,78)</f>
        <v>574275</v>
      </c>
      <c r="O153" s="87">
        <f>VLOOKUP($A153,'Data shares'!$C:$FA,81)</f>
        <v>-0.4516</v>
      </c>
    </row>
    <row r="154" spans="1:15" x14ac:dyDescent="0.25">
      <c r="A154" s="100" t="str">
        <f>'Data Vlaue (Cr)'!C149</f>
        <v>OIL</v>
      </c>
      <c r="B154" s="82">
        <f>VLOOKUP(A154,'Data shares'!$C$2:$CV$215,98,0)</f>
        <v>28165200</v>
      </c>
      <c r="C154" s="82">
        <f>VLOOKUP(A154,'Data shares'!$C$2:$CX$215,100,0)</f>
        <v>-1492400</v>
      </c>
      <c r="D154" s="141">
        <f>VLOOKUP(A154,'Data shares'!$C$2:$CY$538,101,0)</f>
        <v>-5.0299999999999997E-2</v>
      </c>
      <c r="E154" s="86">
        <f>VLOOKUP($A154,'Data shares'!$C:$FA,74)</f>
        <v>14207200</v>
      </c>
      <c r="F154" s="86">
        <f>VLOOKUP($A154,'Data shares'!$C:$FA,76)</f>
        <v>-970200</v>
      </c>
      <c r="G154" s="87">
        <f>VLOOKUP(A154,'Data shares'!$C$2:$CA$215,77,0)</f>
        <v>-6.3899999999999998E-2</v>
      </c>
      <c r="H154" s="86">
        <f>VLOOKUP($A154,'Data shares'!$C:$FA,90)</f>
        <v>8507800</v>
      </c>
      <c r="I154" s="86">
        <f>VLOOKUP($A154,'Data shares'!$C:$FA,92)</f>
        <v>-481600</v>
      </c>
      <c r="J154" s="87">
        <f>VLOOKUP($A154,'Data shares'!$C:$FA,93)</f>
        <v>-5.3600000000000002E-2</v>
      </c>
      <c r="K154" s="86">
        <f>VLOOKUP($A154,'Data shares'!$C:$FA,94)</f>
        <v>5450200</v>
      </c>
      <c r="L154" s="86">
        <f>VLOOKUP($A154,'Data shares'!$C:$FA,96)</f>
        <v>-40600</v>
      </c>
      <c r="M154" s="87">
        <f>VLOOKUP($A154,'Data shares'!$C:$FA,97)</f>
        <v>-7.4000000000000003E-3</v>
      </c>
      <c r="N154" s="86">
        <f>VLOOKUP($A154,'Data shares'!$C:$FA,78)</f>
        <v>3295600</v>
      </c>
      <c r="O154" s="87">
        <f>VLOOKUP($A154,'Data shares'!$C:$FA,81)</f>
        <v>-0.63360000000000005</v>
      </c>
    </row>
    <row r="155" spans="1:15" x14ac:dyDescent="0.25">
      <c r="A155" s="100" t="str">
        <f>'Data Vlaue (Cr)'!C150</f>
        <v>ONGC</v>
      </c>
      <c r="B155" s="82">
        <f>VLOOKUP(A155,'Data shares'!$C$2:$CV$215,98,0)</f>
        <v>261234000</v>
      </c>
      <c r="C155" s="82">
        <f>VLOOKUP(A155,'Data shares'!$C$2:$CX$215,100,0)</f>
        <v>1487250</v>
      </c>
      <c r="D155" s="141">
        <f>VLOOKUP(A155,'Data shares'!$C$2:$CY$538,101,0)</f>
        <v>5.7000000000000002E-3</v>
      </c>
      <c r="E155" s="86">
        <f>VLOOKUP($A155,'Data shares'!$C:$FA,74)</f>
        <v>114840000</v>
      </c>
      <c r="F155" s="86">
        <f>VLOOKUP($A155,'Data shares'!$C:$FA,76)</f>
        <v>2839500</v>
      </c>
      <c r="G155" s="87">
        <f>VLOOKUP(A155,'Data shares'!$C$2:$CA$215,77,0)</f>
        <v>2.5399999999999999E-2</v>
      </c>
      <c r="H155" s="86">
        <f>VLOOKUP($A155,'Data shares'!$C:$FA,90)</f>
        <v>100921500</v>
      </c>
      <c r="I155" s="86">
        <f>VLOOKUP($A155,'Data shares'!$C:$FA,92)</f>
        <v>-1932750</v>
      </c>
      <c r="J155" s="87">
        <f>VLOOKUP($A155,'Data shares'!$C:$FA,93)</f>
        <v>-1.8800000000000001E-2</v>
      </c>
      <c r="K155" s="86">
        <f>VLOOKUP($A155,'Data shares'!$C:$FA,94)</f>
        <v>45472500</v>
      </c>
      <c r="L155" s="86">
        <f>VLOOKUP($A155,'Data shares'!$C:$FA,96)</f>
        <v>580500</v>
      </c>
      <c r="M155" s="87">
        <f>VLOOKUP($A155,'Data shares'!$C:$FA,97)</f>
        <v>1.29E-2</v>
      </c>
      <c r="N155" s="86">
        <f>VLOOKUP($A155,'Data shares'!$C:$FA,78)</f>
        <v>76630500</v>
      </c>
      <c r="O155" s="87">
        <f>VLOOKUP($A155,'Data shares'!$C:$FA,81)</f>
        <v>-0.17119999999999999</v>
      </c>
    </row>
    <row r="156" spans="1:15" x14ac:dyDescent="0.25">
      <c r="A156" s="100" t="str">
        <f>'Data Vlaue (Cr)'!C151</f>
        <v>PAGEIND</v>
      </c>
      <c r="B156" s="82">
        <f>VLOOKUP(A156,'Data shares'!$C$2:$CV$215,98,0)</f>
        <v>471465</v>
      </c>
      <c r="C156" s="82">
        <f>VLOOKUP(A156,'Data shares'!$C$2:$CX$215,100,0)</f>
        <v>20505</v>
      </c>
      <c r="D156" s="141">
        <f>VLOOKUP(A156,'Data shares'!$C$2:$CY$538,101,0)</f>
        <v>4.5499999999999999E-2</v>
      </c>
      <c r="E156" s="86">
        <f>VLOOKUP($A156,'Data shares'!$C:$FA,74)</f>
        <v>294690</v>
      </c>
      <c r="F156" s="86">
        <f>VLOOKUP($A156,'Data shares'!$C:$FA,76)</f>
        <v>14535</v>
      </c>
      <c r="G156" s="87">
        <f>VLOOKUP(A156,'Data shares'!$C$2:$CA$215,77,0)</f>
        <v>5.1900000000000002E-2</v>
      </c>
      <c r="H156" s="86">
        <f>VLOOKUP($A156,'Data shares'!$C:$FA,90)</f>
        <v>120375</v>
      </c>
      <c r="I156" s="86">
        <f>VLOOKUP($A156,'Data shares'!$C:$FA,92)</f>
        <v>6090</v>
      </c>
      <c r="J156" s="87">
        <f>VLOOKUP($A156,'Data shares'!$C:$FA,93)</f>
        <v>5.33E-2</v>
      </c>
      <c r="K156" s="86">
        <f>VLOOKUP($A156,'Data shares'!$C:$FA,94)</f>
        <v>56400</v>
      </c>
      <c r="L156" s="86">
        <f>VLOOKUP($A156,'Data shares'!$C:$FA,96)</f>
        <v>-120</v>
      </c>
      <c r="M156" s="87">
        <f>VLOOKUP($A156,'Data shares'!$C:$FA,97)</f>
        <v>-2.0999999999999999E-3</v>
      </c>
      <c r="N156" s="86">
        <f>VLOOKUP($A156,'Data shares'!$C:$FA,78)</f>
        <v>81360</v>
      </c>
      <c r="O156" s="87">
        <f>VLOOKUP($A156,'Data shares'!$C:$FA,81)</f>
        <v>-0.499</v>
      </c>
    </row>
    <row r="157" spans="1:15" x14ac:dyDescent="0.25">
      <c r="A157" s="100" t="str">
        <f>'Data Vlaue (Cr)'!C152</f>
        <v>PATANJALI</v>
      </c>
      <c r="B157" s="82">
        <f>VLOOKUP(A157,'Data shares'!$C$2:$CV$215,98,0)</f>
        <v>48560400</v>
      </c>
      <c r="C157" s="82">
        <f>VLOOKUP(A157,'Data shares'!$C$2:$CX$215,100,0)</f>
        <v>-1398600</v>
      </c>
      <c r="D157" s="141">
        <f>VLOOKUP(A157,'Data shares'!$C$2:$CY$538,101,0)</f>
        <v>-2.8000000000000001E-2</v>
      </c>
      <c r="E157" s="86">
        <f>VLOOKUP($A157,'Data shares'!$C:$FA,74)</f>
        <v>38655000</v>
      </c>
      <c r="F157" s="86">
        <f>VLOOKUP($A157,'Data shares'!$C:$FA,76)</f>
        <v>-179100</v>
      </c>
      <c r="G157" s="87">
        <f>VLOOKUP(A157,'Data shares'!$C$2:$CA$215,77,0)</f>
        <v>-4.5999999999999999E-3</v>
      </c>
      <c r="H157" s="86">
        <f>VLOOKUP($A157,'Data shares'!$C:$FA,90)</f>
        <v>6738300</v>
      </c>
      <c r="I157" s="86">
        <f>VLOOKUP($A157,'Data shares'!$C:$FA,92)</f>
        <v>-921600</v>
      </c>
      <c r="J157" s="87">
        <f>VLOOKUP($A157,'Data shares'!$C:$FA,93)</f>
        <v>-0.1203</v>
      </c>
      <c r="K157" s="86">
        <f>VLOOKUP($A157,'Data shares'!$C:$FA,94)</f>
        <v>3167100</v>
      </c>
      <c r="L157" s="86">
        <f>VLOOKUP($A157,'Data shares'!$C:$FA,96)</f>
        <v>-297900</v>
      </c>
      <c r="M157" s="87">
        <f>VLOOKUP($A157,'Data shares'!$C:$FA,97)</f>
        <v>-8.5999999999999993E-2</v>
      </c>
      <c r="N157" s="86">
        <f>VLOOKUP($A157,'Data shares'!$C:$FA,78)</f>
        <v>8285400</v>
      </c>
      <c r="O157" s="87">
        <f>VLOOKUP($A157,'Data shares'!$C:$FA,81)</f>
        <v>-0.49530000000000002</v>
      </c>
    </row>
    <row r="158" spans="1:15" x14ac:dyDescent="0.25">
      <c r="A158" s="100" t="str">
        <f>'Data Vlaue (Cr)'!C153</f>
        <v>PAYTM</v>
      </c>
      <c r="B158" s="82">
        <f>VLOOKUP(A158,'Data shares'!$C$2:$CV$215,98,0)</f>
        <v>27159225</v>
      </c>
      <c r="C158" s="82">
        <f>VLOOKUP(A158,'Data shares'!$C$2:$CX$215,100,0)</f>
        <v>-1207125</v>
      </c>
      <c r="D158" s="141">
        <f>VLOOKUP(A158,'Data shares'!$C$2:$CY$538,101,0)</f>
        <v>-4.2599999999999999E-2</v>
      </c>
      <c r="E158" s="86">
        <f>VLOOKUP($A158,'Data shares'!$C:$FA,74)</f>
        <v>16937450</v>
      </c>
      <c r="F158" s="86">
        <f>VLOOKUP($A158,'Data shares'!$C:$FA,76)</f>
        <v>-479225</v>
      </c>
      <c r="G158" s="87">
        <f>VLOOKUP(A158,'Data shares'!$C$2:$CA$215,77,0)</f>
        <v>-2.75E-2</v>
      </c>
      <c r="H158" s="86">
        <f>VLOOKUP($A158,'Data shares'!$C:$FA,90)</f>
        <v>5885550</v>
      </c>
      <c r="I158" s="86">
        <f>VLOOKUP($A158,'Data shares'!$C:$FA,92)</f>
        <v>-878700</v>
      </c>
      <c r="J158" s="87">
        <f>VLOOKUP($A158,'Data shares'!$C:$FA,93)</f>
        <v>-0.12989999999999999</v>
      </c>
      <c r="K158" s="86">
        <f>VLOOKUP($A158,'Data shares'!$C:$FA,94)</f>
        <v>4336225</v>
      </c>
      <c r="L158" s="86">
        <f>VLOOKUP($A158,'Data shares'!$C:$FA,96)</f>
        <v>150800</v>
      </c>
      <c r="M158" s="87">
        <f>VLOOKUP($A158,'Data shares'!$C:$FA,97)</f>
        <v>3.5999999999999997E-2</v>
      </c>
      <c r="N158" s="86">
        <f>VLOOKUP($A158,'Data shares'!$C:$FA,78)</f>
        <v>8987825</v>
      </c>
      <c r="O158" s="87">
        <f>VLOOKUP($A158,'Data shares'!$C:$FA,81)</f>
        <v>-0.34399999999999997</v>
      </c>
    </row>
    <row r="159" spans="1:15" x14ac:dyDescent="0.25">
      <c r="A159" s="100" t="str">
        <f>'Data Vlaue (Cr)'!C154</f>
        <v>PERSISTENT</v>
      </c>
      <c r="B159" s="82">
        <f>VLOOKUP(A159,'Data shares'!$C$2:$CV$215,98,0)</f>
        <v>4844000</v>
      </c>
      <c r="C159" s="82">
        <f>VLOOKUP(A159,'Data shares'!$C$2:$CX$215,100,0)</f>
        <v>-806800</v>
      </c>
      <c r="D159" s="141">
        <f>VLOOKUP(A159,'Data shares'!$C$2:$CY$538,101,0)</f>
        <v>-0.14280000000000001</v>
      </c>
      <c r="E159" s="86">
        <f>VLOOKUP($A159,'Data shares'!$C:$FA,74)</f>
        <v>2786700</v>
      </c>
      <c r="F159" s="86">
        <f>VLOOKUP($A159,'Data shares'!$C:$FA,76)</f>
        <v>-196800</v>
      </c>
      <c r="G159" s="87">
        <f>VLOOKUP(A159,'Data shares'!$C$2:$CA$215,77,0)</f>
        <v>-6.6000000000000003E-2</v>
      </c>
      <c r="H159" s="86">
        <f>VLOOKUP($A159,'Data shares'!$C:$FA,90)</f>
        <v>1124100</v>
      </c>
      <c r="I159" s="86">
        <f>VLOOKUP($A159,'Data shares'!$C:$FA,92)</f>
        <v>-404400</v>
      </c>
      <c r="J159" s="87">
        <f>VLOOKUP($A159,'Data shares'!$C:$FA,93)</f>
        <v>-0.2646</v>
      </c>
      <c r="K159" s="86">
        <f>VLOOKUP($A159,'Data shares'!$C:$FA,94)</f>
        <v>933200</v>
      </c>
      <c r="L159" s="86">
        <f>VLOOKUP($A159,'Data shares'!$C:$FA,96)</f>
        <v>-205600</v>
      </c>
      <c r="M159" s="87">
        <f>VLOOKUP($A159,'Data shares'!$C:$FA,97)</f>
        <v>-0.18049999999999999</v>
      </c>
      <c r="N159" s="86">
        <f>VLOOKUP($A159,'Data shares'!$C:$FA,78)</f>
        <v>1480900</v>
      </c>
      <c r="O159" s="87">
        <f>VLOOKUP($A159,'Data shares'!$C:$FA,81)</f>
        <v>-0.29120000000000001</v>
      </c>
    </row>
    <row r="160" spans="1:15" x14ac:dyDescent="0.25">
      <c r="A160" s="100" t="str">
        <f>'Data Vlaue (Cr)'!C155</f>
        <v>PETRONET</v>
      </c>
      <c r="B160" s="82">
        <f>VLOOKUP(A160,'Data shares'!$C$2:$CV$215,98,0)</f>
        <v>72439400</v>
      </c>
      <c r="C160" s="82">
        <f>VLOOKUP(A160,'Data shares'!$C$2:$CX$215,100,0)</f>
        <v>-399000</v>
      </c>
      <c r="D160" s="141">
        <f>VLOOKUP(A160,'Data shares'!$C$2:$CY$538,101,0)</f>
        <v>-5.4999999999999997E-3</v>
      </c>
      <c r="E160" s="86">
        <f>VLOOKUP($A160,'Data shares'!$C:$FA,74)</f>
        <v>41486500</v>
      </c>
      <c r="F160" s="86">
        <f>VLOOKUP($A160,'Data shares'!$C:$FA,76)</f>
        <v>165300</v>
      </c>
      <c r="G160" s="87">
        <f>VLOOKUP(A160,'Data shares'!$C$2:$CA$215,77,0)</f>
        <v>4.0000000000000001E-3</v>
      </c>
      <c r="H160" s="86">
        <f>VLOOKUP($A160,'Data shares'!$C:$FA,90)</f>
        <v>12956100</v>
      </c>
      <c r="I160" s="86">
        <f>VLOOKUP($A160,'Data shares'!$C:$FA,92)</f>
        <v>-579500</v>
      </c>
      <c r="J160" s="87">
        <f>VLOOKUP($A160,'Data shares'!$C:$FA,93)</f>
        <v>-4.2799999999999998E-2</v>
      </c>
      <c r="K160" s="86">
        <f>VLOOKUP($A160,'Data shares'!$C:$FA,94)</f>
        <v>17996800</v>
      </c>
      <c r="L160" s="86">
        <f>VLOOKUP($A160,'Data shares'!$C:$FA,96)</f>
        <v>15200</v>
      </c>
      <c r="M160" s="87">
        <f>VLOOKUP($A160,'Data shares'!$C:$FA,97)</f>
        <v>8.0000000000000004E-4</v>
      </c>
      <c r="N160" s="86">
        <f>VLOOKUP($A160,'Data shares'!$C:$FA,78)</f>
        <v>16353300</v>
      </c>
      <c r="O160" s="87">
        <f>VLOOKUP($A160,'Data shares'!$C:$FA,81)</f>
        <v>-0.38600000000000001</v>
      </c>
    </row>
    <row r="161" spans="1:15" x14ac:dyDescent="0.25">
      <c r="A161" s="100" t="str">
        <f>'Data Vlaue (Cr)'!C156</f>
        <v>PFC</v>
      </c>
      <c r="B161" s="82">
        <f>VLOOKUP(A161,'Data shares'!$C$2:$CV$215,98,0)</f>
        <v>135343000</v>
      </c>
      <c r="C161" s="82">
        <f>VLOOKUP(A161,'Data shares'!$C$2:$CX$215,100,0)</f>
        <v>-4135300</v>
      </c>
      <c r="D161" s="141">
        <f>VLOOKUP(A161,'Data shares'!$C$2:$CY$538,101,0)</f>
        <v>-2.9600000000000001E-2</v>
      </c>
      <c r="E161" s="86">
        <f>VLOOKUP($A161,'Data shares'!$C:$FA,74)</f>
        <v>78144300</v>
      </c>
      <c r="F161" s="86">
        <f>VLOOKUP($A161,'Data shares'!$C:$FA,76)</f>
        <v>-1032200</v>
      </c>
      <c r="G161" s="87">
        <f>VLOOKUP(A161,'Data shares'!$C$2:$CA$215,77,0)</f>
        <v>-1.2999999999999999E-2</v>
      </c>
      <c r="H161" s="86">
        <f>VLOOKUP($A161,'Data shares'!$C:$FA,90)</f>
        <v>32662500</v>
      </c>
      <c r="I161" s="86">
        <f>VLOOKUP($A161,'Data shares'!$C:$FA,92)</f>
        <v>-2321800</v>
      </c>
      <c r="J161" s="87">
        <f>VLOOKUP($A161,'Data shares'!$C:$FA,93)</f>
        <v>-6.6400000000000001E-2</v>
      </c>
      <c r="K161" s="86">
        <f>VLOOKUP($A161,'Data shares'!$C:$FA,94)</f>
        <v>24536200</v>
      </c>
      <c r="L161" s="86">
        <f>VLOOKUP($A161,'Data shares'!$C:$FA,96)</f>
        <v>-781300</v>
      </c>
      <c r="M161" s="87">
        <f>VLOOKUP($A161,'Data shares'!$C:$FA,97)</f>
        <v>-3.09E-2</v>
      </c>
      <c r="N161" s="86">
        <f>VLOOKUP($A161,'Data shares'!$C:$FA,78)</f>
        <v>41221700</v>
      </c>
      <c r="O161" s="87">
        <f>VLOOKUP($A161,'Data shares'!$C:$FA,81)</f>
        <v>-0.24940000000000001</v>
      </c>
    </row>
    <row r="162" spans="1:15" x14ac:dyDescent="0.25">
      <c r="A162" s="100" t="str">
        <f>'Data Vlaue (Cr)'!C157</f>
        <v>PGEL</v>
      </c>
      <c r="B162" s="82">
        <f>VLOOKUP(A162,'Data shares'!$C$2:$CV$215,98,0)</f>
        <v>24494800</v>
      </c>
      <c r="C162" s="82">
        <f>VLOOKUP(A162,'Data shares'!$C$2:$CX$215,100,0)</f>
        <v>-2175500</v>
      </c>
      <c r="D162" s="141">
        <f>VLOOKUP(A162,'Data shares'!$C$2:$CY$538,101,0)</f>
        <v>-8.1600000000000006E-2</v>
      </c>
      <c r="E162" s="86">
        <f>VLOOKUP($A162,'Data shares'!$C:$FA,74)</f>
        <v>12633100</v>
      </c>
      <c r="F162" s="86">
        <f>VLOOKUP($A162,'Data shares'!$C:$FA,76)</f>
        <v>-234650</v>
      </c>
      <c r="G162" s="87">
        <f>VLOOKUP(A162,'Data shares'!$C$2:$CA$215,77,0)</f>
        <v>-1.8200000000000001E-2</v>
      </c>
      <c r="H162" s="86">
        <f>VLOOKUP($A162,'Data shares'!$C:$FA,90)</f>
        <v>7793800</v>
      </c>
      <c r="I162" s="86">
        <f>VLOOKUP($A162,'Data shares'!$C:$FA,92)</f>
        <v>-1082050</v>
      </c>
      <c r="J162" s="87">
        <f>VLOOKUP($A162,'Data shares'!$C:$FA,93)</f>
        <v>-0.12189999999999999</v>
      </c>
      <c r="K162" s="86">
        <f>VLOOKUP($A162,'Data shares'!$C:$FA,94)</f>
        <v>4067900</v>
      </c>
      <c r="L162" s="86">
        <f>VLOOKUP($A162,'Data shares'!$C:$FA,96)</f>
        <v>-858800</v>
      </c>
      <c r="M162" s="87">
        <f>VLOOKUP($A162,'Data shares'!$C:$FA,97)</f>
        <v>-0.17430000000000001</v>
      </c>
      <c r="N162" s="86">
        <f>VLOOKUP($A162,'Data shares'!$C:$FA,78)</f>
        <v>5871000</v>
      </c>
      <c r="O162" s="87">
        <f>VLOOKUP($A162,'Data shares'!$C:$FA,81)</f>
        <v>-0.34189999999999998</v>
      </c>
    </row>
    <row r="163" spans="1:15" x14ac:dyDescent="0.25">
      <c r="A163" s="100" t="str">
        <f>'Data Vlaue (Cr)'!C158</f>
        <v>PHOENIXLTD</v>
      </c>
      <c r="B163" s="82">
        <f>VLOOKUP(A163,'Data shares'!$C$2:$CV$215,98,0)</f>
        <v>5939150</v>
      </c>
      <c r="C163" s="82">
        <f>VLOOKUP(A163,'Data shares'!$C$2:$CX$215,100,0)</f>
        <v>-52150</v>
      </c>
      <c r="D163" s="141">
        <f>VLOOKUP(A163,'Data shares'!$C$2:$CY$538,101,0)</f>
        <v>-8.6999999999999994E-3</v>
      </c>
      <c r="E163" s="86">
        <f>VLOOKUP($A163,'Data shares'!$C:$FA,74)</f>
        <v>3930150</v>
      </c>
      <c r="F163" s="86">
        <f>VLOOKUP($A163,'Data shares'!$C:$FA,76)</f>
        <v>37450</v>
      </c>
      <c r="G163" s="87">
        <f>VLOOKUP(A163,'Data shares'!$C$2:$CA$215,77,0)</f>
        <v>9.5999999999999992E-3</v>
      </c>
      <c r="H163" s="86">
        <f>VLOOKUP($A163,'Data shares'!$C:$FA,90)</f>
        <v>1209250</v>
      </c>
      <c r="I163" s="86">
        <f>VLOOKUP($A163,'Data shares'!$C:$FA,92)</f>
        <v>-58800</v>
      </c>
      <c r="J163" s="87">
        <f>VLOOKUP($A163,'Data shares'!$C:$FA,93)</f>
        <v>-4.6399999999999997E-2</v>
      </c>
      <c r="K163" s="86">
        <f>VLOOKUP($A163,'Data shares'!$C:$FA,94)</f>
        <v>799750</v>
      </c>
      <c r="L163" s="86">
        <f>VLOOKUP($A163,'Data shares'!$C:$FA,96)</f>
        <v>-30800</v>
      </c>
      <c r="M163" s="87">
        <f>VLOOKUP($A163,'Data shares'!$C:$FA,97)</f>
        <v>-3.7100000000000001E-2</v>
      </c>
      <c r="N163" s="86">
        <f>VLOOKUP($A163,'Data shares'!$C:$FA,78)</f>
        <v>1760500</v>
      </c>
      <c r="O163" s="87">
        <f>VLOOKUP($A163,'Data shares'!$C:$FA,81)</f>
        <v>-0.35410000000000003</v>
      </c>
    </row>
    <row r="164" spans="1:15" x14ac:dyDescent="0.25">
      <c r="A164" s="100" t="str">
        <f>'Data Vlaue (Cr)'!C159</f>
        <v>PIDILITIND</v>
      </c>
      <c r="B164" s="82">
        <f>VLOOKUP(A164,'Data shares'!$C$2:$CV$215,98,0)</f>
        <v>10764500</v>
      </c>
      <c r="C164" s="82">
        <f>VLOOKUP(A164,'Data shares'!$C$2:$CX$215,100,0)</f>
        <v>-92500</v>
      </c>
      <c r="D164" s="141">
        <f>VLOOKUP(A164,'Data shares'!$C$2:$CY$538,101,0)</f>
        <v>-8.5000000000000006E-3</v>
      </c>
      <c r="E164" s="86">
        <f>VLOOKUP($A164,'Data shares'!$C:$FA,74)</f>
        <v>8434500</v>
      </c>
      <c r="F164" s="86">
        <f>VLOOKUP($A164,'Data shares'!$C:$FA,76)</f>
        <v>144000</v>
      </c>
      <c r="G164" s="87">
        <f>VLOOKUP(A164,'Data shares'!$C$2:$CA$215,77,0)</f>
        <v>1.7399999999999999E-2</v>
      </c>
      <c r="H164" s="86">
        <f>VLOOKUP($A164,'Data shares'!$C:$FA,90)</f>
        <v>1179000</v>
      </c>
      <c r="I164" s="86">
        <f>VLOOKUP($A164,'Data shares'!$C:$FA,92)</f>
        <v>-146000</v>
      </c>
      <c r="J164" s="87">
        <f>VLOOKUP($A164,'Data shares'!$C:$FA,93)</f>
        <v>-0.11020000000000001</v>
      </c>
      <c r="K164" s="86">
        <f>VLOOKUP($A164,'Data shares'!$C:$FA,94)</f>
        <v>1151000</v>
      </c>
      <c r="L164" s="86">
        <f>VLOOKUP($A164,'Data shares'!$C:$FA,96)</f>
        <v>-90500</v>
      </c>
      <c r="M164" s="87">
        <f>VLOOKUP($A164,'Data shares'!$C:$FA,97)</f>
        <v>-7.2900000000000006E-2</v>
      </c>
      <c r="N164" s="86">
        <f>VLOOKUP($A164,'Data shares'!$C:$FA,78)</f>
        <v>3196500</v>
      </c>
      <c r="O164" s="87">
        <f>VLOOKUP($A164,'Data shares'!$C:$FA,81)</f>
        <v>-0.4718</v>
      </c>
    </row>
    <row r="165" spans="1:15" x14ac:dyDescent="0.25">
      <c r="A165" s="100" t="str">
        <f>'Data Vlaue (Cr)'!C160</f>
        <v>PIIND</v>
      </c>
      <c r="B165" s="82">
        <f>VLOOKUP(A165,'Data shares'!$C$2:$CV$215,98,0)</f>
        <v>4171825</v>
      </c>
      <c r="C165" s="82">
        <f>VLOOKUP(A165,'Data shares'!$C$2:$CX$215,100,0)</f>
        <v>-195475</v>
      </c>
      <c r="D165" s="141">
        <f>VLOOKUP(A165,'Data shares'!$C$2:$CY$538,101,0)</f>
        <v>-4.48E-2</v>
      </c>
      <c r="E165" s="86">
        <f>VLOOKUP($A165,'Data shares'!$C:$FA,74)</f>
        <v>2848125</v>
      </c>
      <c r="F165" s="86">
        <f>VLOOKUP($A165,'Data shares'!$C:$FA,76)</f>
        <v>-69475</v>
      </c>
      <c r="G165" s="87">
        <f>VLOOKUP(A165,'Data shares'!$C$2:$CA$215,77,0)</f>
        <v>-2.3800000000000002E-2</v>
      </c>
      <c r="H165" s="86">
        <f>VLOOKUP($A165,'Data shares'!$C:$FA,90)</f>
        <v>847875</v>
      </c>
      <c r="I165" s="86">
        <f>VLOOKUP($A165,'Data shares'!$C:$FA,92)</f>
        <v>-82775</v>
      </c>
      <c r="J165" s="87">
        <f>VLOOKUP($A165,'Data shares'!$C:$FA,93)</f>
        <v>-8.8900000000000007E-2</v>
      </c>
      <c r="K165" s="86">
        <f>VLOOKUP($A165,'Data shares'!$C:$FA,94)</f>
        <v>475825</v>
      </c>
      <c r="L165" s="86">
        <f>VLOOKUP($A165,'Data shares'!$C:$FA,96)</f>
        <v>-43225</v>
      </c>
      <c r="M165" s="87">
        <f>VLOOKUP($A165,'Data shares'!$C:$FA,97)</f>
        <v>-8.3299999999999999E-2</v>
      </c>
      <c r="N165" s="86">
        <f>VLOOKUP($A165,'Data shares'!$C:$FA,78)</f>
        <v>914200</v>
      </c>
      <c r="O165" s="87">
        <f>VLOOKUP($A165,'Data shares'!$C:$FA,81)</f>
        <v>-0.49370000000000003</v>
      </c>
    </row>
    <row r="166" spans="1:15" x14ac:dyDescent="0.25">
      <c r="A166" s="100" t="str">
        <f>'Data Vlaue (Cr)'!C161</f>
        <v>PNB</v>
      </c>
      <c r="B166" s="82">
        <f>VLOOKUP(A166,'Data shares'!$C$2:$CV$215,98,0)</f>
        <v>479784000</v>
      </c>
      <c r="C166" s="82">
        <f>VLOOKUP(A166,'Data shares'!$C$2:$CX$215,100,0)</f>
        <v>-13792000</v>
      </c>
      <c r="D166" s="141">
        <f>VLOOKUP(A166,'Data shares'!$C$2:$CY$538,101,0)</f>
        <v>-2.7900000000000001E-2</v>
      </c>
      <c r="E166" s="86">
        <f>VLOOKUP($A166,'Data shares'!$C:$FA,74)</f>
        <v>242536000</v>
      </c>
      <c r="F166" s="86">
        <f>VLOOKUP($A166,'Data shares'!$C:$FA,76)</f>
        <v>1600000</v>
      </c>
      <c r="G166" s="87">
        <f>VLOOKUP(A166,'Data shares'!$C$2:$CA$215,77,0)</f>
        <v>6.6E-3</v>
      </c>
      <c r="H166" s="86">
        <f>VLOOKUP($A166,'Data shares'!$C:$FA,90)</f>
        <v>145856000</v>
      </c>
      <c r="I166" s="86">
        <f>VLOOKUP($A166,'Data shares'!$C:$FA,92)</f>
        <v>-13480000</v>
      </c>
      <c r="J166" s="87">
        <f>VLOOKUP($A166,'Data shares'!$C:$FA,93)</f>
        <v>-8.4599999999999995E-2</v>
      </c>
      <c r="K166" s="86">
        <f>VLOOKUP($A166,'Data shares'!$C:$FA,94)</f>
        <v>91392000</v>
      </c>
      <c r="L166" s="86">
        <f>VLOOKUP($A166,'Data shares'!$C:$FA,96)</f>
        <v>-1912000</v>
      </c>
      <c r="M166" s="87">
        <f>VLOOKUP($A166,'Data shares'!$C:$FA,97)</f>
        <v>-2.0500000000000001E-2</v>
      </c>
      <c r="N166" s="86">
        <f>VLOOKUP($A166,'Data shares'!$C:$FA,78)</f>
        <v>109040000</v>
      </c>
      <c r="O166" s="87">
        <f>VLOOKUP($A166,'Data shares'!$C:$FA,81)</f>
        <v>-0.30590000000000001</v>
      </c>
    </row>
    <row r="167" spans="1:15" x14ac:dyDescent="0.25">
      <c r="A167" s="100" t="str">
        <f>'Data Vlaue (Cr)'!C162</f>
        <v>PNBHOUSING</v>
      </c>
      <c r="B167" s="82">
        <f>VLOOKUP(A167,'Data shares'!$C$2:$CV$215,98,0)</f>
        <v>24762400</v>
      </c>
      <c r="C167" s="82">
        <f>VLOOKUP(A167,'Data shares'!$C$2:$CX$215,100,0)</f>
        <v>5684250</v>
      </c>
      <c r="D167" s="141">
        <f>VLOOKUP(A167,'Data shares'!$C$2:$CY$538,101,0)</f>
        <v>0.2979</v>
      </c>
      <c r="E167" s="86">
        <f>VLOOKUP($A167,'Data shares'!$C:$FA,74)</f>
        <v>15191150</v>
      </c>
      <c r="F167" s="86">
        <f>VLOOKUP($A167,'Data shares'!$C:$FA,76)</f>
        <v>1601600</v>
      </c>
      <c r="G167" s="87">
        <f>VLOOKUP(A167,'Data shares'!$C$2:$CA$215,77,0)</f>
        <v>0.1179</v>
      </c>
      <c r="H167" s="86">
        <f>VLOOKUP($A167,'Data shares'!$C:$FA,90)</f>
        <v>5627050</v>
      </c>
      <c r="I167" s="86">
        <f>VLOOKUP($A167,'Data shares'!$C:$FA,92)</f>
        <v>2488200</v>
      </c>
      <c r="J167" s="87">
        <f>VLOOKUP($A167,'Data shares'!$C:$FA,93)</f>
        <v>0.79269999999999996</v>
      </c>
      <c r="K167" s="86">
        <f>VLOOKUP($A167,'Data shares'!$C:$FA,94)</f>
        <v>3944200</v>
      </c>
      <c r="L167" s="86">
        <f>VLOOKUP($A167,'Data shares'!$C:$FA,96)</f>
        <v>1594450</v>
      </c>
      <c r="M167" s="87">
        <f>VLOOKUP($A167,'Data shares'!$C:$FA,97)</f>
        <v>0.67859999999999998</v>
      </c>
      <c r="N167" s="86">
        <f>VLOOKUP($A167,'Data shares'!$C:$FA,78)</f>
        <v>7442500</v>
      </c>
      <c r="O167" s="87">
        <f>VLOOKUP($A167,'Data shares'!$C:$FA,81)</f>
        <v>-0.3367</v>
      </c>
    </row>
    <row r="168" spans="1:15" x14ac:dyDescent="0.25">
      <c r="A168" s="100" t="str">
        <f>'Data Vlaue (Cr)'!C163</f>
        <v>POLICYBZR</v>
      </c>
      <c r="B168" s="82">
        <f>VLOOKUP(A168,'Data shares'!$C$2:$CV$215,98,0)</f>
        <v>10921750</v>
      </c>
      <c r="C168" s="82">
        <f>VLOOKUP(A168,'Data shares'!$C$2:$CX$215,100,0)</f>
        <v>-617400</v>
      </c>
      <c r="D168" s="141">
        <f>VLOOKUP(A168,'Data shares'!$C$2:$CY$538,101,0)</f>
        <v>-5.3499999999999999E-2</v>
      </c>
      <c r="E168" s="86">
        <f>VLOOKUP($A168,'Data shares'!$C:$FA,74)</f>
        <v>7443450</v>
      </c>
      <c r="F168" s="86">
        <f>VLOOKUP($A168,'Data shares'!$C:$FA,76)</f>
        <v>138250</v>
      </c>
      <c r="G168" s="87">
        <f>VLOOKUP(A168,'Data shares'!$C$2:$CA$215,77,0)</f>
        <v>1.89E-2</v>
      </c>
      <c r="H168" s="86">
        <f>VLOOKUP($A168,'Data shares'!$C:$FA,90)</f>
        <v>2153550</v>
      </c>
      <c r="I168" s="86">
        <f>VLOOKUP($A168,'Data shares'!$C:$FA,92)</f>
        <v>-588700</v>
      </c>
      <c r="J168" s="87">
        <f>VLOOKUP($A168,'Data shares'!$C:$FA,93)</f>
        <v>-0.2147</v>
      </c>
      <c r="K168" s="86">
        <f>VLOOKUP($A168,'Data shares'!$C:$FA,94)</f>
        <v>1324750</v>
      </c>
      <c r="L168" s="86">
        <f>VLOOKUP($A168,'Data shares'!$C:$FA,96)</f>
        <v>-166950</v>
      </c>
      <c r="M168" s="87">
        <f>VLOOKUP($A168,'Data shares'!$C:$FA,97)</f>
        <v>-0.1119</v>
      </c>
      <c r="N168" s="86">
        <f>VLOOKUP($A168,'Data shares'!$C:$FA,78)</f>
        <v>3771950</v>
      </c>
      <c r="O168" s="87">
        <f>VLOOKUP($A168,'Data shares'!$C:$FA,81)</f>
        <v>-0.34010000000000001</v>
      </c>
    </row>
    <row r="169" spans="1:15" x14ac:dyDescent="0.25">
      <c r="A169" s="100" t="str">
        <f>'Data Vlaue (Cr)'!C164</f>
        <v>POLYCAB</v>
      </c>
      <c r="B169" s="82">
        <f>VLOOKUP(A169,'Data shares'!$C$2:$CV$215,98,0)</f>
        <v>7548500</v>
      </c>
      <c r="C169" s="82">
        <f>VLOOKUP(A169,'Data shares'!$C$2:$CX$215,100,0)</f>
        <v>-213750</v>
      </c>
      <c r="D169" s="141">
        <f>VLOOKUP(A169,'Data shares'!$C$2:$CY$538,101,0)</f>
        <v>-2.75E-2</v>
      </c>
      <c r="E169" s="86">
        <f>VLOOKUP($A169,'Data shares'!$C:$FA,74)</f>
        <v>3874125</v>
      </c>
      <c r="F169" s="86">
        <f>VLOOKUP($A169,'Data shares'!$C:$FA,76)</f>
        <v>-88000</v>
      </c>
      <c r="G169" s="87">
        <f>VLOOKUP(A169,'Data shares'!$C$2:$CA$215,77,0)</f>
        <v>-2.2200000000000001E-2</v>
      </c>
      <c r="H169" s="86">
        <f>VLOOKUP($A169,'Data shares'!$C:$FA,90)</f>
        <v>2574875</v>
      </c>
      <c r="I169" s="86">
        <f>VLOOKUP($A169,'Data shares'!$C:$FA,92)</f>
        <v>-95125</v>
      </c>
      <c r="J169" s="87">
        <f>VLOOKUP($A169,'Data shares'!$C:$FA,93)</f>
        <v>-3.56E-2</v>
      </c>
      <c r="K169" s="86">
        <f>VLOOKUP($A169,'Data shares'!$C:$FA,94)</f>
        <v>1099500</v>
      </c>
      <c r="L169" s="86">
        <f>VLOOKUP($A169,'Data shares'!$C:$FA,96)</f>
        <v>-30625</v>
      </c>
      <c r="M169" s="87">
        <f>VLOOKUP($A169,'Data shares'!$C:$FA,97)</f>
        <v>-2.7099999999999999E-2</v>
      </c>
      <c r="N169" s="86">
        <f>VLOOKUP($A169,'Data shares'!$C:$FA,78)</f>
        <v>1682250</v>
      </c>
      <c r="O169" s="87">
        <f>VLOOKUP($A169,'Data shares'!$C:$FA,81)</f>
        <v>-0.41930000000000001</v>
      </c>
    </row>
    <row r="170" spans="1:15" x14ac:dyDescent="0.25">
      <c r="A170" s="100" t="str">
        <f>'Data Vlaue (Cr)'!C165</f>
        <v>POWERGRID</v>
      </c>
      <c r="B170" s="82">
        <f>VLOOKUP(A170,'Data shares'!$C$2:$CV$215,98,0)</f>
        <v>171038000</v>
      </c>
      <c r="C170" s="82">
        <f>VLOOKUP(A170,'Data shares'!$C$2:$CX$215,100,0)</f>
        <v>-1518100</v>
      </c>
      <c r="D170" s="141">
        <f>VLOOKUP(A170,'Data shares'!$C$2:$CY$538,101,0)</f>
        <v>-8.8000000000000005E-3</v>
      </c>
      <c r="E170" s="86">
        <f>VLOOKUP($A170,'Data shares'!$C:$FA,74)</f>
        <v>104743200</v>
      </c>
      <c r="F170" s="86">
        <f>VLOOKUP($A170,'Data shares'!$C:$FA,76)</f>
        <v>-589000</v>
      </c>
      <c r="G170" s="87">
        <f>VLOOKUP(A170,'Data shares'!$C$2:$CA$215,77,0)</f>
        <v>-5.5999999999999999E-3</v>
      </c>
      <c r="H170" s="86">
        <f>VLOOKUP($A170,'Data shares'!$C:$FA,90)</f>
        <v>40869000</v>
      </c>
      <c r="I170" s="86">
        <f>VLOOKUP($A170,'Data shares'!$C:$FA,92)</f>
        <v>-1176100</v>
      </c>
      <c r="J170" s="87">
        <f>VLOOKUP($A170,'Data shares'!$C:$FA,93)</f>
        <v>-2.8000000000000001E-2</v>
      </c>
      <c r="K170" s="86">
        <f>VLOOKUP($A170,'Data shares'!$C:$FA,94)</f>
        <v>25425800</v>
      </c>
      <c r="L170" s="86">
        <f>VLOOKUP($A170,'Data shares'!$C:$FA,96)</f>
        <v>247000</v>
      </c>
      <c r="M170" s="87">
        <f>VLOOKUP($A170,'Data shares'!$C:$FA,97)</f>
        <v>9.7999999999999997E-3</v>
      </c>
      <c r="N170" s="86">
        <f>VLOOKUP($A170,'Data shares'!$C:$FA,78)</f>
        <v>62538500</v>
      </c>
      <c r="O170" s="87">
        <f>VLOOKUP($A170,'Data shares'!$C:$FA,81)</f>
        <v>-0.1898</v>
      </c>
    </row>
    <row r="171" spans="1:15" x14ac:dyDescent="0.25">
      <c r="A171" s="100" t="str">
        <f>'Data Vlaue (Cr)'!C166</f>
        <v>POWERINDIA</v>
      </c>
      <c r="B171" s="82">
        <f>VLOOKUP(A171,'Data shares'!$C$2:$CV$215,98,0)</f>
        <v>847950</v>
      </c>
      <c r="C171" s="82">
        <f>VLOOKUP(A171,'Data shares'!$C$2:$CX$215,100,0)</f>
        <v>-68200</v>
      </c>
      <c r="D171" s="141">
        <f>VLOOKUP(A171,'Data shares'!$C$2:$CY$538,101,0)</f>
        <v>-7.4399999999999994E-2</v>
      </c>
      <c r="E171" s="86">
        <f>VLOOKUP($A171,'Data shares'!$C:$FA,74)</f>
        <v>382300</v>
      </c>
      <c r="F171" s="86">
        <f>VLOOKUP($A171,'Data shares'!$C:$FA,76)</f>
        <v>-16550</v>
      </c>
      <c r="G171" s="87">
        <f>VLOOKUP(A171,'Data shares'!$C$2:$CA$215,77,0)</f>
        <v>-4.1500000000000002E-2</v>
      </c>
      <c r="H171" s="86">
        <f>VLOOKUP($A171,'Data shares'!$C:$FA,90)</f>
        <v>293550</v>
      </c>
      <c r="I171" s="86">
        <f>VLOOKUP($A171,'Data shares'!$C:$FA,92)</f>
        <v>-43850</v>
      </c>
      <c r="J171" s="87">
        <f>VLOOKUP($A171,'Data shares'!$C:$FA,93)</f>
        <v>-0.13</v>
      </c>
      <c r="K171" s="86">
        <f>VLOOKUP($A171,'Data shares'!$C:$FA,94)</f>
        <v>172100</v>
      </c>
      <c r="L171" s="86">
        <f>VLOOKUP($A171,'Data shares'!$C:$FA,96)</f>
        <v>-7800</v>
      </c>
      <c r="M171" s="87">
        <f>VLOOKUP($A171,'Data shares'!$C:$FA,97)</f>
        <v>-4.3400000000000001E-2</v>
      </c>
      <c r="N171" s="86">
        <f>VLOOKUP($A171,'Data shares'!$C:$FA,78)</f>
        <v>212300</v>
      </c>
      <c r="O171" s="87">
        <f>VLOOKUP($A171,'Data shares'!$C:$FA,81)</f>
        <v>-0.30030000000000001</v>
      </c>
    </row>
    <row r="172" spans="1:15" x14ac:dyDescent="0.25">
      <c r="A172" s="100" t="str">
        <f>'Data Vlaue (Cr)'!C167</f>
        <v>PPLPHARMA</v>
      </c>
      <c r="B172" s="82">
        <f>VLOOKUP(A172,'Data shares'!$C$2:$CV$215,98,0)</f>
        <v>48454875</v>
      </c>
      <c r="C172" s="82">
        <f>VLOOKUP(A172,'Data shares'!$C$2:$CX$215,100,0)</f>
        <v>-2302125</v>
      </c>
      <c r="D172" s="141">
        <f>VLOOKUP(A172,'Data shares'!$C$2:$CY$538,101,0)</f>
        <v>-4.5400000000000003E-2</v>
      </c>
      <c r="E172" s="86">
        <f>VLOOKUP($A172,'Data shares'!$C:$FA,74)</f>
        <v>24885000</v>
      </c>
      <c r="F172" s="86">
        <f>VLOOKUP($A172,'Data shares'!$C:$FA,76)</f>
        <v>-1144500</v>
      </c>
      <c r="G172" s="87">
        <f>VLOOKUP(A172,'Data shares'!$C$2:$CA$215,77,0)</f>
        <v>-4.3999999999999997E-2</v>
      </c>
      <c r="H172" s="86">
        <f>VLOOKUP($A172,'Data shares'!$C:$FA,90)</f>
        <v>16498125</v>
      </c>
      <c r="I172" s="86">
        <f>VLOOKUP($A172,'Data shares'!$C:$FA,92)</f>
        <v>-1155000</v>
      </c>
      <c r="J172" s="87">
        <f>VLOOKUP($A172,'Data shares'!$C:$FA,93)</f>
        <v>-6.54E-2</v>
      </c>
      <c r="K172" s="86">
        <f>VLOOKUP($A172,'Data shares'!$C:$FA,94)</f>
        <v>7071750</v>
      </c>
      <c r="L172" s="86">
        <f>VLOOKUP($A172,'Data shares'!$C:$FA,96)</f>
        <v>-2625</v>
      </c>
      <c r="M172" s="87">
        <f>VLOOKUP($A172,'Data shares'!$C:$FA,97)</f>
        <v>-4.0000000000000002E-4</v>
      </c>
      <c r="N172" s="86">
        <f>VLOOKUP($A172,'Data shares'!$C:$FA,78)</f>
        <v>12114375</v>
      </c>
      <c r="O172" s="87">
        <f>VLOOKUP($A172,'Data shares'!$C:$FA,81)</f>
        <v>-0.3271</v>
      </c>
    </row>
    <row r="173" spans="1:15" x14ac:dyDescent="0.25">
      <c r="A173" s="100" t="str">
        <f>'Data Vlaue (Cr)'!C168</f>
        <v>PREMIERENE</v>
      </c>
      <c r="B173" s="82">
        <f>VLOOKUP(A173,'Data shares'!$C$2:$CV$215,98,0)</f>
        <v>13756875</v>
      </c>
      <c r="C173" s="82">
        <f>VLOOKUP(A173,'Data shares'!$C$2:$CX$215,100,0)</f>
        <v>1070650</v>
      </c>
      <c r="D173" s="141">
        <f>VLOOKUP(A173,'Data shares'!$C$2:$CY$538,101,0)</f>
        <v>8.4400000000000003E-2</v>
      </c>
      <c r="E173" s="86">
        <f>VLOOKUP($A173,'Data shares'!$C:$FA,74)</f>
        <v>6271525</v>
      </c>
      <c r="F173" s="86">
        <f>VLOOKUP($A173,'Data shares'!$C:$FA,76)</f>
        <v>285200</v>
      </c>
      <c r="G173" s="87">
        <f>VLOOKUP(A173,'Data shares'!$C$2:$CA$215,77,0)</f>
        <v>4.7600000000000003E-2</v>
      </c>
      <c r="H173" s="86">
        <f>VLOOKUP($A173,'Data shares'!$C:$FA,90)</f>
        <v>4905900</v>
      </c>
      <c r="I173" s="86">
        <f>VLOOKUP($A173,'Data shares'!$C:$FA,92)</f>
        <v>734850</v>
      </c>
      <c r="J173" s="87">
        <f>VLOOKUP($A173,'Data shares'!$C:$FA,93)</f>
        <v>0.1762</v>
      </c>
      <c r="K173" s="86">
        <f>VLOOKUP($A173,'Data shares'!$C:$FA,94)</f>
        <v>2579450</v>
      </c>
      <c r="L173" s="86">
        <f>VLOOKUP($A173,'Data shares'!$C:$FA,96)</f>
        <v>50600</v>
      </c>
      <c r="M173" s="87">
        <f>VLOOKUP($A173,'Data shares'!$C:$FA,97)</f>
        <v>0.02</v>
      </c>
      <c r="N173" s="86">
        <f>VLOOKUP($A173,'Data shares'!$C:$FA,78)</f>
        <v>3344775</v>
      </c>
      <c r="O173" s="87">
        <f>VLOOKUP($A173,'Data shares'!$C:$FA,81)</f>
        <v>-0.2235</v>
      </c>
    </row>
    <row r="174" spans="1:15" x14ac:dyDescent="0.25">
      <c r="A174" s="100" t="str">
        <f>'Data Vlaue (Cr)'!C169</f>
        <v>PRESTIGE</v>
      </c>
      <c r="B174" s="82">
        <f>VLOOKUP(A174,'Data shares'!$C$2:$CV$215,98,0)</f>
        <v>8302500</v>
      </c>
      <c r="C174" s="82">
        <f>VLOOKUP(A174,'Data shares'!$C$2:$CX$215,100,0)</f>
        <v>-153900</v>
      </c>
      <c r="D174" s="141">
        <f>VLOOKUP(A174,'Data shares'!$C$2:$CY$538,101,0)</f>
        <v>-1.8200000000000001E-2</v>
      </c>
      <c r="E174" s="86">
        <f>VLOOKUP($A174,'Data shares'!$C:$FA,74)</f>
        <v>4346550</v>
      </c>
      <c r="F174" s="86">
        <f>VLOOKUP($A174,'Data shares'!$C:$FA,76)</f>
        <v>-49950</v>
      </c>
      <c r="G174" s="87">
        <f>VLOOKUP(A174,'Data shares'!$C$2:$CA$215,77,0)</f>
        <v>-1.14E-2</v>
      </c>
      <c r="H174" s="86">
        <f>VLOOKUP($A174,'Data shares'!$C:$FA,90)</f>
        <v>2726100</v>
      </c>
      <c r="I174" s="86">
        <f>VLOOKUP($A174,'Data shares'!$C:$FA,92)</f>
        <v>-43650</v>
      </c>
      <c r="J174" s="87">
        <f>VLOOKUP($A174,'Data shares'!$C:$FA,93)</f>
        <v>-1.5800000000000002E-2</v>
      </c>
      <c r="K174" s="86">
        <f>VLOOKUP($A174,'Data shares'!$C:$FA,94)</f>
        <v>1229850</v>
      </c>
      <c r="L174" s="86">
        <f>VLOOKUP($A174,'Data shares'!$C:$FA,96)</f>
        <v>-60300</v>
      </c>
      <c r="M174" s="87">
        <f>VLOOKUP($A174,'Data shares'!$C:$FA,97)</f>
        <v>-4.6699999999999998E-2</v>
      </c>
      <c r="N174" s="86">
        <f>VLOOKUP($A174,'Data shares'!$C:$FA,78)</f>
        <v>2220300</v>
      </c>
      <c r="O174" s="87">
        <f>VLOOKUP($A174,'Data shares'!$C:$FA,81)</f>
        <v>-0.33700000000000002</v>
      </c>
    </row>
    <row r="175" spans="1:15" x14ac:dyDescent="0.25">
      <c r="A175" s="100" t="str">
        <f>'Data Vlaue (Cr)'!C170</f>
        <v>RBLBANK</v>
      </c>
      <c r="B175" s="82">
        <f>VLOOKUP(A175,'Data shares'!$C$2:$CV$215,98,0)</f>
        <v>140290550</v>
      </c>
      <c r="C175" s="82">
        <f>VLOOKUP(A175,'Data shares'!$C$2:$CX$215,100,0)</f>
        <v>-4038600</v>
      </c>
      <c r="D175" s="141">
        <f>VLOOKUP(A175,'Data shares'!$C$2:$CY$538,101,0)</f>
        <v>-2.8000000000000001E-2</v>
      </c>
      <c r="E175" s="86">
        <f>VLOOKUP($A175,'Data shares'!$C:$FA,74)</f>
        <v>81054575</v>
      </c>
      <c r="F175" s="86">
        <f>VLOOKUP($A175,'Data shares'!$C:$FA,76)</f>
        <v>-1044575</v>
      </c>
      <c r="G175" s="87">
        <f>VLOOKUP(A175,'Data shares'!$C$2:$CA$215,77,0)</f>
        <v>-1.2699999999999999E-2</v>
      </c>
      <c r="H175" s="86">
        <f>VLOOKUP($A175,'Data shares'!$C:$FA,90)</f>
        <v>36842700</v>
      </c>
      <c r="I175" s="86">
        <f>VLOOKUP($A175,'Data shares'!$C:$FA,92)</f>
        <v>-1822450</v>
      </c>
      <c r="J175" s="87">
        <f>VLOOKUP($A175,'Data shares'!$C:$FA,93)</f>
        <v>-4.7100000000000003E-2</v>
      </c>
      <c r="K175" s="86">
        <f>VLOOKUP($A175,'Data shares'!$C:$FA,94)</f>
        <v>22393275</v>
      </c>
      <c r="L175" s="86">
        <f>VLOOKUP($A175,'Data shares'!$C:$FA,96)</f>
        <v>-1171575</v>
      </c>
      <c r="M175" s="87">
        <f>VLOOKUP($A175,'Data shares'!$C:$FA,97)</f>
        <v>-4.9700000000000001E-2</v>
      </c>
      <c r="N175" s="86">
        <f>VLOOKUP($A175,'Data shares'!$C:$FA,78)</f>
        <v>42316400</v>
      </c>
      <c r="O175" s="87">
        <f>VLOOKUP($A175,'Data shares'!$C:$FA,81)</f>
        <v>-0.2364</v>
      </c>
    </row>
    <row r="176" spans="1:15" x14ac:dyDescent="0.25">
      <c r="A176" s="100" t="str">
        <f>'Data Vlaue (Cr)'!C171</f>
        <v>RECLTD</v>
      </c>
      <c r="B176" s="82">
        <f>VLOOKUP(A176,'Data shares'!$C$2:$CV$215,98,0)</f>
        <v>159632200</v>
      </c>
      <c r="C176" s="82">
        <f>VLOOKUP(A176,'Data shares'!$C$2:$CX$215,100,0)</f>
        <v>-9020200</v>
      </c>
      <c r="D176" s="141">
        <f>VLOOKUP(A176,'Data shares'!$C$2:$CY$538,101,0)</f>
        <v>-5.3499999999999999E-2</v>
      </c>
      <c r="E176" s="86">
        <f>VLOOKUP($A176,'Data shares'!$C:$FA,74)</f>
        <v>89171600</v>
      </c>
      <c r="F176" s="86">
        <f>VLOOKUP($A176,'Data shares'!$C:$FA,76)</f>
        <v>-3579800</v>
      </c>
      <c r="G176" s="87">
        <f>VLOOKUP(A176,'Data shares'!$C$2:$CA$215,77,0)</f>
        <v>-3.8600000000000002E-2</v>
      </c>
      <c r="H176" s="86">
        <f>VLOOKUP($A176,'Data shares'!$C:$FA,90)</f>
        <v>40605600</v>
      </c>
      <c r="I176" s="86">
        <f>VLOOKUP($A176,'Data shares'!$C:$FA,92)</f>
        <v>-3087000</v>
      </c>
      <c r="J176" s="87">
        <f>VLOOKUP($A176,'Data shares'!$C:$FA,93)</f>
        <v>-7.0699999999999999E-2</v>
      </c>
      <c r="K176" s="86">
        <f>VLOOKUP($A176,'Data shares'!$C:$FA,94)</f>
        <v>29855000</v>
      </c>
      <c r="L176" s="86">
        <f>VLOOKUP($A176,'Data shares'!$C:$FA,96)</f>
        <v>-2353400</v>
      </c>
      <c r="M176" s="87">
        <f>VLOOKUP($A176,'Data shares'!$C:$FA,97)</f>
        <v>-7.3099999999999998E-2</v>
      </c>
      <c r="N176" s="86">
        <f>VLOOKUP($A176,'Data shares'!$C:$FA,78)</f>
        <v>46320400</v>
      </c>
      <c r="O176" s="87">
        <f>VLOOKUP($A176,'Data shares'!$C:$FA,81)</f>
        <v>-0.22939999999999999</v>
      </c>
    </row>
    <row r="177" spans="1:15" x14ac:dyDescent="0.25">
      <c r="A177" s="100" t="str">
        <f>'Data Vlaue (Cr)'!C172</f>
        <v>RELIANCE</v>
      </c>
      <c r="B177" s="82">
        <f>VLOOKUP(A177,'Data shares'!$C$2:$CV$215,98,0)</f>
        <v>274206000</v>
      </c>
      <c r="C177" s="82">
        <f>VLOOKUP(A177,'Data shares'!$C$2:$CX$215,100,0)</f>
        <v>-3614500</v>
      </c>
      <c r="D177" s="141">
        <f>VLOOKUP(A177,'Data shares'!$C$2:$CY$538,101,0)</f>
        <v>-1.2999999999999999E-2</v>
      </c>
      <c r="E177" s="86">
        <f>VLOOKUP($A177,'Data shares'!$C:$FA,74)</f>
        <v>120031000</v>
      </c>
      <c r="F177" s="86">
        <f>VLOOKUP($A177,'Data shares'!$C:$FA,76)</f>
        <v>867500</v>
      </c>
      <c r="G177" s="87">
        <f>VLOOKUP(A177,'Data shares'!$C$2:$CA$215,77,0)</f>
        <v>7.3000000000000001E-3</v>
      </c>
      <c r="H177" s="86">
        <f>VLOOKUP($A177,'Data shares'!$C:$FA,90)</f>
        <v>108273000</v>
      </c>
      <c r="I177" s="86">
        <f>VLOOKUP($A177,'Data shares'!$C:$FA,92)</f>
        <v>-3852000</v>
      </c>
      <c r="J177" s="87">
        <f>VLOOKUP($A177,'Data shares'!$C:$FA,93)</f>
        <v>-3.44E-2</v>
      </c>
      <c r="K177" s="86">
        <f>VLOOKUP($A177,'Data shares'!$C:$FA,94)</f>
        <v>45902000</v>
      </c>
      <c r="L177" s="86">
        <f>VLOOKUP($A177,'Data shares'!$C:$FA,96)</f>
        <v>-630000</v>
      </c>
      <c r="M177" s="87">
        <f>VLOOKUP($A177,'Data shares'!$C:$FA,97)</f>
        <v>-1.35E-2</v>
      </c>
      <c r="N177" s="86">
        <f>VLOOKUP($A177,'Data shares'!$C:$FA,78)</f>
        <v>53269500</v>
      </c>
      <c r="O177" s="87">
        <f>VLOOKUP($A177,'Data shares'!$C:$FA,81)</f>
        <v>-0.31840000000000002</v>
      </c>
    </row>
    <row r="178" spans="1:15" x14ac:dyDescent="0.25">
      <c r="A178" s="100" t="str">
        <f>'Data Vlaue (Cr)'!C173</f>
        <v>RVNL</v>
      </c>
      <c r="B178" s="82">
        <f>VLOOKUP(A178,'Data shares'!$C$2:$CV$215,98,0)</f>
        <v>125452600</v>
      </c>
      <c r="C178" s="82">
        <f>VLOOKUP(A178,'Data shares'!$C$2:$CX$215,100,0)</f>
        <v>-4009225</v>
      </c>
      <c r="D178" s="141">
        <f>VLOOKUP(A178,'Data shares'!$C$2:$CY$538,101,0)</f>
        <v>-3.1E-2</v>
      </c>
      <c r="E178" s="86">
        <f>VLOOKUP($A178,'Data shares'!$C:$FA,74)</f>
        <v>51508400</v>
      </c>
      <c r="F178" s="86">
        <f>VLOOKUP($A178,'Data shares'!$C:$FA,76)</f>
        <v>-1895575</v>
      </c>
      <c r="G178" s="87">
        <f>VLOOKUP(A178,'Data shares'!$C$2:$CA$215,77,0)</f>
        <v>-3.5499999999999997E-2</v>
      </c>
      <c r="H178" s="86">
        <f>VLOOKUP($A178,'Data shares'!$C:$FA,90)</f>
        <v>56208450</v>
      </c>
      <c r="I178" s="86">
        <f>VLOOKUP($A178,'Data shares'!$C:$FA,92)</f>
        <v>-2464400</v>
      </c>
      <c r="J178" s="87">
        <f>VLOOKUP($A178,'Data shares'!$C:$FA,93)</f>
        <v>-4.2000000000000003E-2</v>
      </c>
      <c r="K178" s="86">
        <f>VLOOKUP($A178,'Data shares'!$C:$FA,94)</f>
        <v>17735750</v>
      </c>
      <c r="L178" s="86">
        <f>VLOOKUP($A178,'Data shares'!$C:$FA,96)</f>
        <v>350750</v>
      </c>
      <c r="M178" s="87">
        <f>VLOOKUP($A178,'Data shares'!$C:$FA,97)</f>
        <v>2.0199999999999999E-2</v>
      </c>
      <c r="N178" s="86">
        <f>VLOOKUP($A178,'Data shares'!$C:$FA,78)</f>
        <v>12622425</v>
      </c>
      <c r="O178" s="87">
        <f>VLOOKUP($A178,'Data shares'!$C:$FA,81)</f>
        <v>-0.57789999999999997</v>
      </c>
    </row>
    <row r="179" spans="1:15" x14ac:dyDescent="0.25">
      <c r="A179" s="100" t="str">
        <f>'Data Vlaue (Cr)'!C174</f>
        <v>SAIL</v>
      </c>
      <c r="B179" s="82">
        <f>VLOOKUP(A179,'Data shares'!$C$2:$CV$215,98,0)</f>
        <v>261423400</v>
      </c>
      <c r="C179" s="82">
        <f>VLOOKUP(A179,'Data shares'!$C$2:$CX$215,100,0)</f>
        <v>12060200</v>
      </c>
      <c r="D179" s="141">
        <f>VLOOKUP(A179,'Data shares'!$C$2:$CY$538,101,0)</f>
        <v>4.8399999999999999E-2</v>
      </c>
      <c r="E179" s="86">
        <f>VLOOKUP($A179,'Data shares'!$C:$FA,74)</f>
        <v>193719900</v>
      </c>
      <c r="F179" s="86">
        <f>VLOOKUP($A179,'Data shares'!$C:$FA,76)</f>
        <v>18330000</v>
      </c>
      <c r="G179" s="87">
        <f>VLOOKUP(A179,'Data shares'!$C$2:$CA$215,77,0)</f>
        <v>0.1045</v>
      </c>
      <c r="H179" s="86">
        <f>VLOOKUP($A179,'Data shares'!$C:$FA,90)</f>
        <v>38023000</v>
      </c>
      <c r="I179" s="86">
        <f>VLOOKUP($A179,'Data shares'!$C:$FA,92)</f>
        <v>-3280600</v>
      </c>
      <c r="J179" s="87">
        <f>VLOOKUP($A179,'Data shares'!$C:$FA,93)</f>
        <v>-7.9399999999999998E-2</v>
      </c>
      <c r="K179" s="86">
        <f>VLOOKUP($A179,'Data shares'!$C:$FA,94)</f>
        <v>29680500</v>
      </c>
      <c r="L179" s="86">
        <f>VLOOKUP($A179,'Data shares'!$C:$FA,96)</f>
        <v>-2989200</v>
      </c>
      <c r="M179" s="87">
        <f>VLOOKUP($A179,'Data shares'!$C:$FA,97)</f>
        <v>-9.1499999999999998E-2</v>
      </c>
      <c r="N179" s="86">
        <f>VLOOKUP($A179,'Data shares'!$C:$FA,78)</f>
        <v>52950200</v>
      </c>
      <c r="O179" s="87">
        <f>VLOOKUP($A179,'Data shares'!$C:$FA,81)</f>
        <v>-0.68020000000000003</v>
      </c>
    </row>
    <row r="180" spans="1:15" x14ac:dyDescent="0.25">
      <c r="A180" s="100" t="str">
        <f>'Data Vlaue (Cr)'!C175</f>
        <v>SAMMAANCAP</v>
      </c>
      <c r="B180" s="82">
        <f>VLOOKUP(A180,'Data shares'!$C$2:$CV$215,98,0)</f>
        <v>159977200</v>
      </c>
      <c r="C180" s="82">
        <f>VLOOKUP(A180,'Data shares'!$C$2:$CX$215,100,0)</f>
        <v>-3569000</v>
      </c>
      <c r="D180" s="141">
        <f>VLOOKUP(A180,'Data shares'!$C$2:$CY$538,101,0)</f>
        <v>-2.18E-2</v>
      </c>
      <c r="E180" s="86">
        <f>VLOOKUP($A180,'Data shares'!$C:$FA,74)</f>
        <v>107663400</v>
      </c>
      <c r="F180" s="86">
        <f>VLOOKUP($A180,'Data shares'!$C:$FA,76)</f>
        <v>-3250800</v>
      </c>
      <c r="G180" s="87">
        <f>VLOOKUP(A180,'Data shares'!$C$2:$CA$215,77,0)</f>
        <v>-2.93E-2</v>
      </c>
      <c r="H180" s="86">
        <f>VLOOKUP($A180,'Data shares'!$C:$FA,90)</f>
        <v>29713000</v>
      </c>
      <c r="I180" s="86">
        <f>VLOOKUP($A180,'Data shares'!$C:$FA,92)</f>
        <v>-232200</v>
      </c>
      <c r="J180" s="87">
        <f>VLOOKUP($A180,'Data shares'!$C:$FA,93)</f>
        <v>-7.7999999999999996E-3</v>
      </c>
      <c r="K180" s="86">
        <f>VLOOKUP($A180,'Data shares'!$C:$FA,94)</f>
        <v>22600800</v>
      </c>
      <c r="L180" s="86">
        <f>VLOOKUP($A180,'Data shares'!$C:$FA,96)</f>
        <v>-86000</v>
      </c>
      <c r="M180" s="87">
        <f>VLOOKUP($A180,'Data shares'!$C:$FA,97)</f>
        <v>-3.8E-3</v>
      </c>
      <c r="N180" s="86">
        <f>VLOOKUP($A180,'Data shares'!$C:$FA,78)</f>
        <v>97493900</v>
      </c>
      <c r="O180" s="87">
        <f>VLOOKUP($A180,'Data shares'!$C:$FA,81)</f>
        <v>-5.1799999999999999E-2</v>
      </c>
    </row>
    <row r="181" spans="1:15" x14ac:dyDescent="0.25">
      <c r="A181" s="100" t="str">
        <f>'Data Vlaue (Cr)'!C176</f>
        <v>SBICARD</v>
      </c>
      <c r="B181" s="82">
        <f>VLOOKUP(A181,'Data shares'!$C$2:$CV$215,98,0)</f>
        <v>30984800</v>
      </c>
      <c r="C181" s="82">
        <f>VLOOKUP(A181,'Data shares'!$C$2:$CX$215,100,0)</f>
        <v>-1044000</v>
      </c>
      <c r="D181" s="141">
        <f>VLOOKUP(A181,'Data shares'!$C$2:$CY$538,101,0)</f>
        <v>-3.2599999999999997E-2</v>
      </c>
      <c r="E181" s="86">
        <f>VLOOKUP($A181,'Data shares'!$C:$FA,74)</f>
        <v>18280800</v>
      </c>
      <c r="F181" s="86">
        <f>VLOOKUP($A181,'Data shares'!$C:$FA,76)</f>
        <v>-344000</v>
      </c>
      <c r="G181" s="87">
        <f>VLOOKUP(A181,'Data shares'!$C$2:$CA$215,77,0)</f>
        <v>-1.8499999999999999E-2</v>
      </c>
      <c r="H181" s="86">
        <f>VLOOKUP($A181,'Data shares'!$C:$FA,90)</f>
        <v>7461600</v>
      </c>
      <c r="I181" s="86">
        <f>VLOOKUP($A181,'Data shares'!$C:$FA,92)</f>
        <v>-780800</v>
      </c>
      <c r="J181" s="87">
        <f>VLOOKUP($A181,'Data shares'!$C:$FA,93)</f>
        <v>-9.4700000000000006E-2</v>
      </c>
      <c r="K181" s="86">
        <f>VLOOKUP($A181,'Data shares'!$C:$FA,94)</f>
        <v>5242400</v>
      </c>
      <c r="L181" s="86">
        <f>VLOOKUP($A181,'Data shares'!$C:$FA,96)</f>
        <v>80800</v>
      </c>
      <c r="M181" s="87">
        <f>VLOOKUP($A181,'Data shares'!$C:$FA,97)</f>
        <v>1.5699999999999999E-2</v>
      </c>
      <c r="N181" s="86">
        <f>VLOOKUP($A181,'Data shares'!$C:$FA,78)</f>
        <v>6931200</v>
      </c>
      <c r="O181" s="87">
        <f>VLOOKUP($A181,'Data shares'!$C:$FA,81)</f>
        <v>-0.4657</v>
      </c>
    </row>
    <row r="182" spans="1:15" x14ac:dyDescent="0.25">
      <c r="A182" s="100" t="str">
        <f>'Data Vlaue (Cr)'!C177</f>
        <v>SBILIFE</v>
      </c>
      <c r="B182" s="82">
        <f>VLOOKUP(A182,'Data shares'!$C$2:$CV$215,98,0)</f>
        <v>20282250</v>
      </c>
      <c r="C182" s="82">
        <f>VLOOKUP(A182,'Data shares'!$C$2:$CX$215,100,0)</f>
        <v>672000</v>
      </c>
      <c r="D182" s="141">
        <f>VLOOKUP(A182,'Data shares'!$C$2:$CY$538,101,0)</f>
        <v>3.4299999999999997E-2</v>
      </c>
      <c r="E182" s="86">
        <f>VLOOKUP($A182,'Data shares'!$C:$FA,74)</f>
        <v>10221000</v>
      </c>
      <c r="F182" s="86">
        <f>VLOOKUP($A182,'Data shares'!$C:$FA,76)</f>
        <v>526875</v>
      </c>
      <c r="G182" s="87">
        <f>VLOOKUP(A182,'Data shares'!$C$2:$CA$215,77,0)</f>
        <v>5.4300000000000001E-2</v>
      </c>
      <c r="H182" s="86">
        <f>VLOOKUP($A182,'Data shares'!$C:$FA,90)</f>
        <v>7708875</v>
      </c>
      <c r="I182" s="86">
        <f>VLOOKUP($A182,'Data shares'!$C:$FA,92)</f>
        <v>-12750</v>
      </c>
      <c r="J182" s="87">
        <f>VLOOKUP($A182,'Data shares'!$C:$FA,93)</f>
        <v>-1.6999999999999999E-3</v>
      </c>
      <c r="K182" s="86">
        <f>VLOOKUP($A182,'Data shares'!$C:$FA,94)</f>
        <v>2352375</v>
      </c>
      <c r="L182" s="86">
        <f>VLOOKUP($A182,'Data shares'!$C:$FA,96)</f>
        <v>157875</v>
      </c>
      <c r="M182" s="87">
        <f>VLOOKUP($A182,'Data shares'!$C:$FA,97)</f>
        <v>7.1900000000000006E-2</v>
      </c>
      <c r="N182" s="86">
        <f>VLOOKUP($A182,'Data shares'!$C:$FA,78)</f>
        <v>3919875</v>
      </c>
      <c r="O182" s="87">
        <f>VLOOKUP($A182,'Data shares'!$C:$FA,81)</f>
        <v>-0.45750000000000002</v>
      </c>
    </row>
    <row r="183" spans="1:15" x14ac:dyDescent="0.25">
      <c r="A183" s="100" t="str">
        <f>'Data Vlaue (Cr)'!C178</f>
        <v>SBIN</v>
      </c>
      <c r="B183" s="82">
        <f>VLOOKUP(A183,'Data shares'!$C$2:$CV$215,98,0)</f>
        <v>161948250</v>
      </c>
      <c r="C183" s="82">
        <f>VLOOKUP(A183,'Data shares'!$C$2:$CX$215,100,0)</f>
        <v>-192000</v>
      </c>
      <c r="D183" s="141">
        <f>VLOOKUP(A183,'Data shares'!$C$2:$CY$538,101,0)</f>
        <v>-1.1999999999999999E-3</v>
      </c>
      <c r="E183" s="86">
        <f>VLOOKUP($A183,'Data shares'!$C:$FA,74)</f>
        <v>74453250</v>
      </c>
      <c r="F183" s="86">
        <f>VLOOKUP($A183,'Data shares'!$C:$FA,76)</f>
        <v>745500</v>
      </c>
      <c r="G183" s="87">
        <f>VLOOKUP(A183,'Data shares'!$C$2:$CA$215,77,0)</f>
        <v>1.01E-2</v>
      </c>
      <c r="H183" s="86">
        <f>VLOOKUP($A183,'Data shares'!$C:$FA,90)</f>
        <v>44706000</v>
      </c>
      <c r="I183" s="86">
        <f>VLOOKUP($A183,'Data shares'!$C:$FA,92)</f>
        <v>-2483250</v>
      </c>
      <c r="J183" s="87">
        <f>VLOOKUP($A183,'Data shares'!$C:$FA,93)</f>
        <v>-5.2600000000000001E-2</v>
      </c>
      <c r="K183" s="86">
        <f>VLOOKUP($A183,'Data shares'!$C:$FA,94)</f>
        <v>42789000</v>
      </c>
      <c r="L183" s="86">
        <f>VLOOKUP($A183,'Data shares'!$C:$FA,96)</f>
        <v>1545750</v>
      </c>
      <c r="M183" s="87">
        <f>VLOOKUP($A183,'Data shares'!$C:$FA,97)</f>
        <v>3.7499999999999999E-2</v>
      </c>
      <c r="N183" s="86">
        <f>VLOOKUP($A183,'Data shares'!$C:$FA,78)</f>
        <v>29038500</v>
      </c>
      <c r="O183" s="87">
        <f>VLOOKUP($A183,'Data shares'!$C:$FA,81)</f>
        <v>-0.38969999999999999</v>
      </c>
    </row>
    <row r="184" spans="1:15" x14ac:dyDescent="0.25">
      <c r="A184" s="100" t="str">
        <f>'Data Vlaue (Cr)'!C179</f>
        <v>SHREECEM</v>
      </c>
      <c r="B184" s="82">
        <f>VLOOKUP(A184,'Data shares'!$C$2:$CV$215,98,0)</f>
        <v>375400</v>
      </c>
      <c r="C184" s="82">
        <f>VLOOKUP(A184,'Data shares'!$C$2:$CX$215,100,0)</f>
        <v>-16225</v>
      </c>
      <c r="D184" s="141">
        <f>VLOOKUP(A184,'Data shares'!$C$2:$CY$538,101,0)</f>
        <v>-4.1399999999999999E-2</v>
      </c>
      <c r="E184" s="86">
        <f>VLOOKUP($A184,'Data shares'!$C:$FA,74)</f>
        <v>260600</v>
      </c>
      <c r="F184" s="86">
        <f>VLOOKUP($A184,'Data shares'!$C:$FA,76)</f>
        <v>2975</v>
      </c>
      <c r="G184" s="87">
        <f>VLOOKUP(A184,'Data shares'!$C$2:$CA$215,77,0)</f>
        <v>1.15E-2</v>
      </c>
      <c r="H184" s="86">
        <f>VLOOKUP($A184,'Data shares'!$C:$FA,90)</f>
        <v>66225</v>
      </c>
      <c r="I184" s="86">
        <f>VLOOKUP($A184,'Data shares'!$C:$FA,92)</f>
        <v>-10100</v>
      </c>
      <c r="J184" s="87">
        <f>VLOOKUP($A184,'Data shares'!$C:$FA,93)</f>
        <v>-0.1323</v>
      </c>
      <c r="K184" s="86">
        <f>VLOOKUP($A184,'Data shares'!$C:$FA,94)</f>
        <v>48575</v>
      </c>
      <c r="L184" s="86">
        <f>VLOOKUP($A184,'Data shares'!$C:$FA,96)</f>
        <v>-9100</v>
      </c>
      <c r="M184" s="87">
        <f>VLOOKUP($A184,'Data shares'!$C:$FA,97)</f>
        <v>-0.1578</v>
      </c>
      <c r="N184" s="86">
        <f>VLOOKUP($A184,'Data shares'!$C:$FA,78)</f>
        <v>104825</v>
      </c>
      <c r="O184" s="87">
        <f>VLOOKUP($A184,'Data shares'!$C:$FA,81)</f>
        <v>-0.44819999999999999</v>
      </c>
    </row>
    <row r="185" spans="1:15" x14ac:dyDescent="0.25">
      <c r="A185" s="100" t="str">
        <f>'Data Vlaue (Cr)'!C180</f>
        <v>SHRIRAMFIN</v>
      </c>
      <c r="B185" s="82">
        <f>VLOOKUP(A185,'Data shares'!$C$2:$CV$215,98,0)</f>
        <v>73063650</v>
      </c>
      <c r="C185" s="82">
        <f>VLOOKUP(A185,'Data shares'!$C$2:$CX$215,100,0)</f>
        <v>-971850</v>
      </c>
      <c r="D185" s="141">
        <f>VLOOKUP(A185,'Data shares'!$C$2:$CY$538,101,0)</f>
        <v>-1.3100000000000001E-2</v>
      </c>
      <c r="E185" s="86">
        <f>VLOOKUP($A185,'Data shares'!$C:$FA,74)</f>
        <v>46496175</v>
      </c>
      <c r="F185" s="86">
        <f>VLOOKUP($A185,'Data shares'!$C:$FA,76)</f>
        <v>-508200</v>
      </c>
      <c r="G185" s="87">
        <f>VLOOKUP(A185,'Data shares'!$C$2:$CA$215,77,0)</f>
        <v>-1.0800000000000001E-2</v>
      </c>
      <c r="H185" s="86">
        <f>VLOOKUP($A185,'Data shares'!$C:$FA,90)</f>
        <v>14635500</v>
      </c>
      <c r="I185" s="86">
        <f>VLOOKUP($A185,'Data shares'!$C:$FA,92)</f>
        <v>-963600</v>
      </c>
      <c r="J185" s="87">
        <f>VLOOKUP($A185,'Data shares'!$C:$FA,93)</f>
        <v>-6.1800000000000001E-2</v>
      </c>
      <c r="K185" s="86">
        <f>VLOOKUP($A185,'Data shares'!$C:$FA,94)</f>
        <v>11931975</v>
      </c>
      <c r="L185" s="86">
        <f>VLOOKUP($A185,'Data shares'!$C:$FA,96)</f>
        <v>499950</v>
      </c>
      <c r="M185" s="87">
        <f>VLOOKUP($A185,'Data shares'!$C:$FA,97)</f>
        <v>4.3700000000000003E-2</v>
      </c>
      <c r="N185" s="86">
        <f>VLOOKUP($A185,'Data shares'!$C:$FA,78)</f>
        <v>18880950</v>
      </c>
      <c r="O185" s="87">
        <f>VLOOKUP($A185,'Data shares'!$C:$FA,81)</f>
        <v>-0.42499999999999999</v>
      </c>
    </row>
    <row r="186" spans="1:15" x14ac:dyDescent="0.25">
      <c r="A186" s="100" t="str">
        <f>'Data Vlaue (Cr)'!C181</f>
        <v>SIEMENS</v>
      </c>
      <c r="B186" s="82">
        <f>VLOOKUP(A186,'Data shares'!$C$2:$CV$215,98,0)</f>
        <v>4576950</v>
      </c>
      <c r="C186" s="82">
        <f>VLOOKUP(A186,'Data shares'!$C$2:$CX$215,100,0)</f>
        <v>-258125</v>
      </c>
      <c r="D186" s="141">
        <f>VLOOKUP(A186,'Data shares'!$C$2:$CY$538,101,0)</f>
        <v>-5.3400000000000003E-2</v>
      </c>
      <c r="E186" s="86">
        <f>VLOOKUP($A186,'Data shares'!$C:$FA,74)</f>
        <v>2503200</v>
      </c>
      <c r="F186" s="86">
        <f>VLOOKUP($A186,'Data shares'!$C:$FA,76)</f>
        <v>-56700</v>
      </c>
      <c r="G186" s="87">
        <f>VLOOKUP(A186,'Data shares'!$C$2:$CA$215,77,0)</f>
        <v>-2.2100000000000002E-2</v>
      </c>
      <c r="H186" s="86">
        <f>VLOOKUP($A186,'Data shares'!$C:$FA,90)</f>
        <v>1333675</v>
      </c>
      <c r="I186" s="86">
        <f>VLOOKUP($A186,'Data shares'!$C:$FA,92)</f>
        <v>-112000</v>
      </c>
      <c r="J186" s="87">
        <f>VLOOKUP($A186,'Data shares'!$C:$FA,93)</f>
        <v>-7.7499999999999999E-2</v>
      </c>
      <c r="K186" s="86">
        <f>VLOOKUP($A186,'Data shares'!$C:$FA,94)</f>
        <v>740075</v>
      </c>
      <c r="L186" s="86">
        <f>VLOOKUP($A186,'Data shares'!$C:$FA,96)</f>
        <v>-89425</v>
      </c>
      <c r="M186" s="87">
        <f>VLOOKUP($A186,'Data shares'!$C:$FA,97)</f>
        <v>-0.10780000000000001</v>
      </c>
      <c r="N186" s="86">
        <f>VLOOKUP($A186,'Data shares'!$C:$FA,78)</f>
        <v>1295175</v>
      </c>
      <c r="O186" s="87">
        <f>VLOOKUP($A186,'Data shares'!$C:$FA,81)</f>
        <v>-0.24729999999999999</v>
      </c>
    </row>
    <row r="187" spans="1:15" x14ac:dyDescent="0.25">
      <c r="A187" s="100" t="str">
        <f>'Data Vlaue (Cr)'!C182</f>
        <v>SOLARINDS</v>
      </c>
      <c r="B187" s="82">
        <f>VLOOKUP(A187,'Data shares'!$C$2:$CV$215,98,0)</f>
        <v>1811050</v>
      </c>
      <c r="C187" s="82">
        <f>VLOOKUP(A187,'Data shares'!$C$2:$CX$215,100,0)</f>
        <v>-123400</v>
      </c>
      <c r="D187" s="141">
        <f>VLOOKUP(A187,'Data shares'!$C$2:$CY$538,101,0)</f>
        <v>-6.3799999999999996E-2</v>
      </c>
      <c r="E187" s="86">
        <f>VLOOKUP($A187,'Data shares'!$C:$FA,74)</f>
        <v>1052050</v>
      </c>
      <c r="F187" s="86">
        <f>VLOOKUP($A187,'Data shares'!$C:$FA,76)</f>
        <v>-42800</v>
      </c>
      <c r="G187" s="87">
        <f>VLOOKUP(A187,'Data shares'!$C$2:$CA$215,77,0)</f>
        <v>-3.9100000000000003E-2</v>
      </c>
      <c r="H187" s="86">
        <f>VLOOKUP($A187,'Data shares'!$C:$FA,90)</f>
        <v>447600</v>
      </c>
      <c r="I187" s="86">
        <f>VLOOKUP($A187,'Data shares'!$C:$FA,92)</f>
        <v>-66350</v>
      </c>
      <c r="J187" s="87">
        <f>VLOOKUP($A187,'Data shares'!$C:$FA,93)</f>
        <v>-0.12909999999999999</v>
      </c>
      <c r="K187" s="86">
        <f>VLOOKUP($A187,'Data shares'!$C:$FA,94)</f>
        <v>311400</v>
      </c>
      <c r="L187" s="86">
        <f>VLOOKUP($A187,'Data shares'!$C:$FA,96)</f>
        <v>-14250</v>
      </c>
      <c r="M187" s="87">
        <f>VLOOKUP($A187,'Data shares'!$C:$FA,97)</f>
        <v>-4.3799999999999999E-2</v>
      </c>
      <c r="N187" s="86">
        <f>VLOOKUP($A187,'Data shares'!$C:$FA,78)</f>
        <v>598350</v>
      </c>
      <c r="O187" s="87">
        <f>VLOOKUP($A187,'Data shares'!$C:$FA,81)</f>
        <v>-0.28420000000000001</v>
      </c>
    </row>
    <row r="188" spans="1:15" x14ac:dyDescent="0.25">
      <c r="A188" s="100" t="str">
        <f>'Data Vlaue (Cr)'!C183</f>
        <v>SONACOMS</v>
      </c>
      <c r="B188" s="82">
        <f>VLOOKUP(A188,'Data shares'!$C$2:$CV$215,98,0)</f>
        <v>26289725</v>
      </c>
      <c r="C188" s="82">
        <f>VLOOKUP(A188,'Data shares'!$C$2:$CX$215,100,0)</f>
        <v>-194775</v>
      </c>
      <c r="D188" s="141">
        <f>VLOOKUP(A188,'Data shares'!$C$2:$CY$538,101,0)</f>
        <v>-7.4000000000000003E-3</v>
      </c>
      <c r="E188" s="86">
        <f>VLOOKUP($A188,'Data shares'!$C:$FA,74)</f>
        <v>16276575</v>
      </c>
      <c r="F188" s="86">
        <f>VLOOKUP($A188,'Data shares'!$C:$FA,76)</f>
        <v>715400</v>
      </c>
      <c r="G188" s="87">
        <f>VLOOKUP(A188,'Data shares'!$C$2:$CA$215,77,0)</f>
        <v>4.5999999999999999E-2</v>
      </c>
      <c r="H188" s="86">
        <f>VLOOKUP($A188,'Data shares'!$C:$FA,90)</f>
        <v>5954725</v>
      </c>
      <c r="I188" s="86">
        <f>VLOOKUP($A188,'Data shares'!$C:$FA,92)</f>
        <v>-961625</v>
      </c>
      <c r="J188" s="87">
        <f>VLOOKUP($A188,'Data shares'!$C:$FA,93)</f>
        <v>-0.13900000000000001</v>
      </c>
      <c r="K188" s="86">
        <f>VLOOKUP($A188,'Data shares'!$C:$FA,94)</f>
        <v>4058425</v>
      </c>
      <c r="L188" s="86">
        <f>VLOOKUP($A188,'Data shares'!$C:$FA,96)</f>
        <v>51450</v>
      </c>
      <c r="M188" s="87">
        <f>VLOOKUP($A188,'Data shares'!$C:$FA,97)</f>
        <v>1.2800000000000001E-2</v>
      </c>
      <c r="N188" s="86">
        <f>VLOOKUP($A188,'Data shares'!$C:$FA,78)</f>
        <v>7022925</v>
      </c>
      <c r="O188" s="87">
        <f>VLOOKUP($A188,'Data shares'!$C:$FA,81)</f>
        <v>-0.38390000000000002</v>
      </c>
    </row>
    <row r="189" spans="1:15" x14ac:dyDescent="0.25">
      <c r="A189" s="100" t="str">
        <f>'Data Vlaue (Cr)'!C184</f>
        <v>SRF</v>
      </c>
      <c r="B189" s="82">
        <f>VLOOKUP(A189,'Data shares'!$C$2:$CV$215,98,0)</f>
        <v>8099400</v>
      </c>
      <c r="C189" s="82">
        <f>VLOOKUP(A189,'Data shares'!$C$2:$CX$215,100,0)</f>
        <v>-1303600</v>
      </c>
      <c r="D189" s="141">
        <f>VLOOKUP(A189,'Data shares'!$C$2:$CY$538,101,0)</f>
        <v>-0.1386</v>
      </c>
      <c r="E189" s="86">
        <f>VLOOKUP($A189,'Data shares'!$C:$FA,74)</f>
        <v>3671000</v>
      </c>
      <c r="F189" s="86">
        <f>VLOOKUP($A189,'Data shares'!$C:$FA,76)</f>
        <v>-105800</v>
      </c>
      <c r="G189" s="87">
        <f>VLOOKUP(A189,'Data shares'!$C$2:$CA$215,77,0)</f>
        <v>-2.8000000000000001E-2</v>
      </c>
      <c r="H189" s="86">
        <f>VLOOKUP($A189,'Data shares'!$C:$FA,90)</f>
        <v>2944200</v>
      </c>
      <c r="I189" s="86">
        <f>VLOOKUP($A189,'Data shares'!$C:$FA,92)</f>
        <v>-928400</v>
      </c>
      <c r="J189" s="87">
        <f>VLOOKUP($A189,'Data shares'!$C:$FA,93)</f>
        <v>-0.2397</v>
      </c>
      <c r="K189" s="86">
        <f>VLOOKUP($A189,'Data shares'!$C:$FA,94)</f>
        <v>1484200</v>
      </c>
      <c r="L189" s="86">
        <f>VLOOKUP($A189,'Data shares'!$C:$FA,96)</f>
        <v>-269400</v>
      </c>
      <c r="M189" s="87">
        <f>VLOOKUP($A189,'Data shares'!$C:$FA,97)</f>
        <v>-0.15359999999999999</v>
      </c>
      <c r="N189" s="86">
        <f>VLOOKUP($A189,'Data shares'!$C:$FA,78)</f>
        <v>1954800</v>
      </c>
      <c r="O189" s="87">
        <f>VLOOKUP($A189,'Data shares'!$C:$FA,81)</f>
        <v>-0.27050000000000002</v>
      </c>
    </row>
    <row r="190" spans="1:15" x14ac:dyDescent="0.25">
      <c r="A190" s="100" t="str">
        <f>'Data Vlaue (Cr)'!C185</f>
        <v>SUNPHARMA</v>
      </c>
      <c r="B190" s="82">
        <f>VLOOKUP(A190,'Data shares'!$C$2:$CV$215,98,0)</f>
        <v>37797550</v>
      </c>
      <c r="C190" s="82">
        <f>VLOOKUP(A190,'Data shares'!$C$2:$CX$215,100,0)</f>
        <v>-521500</v>
      </c>
      <c r="D190" s="141">
        <f>VLOOKUP(A190,'Data shares'!$C$2:$CY$538,101,0)</f>
        <v>-1.3599999999999999E-2</v>
      </c>
      <c r="E190" s="86">
        <f>VLOOKUP($A190,'Data shares'!$C:$FA,74)</f>
        <v>21303100</v>
      </c>
      <c r="F190" s="86">
        <f>VLOOKUP($A190,'Data shares'!$C:$FA,76)</f>
        <v>205100</v>
      </c>
      <c r="G190" s="87">
        <f>VLOOKUP(A190,'Data shares'!$C$2:$CA$215,77,0)</f>
        <v>9.7000000000000003E-3</v>
      </c>
      <c r="H190" s="86">
        <f>VLOOKUP($A190,'Data shares'!$C:$FA,90)</f>
        <v>11782750</v>
      </c>
      <c r="I190" s="86">
        <f>VLOOKUP($A190,'Data shares'!$C:$FA,92)</f>
        <v>-290150</v>
      </c>
      <c r="J190" s="87">
        <f>VLOOKUP($A190,'Data shares'!$C:$FA,93)</f>
        <v>-2.4E-2</v>
      </c>
      <c r="K190" s="86">
        <f>VLOOKUP($A190,'Data shares'!$C:$FA,94)</f>
        <v>4711700</v>
      </c>
      <c r="L190" s="86">
        <f>VLOOKUP($A190,'Data shares'!$C:$FA,96)</f>
        <v>-436450</v>
      </c>
      <c r="M190" s="87">
        <f>VLOOKUP($A190,'Data shares'!$C:$FA,97)</f>
        <v>-8.48E-2</v>
      </c>
      <c r="N190" s="86">
        <f>VLOOKUP($A190,'Data shares'!$C:$FA,78)</f>
        <v>10281250</v>
      </c>
      <c r="O190" s="87">
        <f>VLOOKUP($A190,'Data shares'!$C:$FA,81)</f>
        <v>-0.35470000000000002</v>
      </c>
    </row>
    <row r="191" spans="1:15" x14ac:dyDescent="0.25">
      <c r="A191" s="100" t="str">
        <f>'Data Vlaue (Cr)'!C186</f>
        <v>SUPREMEIND</v>
      </c>
      <c r="B191" s="82">
        <f>VLOOKUP(A191,'Data shares'!$C$2:$CV$215,98,0)</f>
        <v>3751475</v>
      </c>
      <c r="C191" s="82">
        <f>VLOOKUP(A191,'Data shares'!$C$2:$CX$215,100,0)</f>
        <v>-441000</v>
      </c>
      <c r="D191" s="141">
        <f>VLOOKUP(A191,'Data shares'!$C$2:$CY$538,101,0)</f>
        <v>-0.1052</v>
      </c>
      <c r="E191" s="86">
        <f>VLOOKUP($A191,'Data shares'!$C:$FA,74)</f>
        <v>2283050</v>
      </c>
      <c r="F191" s="86">
        <f>VLOOKUP($A191,'Data shares'!$C:$FA,76)</f>
        <v>-122500</v>
      </c>
      <c r="G191" s="87">
        <f>VLOOKUP(A191,'Data shares'!$C$2:$CA$215,77,0)</f>
        <v>-5.0900000000000001E-2</v>
      </c>
      <c r="H191" s="86">
        <f>VLOOKUP($A191,'Data shares'!$C:$FA,90)</f>
        <v>740425</v>
      </c>
      <c r="I191" s="86">
        <f>VLOOKUP($A191,'Data shares'!$C:$FA,92)</f>
        <v>-180600</v>
      </c>
      <c r="J191" s="87">
        <f>VLOOKUP($A191,'Data shares'!$C:$FA,93)</f>
        <v>-0.1961</v>
      </c>
      <c r="K191" s="86">
        <f>VLOOKUP($A191,'Data shares'!$C:$FA,94)</f>
        <v>728000</v>
      </c>
      <c r="L191" s="86">
        <f>VLOOKUP($A191,'Data shares'!$C:$FA,96)</f>
        <v>-137900</v>
      </c>
      <c r="M191" s="87">
        <f>VLOOKUP($A191,'Data shares'!$C:$FA,97)</f>
        <v>-0.1593</v>
      </c>
      <c r="N191" s="86">
        <f>VLOOKUP($A191,'Data shares'!$C:$FA,78)</f>
        <v>1110725</v>
      </c>
      <c r="O191" s="87">
        <f>VLOOKUP($A191,'Data shares'!$C:$FA,81)</f>
        <v>-0.35389999999999999</v>
      </c>
    </row>
    <row r="192" spans="1:15" x14ac:dyDescent="0.25">
      <c r="A192" s="100" t="str">
        <f>'Data Vlaue (Cr)'!C187</f>
        <v>SUZLON</v>
      </c>
      <c r="B192" s="82">
        <f>VLOOKUP(A192,'Data shares'!$C$2:$CV$215,98,0)</f>
        <v>665368125</v>
      </c>
      <c r="C192" s="82">
        <f>VLOOKUP(A192,'Data shares'!$C$2:$CX$215,100,0)</f>
        <v>-20965075</v>
      </c>
      <c r="D192" s="141">
        <f>VLOOKUP(A192,'Data shares'!$C$2:$CY$538,101,0)</f>
        <v>-3.0499999999999999E-2</v>
      </c>
      <c r="E192" s="86">
        <f>VLOOKUP($A192,'Data shares'!$C:$FA,74)</f>
        <v>350973225</v>
      </c>
      <c r="F192" s="86">
        <f>VLOOKUP($A192,'Data shares'!$C:$FA,76)</f>
        <v>-9458200</v>
      </c>
      <c r="G192" s="87">
        <f>VLOOKUP(A192,'Data shares'!$C$2:$CA$215,77,0)</f>
        <v>-2.6200000000000001E-2</v>
      </c>
      <c r="H192" s="86">
        <f>VLOOKUP($A192,'Data shares'!$C:$FA,90)</f>
        <v>217331025</v>
      </c>
      <c r="I192" s="86">
        <f>VLOOKUP($A192,'Data shares'!$C:$FA,92)</f>
        <v>-13790200</v>
      </c>
      <c r="J192" s="87">
        <f>VLOOKUP($A192,'Data shares'!$C:$FA,93)</f>
        <v>-5.9700000000000003E-2</v>
      </c>
      <c r="K192" s="86">
        <f>VLOOKUP($A192,'Data shares'!$C:$FA,94)</f>
        <v>97063875</v>
      </c>
      <c r="L192" s="86">
        <f>VLOOKUP($A192,'Data shares'!$C:$FA,96)</f>
        <v>2283325</v>
      </c>
      <c r="M192" s="87">
        <f>VLOOKUP($A192,'Data shares'!$C:$FA,97)</f>
        <v>2.41E-2</v>
      </c>
      <c r="N192" s="86">
        <f>VLOOKUP($A192,'Data shares'!$C:$FA,78)</f>
        <v>192719850</v>
      </c>
      <c r="O192" s="87">
        <f>VLOOKUP($A192,'Data shares'!$C:$FA,81)</f>
        <v>-0.2145</v>
      </c>
    </row>
    <row r="193" spans="1:15" x14ac:dyDescent="0.25">
      <c r="A193" s="100" t="str">
        <f>'Data Vlaue (Cr)'!C188</f>
        <v>SWIGGY</v>
      </c>
      <c r="B193" s="82">
        <f>VLOOKUP(A193,'Data shares'!$C$2:$CV$215,98,0)</f>
        <v>48726600</v>
      </c>
      <c r="C193" s="82">
        <f>VLOOKUP(A193,'Data shares'!$C$2:$CX$215,100,0)</f>
        <v>-574600</v>
      </c>
      <c r="D193" s="141">
        <f>VLOOKUP(A193,'Data shares'!$C$2:$CY$538,101,0)</f>
        <v>-1.17E-2</v>
      </c>
      <c r="E193" s="86">
        <f>VLOOKUP($A193,'Data shares'!$C:$FA,74)</f>
        <v>34213400</v>
      </c>
      <c r="F193" s="86">
        <f>VLOOKUP($A193,'Data shares'!$C:$FA,76)</f>
        <v>-1866800</v>
      </c>
      <c r="G193" s="87">
        <f>VLOOKUP(A193,'Data shares'!$C$2:$CA$215,77,0)</f>
        <v>-5.1700000000000003E-2</v>
      </c>
      <c r="H193" s="86">
        <f>VLOOKUP($A193,'Data shares'!$C:$FA,90)</f>
        <v>8921900</v>
      </c>
      <c r="I193" s="86">
        <f>VLOOKUP($A193,'Data shares'!$C:$FA,92)</f>
        <v>642200</v>
      </c>
      <c r="J193" s="87">
        <f>VLOOKUP($A193,'Data shares'!$C:$FA,93)</f>
        <v>7.7600000000000002E-2</v>
      </c>
      <c r="K193" s="86">
        <f>VLOOKUP($A193,'Data shares'!$C:$FA,94)</f>
        <v>5591300</v>
      </c>
      <c r="L193" s="86">
        <f>VLOOKUP($A193,'Data shares'!$C:$FA,96)</f>
        <v>650000</v>
      </c>
      <c r="M193" s="87">
        <f>VLOOKUP($A193,'Data shares'!$C:$FA,97)</f>
        <v>0.13150000000000001</v>
      </c>
      <c r="N193" s="86">
        <f>VLOOKUP($A193,'Data shares'!$C:$FA,78)</f>
        <v>14150500</v>
      </c>
      <c r="O193" s="87">
        <f>VLOOKUP($A193,'Data shares'!$C:$FA,81)</f>
        <v>-0.44829999999999998</v>
      </c>
    </row>
    <row r="194" spans="1:15" x14ac:dyDescent="0.25">
      <c r="A194" s="100" t="str">
        <f>'Data Vlaue (Cr)'!C189</f>
        <v>SYNGENE</v>
      </c>
      <c r="B194" s="82">
        <f>VLOOKUP(A194,'Data shares'!$C$2:$CV$215,98,0)</f>
        <v>18460000</v>
      </c>
      <c r="C194" s="82">
        <f>VLOOKUP(A194,'Data shares'!$C$2:$CX$215,100,0)</f>
        <v>536000</v>
      </c>
      <c r="D194" s="141">
        <f>VLOOKUP(A194,'Data shares'!$C$2:$CY$538,101,0)</f>
        <v>2.9899999999999999E-2</v>
      </c>
      <c r="E194" s="86">
        <f>VLOOKUP($A194,'Data shares'!$C:$FA,74)</f>
        <v>8665000</v>
      </c>
      <c r="F194" s="86">
        <f>VLOOKUP($A194,'Data shares'!$C:$FA,76)</f>
        <v>434000</v>
      </c>
      <c r="G194" s="87">
        <f>VLOOKUP(A194,'Data shares'!$C$2:$CA$215,77,0)</f>
        <v>5.2699999999999997E-2</v>
      </c>
      <c r="H194" s="86">
        <f>VLOOKUP($A194,'Data shares'!$C:$FA,90)</f>
        <v>5888000</v>
      </c>
      <c r="I194" s="86">
        <f>VLOOKUP($A194,'Data shares'!$C:$FA,92)</f>
        <v>-323000</v>
      </c>
      <c r="J194" s="87">
        <f>VLOOKUP($A194,'Data shares'!$C:$FA,93)</f>
        <v>-5.1999999999999998E-2</v>
      </c>
      <c r="K194" s="86">
        <f>VLOOKUP($A194,'Data shares'!$C:$FA,94)</f>
        <v>3907000</v>
      </c>
      <c r="L194" s="86">
        <f>VLOOKUP($A194,'Data shares'!$C:$FA,96)</f>
        <v>425000</v>
      </c>
      <c r="M194" s="87">
        <f>VLOOKUP($A194,'Data shares'!$C:$FA,97)</f>
        <v>0.1221</v>
      </c>
      <c r="N194" s="86">
        <f>VLOOKUP($A194,'Data shares'!$C:$FA,78)</f>
        <v>3417000</v>
      </c>
      <c r="O194" s="87">
        <f>VLOOKUP($A194,'Data shares'!$C:$FA,81)</f>
        <v>-0.44259999999999999</v>
      </c>
    </row>
    <row r="195" spans="1:15" x14ac:dyDescent="0.25">
      <c r="A195" s="100" t="str">
        <f>'Data Vlaue (Cr)'!C190</f>
        <v>TATACONSUM</v>
      </c>
      <c r="B195" s="82">
        <f>VLOOKUP(A195,'Data shares'!$C$2:$CV$215,98,0)</f>
        <v>18491550</v>
      </c>
      <c r="C195" s="82">
        <f>VLOOKUP(A195,'Data shares'!$C$2:$CX$215,100,0)</f>
        <v>-677050</v>
      </c>
      <c r="D195" s="141">
        <f>VLOOKUP(A195,'Data shares'!$C$2:$CY$538,101,0)</f>
        <v>-3.5299999999999998E-2</v>
      </c>
      <c r="E195" s="86">
        <f>VLOOKUP($A195,'Data shares'!$C:$FA,74)</f>
        <v>11569250</v>
      </c>
      <c r="F195" s="86">
        <f>VLOOKUP($A195,'Data shares'!$C:$FA,76)</f>
        <v>-42900</v>
      </c>
      <c r="G195" s="87">
        <f>VLOOKUP(A195,'Data shares'!$C$2:$CA$215,77,0)</f>
        <v>-3.7000000000000002E-3</v>
      </c>
      <c r="H195" s="86">
        <f>VLOOKUP($A195,'Data shares'!$C:$FA,90)</f>
        <v>4024900</v>
      </c>
      <c r="I195" s="86">
        <f>VLOOKUP($A195,'Data shares'!$C:$FA,92)</f>
        <v>-459250</v>
      </c>
      <c r="J195" s="87">
        <f>VLOOKUP($A195,'Data shares'!$C:$FA,93)</f>
        <v>-0.1024</v>
      </c>
      <c r="K195" s="86">
        <f>VLOOKUP($A195,'Data shares'!$C:$FA,94)</f>
        <v>2897400</v>
      </c>
      <c r="L195" s="86">
        <f>VLOOKUP($A195,'Data shares'!$C:$FA,96)</f>
        <v>-174900</v>
      </c>
      <c r="M195" s="87">
        <f>VLOOKUP($A195,'Data shares'!$C:$FA,97)</f>
        <v>-5.6899999999999999E-2</v>
      </c>
      <c r="N195" s="86">
        <f>VLOOKUP($A195,'Data shares'!$C:$FA,78)</f>
        <v>3844500</v>
      </c>
      <c r="O195" s="87">
        <f>VLOOKUP($A195,'Data shares'!$C:$FA,81)</f>
        <v>-0.50639999999999996</v>
      </c>
    </row>
    <row r="196" spans="1:15" x14ac:dyDescent="0.25">
      <c r="A196" s="100" t="str">
        <f>'Data Vlaue (Cr)'!C191</f>
        <v>TATAELXSI</v>
      </c>
      <c r="B196" s="82">
        <f>VLOOKUP(A196,'Data shares'!$C$2:$CV$215,98,0)</f>
        <v>4266000</v>
      </c>
      <c r="C196" s="82">
        <f>VLOOKUP(A196,'Data shares'!$C$2:$CX$215,100,0)</f>
        <v>-399100</v>
      </c>
      <c r="D196" s="141">
        <f>VLOOKUP(A196,'Data shares'!$C$2:$CY$538,101,0)</f>
        <v>-8.5599999999999996E-2</v>
      </c>
      <c r="E196" s="86">
        <f>VLOOKUP($A196,'Data shares'!$C:$FA,74)</f>
        <v>1425500</v>
      </c>
      <c r="F196" s="86">
        <f>VLOOKUP($A196,'Data shares'!$C:$FA,76)</f>
        <v>-66900</v>
      </c>
      <c r="G196" s="87">
        <f>VLOOKUP(A196,'Data shares'!$C$2:$CA$215,77,0)</f>
        <v>-4.48E-2</v>
      </c>
      <c r="H196" s="86">
        <f>VLOOKUP($A196,'Data shares'!$C:$FA,90)</f>
        <v>1853600</v>
      </c>
      <c r="I196" s="86">
        <f>VLOOKUP($A196,'Data shares'!$C:$FA,92)</f>
        <v>-205000</v>
      </c>
      <c r="J196" s="87">
        <f>VLOOKUP($A196,'Data shares'!$C:$FA,93)</f>
        <v>-9.9599999999999994E-2</v>
      </c>
      <c r="K196" s="86">
        <f>VLOOKUP($A196,'Data shares'!$C:$FA,94)</f>
        <v>986900</v>
      </c>
      <c r="L196" s="86">
        <f>VLOOKUP($A196,'Data shares'!$C:$FA,96)</f>
        <v>-127200</v>
      </c>
      <c r="M196" s="87">
        <f>VLOOKUP($A196,'Data shares'!$C:$FA,97)</f>
        <v>-0.1142</v>
      </c>
      <c r="N196" s="86">
        <f>VLOOKUP($A196,'Data shares'!$C:$FA,78)</f>
        <v>600300</v>
      </c>
      <c r="O196" s="87">
        <f>VLOOKUP($A196,'Data shares'!$C:$FA,81)</f>
        <v>-0.43419999999999997</v>
      </c>
    </row>
    <row r="197" spans="1:15" x14ac:dyDescent="0.25">
      <c r="A197" s="100" t="str">
        <f>'Data Vlaue (Cr)'!C192</f>
        <v>TATAPOWER</v>
      </c>
      <c r="B197" s="82">
        <f>VLOOKUP(A197,'Data shares'!$C$2:$CV$215,98,0)</f>
        <v>134158350</v>
      </c>
      <c r="C197" s="82">
        <f>VLOOKUP(A197,'Data shares'!$C$2:$CX$215,100,0)</f>
        <v>3896150</v>
      </c>
      <c r="D197" s="141">
        <f>VLOOKUP(A197,'Data shares'!$C$2:$CY$538,101,0)</f>
        <v>2.9899999999999999E-2</v>
      </c>
      <c r="E197" s="86">
        <f>VLOOKUP($A197,'Data shares'!$C:$FA,74)</f>
        <v>61321950</v>
      </c>
      <c r="F197" s="86">
        <f>VLOOKUP($A197,'Data shares'!$C:$FA,76)</f>
        <v>2288100</v>
      </c>
      <c r="G197" s="87">
        <f>VLOOKUP(A197,'Data shares'!$C$2:$CA$215,77,0)</f>
        <v>3.8800000000000001E-2</v>
      </c>
      <c r="H197" s="86">
        <f>VLOOKUP($A197,'Data shares'!$C:$FA,90)</f>
        <v>40378150</v>
      </c>
      <c r="I197" s="86">
        <f>VLOOKUP($A197,'Data shares'!$C:$FA,92)</f>
        <v>-124700</v>
      </c>
      <c r="J197" s="87">
        <f>VLOOKUP($A197,'Data shares'!$C:$FA,93)</f>
        <v>-3.0999999999999999E-3</v>
      </c>
      <c r="K197" s="86">
        <f>VLOOKUP($A197,'Data shares'!$C:$FA,94)</f>
        <v>32458250</v>
      </c>
      <c r="L197" s="86">
        <f>VLOOKUP($A197,'Data shares'!$C:$FA,96)</f>
        <v>1732750</v>
      </c>
      <c r="M197" s="87">
        <f>VLOOKUP($A197,'Data shares'!$C:$FA,97)</f>
        <v>5.6399999999999999E-2</v>
      </c>
      <c r="N197" s="86">
        <f>VLOOKUP($A197,'Data shares'!$C:$FA,78)</f>
        <v>32829450</v>
      </c>
      <c r="O197" s="87">
        <f>VLOOKUP($A197,'Data shares'!$C:$FA,81)</f>
        <v>-0.2298</v>
      </c>
    </row>
    <row r="198" spans="1:15" x14ac:dyDescent="0.25">
      <c r="A198" s="100" t="str">
        <f>'Data Vlaue (Cr)'!C193</f>
        <v>TATASTEEL</v>
      </c>
      <c r="B198" s="82">
        <f>VLOOKUP(A198,'Data shares'!$C$2:$CV$215,98,0)</f>
        <v>516378500</v>
      </c>
      <c r="C198" s="82">
        <f>VLOOKUP(A198,'Data shares'!$C$2:$CX$215,100,0)</f>
        <v>8096000</v>
      </c>
      <c r="D198" s="141">
        <f>VLOOKUP(A198,'Data shares'!$C$2:$CY$538,101,0)</f>
        <v>1.5900000000000001E-2</v>
      </c>
      <c r="E198" s="86">
        <f>VLOOKUP($A198,'Data shares'!$C:$FA,74)</f>
        <v>268499000</v>
      </c>
      <c r="F198" s="86">
        <f>VLOOKUP($A198,'Data shares'!$C:$FA,76)</f>
        <v>7045500</v>
      </c>
      <c r="G198" s="87">
        <f>VLOOKUP(A198,'Data shares'!$C$2:$CA$215,77,0)</f>
        <v>2.69E-2</v>
      </c>
      <c r="H198" s="86">
        <f>VLOOKUP($A198,'Data shares'!$C:$FA,90)</f>
        <v>135905000</v>
      </c>
      <c r="I198" s="86">
        <f>VLOOKUP($A198,'Data shares'!$C:$FA,92)</f>
        <v>-9333500</v>
      </c>
      <c r="J198" s="87">
        <f>VLOOKUP($A198,'Data shares'!$C:$FA,93)</f>
        <v>-6.4299999999999996E-2</v>
      </c>
      <c r="K198" s="86">
        <f>VLOOKUP($A198,'Data shares'!$C:$FA,94)</f>
        <v>111974500</v>
      </c>
      <c r="L198" s="86">
        <f>VLOOKUP($A198,'Data shares'!$C:$FA,96)</f>
        <v>10384000</v>
      </c>
      <c r="M198" s="87">
        <f>VLOOKUP($A198,'Data shares'!$C:$FA,97)</f>
        <v>0.1022</v>
      </c>
      <c r="N198" s="86">
        <f>VLOOKUP($A198,'Data shares'!$C:$FA,78)</f>
        <v>111760000</v>
      </c>
      <c r="O198" s="87">
        <f>VLOOKUP($A198,'Data shares'!$C:$FA,81)</f>
        <v>-0.37090000000000001</v>
      </c>
    </row>
    <row r="199" spans="1:15" x14ac:dyDescent="0.25">
      <c r="A199" s="100" t="str">
        <f>'Data Vlaue (Cr)'!C194</f>
        <v>TATATECH</v>
      </c>
      <c r="B199" s="82">
        <f>VLOOKUP(A199,'Data shares'!$C$2:$CV$215,98,0)</f>
        <v>24107200</v>
      </c>
      <c r="C199" s="82">
        <f>VLOOKUP(A199,'Data shares'!$C$2:$CX$215,100,0)</f>
        <v>-430400</v>
      </c>
      <c r="D199" s="141">
        <f>VLOOKUP(A199,'Data shares'!$C$2:$CY$538,101,0)</f>
        <v>-1.7500000000000002E-2</v>
      </c>
      <c r="E199" s="86">
        <f>VLOOKUP($A199,'Data shares'!$C:$FA,74)</f>
        <v>11474400</v>
      </c>
      <c r="F199" s="86">
        <f>VLOOKUP($A199,'Data shares'!$C:$FA,76)</f>
        <v>-229600</v>
      </c>
      <c r="G199" s="87">
        <f>VLOOKUP(A199,'Data shares'!$C$2:$CA$215,77,0)</f>
        <v>-1.9599999999999999E-2</v>
      </c>
      <c r="H199" s="86">
        <f>VLOOKUP($A199,'Data shares'!$C:$FA,90)</f>
        <v>7818400</v>
      </c>
      <c r="I199" s="86">
        <f>VLOOKUP($A199,'Data shares'!$C:$FA,92)</f>
        <v>8800</v>
      </c>
      <c r="J199" s="87">
        <f>VLOOKUP($A199,'Data shares'!$C:$FA,93)</f>
        <v>1.1000000000000001E-3</v>
      </c>
      <c r="K199" s="86">
        <f>VLOOKUP($A199,'Data shares'!$C:$FA,94)</f>
        <v>4814400</v>
      </c>
      <c r="L199" s="86">
        <f>VLOOKUP($A199,'Data shares'!$C:$FA,96)</f>
        <v>-209600</v>
      </c>
      <c r="M199" s="87">
        <f>VLOOKUP($A199,'Data shares'!$C:$FA,97)</f>
        <v>-4.1700000000000001E-2</v>
      </c>
      <c r="N199" s="86">
        <f>VLOOKUP($A199,'Data shares'!$C:$FA,78)</f>
        <v>5371200</v>
      </c>
      <c r="O199" s="87">
        <f>VLOOKUP($A199,'Data shares'!$C:$FA,81)</f>
        <v>-0.34029999999999999</v>
      </c>
    </row>
    <row r="200" spans="1:15" x14ac:dyDescent="0.25">
      <c r="A200" s="100" t="str">
        <f>'Data Vlaue (Cr)'!C195</f>
        <v>TCS</v>
      </c>
      <c r="B200" s="82">
        <f>VLOOKUP(A200,'Data shares'!$C$2:$CV$215,98,0)</f>
        <v>43653400</v>
      </c>
      <c r="C200" s="82">
        <f>VLOOKUP(A200,'Data shares'!$C$2:$CX$215,100,0)</f>
        <v>-1466850</v>
      </c>
      <c r="D200" s="141">
        <f>VLOOKUP(A200,'Data shares'!$C$2:$CY$538,101,0)</f>
        <v>-3.2500000000000001E-2</v>
      </c>
      <c r="E200" s="86">
        <f>VLOOKUP($A200,'Data shares'!$C:$FA,74)</f>
        <v>21913150</v>
      </c>
      <c r="F200" s="86">
        <f>VLOOKUP($A200,'Data shares'!$C:$FA,76)</f>
        <v>-443100</v>
      </c>
      <c r="G200" s="87">
        <f>VLOOKUP(A200,'Data shares'!$C$2:$CA$215,77,0)</f>
        <v>-1.9800000000000002E-2</v>
      </c>
      <c r="H200" s="86">
        <f>VLOOKUP($A200,'Data shares'!$C:$FA,90)</f>
        <v>14317975</v>
      </c>
      <c r="I200" s="86">
        <f>VLOOKUP($A200,'Data shares'!$C:$FA,92)</f>
        <v>-865550</v>
      </c>
      <c r="J200" s="87">
        <f>VLOOKUP($A200,'Data shares'!$C:$FA,93)</f>
        <v>-5.7000000000000002E-2</v>
      </c>
      <c r="K200" s="86">
        <f>VLOOKUP($A200,'Data shares'!$C:$FA,94)</f>
        <v>7422275</v>
      </c>
      <c r="L200" s="86">
        <f>VLOOKUP($A200,'Data shares'!$C:$FA,96)</f>
        <v>-158200</v>
      </c>
      <c r="M200" s="87">
        <f>VLOOKUP($A200,'Data shares'!$C:$FA,97)</f>
        <v>-2.0899999999999998E-2</v>
      </c>
      <c r="N200" s="86">
        <f>VLOOKUP($A200,'Data shares'!$C:$FA,78)</f>
        <v>6781600</v>
      </c>
      <c r="O200" s="87">
        <f>VLOOKUP($A200,'Data shares'!$C:$FA,81)</f>
        <v>-0.37819999999999998</v>
      </c>
    </row>
    <row r="201" spans="1:15" x14ac:dyDescent="0.25">
      <c r="A201" s="100" t="str">
        <f>'Data Vlaue (Cr)'!C196</f>
        <v>TECHM</v>
      </c>
      <c r="B201" s="82">
        <f>VLOOKUP(A201,'Data shares'!$C$2:$CV$215,98,0)</f>
        <v>31823400</v>
      </c>
      <c r="C201" s="82">
        <f>VLOOKUP(A201,'Data shares'!$C$2:$CX$215,100,0)</f>
        <v>40800</v>
      </c>
      <c r="D201" s="141">
        <f>VLOOKUP(A201,'Data shares'!$C$2:$CY$538,101,0)</f>
        <v>1.2999999999999999E-3</v>
      </c>
      <c r="E201" s="86">
        <f>VLOOKUP($A201,'Data shares'!$C:$FA,74)</f>
        <v>20840400</v>
      </c>
      <c r="F201" s="86">
        <f>VLOOKUP($A201,'Data shares'!$C:$FA,76)</f>
        <v>624600</v>
      </c>
      <c r="G201" s="87">
        <f>VLOOKUP(A201,'Data shares'!$C$2:$CA$215,77,0)</f>
        <v>3.09E-2</v>
      </c>
      <c r="H201" s="86">
        <f>VLOOKUP($A201,'Data shares'!$C:$FA,90)</f>
        <v>6342000</v>
      </c>
      <c r="I201" s="86">
        <f>VLOOKUP($A201,'Data shares'!$C:$FA,92)</f>
        <v>-236400</v>
      </c>
      <c r="J201" s="87">
        <f>VLOOKUP($A201,'Data shares'!$C:$FA,93)</f>
        <v>-3.5900000000000001E-2</v>
      </c>
      <c r="K201" s="86">
        <f>VLOOKUP($A201,'Data shares'!$C:$FA,94)</f>
        <v>4641000</v>
      </c>
      <c r="L201" s="86">
        <f>VLOOKUP($A201,'Data shares'!$C:$FA,96)</f>
        <v>-347400</v>
      </c>
      <c r="M201" s="87">
        <f>VLOOKUP($A201,'Data shares'!$C:$FA,97)</f>
        <v>-6.9599999999999995E-2</v>
      </c>
      <c r="N201" s="86">
        <f>VLOOKUP($A201,'Data shares'!$C:$FA,78)</f>
        <v>8623800</v>
      </c>
      <c r="O201" s="87">
        <f>VLOOKUP($A201,'Data shares'!$C:$FA,81)</f>
        <v>-0.43740000000000001</v>
      </c>
    </row>
    <row r="202" spans="1:15" x14ac:dyDescent="0.25">
      <c r="A202" s="100" t="str">
        <f>'Data Vlaue (Cr)'!C197</f>
        <v>TIINDIA</v>
      </c>
      <c r="B202" s="82">
        <f>VLOOKUP(A202,'Data shares'!$C$2:$CV$215,98,0)</f>
        <v>5759000</v>
      </c>
      <c r="C202" s="82">
        <f>VLOOKUP(A202,'Data shares'!$C$2:$CX$215,100,0)</f>
        <v>-97400</v>
      </c>
      <c r="D202" s="141">
        <f>VLOOKUP(A202,'Data shares'!$C$2:$CY$538,101,0)</f>
        <v>-1.66E-2</v>
      </c>
      <c r="E202" s="86">
        <f>VLOOKUP($A202,'Data shares'!$C:$FA,74)</f>
        <v>3846600</v>
      </c>
      <c r="F202" s="86">
        <f>VLOOKUP($A202,'Data shares'!$C:$FA,76)</f>
        <v>46800</v>
      </c>
      <c r="G202" s="87">
        <f>VLOOKUP(A202,'Data shares'!$C$2:$CA$215,77,0)</f>
        <v>1.23E-2</v>
      </c>
      <c r="H202" s="86">
        <f>VLOOKUP($A202,'Data shares'!$C:$FA,90)</f>
        <v>1045200</v>
      </c>
      <c r="I202" s="86">
        <f>VLOOKUP($A202,'Data shares'!$C:$FA,92)</f>
        <v>-105000</v>
      </c>
      <c r="J202" s="87">
        <f>VLOOKUP($A202,'Data shares'!$C:$FA,93)</f>
        <v>-9.1300000000000006E-2</v>
      </c>
      <c r="K202" s="86">
        <f>VLOOKUP($A202,'Data shares'!$C:$FA,94)</f>
        <v>867200</v>
      </c>
      <c r="L202" s="86">
        <f>VLOOKUP($A202,'Data shares'!$C:$FA,96)</f>
        <v>-39200</v>
      </c>
      <c r="M202" s="87">
        <f>VLOOKUP($A202,'Data shares'!$C:$FA,97)</f>
        <v>-4.3200000000000002E-2</v>
      </c>
      <c r="N202" s="86">
        <f>VLOOKUP($A202,'Data shares'!$C:$FA,78)</f>
        <v>1761400</v>
      </c>
      <c r="O202" s="87">
        <f>VLOOKUP($A202,'Data shares'!$C:$FA,81)</f>
        <v>-0.38400000000000001</v>
      </c>
    </row>
    <row r="203" spans="1:15" x14ac:dyDescent="0.25">
      <c r="A203" s="100" t="str">
        <f>'Data Vlaue (Cr)'!C198</f>
        <v>TITAN</v>
      </c>
      <c r="B203" s="82">
        <f>VLOOKUP(A203,'Data shares'!$C$2:$CV$215,98,0)</f>
        <v>18085550</v>
      </c>
      <c r="C203" s="82">
        <f>VLOOKUP(A203,'Data shares'!$C$2:$CX$215,100,0)</f>
        <v>448350</v>
      </c>
      <c r="D203" s="141">
        <f>VLOOKUP(A203,'Data shares'!$C$2:$CY$538,101,0)</f>
        <v>2.5399999999999999E-2</v>
      </c>
      <c r="E203" s="86">
        <f>VLOOKUP($A203,'Data shares'!$C:$FA,74)</f>
        <v>9016000</v>
      </c>
      <c r="F203" s="86">
        <f>VLOOKUP($A203,'Data shares'!$C:$FA,76)</f>
        <v>-123375</v>
      </c>
      <c r="G203" s="87">
        <f>VLOOKUP(A203,'Data shares'!$C$2:$CA$215,77,0)</f>
        <v>-1.35E-2</v>
      </c>
      <c r="H203" s="86">
        <f>VLOOKUP($A203,'Data shares'!$C:$FA,90)</f>
        <v>5790575</v>
      </c>
      <c r="I203" s="86">
        <f>VLOOKUP($A203,'Data shares'!$C:$FA,92)</f>
        <v>569275</v>
      </c>
      <c r="J203" s="87">
        <f>VLOOKUP($A203,'Data shares'!$C:$FA,93)</f>
        <v>0.109</v>
      </c>
      <c r="K203" s="86">
        <f>VLOOKUP($A203,'Data shares'!$C:$FA,94)</f>
        <v>3278975</v>
      </c>
      <c r="L203" s="86">
        <f>VLOOKUP($A203,'Data shares'!$C:$FA,96)</f>
        <v>2450</v>
      </c>
      <c r="M203" s="87">
        <f>VLOOKUP($A203,'Data shares'!$C:$FA,97)</f>
        <v>6.9999999999999999E-4</v>
      </c>
      <c r="N203" s="86">
        <f>VLOOKUP($A203,'Data shares'!$C:$FA,78)</f>
        <v>3785950</v>
      </c>
      <c r="O203" s="87">
        <f>VLOOKUP($A203,'Data shares'!$C:$FA,81)</f>
        <v>-0.39860000000000001</v>
      </c>
    </row>
    <row r="204" spans="1:15" x14ac:dyDescent="0.25">
      <c r="A204" s="100" t="str">
        <f>'Data Vlaue (Cr)'!C199</f>
        <v>TMPV</v>
      </c>
      <c r="B204" s="82">
        <f>VLOOKUP(A204,'Data shares'!$C$2:$CV$215,98,0)</f>
        <v>169262400</v>
      </c>
      <c r="C204" s="82">
        <f>VLOOKUP(A204,'Data shares'!$C$2:$CX$215,100,0)</f>
        <v>-4285600</v>
      </c>
      <c r="D204" s="141">
        <f>VLOOKUP(A204,'Data shares'!$C$2:$CY$538,101,0)</f>
        <v>-2.47E-2</v>
      </c>
      <c r="E204" s="86">
        <f>VLOOKUP($A204,'Data shares'!$C:$FA,74)</f>
        <v>85706400</v>
      </c>
      <c r="F204" s="86">
        <f>VLOOKUP($A204,'Data shares'!$C:$FA,76)</f>
        <v>-2789600</v>
      </c>
      <c r="G204" s="87">
        <f>VLOOKUP(A204,'Data shares'!$C$2:$CA$215,77,0)</f>
        <v>-3.15E-2</v>
      </c>
      <c r="H204" s="86">
        <f>VLOOKUP($A204,'Data shares'!$C:$FA,90)</f>
        <v>53499200</v>
      </c>
      <c r="I204" s="86">
        <f>VLOOKUP($A204,'Data shares'!$C:$FA,92)</f>
        <v>-2656800</v>
      </c>
      <c r="J204" s="87">
        <f>VLOOKUP($A204,'Data shares'!$C:$FA,93)</f>
        <v>-4.7300000000000002E-2</v>
      </c>
      <c r="K204" s="86">
        <f>VLOOKUP($A204,'Data shares'!$C:$FA,94)</f>
        <v>30056800</v>
      </c>
      <c r="L204" s="86">
        <f>VLOOKUP($A204,'Data shares'!$C:$FA,96)</f>
        <v>1160800</v>
      </c>
      <c r="M204" s="87">
        <f>VLOOKUP($A204,'Data shares'!$C:$FA,97)</f>
        <v>4.02E-2</v>
      </c>
      <c r="N204" s="86">
        <f>VLOOKUP($A204,'Data shares'!$C:$FA,78)</f>
        <v>30078400</v>
      </c>
      <c r="O204" s="87">
        <f>VLOOKUP($A204,'Data shares'!$C:$FA,81)</f>
        <v>-0.46250000000000002</v>
      </c>
    </row>
    <row r="205" spans="1:15" x14ac:dyDescent="0.25">
      <c r="A205" s="100" t="str">
        <f>'Data Vlaue (Cr)'!C200</f>
        <v>TORNTPHARM</v>
      </c>
      <c r="B205" s="82">
        <f>VLOOKUP(A205,'Data shares'!$C$2:$CV$215,98,0)</f>
        <v>3540750</v>
      </c>
      <c r="C205" s="82">
        <f>VLOOKUP(A205,'Data shares'!$C$2:$CX$215,100,0)</f>
        <v>67500</v>
      </c>
      <c r="D205" s="141">
        <f>VLOOKUP(A205,'Data shares'!$C$2:$CY$538,101,0)</f>
        <v>1.9400000000000001E-2</v>
      </c>
      <c r="E205" s="86">
        <f>VLOOKUP($A205,'Data shares'!$C:$FA,74)</f>
        <v>2553250</v>
      </c>
      <c r="F205" s="86">
        <f>VLOOKUP($A205,'Data shares'!$C:$FA,76)</f>
        <v>118500</v>
      </c>
      <c r="G205" s="87">
        <f>VLOOKUP(A205,'Data shares'!$C$2:$CA$215,77,0)</f>
        <v>4.87E-2</v>
      </c>
      <c r="H205" s="86">
        <f>VLOOKUP($A205,'Data shares'!$C:$FA,90)</f>
        <v>536750</v>
      </c>
      <c r="I205" s="86">
        <f>VLOOKUP($A205,'Data shares'!$C:$FA,92)</f>
        <v>-54000</v>
      </c>
      <c r="J205" s="87">
        <f>VLOOKUP($A205,'Data shares'!$C:$FA,93)</f>
        <v>-9.1399999999999995E-2</v>
      </c>
      <c r="K205" s="86">
        <f>VLOOKUP($A205,'Data shares'!$C:$FA,94)</f>
        <v>450750</v>
      </c>
      <c r="L205" s="86">
        <f>VLOOKUP($A205,'Data shares'!$C:$FA,96)</f>
        <v>3000</v>
      </c>
      <c r="M205" s="87">
        <f>VLOOKUP($A205,'Data shares'!$C:$FA,97)</f>
        <v>6.7000000000000002E-3</v>
      </c>
      <c r="N205" s="86">
        <f>VLOOKUP($A205,'Data shares'!$C:$FA,78)</f>
        <v>1107000</v>
      </c>
      <c r="O205" s="87">
        <f>VLOOKUP($A205,'Data shares'!$C:$FA,81)</f>
        <v>-0.31040000000000001</v>
      </c>
    </row>
    <row r="206" spans="1:15" x14ac:dyDescent="0.25">
      <c r="A206" s="100" t="str">
        <f>'Data Vlaue (Cr)'!C201</f>
        <v>TORNTPOWER</v>
      </c>
      <c r="B206" s="82">
        <f>VLOOKUP(A206,'Data shares'!$C$2:$CV$215,98,0)</f>
        <v>5654625</v>
      </c>
      <c r="C206" s="82">
        <f>VLOOKUP(A206,'Data shares'!$C$2:$CX$215,100,0)</f>
        <v>-174675</v>
      </c>
      <c r="D206" s="141">
        <f>VLOOKUP(A206,'Data shares'!$C$2:$CY$538,101,0)</f>
        <v>-0.03</v>
      </c>
      <c r="E206" s="86">
        <f>VLOOKUP($A206,'Data shares'!$C:$FA,74)</f>
        <v>3096125</v>
      </c>
      <c r="F206" s="86">
        <f>VLOOKUP($A206,'Data shares'!$C:$FA,76)</f>
        <v>32300</v>
      </c>
      <c r="G206" s="87">
        <f>VLOOKUP(A206,'Data shares'!$C$2:$CA$215,77,0)</f>
        <v>1.0500000000000001E-2</v>
      </c>
      <c r="H206" s="86">
        <f>VLOOKUP($A206,'Data shares'!$C:$FA,90)</f>
        <v>1475175</v>
      </c>
      <c r="I206" s="86">
        <f>VLOOKUP($A206,'Data shares'!$C:$FA,92)</f>
        <v>-158525</v>
      </c>
      <c r="J206" s="87">
        <f>VLOOKUP($A206,'Data shares'!$C:$FA,93)</f>
        <v>-9.7000000000000003E-2</v>
      </c>
      <c r="K206" s="86">
        <f>VLOOKUP($A206,'Data shares'!$C:$FA,94)</f>
        <v>1083325</v>
      </c>
      <c r="L206" s="86">
        <f>VLOOKUP($A206,'Data shares'!$C:$FA,96)</f>
        <v>-48450</v>
      </c>
      <c r="M206" s="87">
        <f>VLOOKUP($A206,'Data shares'!$C:$FA,97)</f>
        <v>-4.2799999999999998E-2</v>
      </c>
      <c r="N206" s="86">
        <f>VLOOKUP($A206,'Data shares'!$C:$FA,78)</f>
        <v>1149625</v>
      </c>
      <c r="O206" s="87">
        <f>VLOOKUP($A206,'Data shares'!$C:$FA,81)</f>
        <v>-0.44030000000000002</v>
      </c>
    </row>
    <row r="207" spans="1:15" x14ac:dyDescent="0.25">
      <c r="A207" s="100" t="str">
        <f>'Data Vlaue (Cr)'!C202</f>
        <v>TRENT</v>
      </c>
      <c r="B207" s="82">
        <f>VLOOKUP(A207,'Data shares'!$C$2:$CV$215,98,0)</f>
        <v>19497500</v>
      </c>
      <c r="C207" s="82">
        <f>VLOOKUP(A207,'Data shares'!$C$2:$CX$215,100,0)</f>
        <v>-112800</v>
      </c>
      <c r="D207" s="141">
        <f>VLOOKUP(A207,'Data shares'!$C$2:$CY$538,101,0)</f>
        <v>-5.7999999999999996E-3</v>
      </c>
      <c r="E207" s="86">
        <f>VLOOKUP($A207,'Data shares'!$C:$FA,74)</f>
        <v>8976300</v>
      </c>
      <c r="F207" s="86">
        <f>VLOOKUP($A207,'Data shares'!$C:$FA,76)</f>
        <v>62100</v>
      </c>
      <c r="G207" s="87">
        <f>VLOOKUP(A207,'Data shares'!$C$2:$CA$215,77,0)</f>
        <v>7.0000000000000001E-3</v>
      </c>
      <c r="H207" s="86">
        <f>VLOOKUP($A207,'Data shares'!$C:$FA,90)</f>
        <v>6771100</v>
      </c>
      <c r="I207" s="86">
        <f>VLOOKUP($A207,'Data shares'!$C:$FA,92)</f>
        <v>-142900</v>
      </c>
      <c r="J207" s="87">
        <f>VLOOKUP($A207,'Data shares'!$C:$FA,93)</f>
        <v>-2.07E-2</v>
      </c>
      <c r="K207" s="86">
        <f>VLOOKUP($A207,'Data shares'!$C:$FA,94)</f>
        <v>3750100</v>
      </c>
      <c r="L207" s="86">
        <f>VLOOKUP($A207,'Data shares'!$C:$FA,96)</f>
        <v>-32000</v>
      </c>
      <c r="M207" s="87">
        <f>VLOOKUP($A207,'Data shares'!$C:$FA,97)</f>
        <v>-8.5000000000000006E-3</v>
      </c>
      <c r="N207" s="86">
        <f>VLOOKUP($A207,'Data shares'!$C:$FA,78)</f>
        <v>4223000</v>
      </c>
      <c r="O207" s="87">
        <f>VLOOKUP($A207,'Data shares'!$C:$FA,81)</f>
        <v>-0.32779999999999998</v>
      </c>
    </row>
    <row r="208" spans="1:15" x14ac:dyDescent="0.25">
      <c r="A208" s="100" t="str">
        <f>'Data Vlaue (Cr)'!C203</f>
        <v>TVSMOTOR</v>
      </c>
      <c r="B208" s="82">
        <f>VLOOKUP(A208,'Data shares'!$C$2:$CV$215,98,0)</f>
        <v>12141500</v>
      </c>
      <c r="C208" s="82">
        <f>VLOOKUP(A208,'Data shares'!$C$2:$CX$215,100,0)</f>
        <v>-226625</v>
      </c>
      <c r="D208" s="141">
        <f>VLOOKUP(A208,'Data shares'!$C$2:$CY$538,101,0)</f>
        <v>-1.83E-2</v>
      </c>
      <c r="E208" s="86">
        <f>VLOOKUP($A208,'Data shares'!$C:$FA,74)</f>
        <v>8745975</v>
      </c>
      <c r="F208" s="86">
        <f>VLOOKUP($A208,'Data shares'!$C:$FA,76)</f>
        <v>-56525</v>
      </c>
      <c r="G208" s="87">
        <f>VLOOKUP(A208,'Data shares'!$C$2:$CA$215,77,0)</f>
        <v>-6.4000000000000003E-3</v>
      </c>
      <c r="H208" s="86">
        <f>VLOOKUP($A208,'Data shares'!$C:$FA,90)</f>
        <v>2049250</v>
      </c>
      <c r="I208" s="86">
        <f>VLOOKUP($A208,'Data shares'!$C:$FA,92)</f>
        <v>-170275</v>
      </c>
      <c r="J208" s="87">
        <f>VLOOKUP($A208,'Data shares'!$C:$FA,93)</f>
        <v>-7.6700000000000004E-2</v>
      </c>
      <c r="K208" s="86">
        <f>VLOOKUP($A208,'Data shares'!$C:$FA,94)</f>
        <v>1346275</v>
      </c>
      <c r="L208" s="86">
        <f>VLOOKUP($A208,'Data shares'!$C:$FA,96)</f>
        <v>175</v>
      </c>
      <c r="M208" s="87">
        <f>VLOOKUP($A208,'Data shares'!$C:$FA,97)</f>
        <v>1E-4</v>
      </c>
      <c r="N208" s="86">
        <f>VLOOKUP($A208,'Data shares'!$C:$FA,78)</f>
        <v>3504375</v>
      </c>
      <c r="O208" s="87">
        <f>VLOOKUP($A208,'Data shares'!$C:$FA,81)</f>
        <v>-0.44059999999999999</v>
      </c>
    </row>
    <row r="209" spans="1:15" x14ac:dyDescent="0.25">
      <c r="A209" s="100" t="str">
        <f>'Data Vlaue (Cr)'!C204</f>
        <v>ULTRACEMCO</v>
      </c>
      <c r="B209" s="82">
        <f>VLOOKUP(A209,'Data shares'!$C$2:$CV$215,98,0)</f>
        <v>3985650</v>
      </c>
      <c r="C209" s="82">
        <f>VLOOKUP(A209,'Data shares'!$C$2:$CX$215,100,0)</f>
        <v>65000</v>
      </c>
      <c r="D209" s="141">
        <f>VLOOKUP(A209,'Data shares'!$C$2:$CY$538,101,0)</f>
        <v>1.66E-2</v>
      </c>
      <c r="E209" s="86">
        <f>VLOOKUP($A209,'Data shares'!$C:$FA,74)</f>
        <v>2909900</v>
      </c>
      <c r="F209" s="86">
        <f>VLOOKUP($A209,'Data shares'!$C:$FA,76)</f>
        <v>85450</v>
      </c>
      <c r="G209" s="87">
        <f>VLOOKUP(A209,'Data shares'!$C$2:$CA$215,77,0)</f>
        <v>3.0300000000000001E-2</v>
      </c>
      <c r="H209" s="86">
        <f>VLOOKUP($A209,'Data shares'!$C:$FA,90)</f>
        <v>588900</v>
      </c>
      <c r="I209" s="86">
        <f>VLOOKUP($A209,'Data shares'!$C:$FA,92)</f>
        <v>-43650</v>
      </c>
      <c r="J209" s="87">
        <f>VLOOKUP($A209,'Data shares'!$C:$FA,93)</f>
        <v>-6.9000000000000006E-2</v>
      </c>
      <c r="K209" s="86">
        <f>VLOOKUP($A209,'Data shares'!$C:$FA,94)</f>
        <v>486850</v>
      </c>
      <c r="L209" s="86">
        <f>VLOOKUP($A209,'Data shares'!$C:$FA,96)</f>
        <v>23200</v>
      </c>
      <c r="M209" s="87">
        <f>VLOOKUP($A209,'Data shares'!$C:$FA,97)</f>
        <v>0.05</v>
      </c>
      <c r="N209" s="86">
        <f>VLOOKUP($A209,'Data shares'!$C:$FA,78)</f>
        <v>1038850</v>
      </c>
      <c r="O209" s="87">
        <f>VLOOKUP($A209,'Data shares'!$C:$FA,81)</f>
        <v>-0.4572</v>
      </c>
    </row>
    <row r="210" spans="1:15" x14ac:dyDescent="0.25">
      <c r="A210" s="100" t="str">
        <f>'Data Vlaue (Cr)'!C205</f>
        <v>UNIONBANK</v>
      </c>
      <c r="B210" s="82">
        <f>VLOOKUP(A210,'Data shares'!$C$2:$CV$215,98,0)</f>
        <v>174260925</v>
      </c>
      <c r="C210" s="82">
        <f>VLOOKUP(A210,'Data shares'!$C$2:$CX$215,100,0)</f>
        <v>-1747875</v>
      </c>
      <c r="D210" s="141">
        <f>VLOOKUP(A210,'Data shares'!$C$2:$CY$538,101,0)</f>
        <v>-9.9000000000000008E-3</v>
      </c>
      <c r="E210" s="86">
        <f>VLOOKUP($A210,'Data shares'!$C:$FA,74)</f>
        <v>83433375</v>
      </c>
      <c r="F210" s="86">
        <f>VLOOKUP($A210,'Data shares'!$C:$FA,76)</f>
        <v>-601800</v>
      </c>
      <c r="G210" s="87">
        <f>VLOOKUP(A210,'Data shares'!$C$2:$CA$215,77,0)</f>
        <v>-7.1999999999999998E-3</v>
      </c>
      <c r="H210" s="86">
        <f>VLOOKUP($A210,'Data shares'!$C:$FA,90)</f>
        <v>50493675</v>
      </c>
      <c r="I210" s="86">
        <f>VLOOKUP($A210,'Data shares'!$C:$FA,92)</f>
        <v>-787650</v>
      </c>
      <c r="J210" s="87">
        <f>VLOOKUP($A210,'Data shares'!$C:$FA,93)</f>
        <v>-1.54E-2</v>
      </c>
      <c r="K210" s="86">
        <f>VLOOKUP($A210,'Data shares'!$C:$FA,94)</f>
        <v>40333875</v>
      </c>
      <c r="L210" s="86">
        <f>VLOOKUP($A210,'Data shares'!$C:$FA,96)</f>
        <v>-358425</v>
      </c>
      <c r="M210" s="87">
        <f>VLOOKUP($A210,'Data shares'!$C:$FA,97)</f>
        <v>-8.8000000000000005E-3</v>
      </c>
      <c r="N210" s="86">
        <f>VLOOKUP($A210,'Data shares'!$C:$FA,78)</f>
        <v>36196500</v>
      </c>
      <c r="O210" s="87">
        <f>VLOOKUP($A210,'Data shares'!$C:$FA,81)</f>
        <v>-0.37019999999999997</v>
      </c>
    </row>
    <row r="211" spans="1:15" x14ac:dyDescent="0.25">
      <c r="A211" s="100" t="str">
        <f>'Data Vlaue (Cr)'!C206</f>
        <v>UNITDSPR</v>
      </c>
      <c r="B211" s="82">
        <f>VLOOKUP(A211,'Data shares'!$C$2:$CV$215,98,0)</f>
        <v>20827600</v>
      </c>
      <c r="C211" s="82">
        <f>VLOOKUP(A211,'Data shares'!$C$2:$CX$215,100,0)</f>
        <v>-999600</v>
      </c>
      <c r="D211" s="141">
        <f>VLOOKUP(A211,'Data shares'!$C$2:$CY$538,101,0)</f>
        <v>-4.58E-2</v>
      </c>
      <c r="E211" s="86">
        <f>VLOOKUP($A211,'Data shares'!$C:$FA,74)</f>
        <v>12346000</v>
      </c>
      <c r="F211" s="86">
        <f>VLOOKUP($A211,'Data shares'!$C:$FA,76)</f>
        <v>-436000</v>
      </c>
      <c r="G211" s="87">
        <f>VLOOKUP(A211,'Data shares'!$C$2:$CA$215,77,0)</f>
        <v>-3.4099999999999998E-2</v>
      </c>
      <c r="H211" s="86">
        <f>VLOOKUP($A211,'Data shares'!$C:$FA,90)</f>
        <v>4823200</v>
      </c>
      <c r="I211" s="86">
        <f>VLOOKUP($A211,'Data shares'!$C:$FA,92)</f>
        <v>-497600</v>
      </c>
      <c r="J211" s="87">
        <f>VLOOKUP($A211,'Data shares'!$C:$FA,93)</f>
        <v>-9.35E-2</v>
      </c>
      <c r="K211" s="86">
        <f>VLOOKUP($A211,'Data shares'!$C:$FA,94)</f>
        <v>3658400</v>
      </c>
      <c r="L211" s="86">
        <f>VLOOKUP($A211,'Data shares'!$C:$FA,96)</f>
        <v>-66000</v>
      </c>
      <c r="M211" s="87">
        <f>VLOOKUP($A211,'Data shares'!$C:$FA,97)</f>
        <v>-1.77E-2</v>
      </c>
      <c r="N211" s="86">
        <f>VLOOKUP($A211,'Data shares'!$C:$FA,78)</f>
        <v>6860800</v>
      </c>
      <c r="O211" s="87">
        <f>VLOOKUP($A211,'Data shares'!$C:$FA,81)</f>
        <v>-0.31659999999999999</v>
      </c>
    </row>
    <row r="212" spans="1:15" x14ac:dyDescent="0.25">
      <c r="A212" s="100" t="str">
        <f>'Data Vlaue (Cr)'!C207</f>
        <v>UNOMINDA</v>
      </c>
      <c r="B212" s="82">
        <f>VLOOKUP(A212,'Data shares'!$C$2:$CV$215,98,0)</f>
        <v>8707600</v>
      </c>
      <c r="C212" s="82">
        <f>VLOOKUP(A212,'Data shares'!$C$2:$CX$215,100,0)</f>
        <v>390500</v>
      </c>
      <c r="D212" s="141">
        <f>VLOOKUP(A212,'Data shares'!$C$2:$CY$538,101,0)</f>
        <v>4.7E-2</v>
      </c>
      <c r="E212" s="86">
        <f>VLOOKUP($A212,'Data shares'!$C:$FA,74)</f>
        <v>5485700</v>
      </c>
      <c r="F212" s="86">
        <f>VLOOKUP($A212,'Data shares'!$C:$FA,76)</f>
        <v>186450</v>
      </c>
      <c r="G212" s="87">
        <f>VLOOKUP(A212,'Data shares'!$C$2:$CA$215,77,0)</f>
        <v>3.5200000000000002E-2</v>
      </c>
      <c r="H212" s="86">
        <f>VLOOKUP($A212,'Data shares'!$C:$FA,90)</f>
        <v>1940400</v>
      </c>
      <c r="I212" s="86">
        <f>VLOOKUP($A212,'Data shares'!$C:$FA,92)</f>
        <v>86350</v>
      </c>
      <c r="J212" s="87">
        <f>VLOOKUP($A212,'Data shares'!$C:$FA,93)</f>
        <v>4.6600000000000003E-2</v>
      </c>
      <c r="K212" s="86">
        <f>VLOOKUP($A212,'Data shares'!$C:$FA,94)</f>
        <v>1281500</v>
      </c>
      <c r="L212" s="86">
        <f>VLOOKUP($A212,'Data shares'!$C:$FA,96)</f>
        <v>117700</v>
      </c>
      <c r="M212" s="87">
        <f>VLOOKUP($A212,'Data shares'!$C:$FA,97)</f>
        <v>0.1011</v>
      </c>
      <c r="N212" s="86">
        <f>VLOOKUP($A212,'Data shares'!$C:$FA,78)</f>
        <v>1787500</v>
      </c>
      <c r="O212" s="87">
        <f>VLOOKUP($A212,'Data shares'!$C:$FA,81)</f>
        <v>-0.52949999999999997</v>
      </c>
    </row>
    <row r="213" spans="1:15" x14ac:dyDescent="0.25">
      <c r="A213" s="100" t="str">
        <f>'Data Vlaue (Cr)'!C208</f>
        <v>UPL</v>
      </c>
      <c r="B213" s="82">
        <f>VLOOKUP(A213,'Data shares'!$C$2:$CV$215,98,0)</f>
        <v>73492490</v>
      </c>
      <c r="C213" s="82">
        <f>VLOOKUP(A213,'Data shares'!$C$2:$CX$215,100,0)</f>
        <v>-1077225</v>
      </c>
      <c r="D213" s="141">
        <f>VLOOKUP(A213,'Data shares'!$C$2:$CY$538,101,0)</f>
        <v>-1.44E-2</v>
      </c>
      <c r="E213" s="86">
        <f>VLOOKUP($A213,'Data shares'!$C:$FA,74)</f>
        <v>39339715</v>
      </c>
      <c r="F213" s="86">
        <f>VLOOKUP($A213,'Data shares'!$C:$FA,76)</f>
        <v>58265</v>
      </c>
      <c r="G213" s="87">
        <f>VLOOKUP(A213,'Data shares'!$C$2:$CA$215,77,0)</f>
        <v>1.5E-3</v>
      </c>
      <c r="H213" s="86">
        <f>VLOOKUP($A213,'Data shares'!$C:$FA,90)</f>
        <v>21887315</v>
      </c>
      <c r="I213" s="86">
        <f>VLOOKUP($A213,'Data shares'!$C:$FA,92)</f>
        <v>-43360</v>
      </c>
      <c r="J213" s="87">
        <f>VLOOKUP($A213,'Data shares'!$C:$FA,93)</f>
        <v>-2E-3</v>
      </c>
      <c r="K213" s="86">
        <f>VLOOKUP($A213,'Data shares'!$C:$FA,94)</f>
        <v>12265460</v>
      </c>
      <c r="L213" s="86">
        <f>VLOOKUP($A213,'Data shares'!$C:$FA,96)</f>
        <v>-1092130</v>
      </c>
      <c r="M213" s="87">
        <f>VLOOKUP($A213,'Data shares'!$C:$FA,97)</f>
        <v>-8.1799999999999998E-2</v>
      </c>
      <c r="N213" s="86">
        <f>VLOOKUP($A213,'Data shares'!$C:$FA,78)</f>
        <v>23007900</v>
      </c>
      <c r="O213" s="87">
        <f>VLOOKUP($A213,'Data shares'!$C:$FA,81)</f>
        <v>-0.23880000000000001</v>
      </c>
    </row>
    <row r="214" spans="1:15" x14ac:dyDescent="0.25">
      <c r="A214" s="100" t="str">
        <f>'Data Vlaue (Cr)'!C209</f>
        <v>VBL</v>
      </c>
      <c r="B214" s="82">
        <f>VLOOKUP(A214,'Data shares'!$C$2:$CV$215,98,0)</f>
        <v>67763250</v>
      </c>
      <c r="C214" s="82">
        <f>VLOOKUP(A214,'Data shares'!$C$2:$CX$215,100,0)</f>
        <v>-466875</v>
      </c>
      <c r="D214" s="141">
        <f>VLOOKUP(A214,'Data shares'!$C$2:$CY$538,101,0)</f>
        <v>-6.7999999999999996E-3</v>
      </c>
      <c r="E214" s="86">
        <f>VLOOKUP($A214,'Data shares'!$C:$FA,74)</f>
        <v>48481875</v>
      </c>
      <c r="F214" s="86">
        <f>VLOOKUP($A214,'Data shares'!$C:$FA,76)</f>
        <v>-191250</v>
      </c>
      <c r="G214" s="87">
        <f>VLOOKUP(A214,'Data shares'!$C$2:$CA$215,77,0)</f>
        <v>-3.8999999999999998E-3</v>
      </c>
      <c r="H214" s="86">
        <f>VLOOKUP($A214,'Data shares'!$C:$FA,90)</f>
        <v>10978875</v>
      </c>
      <c r="I214" s="86">
        <f>VLOOKUP($A214,'Data shares'!$C:$FA,92)</f>
        <v>-448875</v>
      </c>
      <c r="J214" s="87">
        <f>VLOOKUP($A214,'Data shares'!$C:$FA,93)</f>
        <v>-3.9300000000000002E-2</v>
      </c>
      <c r="K214" s="86">
        <f>VLOOKUP($A214,'Data shares'!$C:$FA,94)</f>
        <v>8302500</v>
      </c>
      <c r="L214" s="86">
        <f>VLOOKUP($A214,'Data shares'!$C:$FA,96)</f>
        <v>173250</v>
      </c>
      <c r="M214" s="87">
        <f>VLOOKUP($A214,'Data shares'!$C:$FA,97)</f>
        <v>2.1299999999999999E-2</v>
      </c>
      <c r="N214" s="86">
        <f>VLOOKUP($A214,'Data shares'!$C:$FA,78)</f>
        <v>19271250</v>
      </c>
      <c r="O214" s="87">
        <f>VLOOKUP($A214,'Data shares'!$C:$FA,81)</f>
        <v>-0.45300000000000001</v>
      </c>
    </row>
    <row r="215" spans="1:15" x14ac:dyDescent="0.25">
      <c r="A215" s="100" t="str">
        <f>'Data Vlaue (Cr)'!C210</f>
        <v>VEDL</v>
      </c>
      <c r="B215" s="82">
        <f>VLOOKUP(A215,'Data shares'!$C$2:$CV$215,98,0)</f>
        <v>180758150</v>
      </c>
      <c r="C215" s="82">
        <f>VLOOKUP(A215,'Data shares'!$C$2:$CX$215,100,0)</f>
        <v>-4677050</v>
      </c>
      <c r="D215" s="141">
        <f>VLOOKUP(A215,'Data shares'!$C$2:$CY$538,101,0)</f>
        <v>-2.52E-2</v>
      </c>
      <c r="E215" s="86">
        <f>VLOOKUP($A215,'Data shares'!$C:$FA,74)</f>
        <v>83664800</v>
      </c>
      <c r="F215" s="86">
        <f>VLOOKUP($A215,'Data shares'!$C:$FA,76)</f>
        <v>-2779550</v>
      </c>
      <c r="G215" s="87">
        <f>VLOOKUP(A215,'Data shares'!$C$2:$CA$215,77,0)</f>
        <v>-3.2199999999999999E-2</v>
      </c>
      <c r="H215" s="86">
        <f>VLOOKUP($A215,'Data shares'!$C:$FA,90)</f>
        <v>59015700</v>
      </c>
      <c r="I215" s="86">
        <f>VLOOKUP($A215,'Data shares'!$C:$FA,92)</f>
        <v>-907350</v>
      </c>
      <c r="J215" s="87">
        <f>VLOOKUP($A215,'Data shares'!$C:$FA,93)</f>
        <v>-1.5100000000000001E-2</v>
      </c>
      <c r="K215" s="86">
        <f>VLOOKUP($A215,'Data shares'!$C:$FA,94)</f>
        <v>38077650</v>
      </c>
      <c r="L215" s="86">
        <f>VLOOKUP($A215,'Data shares'!$C:$FA,96)</f>
        <v>-990150</v>
      </c>
      <c r="M215" s="87">
        <f>VLOOKUP($A215,'Data shares'!$C:$FA,97)</f>
        <v>-2.53E-2</v>
      </c>
      <c r="N215" s="86">
        <f>VLOOKUP($A215,'Data shares'!$C:$FA,78)</f>
        <v>36530900</v>
      </c>
      <c r="O215" s="87">
        <f>VLOOKUP($A215,'Data shares'!$C:$FA,81)</f>
        <v>-0.33379999999999999</v>
      </c>
    </row>
    <row r="216" spans="1:15" s="89" customFormat="1" ht="16.5" customHeight="1" x14ac:dyDescent="0.2">
      <c r="A216" s="100" t="str">
        <f>'Data Vlaue (Cr)'!C211</f>
        <v>VOLTAS</v>
      </c>
      <c r="B216" s="82">
        <f>VLOOKUP(A216,'Data shares'!$C$2:$CV$215,98,0)</f>
        <v>20389500</v>
      </c>
      <c r="C216" s="82">
        <f>VLOOKUP(A216,'Data shares'!$C$2:$CX$215,100,0)</f>
        <v>111750</v>
      </c>
      <c r="D216" s="141">
        <f>VLOOKUP(A216,'Data shares'!$C$2:$CY$538,101,0)</f>
        <v>5.4999999999999997E-3</v>
      </c>
      <c r="E216" s="86">
        <f>VLOOKUP($A216,'Data shares'!$C:$FA,74)</f>
        <v>12573000</v>
      </c>
      <c r="F216" s="86">
        <f>VLOOKUP($A216,'Data shares'!$C:$FA,76)</f>
        <v>394875</v>
      </c>
      <c r="G216" s="87">
        <f>VLOOKUP(A216,'Data shares'!$C$2:$CA$215,77,0)</f>
        <v>3.2399999999999998E-2</v>
      </c>
      <c r="H216" s="86">
        <f>VLOOKUP($A216,'Data shares'!$C:$FA,90)</f>
        <v>4411125</v>
      </c>
      <c r="I216" s="86">
        <f>VLOOKUP($A216,'Data shares'!$C:$FA,92)</f>
        <v>-308625</v>
      </c>
      <c r="J216" s="87">
        <f>VLOOKUP($A216,'Data shares'!$C:$FA,93)</f>
        <v>-6.54E-2</v>
      </c>
      <c r="K216" s="86">
        <f>VLOOKUP($A216,'Data shares'!$C:$FA,94)</f>
        <v>3405375</v>
      </c>
      <c r="L216" s="86">
        <f>VLOOKUP($A216,'Data shares'!$C:$FA,96)</f>
        <v>25500</v>
      </c>
      <c r="M216" s="87">
        <f>VLOOKUP($A216,'Data shares'!$C:$FA,97)</f>
        <v>7.4999999999999997E-3</v>
      </c>
      <c r="N216" s="86">
        <f>VLOOKUP($A216,'Data shares'!$C:$FA,78)</f>
        <v>4381125</v>
      </c>
      <c r="O216" s="87">
        <f>VLOOKUP($A216,'Data shares'!$C:$FA,81)</f>
        <v>-0.4178</v>
      </c>
    </row>
    <row r="217" spans="1:15" s="89" customFormat="1" ht="16.5" customHeight="1" x14ac:dyDescent="0.2">
      <c r="A217" s="100" t="str">
        <f>'Data Vlaue (Cr)'!C212</f>
        <v>WAAREEENER</v>
      </c>
      <c r="B217" s="82">
        <f>VLOOKUP(A217,'Data shares'!$C$2:$CV$215,98,0)</f>
        <v>7385700</v>
      </c>
      <c r="C217" s="82">
        <f>VLOOKUP(A217,'Data shares'!$C$2:$CX$215,100,0)</f>
        <v>192500</v>
      </c>
      <c r="D217" s="141">
        <f>VLOOKUP(A217,'Data shares'!$C$2:$CY$538,101,0)</f>
        <v>2.6800000000000001E-2</v>
      </c>
      <c r="E217" s="86">
        <f>VLOOKUP($A217,'Data shares'!$C:$FA,74)</f>
        <v>2780925</v>
      </c>
      <c r="F217" s="86">
        <f>VLOOKUP($A217,'Data shares'!$C:$FA,76)</f>
        <v>-248150</v>
      </c>
      <c r="G217" s="87">
        <f>VLOOKUP(A217,'Data shares'!$C$2:$CA$215,77,0)</f>
        <v>-8.1900000000000001E-2</v>
      </c>
      <c r="H217" s="86">
        <f>VLOOKUP($A217,'Data shares'!$C:$FA,90)</f>
        <v>2912875</v>
      </c>
      <c r="I217" s="86">
        <f>VLOOKUP($A217,'Data shares'!$C:$FA,92)</f>
        <v>143850</v>
      </c>
      <c r="J217" s="87">
        <f>VLOOKUP($A217,'Data shares'!$C:$FA,93)</f>
        <v>5.1900000000000002E-2</v>
      </c>
      <c r="K217" s="86">
        <f>VLOOKUP($A217,'Data shares'!$C:$FA,94)</f>
        <v>1691900</v>
      </c>
      <c r="L217" s="86">
        <f>VLOOKUP($A217,'Data shares'!$C:$FA,96)</f>
        <v>296800</v>
      </c>
      <c r="M217" s="87">
        <f>VLOOKUP($A217,'Data shares'!$C:$FA,97)</f>
        <v>0.2127</v>
      </c>
      <c r="N217" s="86">
        <f>VLOOKUP($A217,'Data shares'!$C:$FA,78)</f>
        <v>1095850</v>
      </c>
      <c r="O217" s="87">
        <f>VLOOKUP($A217,'Data shares'!$C:$FA,81)</f>
        <v>-0.42120000000000002</v>
      </c>
    </row>
    <row r="218" spans="1:15" x14ac:dyDescent="0.25">
      <c r="A218" s="100" t="str">
        <f>'Data Vlaue (Cr)'!C213</f>
        <v>WIPRO</v>
      </c>
      <c r="B218" s="82">
        <f>VLOOKUP(A218,'Data shares'!$C$2:$CV$215,98,0)</f>
        <v>297153000</v>
      </c>
      <c r="C218" s="82">
        <f>VLOOKUP(A218,'Data shares'!$C$2:$CX$215,100,0)</f>
        <v>-5532000</v>
      </c>
      <c r="D218" s="141">
        <f>VLOOKUP(A218,'Data shares'!$C$2:$CY$538,101,0)</f>
        <v>-1.83E-2</v>
      </c>
      <c r="E218" s="86">
        <f>VLOOKUP($A218,'Data shares'!$C:$FA,74)</f>
        <v>170223000</v>
      </c>
      <c r="F218" s="86">
        <f>VLOOKUP($A218,'Data shares'!$C:$FA,76)</f>
        <v>357000</v>
      </c>
      <c r="G218" s="87">
        <f>VLOOKUP(A218,'Data shares'!$C$2:$CA$215,77,0)</f>
        <v>2.0999999999999999E-3</v>
      </c>
      <c r="H218" s="86">
        <f>VLOOKUP($A218,'Data shares'!$C:$FA,90)</f>
        <v>83181000</v>
      </c>
      <c r="I218" s="86">
        <f>VLOOKUP($A218,'Data shares'!$C:$FA,92)</f>
        <v>-4071000</v>
      </c>
      <c r="J218" s="87">
        <f>VLOOKUP($A218,'Data shares'!$C:$FA,93)</f>
        <v>-4.6699999999999998E-2</v>
      </c>
      <c r="K218" s="86">
        <f>VLOOKUP($A218,'Data shares'!$C:$FA,94)</f>
        <v>43749000</v>
      </c>
      <c r="L218" s="86">
        <f>VLOOKUP($A218,'Data shares'!$C:$FA,96)</f>
        <v>-1818000</v>
      </c>
      <c r="M218" s="87">
        <f>VLOOKUP($A218,'Data shares'!$C:$FA,97)</f>
        <v>-3.9899999999999998E-2</v>
      </c>
      <c r="N218" s="86">
        <f>VLOOKUP($A218,'Data shares'!$C:$FA,78)</f>
        <v>59547000</v>
      </c>
      <c r="O218" s="87">
        <f>VLOOKUP($A218,'Data shares'!$C:$FA,81)</f>
        <v>-0.3387</v>
      </c>
    </row>
    <row r="219" spans="1:15" x14ac:dyDescent="0.25">
      <c r="A219" s="100" t="str">
        <f>'Data Vlaue (Cr)'!C214</f>
        <v>YESBANK</v>
      </c>
      <c r="B219" s="82">
        <f>VLOOKUP(A219,'Data shares'!$C$2:$CV$215,98,0)</f>
        <v>2009184400</v>
      </c>
      <c r="C219" s="82">
        <f>VLOOKUP(A219,'Data shares'!$C$2:$CX$215,100,0)</f>
        <v>24662300</v>
      </c>
      <c r="D219" s="141">
        <f>VLOOKUP(A219,'Data shares'!$C$2:$CY$538,101,0)</f>
        <v>1.24E-2</v>
      </c>
      <c r="E219" s="86">
        <f>VLOOKUP($A219,'Data shares'!$C:$FA,74)</f>
        <v>1123611900</v>
      </c>
      <c r="F219" s="86">
        <f>VLOOKUP($A219,'Data shares'!$C:$FA,76)</f>
        <v>5069300</v>
      </c>
      <c r="G219" s="87">
        <f>VLOOKUP(A219,'Data shares'!$C$2:$CA$215,77,0)</f>
        <v>4.4999999999999997E-3</v>
      </c>
      <c r="H219" s="86">
        <f>VLOOKUP($A219,'Data shares'!$C:$FA,90)</f>
        <v>593730100</v>
      </c>
      <c r="I219" s="86">
        <f>VLOOKUP($A219,'Data shares'!$C:$FA,92)</f>
        <v>21210200</v>
      </c>
      <c r="J219" s="87">
        <f>VLOOKUP($A219,'Data shares'!$C:$FA,93)</f>
        <v>3.6999999999999998E-2</v>
      </c>
      <c r="K219" s="86">
        <f>VLOOKUP($A219,'Data shares'!$C:$FA,94)</f>
        <v>291842400</v>
      </c>
      <c r="L219" s="86">
        <f>VLOOKUP($A219,'Data shares'!$C:$FA,96)</f>
        <v>-1617200</v>
      </c>
      <c r="M219" s="87">
        <f>VLOOKUP($A219,'Data shares'!$C:$FA,97)</f>
        <v>-5.4999999999999997E-3</v>
      </c>
      <c r="N219" s="86">
        <f>VLOOKUP($A219,'Data shares'!$C:$FA,78)</f>
        <v>519898700</v>
      </c>
      <c r="O219" s="87">
        <f>VLOOKUP($A219,'Data shares'!$C:$FA,81)</f>
        <v>-0.2717</v>
      </c>
    </row>
    <row r="220" spans="1:15" x14ac:dyDescent="0.25">
      <c r="A220" s="100" t="str">
        <f>'Data Vlaue (Cr)'!C215</f>
        <v>ZYDUSLIFE</v>
      </c>
      <c r="B220" s="82">
        <f>VLOOKUP(A220,'Data shares'!$C$2:$CV$215,98,0)</f>
        <v>17699400</v>
      </c>
      <c r="C220" s="82">
        <f>VLOOKUP(A220,'Data shares'!$C$2:$CX$215,100,0)</f>
        <v>-234900</v>
      </c>
      <c r="D220" s="141">
        <f>VLOOKUP(A220,'Data shares'!$C$2:$CY$538,101,0)</f>
        <v>-1.3100000000000001E-2</v>
      </c>
      <c r="E220" s="86">
        <f>VLOOKUP($A220,'Data shares'!$C:$FA,74)</f>
        <v>10309500</v>
      </c>
      <c r="F220" s="86">
        <f>VLOOKUP($A220,'Data shares'!$C:$FA,76)</f>
        <v>36000</v>
      </c>
      <c r="G220" s="87">
        <f>VLOOKUP(A220,'Data shares'!$C$2:$CA$215,77,0)</f>
        <v>3.5000000000000001E-3</v>
      </c>
      <c r="H220" s="86">
        <f>VLOOKUP($A220,'Data shares'!$C:$FA,90)</f>
        <v>4314600</v>
      </c>
      <c r="I220" s="86">
        <f>VLOOKUP($A220,'Data shares'!$C:$FA,92)</f>
        <v>-175500</v>
      </c>
      <c r="J220" s="87">
        <f>VLOOKUP($A220,'Data shares'!$C:$FA,93)</f>
        <v>-3.9100000000000003E-2</v>
      </c>
      <c r="K220" s="86">
        <f>VLOOKUP($A220,'Data shares'!$C:$FA,94)</f>
        <v>3075300</v>
      </c>
      <c r="L220" s="86">
        <f>VLOOKUP($A220,'Data shares'!$C:$FA,96)</f>
        <v>-95400</v>
      </c>
      <c r="M220" s="87">
        <f>VLOOKUP($A220,'Data shares'!$C:$FA,97)</f>
        <v>-3.0099999999999998E-2</v>
      </c>
      <c r="N220" s="86">
        <f>VLOOKUP($A220,'Data shares'!$C:$FA,78)</f>
        <v>4270500</v>
      </c>
      <c r="O220" s="87">
        <f>VLOOKUP($A220,'Data shares'!$C:$FA,81)</f>
        <v>-0.3216</v>
      </c>
    </row>
    <row r="221" spans="1:15" x14ac:dyDescent="0.25">
      <c r="A221" s="100"/>
      <c r="B221" s="82"/>
      <c r="C221" s="82"/>
      <c r="D221" s="141"/>
      <c r="E221" s="86"/>
      <c r="F221" s="86"/>
      <c r="G221" s="87"/>
      <c r="H221" s="86"/>
      <c r="I221" s="86"/>
      <c r="J221" s="87"/>
      <c r="K221" s="86"/>
      <c r="L221" s="86"/>
      <c r="M221" s="87"/>
      <c r="N221" s="86"/>
      <c r="O221" s="87"/>
    </row>
    <row r="222" spans="1:15" x14ac:dyDescent="0.25">
      <c r="A222" s="100"/>
      <c r="B222" s="82"/>
      <c r="C222" s="82"/>
      <c r="D222" s="141"/>
      <c r="E222" s="86"/>
      <c r="F222" s="86"/>
      <c r="G222" s="87"/>
      <c r="H222" s="86"/>
      <c r="I222" s="86"/>
      <c r="J222" s="87"/>
      <c r="K222" s="86"/>
      <c r="L222" s="86"/>
      <c r="M222" s="87"/>
      <c r="N222" s="86"/>
      <c r="O222" s="87"/>
    </row>
    <row r="223" spans="1:15" x14ac:dyDescent="0.25">
      <c r="A223" s="100"/>
      <c r="B223" s="82"/>
      <c r="C223" s="82"/>
      <c r="D223" s="141"/>
      <c r="E223" s="86"/>
      <c r="F223" s="86"/>
      <c r="G223" s="87"/>
      <c r="H223" s="86"/>
      <c r="I223" s="86"/>
      <c r="J223" s="87"/>
      <c r="K223" s="86"/>
      <c r="L223" s="86"/>
      <c r="M223" s="87"/>
      <c r="N223" s="86"/>
      <c r="O223" s="87"/>
    </row>
    <row r="224" spans="1:15" x14ac:dyDescent="0.25">
      <c r="A224" s="100"/>
      <c r="B224" s="82"/>
      <c r="C224" s="82"/>
      <c r="D224" s="141"/>
      <c r="E224" s="86"/>
      <c r="F224" s="86"/>
      <c r="G224" s="87"/>
      <c r="H224" s="86"/>
      <c r="I224" s="86"/>
      <c r="J224" s="87"/>
      <c r="K224" s="86"/>
      <c r="L224" s="86"/>
      <c r="M224" s="87"/>
      <c r="N224" s="86"/>
      <c r="O224" s="87"/>
    </row>
    <row r="225" spans="1:15" x14ac:dyDescent="0.25">
      <c r="A225" s="100"/>
      <c r="B225" s="82"/>
      <c r="C225" s="82"/>
      <c r="D225" s="141"/>
      <c r="E225" s="86"/>
      <c r="F225" s="86"/>
      <c r="G225" s="87"/>
      <c r="H225" s="86"/>
      <c r="I225" s="86"/>
      <c r="J225" s="87"/>
      <c r="K225" s="86"/>
      <c r="L225" s="86"/>
      <c r="M225" s="87"/>
      <c r="N225" s="86"/>
      <c r="O225" s="87"/>
    </row>
    <row r="226" spans="1:15" x14ac:dyDescent="0.25">
      <c r="A226" s="100"/>
      <c r="B226" s="82"/>
      <c r="C226" s="82"/>
      <c r="D226" s="141"/>
      <c r="E226" s="86"/>
      <c r="F226" s="86"/>
      <c r="G226" s="87"/>
      <c r="H226" s="86"/>
      <c r="I226" s="86"/>
      <c r="J226" s="87"/>
      <c r="K226" s="86"/>
      <c r="L226" s="86"/>
      <c r="M226" s="87"/>
      <c r="N226" s="86"/>
      <c r="O226" s="87"/>
    </row>
    <row r="227" spans="1:15" x14ac:dyDescent="0.25">
      <c r="A227" s="100"/>
      <c r="B227" s="17"/>
      <c r="C227" s="17"/>
      <c r="D227" s="17"/>
      <c r="E227" s="17"/>
      <c r="F227" s="17"/>
      <c r="G227" s="17"/>
      <c r="H227" s="17"/>
      <c r="I227" s="17"/>
      <c r="J227" s="17"/>
      <c r="K227" s="17"/>
      <c r="L227" s="17"/>
      <c r="M227" s="17"/>
      <c r="N227" s="17"/>
      <c r="O227" s="17"/>
    </row>
    <row r="228" spans="1:15" x14ac:dyDescent="0.25">
      <c r="A228" s="98"/>
      <c r="B228" s="17"/>
      <c r="C228" s="17"/>
      <c r="D228" s="17"/>
      <c r="E228" s="17"/>
      <c r="F228" s="17"/>
      <c r="G228" s="17"/>
      <c r="H228" s="17"/>
      <c r="I228" s="17"/>
      <c r="J228" s="17"/>
      <c r="K228" s="17"/>
      <c r="L228" s="17"/>
      <c r="M228" s="17"/>
      <c r="N228" s="17"/>
      <c r="O228" s="17"/>
    </row>
    <row r="229" spans="1:15" x14ac:dyDescent="0.25">
      <c r="A229" s="118" t="s">
        <v>391</v>
      </c>
      <c r="B229" s="119">
        <f>SUM(B7:B222)</f>
        <v>31879537270</v>
      </c>
      <c r="C229" s="119">
        <f>SUM(C7:C222)</f>
        <v>-301208500</v>
      </c>
      <c r="D229" s="120">
        <f>C229*100/(B229-C229)</f>
        <v>-0.93598980630460382</v>
      </c>
      <c r="E229" s="119">
        <f>SUM(E7:E222)</f>
        <v>17940675739</v>
      </c>
      <c r="F229" s="119">
        <f>SUM(F7:F222)</f>
        <v>53258415</v>
      </c>
      <c r="G229" s="120">
        <f>F229*100/(E229-F229)</f>
        <v>0.29774234052526877</v>
      </c>
      <c r="H229" s="119">
        <f>SUM(H7:H222)</f>
        <v>8854072068</v>
      </c>
      <c r="I229" s="119">
        <f>SUM(I7:I222)</f>
        <v>-348866986</v>
      </c>
      <c r="J229" s="120">
        <f>I229*100/(H229-I229)</f>
        <v>-3.7908214316421791</v>
      </c>
      <c r="K229" s="119">
        <f>SUM(K7:K222)</f>
        <v>5084789463</v>
      </c>
      <c r="L229" s="119">
        <f>SUM(L7:L222)</f>
        <v>-5599929</v>
      </c>
      <c r="M229" s="120">
        <f>L229*100/(K229-L229)</f>
        <v>-0.11000983556976578</v>
      </c>
      <c r="N229" s="119">
        <f>SUM(N7:N222)</f>
        <v>8368548702</v>
      </c>
      <c r="O229" s="120">
        <f>(N229-FII!V3)/N229*100</f>
        <v>-38.800060519741002</v>
      </c>
    </row>
    <row r="230" spans="1:15" x14ac:dyDescent="0.25">
      <c r="A230" s="118" t="s">
        <v>409</v>
      </c>
      <c r="B230" s="121">
        <f>B229/10000000</f>
        <v>3187.9537270000001</v>
      </c>
      <c r="C230" s="121">
        <f>C229/10000000</f>
        <v>-30.120850000000001</v>
      </c>
      <c r="D230" s="120">
        <f>D229</f>
        <v>-0.93598980630460382</v>
      </c>
      <c r="E230" s="121">
        <f>E229/10000000</f>
        <v>1794.0675739000001</v>
      </c>
      <c r="F230" s="121">
        <f>F229/10000000</f>
        <v>5.3258415000000001</v>
      </c>
      <c r="G230" s="120">
        <f>G229</f>
        <v>0.29774234052526877</v>
      </c>
      <c r="H230" s="121">
        <f>H229/10000000</f>
        <v>885.40720680000004</v>
      </c>
      <c r="I230" s="121">
        <f>I229/10000000</f>
        <v>-34.886698600000003</v>
      </c>
      <c r="J230" s="120">
        <f>J229</f>
        <v>-3.7908214316421791</v>
      </c>
      <c r="K230" s="121">
        <f>K229/10000000</f>
        <v>508.47894630000002</v>
      </c>
      <c r="L230" s="121">
        <f>L229/10000000</f>
        <v>-0.55999290000000002</v>
      </c>
      <c r="M230" s="120">
        <f>M229</f>
        <v>-0.11000983556976578</v>
      </c>
      <c r="N230" s="121">
        <f>N229/10000000</f>
        <v>836.85487020000005</v>
      </c>
      <c r="O230" s="120">
        <f>O229</f>
        <v>-38.800060519741002</v>
      </c>
    </row>
    <row r="238" spans="1:15" x14ac:dyDescent="0.25">
      <c r="A238" s="273" t="s">
        <v>410</v>
      </c>
      <c r="B238" s="273"/>
      <c r="C238" s="273"/>
      <c r="D238" s="273"/>
    </row>
    <row r="239" spans="1:15" x14ac:dyDescent="0.25">
      <c r="A239" s="35" t="s">
        <v>401</v>
      </c>
      <c r="B239" s="35" t="s">
        <v>402</v>
      </c>
      <c r="C239" s="35" t="s">
        <v>369</v>
      </c>
      <c r="D239" s="35" t="s">
        <v>407</v>
      </c>
    </row>
    <row r="240" spans="1:15" x14ac:dyDescent="0.25">
      <c r="A240" s="36" t="s">
        <v>403</v>
      </c>
      <c r="B240" s="37">
        <f>E230</f>
        <v>1794.0675739000001</v>
      </c>
      <c r="C240" s="37">
        <f>F230</f>
        <v>5.3258415000000001</v>
      </c>
      <c r="D240" s="39">
        <f>C240/B240</f>
        <v>2.9685846717704841E-3</v>
      </c>
    </row>
    <row r="241" spans="1:4" x14ac:dyDescent="0.25">
      <c r="A241" s="36" t="s">
        <v>404</v>
      </c>
      <c r="B241" s="37">
        <f>H230</f>
        <v>885.40720680000004</v>
      </c>
      <c r="C241" s="37">
        <f>I230</f>
        <v>-34.886698600000003</v>
      </c>
      <c r="D241" s="39">
        <f>C241/B241</f>
        <v>-3.9401868803492106E-2</v>
      </c>
    </row>
    <row r="242" spans="1:4" x14ac:dyDescent="0.25">
      <c r="A242" s="36" t="s">
        <v>405</v>
      </c>
      <c r="B242" s="37">
        <f>K230</f>
        <v>508.47894630000002</v>
      </c>
      <c r="C242" s="37">
        <f>L230</f>
        <v>-0.55999290000000002</v>
      </c>
      <c r="D242" s="39">
        <f>C242/B242</f>
        <v>-1.1013099049131663E-3</v>
      </c>
    </row>
    <row r="243" spans="1:4" x14ac:dyDescent="0.25">
      <c r="A243" s="36" t="s">
        <v>406</v>
      </c>
      <c r="B243" s="40">
        <f>SUM(B240:B242)</f>
        <v>3187.9537270000005</v>
      </c>
      <c r="C243" s="40">
        <f>SUM(C240:C242)</f>
        <v>-30.120850000000004</v>
      </c>
      <c r="D243" s="41">
        <f>C243/B243</f>
        <v>-9.4483335014856062E-3</v>
      </c>
    </row>
  </sheetData>
  <mergeCells count="9">
    <mergeCell ref="A238:D238"/>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7"/>
  <sheetViews>
    <sheetView workbookViewId="0">
      <pane ySplit="6" topLeftCell="A212" activePane="bottomLeft" state="frozen"/>
      <selection pane="bottomLeft" activeCell="N227" sqref="N227"/>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79" t="s">
        <v>334</v>
      </c>
      <c r="B3" s="280"/>
      <c r="C3" s="280"/>
      <c r="D3" s="281"/>
      <c r="E3" s="282"/>
      <c r="F3" s="282"/>
      <c r="G3" s="282"/>
      <c r="H3" s="282"/>
      <c r="I3" s="282"/>
      <c r="J3" s="282"/>
      <c r="K3" s="282"/>
      <c r="L3" s="282"/>
      <c r="M3" s="282"/>
      <c r="N3" s="282"/>
      <c r="O3" s="283"/>
    </row>
    <row r="4" spans="1:15" x14ac:dyDescent="0.25">
      <c r="A4" s="284" t="s">
        <v>330</v>
      </c>
      <c r="B4" s="286" t="s">
        <v>309</v>
      </c>
      <c r="C4" s="287"/>
      <c r="D4" s="287"/>
      <c r="E4" s="287"/>
      <c r="F4" s="287"/>
      <c r="G4" s="287"/>
      <c r="H4" s="287"/>
      <c r="I4" s="287"/>
      <c r="J4" s="287"/>
      <c r="K4" s="287"/>
      <c r="L4" s="287"/>
      <c r="M4" s="287"/>
      <c r="N4" s="287"/>
      <c r="O4" s="288"/>
    </row>
    <row r="5" spans="1:15" x14ac:dyDescent="0.25">
      <c r="A5" s="285"/>
      <c r="B5" s="289" t="s">
        <v>314</v>
      </c>
      <c r="C5" s="289"/>
      <c r="D5" s="290"/>
      <c r="E5" s="289" t="s">
        <v>335</v>
      </c>
      <c r="F5" s="289"/>
      <c r="G5" s="290"/>
      <c r="H5" s="289" t="s">
        <v>336</v>
      </c>
      <c r="I5" s="289"/>
      <c r="J5" s="290"/>
      <c r="K5" s="289" t="s">
        <v>337</v>
      </c>
      <c r="L5" s="289"/>
      <c r="M5" s="290"/>
      <c r="N5" s="289" t="s">
        <v>338</v>
      </c>
      <c r="O5" s="290"/>
    </row>
    <row r="6" spans="1:15" x14ac:dyDescent="0.25">
      <c r="A6" s="3" t="s">
        <v>318</v>
      </c>
      <c r="B6" s="3">
        <f>'Sectorwise OI'!D6</f>
        <v>46044</v>
      </c>
      <c r="C6" s="76" t="s">
        <v>333</v>
      </c>
      <c r="D6" s="76" t="s">
        <v>328</v>
      </c>
      <c r="E6" s="3">
        <f>B6</f>
        <v>46044</v>
      </c>
      <c r="F6" s="76" t="s">
        <v>333</v>
      </c>
      <c r="G6" s="76" t="s">
        <v>328</v>
      </c>
      <c r="H6" s="3">
        <f>E6</f>
        <v>46044</v>
      </c>
      <c r="I6" s="76" t="s">
        <v>333</v>
      </c>
      <c r="J6" s="76" t="s">
        <v>328</v>
      </c>
      <c r="K6" s="3">
        <f>E6</f>
        <v>46044</v>
      </c>
      <c r="L6" s="76" t="s">
        <v>333</v>
      </c>
      <c r="M6" s="76" t="s">
        <v>328</v>
      </c>
      <c r="N6" s="76" t="s">
        <v>339</v>
      </c>
      <c r="O6" s="76" t="s">
        <v>328</v>
      </c>
    </row>
    <row r="7" spans="1:15" x14ac:dyDescent="0.25">
      <c r="A7" s="97" t="str">
        <f>'Data Vlaue (Cr)'!C2</f>
        <v>360ONE</v>
      </c>
      <c r="B7" s="142">
        <f>VLOOKUP(A7,'Data Vlaue (Cr)'!C2:CW215,99,0)</f>
        <v>944</v>
      </c>
      <c r="C7" s="90">
        <f>VLOOKUP(A7,'Data Vlaue (Cr)'!C2:CY215,101,0)</f>
        <v>-94</v>
      </c>
      <c r="D7" s="139">
        <f>VLOOKUP(A7,'Data Vlaue (Cr)'!C2:CZ215,102,0)</f>
        <v>-9.06E-2</v>
      </c>
      <c r="E7" s="91">
        <f>VLOOKUP($A7,'Data Vlaue (Cr)'!$C:$FB,75)</f>
        <v>400</v>
      </c>
      <c r="F7" s="91">
        <f>VLOOKUP($A7,'Data Vlaue (Cr)'!$C:$FB,77)</f>
        <v>-21</v>
      </c>
      <c r="G7" s="92">
        <f>VLOOKUP(A7,'Data Vlaue (Cr)'!C2:CB215,78,0)</f>
        <v>-5.0099999999999999E-2</v>
      </c>
      <c r="H7" s="91">
        <f>VLOOKUP($A7,'Data Vlaue (Cr)'!$C:$FB,91)</f>
        <v>347</v>
      </c>
      <c r="I7" s="91">
        <f>VLOOKUP($A7,'Data Vlaue (Cr)'!$C:$FB,93)</f>
        <v>-55</v>
      </c>
      <c r="J7" s="92">
        <f>VLOOKUP($A7,'Data Vlaue (Cr)'!$C:$FB,94)</f>
        <v>-0.13719999999999999</v>
      </c>
      <c r="K7" s="91">
        <f>VLOOKUP($A7,'Data Vlaue (Cr)'!$C:$FB,95)</f>
        <v>197</v>
      </c>
      <c r="L7" s="91">
        <f>VLOOKUP($A7,'Data Vlaue (Cr)'!$C:$FB,97)</f>
        <v>-18</v>
      </c>
      <c r="M7" s="92">
        <f>VLOOKUP($A7,'Data Vlaue (Cr)'!$C:$FB,98)</f>
        <v>-8.2900000000000001E-2</v>
      </c>
      <c r="N7" s="91">
        <f>VLOOKUP($A7,'Data Vlaue (Cr)'!$C:$FB,79)</f>
        <v>199</v>
      </c>
      <c r="O7" s="92">
        <f>VLOOKUP($A7,'Data Vlaue (Cr)'!$C:$FB,82)</f>
        <v>-0.36280000000000001</v>
      </c>
    </row>
    <row r="8" spans="1:15" x14ac:dyDescent="0.25">
      <c r="A8" s="97" t="str">
        <f>'Data Vlaue (Cr)'!C3</f>
        <v>ABB</v>
      </c>
      <c r="B8" s="142">
        <f>VLOOKUP(A8,'Data Vlaue (Cr)'!C3:CW216,99,0)</f>
        <v>2227</v>
      </c>
      <c r="C8" s="90">
        <f>VLOOKUP(A8,'Data Vlaue (Cr)'!C3:CY216,101,0)</f>
        <v>-66</v>
      </c>
      <c r="D8" s="139">
        <f>VLOOKUP(A8,'Data Vlaue (Cr)'!C3:CZ216,102,0)</f>
        <v>-2.87E-2</v>
      </c>
      <c r="E8" s="91">
        <f>VLOOKUP($A8,'Data Vlaue (Cr)'!$C:$FB,75)</f>
        <v>1168</v>
      </c>
      <c r="F8" s="91">
        <f>VLOOKUP($A8,'Data Vlaue (Cr)'!$C:$FB,77)</f>
        <v>-4</v>
      </c>
      <c r="G8" s="92">
        <f>VLOOKUP(A8,'Data Vlaue (Cr)'!C3:CB216,78,0)</f>
        <v>-3.5000000000000001E-3</v>
      </c>
      <c r="H8" s="91">
        <f>VLOOKUP($A8,'Data Vlaue (Cr)'!$C:$FB,91)</f>
        <v>650</v>
      </c>
      <c r="I8" s="91">
        <f>VLOOKUP($A8,'Data Vlaue (Cr)'!$C:$FB,93)</f>
        <v>-41</v>
      </c>
      <c r="J8" s="92">
        <f>VLOOKUP($A8,'Data Vlaue (Cr)'!$C:$FB,94)</f>
        <v>-5.9299999999999999E-2</v>
      </c>
      <c r="K8" s="91">
        <f>VLOOKUP($A8,'Data Vlaue (Cr)'!$C:$FB,95)</f>
        <v>409</v>
      </c>
      <c r="L8" s="91">
        <f>VLOOKUP($A8,'Data Vlaue (Cr)'!$C:$FB,97)</f>
        <v>-21</v>
      </c>
      <c r="M8" s="92">
        <f>VLOOKUP($A8,'Data Vlaue (Cr)'!$C:$FB,98)</f>
        <v>-4.8399999999999999E-2</v>
      </c>
      <c r="N8" s="91">
        <f>VLOOKUP($A8,'Data Vlaue (Cr)'!$C:$FB,79)</f>
        <v>456</v>
      </c>
      <c r="O8" s="92">
        <f>VLOOKUP($A8,'Data Vlaue (Cr)'!$C:$FB,82)</f>
        <v>-0.34300000000000003</v>
      </c>
    </row>
    <row r="9" spans="1:15" x14ac:dyDescent="0.25">
      <c r="A9" s="97" t="str">
        <f>'Data Vlaue (Cr)'!C4</f>
        <v>ABCAPITAL</v>
      </c>
      <c r="B9" s="142">
        <f>VLOOKUP(A9,'Data Vlaue (Cr)'!C4:CW217,99,0)</f>
        <v>4305</v>
      </c>
      <c r="C9" s="90">
        <f>VLOOKUP(A9,'Data Vlaue (Cr)'!C4:CY217,101,0)</f>
        <v>-86</v>
      </c>
      <c r="D9" s="139">
        <f>VLOOKUP(A9,'Data Vlaue (Cr)'!C4:CZ217,102,0)</f>
        <v>-1.9699999999999999E-2</v>
      </c>
      <c r="E9" s="91">
        <f>VLOOKUP($A9,'Data Vlaue (Cr)'!$C:$FB,75)</f>
        <v>2864</v>
      </c>
      <c r="F9" s="91">
        <f>VLOOKUP($A9,'Data Vlaue (Cr)'!$C:$FB,77)</f>
        <v>31</v>
      </c>
      <c r="G9" s="92">
        <f>VLOOKUP(A9,'Data Vlaue (Cr)'!C4:CB217,78,0)</f>
        <v>1.11E-2</v>
      </c>
      <c r="H9" s="91">
        <f>VLOOKUP($A9,'Data Vlaue (Cr)'!$C:$FB,91)</f>
        <v>924</v>
      </c>
      <c r="I9" s="91">
        <f>VLOOKUP($A9,'Data Vlaue (Cr)'!$C:$FB,93)</f>
        <v>-106</v>
      </c>
      <c r="J9" s="92">
        <f>VLOOKUP($A9,'Data Vlaue (Cr)'!$C:$FB,94)</f>
        <v>-0.1028</v>
      </c>
      <c r="K9" s="91">
        <f>VLOOKUP($A9,'Data Vlaue (Cr)'!$C:$FB,95)</f>
        <v>517</v>
      </c>
      <c r="L9" s="91">
        <f>VLOOKUP($A9,'Data Vlaue (Cr)'!$C:$FB,97)</f>
        <v>-12</v>
      </c>
      <c r="M9" s="92">
        <f>VLOOKUP($A9,'Data Vlaue (Cr)'!$C:$FB,98)</f>
        <v>-2.2200000000000001E-2</v>
      </c>
      <c r="N9" s="91">
        <f>VLOOKUP($A9,'Data Vlaue (Cr)'!$C:$FB,79)</f>
        <v>954</v>
      </c>
      <c r="O9" s="92">
        <f>VLOOKUP($A9,'Data Vlaue (Cr)'!$C:$FB,82)</f>
        <v>-0.54169999999999996</v>
      </c>
    </row>
    <row r="10" spans="1:15" x14ac:dyDescent="0.25">
      <c r="A10" s="97" t="str">
        <f>'Data Vlaue (Cr)'!C5</f>
        <v>ADANIENSOL</v>
      </c>
      <c r="B10" s="142">
        <f>VLOOKUP(A10,'Data Vlaue (Cr)'!C5:CW218,99,0)</f>
        <v>2709</v>
      </c>
      <c r="C10" s="90">
        <f>VLOOKUP(A10,'Data Vlaue (Cr)'!C5:CY218,101,0)</f>
        <v>51</v>
      </c>
      <c r="D10" s="139">
        <f>VLOOKUP(A10,'Data Vlaue (Cr)'!C5:CZ218,102,0)</f>
        <v>1.9300000000000001E-2</v>
      </c>
      <c r="E10" s="91">
        <f>VLOOKUP($A10,'Data Vlaue (Cr)'!$C:$FB,75)</f>
        <v>1777</v>
      </c>
      <c r="F10" s="91">
        <f>VLOOKUP($A10,'Data Vlaue (Cr)'!$C:$FB,77)</f>
        <v>38</v>
      </c>
      <c r="G10" s="92">
        <f>VLOOKUP(A10,'Data Vlaue (Cr)'!C5:CB218,78,0)</f>
        <v>2.2100000000000002E-2</v>
      </c>
      <c r="H10" s="91">
        <f>VLOOKUP($A10,'Data Vlaue (Cr)'!$C:$FB,91)</f>
        <v>581</v>
      </c>
      <c r="I10" s="91">
        <f>VLOOKUP($A10,'Data Vlaue (Cr)'!$C:$FB,93)</f>
        <v>-29</v>
      </c>
      <c r="J10" s="92">
        <f>VLOOKUP($A10,'Data Vlaue (Cr)'!$C:$FB,94)</f>
        <v>-4.7699999999999999E-2</v>
      </c>
      <c r="K10" s="91">
        <f>VLOOKUP($A10,'Data Vlaue (Cr)'!$C:$FB,95)</f>
        <v>351</v>
      </c>
      <c r="L10" s="91">
        <f>VLOOKUP($A10,'Data Vlaue (Cr)'!$C:$FB,97)</f>
        <v>42</v>
      </c>
      <c r="M10" s="92">
        <f>VLOOKUP($A10,'Data Vlaue (Cr)'!$C:$FB,98)</f>
        <v>0.13589999999999999</v>
      </c>
      <c r="N10" s="91">
        <f>VLOOKUP($A10,'Data Vlaue (Cr)'!$C:$FB,79)</f>
        <v>607</v>
      </c>
      <c r="O10" s="92">
        <f>VLOOKUP($A10,'Data Vlaue (Cr)'!$C:$FB,82)</f>
        <v>-0.37109999999999999</v>
      </c>
    </row>
    <row r="11" spans="1:15" x14ac:dyDescent="0.25">
      <c r="A11" s="97" t="str">
        <f>'Data Vlaue (Cr)'!C6</f>
        <v>ADANIENT</v>
      </c>
      <c r="B11" s="142">
        <f>VLOOKUP(A11,'Data Vlaue (Cr)'!C6:CW219,99,0)</f>
        <v>8010</v>
      </c>
      <c r="C11" s="90">
        <f>VLOOKUP(A11,'Data Vlaue (Cr)'!C6:CY219,101,0)</f>
        <v>-149</v>
      </c>
      <c r="D11" s="139">
        <f>VLOOKUP(A11,'Data Vlaue (Cr)'!C6:CZ219,102,0)</f>
        <v>-1.83E-2</v>
      </c>
      <c r="E11" s="91">
        <f>VLOOKUP($A11,'Data Vlaue (Cr)'!$C:$FB,75)</f>
        <v>4391</v>
      </c>
      <c r="F11" s="91">
        <f>VLOOKUP($A11,'Data Vlaue (Cr)'!$C:$FB,77)</f>
        <v>-72</v>
      </c>
      <c r="G11" s="92">
        <f>VLOOKUP(A11,'Data Vlaue (Cr)'!C6:CB219,78,0)</f>
        <v>-1.61E-2</v>
      </c>
      <c r="H11" s="91">
        <f>VLOOKUP($A11,'Data Vlaue (Cr)'!$C:$FB,91)</f>
        <v>2035</v>
      </c>
      <c r="I11" s="91">
        <f>VLOOKUP($A11,'Data Vlaue (Cr)'!$C:$FB,93)</f>
        <v>-100</v>
      </c>
      <c r="J11" s="92">
        <f>VLOOKUP($A11,'Data Vlaue (Cr)'!$C:$FB,94)</f>
        <v>-4.6800000000000001E-2</v>
      </c>
      <c r="K11" s="91">
        <f>VLOOKUP($A11,'Data Vlaue (Cr)'!$C:$FB,95)</f>
        <v>1583</v>
      </c>
      <c r="L11" s="91">
        <f>VLOOKUP($A11,'Data Vlaue (Cr)'!$C:$FB,97)</f>
        <v>23</v>
      </c>
      <c r="M11" s="92">
        <f>VLOOKUP($A11,'Data Vlaue (Cr)'!$C:$FB,98)</f>
        <v>1.46E-2</v>
      </c>
      <c r="N11" s="91">
        <f>VLOOKUP($A11,'Data Vlaue (Cr)'!$C:$FB,79)</f>
        <v>2068</v>
      </c>
      <c r="O11" s="92">
        <f>VLOOKUP($A11,'Data Vlaue (Cr)'!$C:$FB,82)</f>
        <v>-0.26140000000000002</v>
      </c>
    </row>
    <row r="12" spans="1:15" x14ac:dyDescent="0.25">
      <c r="A12" s="97" t="str">
        <f>'Data Vlaue (Cr)'!C7</f>
        <v>ADANIGREEN</v>
      </c>
      <c r="B12" s="142">
        <f>VLOOKUP(A12,'Data Vlaue (Cr)'!C7:CW220,99,0)</f>
        <v>3411</v>
      </c>
      <c r="C12" s="90">
        <f>VLOOKUP(A12,'Data Vlaue (Cr)'!C7:CY220,101,0)</f>
        <v>3</v>
      </c>
      <c r="D12" s="139">
        <f>VLOOKUP(A12,'Data Vlaue (Cr)'!C7:CZ220,102,0)</f>
        <v>1E-3</v>
      </c>
      <c r="E12" s="91">
        <f>VLOOKUP($A12,'Data Vlaue (Cr)'!$C:$FB,75)</f>
        <v>2050</v>
      </c>
      <c r="F12" s="91">
        <f>VLOOKUP($A12,'Data Vlaue (Cr)'!$C:$FB,77)</f>
        <v>-1</v>
      </c>
      <c r="G12" s="92">
        <f>VLOOKUP(A12,'Data Vlaue (Cr)'!C7:CB220,78,0)</f>
        <v>-2.9999999999999997E-4</v>
      </c>
      <c r="H12" s="91">
        <f>VLOOKUP($A12,'Data Vlaue (Cr)'!$C:$FB,91)</f>
        <v>864</v>
      </c>
      <c r="I12" s="91">
        <f>VLOOKUP($A12,'Data Vlaue (Cr)'!$C:$FB,93)</f>
        <v>9</v>
      </c>
      <c r="J12" s="92">
        <f>VLOOKUP($A12,'Data Vlaue (Cr)'!$C:$FB,94)</f>
        <v>1.09E-2</v>
      </c>
      <c r="K12" s="91">
        <f>VLOOKUP($A12,'Data Vlaue (Cr)'!$C:$FB,95)</f>
        <v>497</v>
      </c>
      <c r="L12" s="91">
        <f>VLOOKUP($A12,'Data Vlaue (Cr)'!$C:$FB,97)</f>
        <v>-5</v>
      </c>
      <c r="M12" s="92">
        <f>VLOOKUP($A12,'Data Vlaue (Cr)'!$C:$FB,98)</f>
        <v>-1.0500000000000001E-2</v>
      </c>
      <c r="N12" s="91">
        <f>VLOOKUP($A12,'Data Vlaue (Cr)'!$C:$FB,79)</f>
        <v>1114</v>
      </c>
      <c r="O12" s="92">
        <f>VLOOKUP($A12,'Data Vlaue (Cr)'!$C:$FB,82)</f>
        <v>-0.18909999999999999</v>
      </c>
    </row>
    <row r="13" spans="1:15" x14ac:dyDescent="0.25">
      <c r="A13" s="97" t="str">
        <f>'Data Vlaue (Cr)'!C8</f>
        <v>ADANIPORTS</v>
      </c>
      <c r="B13" s="142">
        <f>VLOOKUP(A13,'Data Vlaue (Cr)'!C8:CW221,99,0)</f>
        <v>5888</v>
      </c>
      <c r="C13" s="90">
        <f>VLOOKUP(A13,'Data Vlaue (Cr)'!C8:CY221,101,0)</f>
        <v>9</v>
      </c>
      <c r="D13" s="139">
        <f>VLOOKUP(A13,'Data Vlaue (Cr)'!C8:CZ221,102,0)</f>
        <v>1.5E-3</v>
      </c>
      <c r="E13" s="91">
        <f>VLOOKUP($A13,'Data Vlaue (Cr)'!$C:$FB,75)</f>
        <v>3793</v>
      </c>
      <c r="F13" s="91">
        <f>VLOOKUP($A13,'Data Vlaue (Cr)'!$C:$FB,77)</f>
        <v>76</v>
      </c>
      <c r="G13" s="92">
        <f>VLOOKUP(A13,'Data Vlaue (Cr)'!C8:CB221,78,0)</f>
        <v>2.0400000000000001E-2</v>
      </c>
      <c r="H13" s="91">
        <f>VLOOKUP($A13,'Data Vlaue (Cr)'!$C:$FB,91)</f>
        <v>1244</v>
      </c>
      <c r="I13" s="91">
        <f>VLOOKUP($A13,'Data Vlaue (Cr)'!$C:$FB,93)</f>
        <v>-81</v>
      </c>
      <c r="J13" s="92">
        <f>VLOOKUP($A13,'Data Vlaue (Cr)'!$C:$FB,94)</f>
        <v>-6.1199999999999997E-2</v>
      </c>
      <c r="K13" s="91">
        <f>VLOOKUP($A13,'Data Vlaue (Cr)'!$C:$FB,95)</f>
        <v>850</v>
      </c>
      <c r="L13" s="91">
        <f>VLOOKUP($A13,'Data Vlaue (Cr)'!$C:$FB,97)</f>
        <v>14</v>
      </c>
      <c r="M13" s="92">
        <f>VLOOKUP($A13,'Data Vlaue (Cr)'!$C:$FB,98)</f>
        <v>1.7100000000000001E-2</v>
      </c>
      <c r="N13" s="91">
        <f>VLOOKUP($A13,'Data Vlaue (Cr)'!$C:$FB,79)</f>
        <v>1578</v>
      </c>
      <c r="O13" s="92">
        <f>VLOOKUP($A13,'Data Vlaue (Cr)'!$C:$FB,82)</f>
        <v>-0.4415</v>
      </c>
    </row>
    <row r="14" spans="1:15" x14ac:dyDescent="0.25">
      <c r="A14" s="97" t="str">
        <f>'Data Vlaue (Cr)'!C9</f>
        <v>ALKEM</v>
      </c>
      <c r="B14" s="142">
        <f>VLOOKUP(A14,'Data Vlaue (Cr)'!C9:CW222,99,0)</f>
        <v>1141</v>
      </c>
      <c r="C14" s="90">
        <f>VLOOKUP(A14,'Data Vlaue (Cr)'!C9:CY222,101,0)</f>
        <v>3</v>
      </c>
      <c r="D14" s="139">
        <f>VLOOKUP(A14,'Data Vlaue (Cr)'!C9:CZ222,102,0)</f>
        <v>2.7000000000000001E-3</v>
      </c>
      <c r="E14" s="91">
        <f>VLOOKUP($A14,'Data Vlaue (Cr)'!$C:$FB,75)</f>
        <v>819</v>
      </c>
      <c r="F14" s="91">
        <f>VLOOKUP($A14,'Data Vlaue (Cr)'!$C:$FB,77)</f>
        <v>35</v>
      </c>
      <c r="G14" s="92">
        <f>VLOOKUP(A14,'Data Vlaue (Cr)'!C9:CB222,78,0)</f>
        <v>4.4900000000000002E-2</v>
      </c>
      <c r="H14" s="91">
        <f>VLOOKUP($A14,'Data Vlaue (Cr)'!$C:$FB,91)</f>
        <v>214</v>
      </c>
      <c r="I14" s="91">
        <f>VLOOKUP($A14,'Data Vlaue (Cr)'!$C:$FB,93)</f>
        <v>-33</v>
      </c>
      <c r="J14" s="92">
        <f>VLOOKUP($A14,'Data Vlaue (Cr)'!$C:$FB,94)</f>
        <v>-0.13400000000000001</v>
      </c>
      <c r="K14" s="91">
        <f>VLOOKUP($A14,'Data Vlaue (Cr)'!$C:$FB,95)</f>
        <v>109</v>
      </c>
      <c r="L14" s="91">
        <f>VLOOKUP($A14,'Data Vlaue (Cr)'!$C:$FB,97)</f>
        <v>1</v>
      </c>
      <c r="M14" s="92">
        <f>VLOOKUP($A14,'Data Vlaue (Cr)'!$C:$FB,98)</f>
        <v>8.6999999999999994E-3</v>
      </c>
      <c r="N14" s="91">
        <f>VLOOKUP($A14,'Data Vlaue (Cr)'!$C:$FB,79)</f>
        <v>409</v>
      </c>
      <c r="O14" s="92">
        <f>VLOOKUP($A14,'Data Vlaue (Cr)'!$C:$FB,82)</f>
        <v>-0.35749999999999998</v>
      </c>
    </row>
    <row r="15" spans="1:15" x14ac:dyDescent="0.25">
      <c r="A15" s="97" t="str">
        <f>'Data Vlaue (Cr)'!C10</f>
        <v>AMBER</v>
      </c>
      <c r="B15" s="142">
        <f>VLOOKUP(A15,'Data Vlaue (Cr)'!C10:CW223,99,0)</f>
        <v>1230</v>
      </c>
      <c r="C15" s="90">
        <f>VLOOKUP(A15,'Data Vlaue (Cr)'!C10:CY223,101,0)</f>
        <v>-35</v>
      </c>
      <c r="D15" s="139">
        <f>VLOOKUP(A15,'Data Vlaue (Cr)'!C10:CZ223,102,0)</f>
        <v>-2.7300000000000001E-2</v>
      </c>
      <c r="E15" s="91">
        <f>VLOOKUP($A15,'Data Vlaue (Cr)'!$C:$FB,75)</f>
        <v>719</v>
      </c>
      <c r="F15" s="91">
        <f>VLOOKUP($A15,'Data Vlaue (Cr)'!$C:$FB,77)</f>
        <v>10</v>
      </c>
      <c r="G15" s="92">
        <f>VLOOKUP(A15,'Data Vlaue (Cr)'!C10:CB223,78,0)</f>
        <v>1.4E-2</v>
      </c>
      <c r="H15" s="91">
        <f>VLOOKUP($A15,'Data Vlaue (Cr)'!$C:$FB,91)</f>
        <v>350</v>
      </c>
      <c r="I15" s="91">
        <f>VLOOKUP($A15,'Data Vlaue (Cr)'!$C:$FB,93)</f>
        <v>-19</v>
      </c>
      <c r="J15" s="92">
        <f>VLOOKUP($A15,'Data Vlaue (Cr)'!$C:$FB,94)</f>
        <v>-5.2200000000000003E-2</v>
      </c>
      <c r="K15" s="91">
        <f>VLOOKUP($A15,'Data Vlaue (Cr)'!$C:$FB,95)</f>
        <v>162</v>
      </c>
      <c r="L15" s="91">
        <f>VLOOKUP($A15,'Data Vlaue (Cr)'!$C:$FB,97)</f>
        <v>-25</v>
      </c>
      <c r="M15" s="92">
        <f>VLOOKUP($A15,'Data Vlaue (Cr)'!$C:$FB,98)</f>
        <v>-0.13420000000000001</v>
      </c>
      <c r="N15" s="91">
        <f>VLOOKUP($A15,'Data Vlaue (Cr)'!$C:$FB,79)</f>
        <v>385</v>
      </c>
      <c r="O15" s="92">
        <f>VLOOKUP($A15,'Data Vlaue (Cr)'!$C:$FB,82)</f>
        <v>-0.22500000000000001</v>
      </c>
    </row>
    <row r="16" spans="1:15" x14ac:dyDescent="0.25">
      <c r="A16" s="97" t="str">
        <f>'Data Vlaue (Cr)'!C11</f>
        <v>AMBUJACEM</v>
      </c>
      <c r="B16" s="142">
        <f>VLOOKUP(A16,'Data Vlaue (Cr)'!C11:CW224,99,0)</f>
        <v>4174</v>
      </c>
      <c r="C16" s="90">
        <f>VLOOKUP(A16,'Data Vlaue (Cr)'!C11:CY224,101,0)</f>
        <v>-66</v>
      </c>
      <c r="D16" s="139">
        <f>VLOOKUP(A16,'Data Vlaue (Cr)'!C11:CZ224,102,0)</f>
        <v>-1.55E-2</v>
      </c>
      <c r="E16" s="91">
        <f>VLOOKUP($A16,'Data Vlaue (Cr)'!$C:$FB,75)</f>
        <v>2721</v>
      </c>
      <c r="F16" s="91">
        <f>VLOOKUP($A16,'Data Vlaue (Cr)'!$C:$FB,77)</f>
        <v>-16</v>
      </c>
      <c r="G16" s="92">
        <f>VLOOKUP(A16,'Data Vlaue (Cr)'!C11:CB224,78,0)</f>
        <v>-5.7999999999999996E-3</v>
      </c>
      <c r="H16" s="91">
        <f>VLOOKUP($A16,'Data Vlaue (Cr)'!$C:$FB,91)</f>
        <v>795</v>
      </c>
      <c r="I16" s="91">
        <f>VLOOKUP($A16,'Data Vlaue (Cr)'!$C:$FB,93)</f>
        <v>-38</v>
      </c>
      <c r="J16" s="92">
        <f>VLOOKUP($A16,'Data Vlaue (Cr)'!$C:$FB,94)</f>
        <v>-4.5499999999999999E-2</v>
      </c>
      <c r="K16" s="91">
        <f>VLOOKUP($A16,'Data Vlaue (Cr)'!$C:$FB,95)</f>
        <v>658</v>
      </c>
      <c r="L16" s="91">
        <f>VLOOKUP($A16,'Data Vlaue (Cr)'!$C:$FB,97)</f>
        <v>-12</v>
      </c>
      <c r="M16" s="92">
        <f>VLOOKUP($A16,'Data Vlaue (Cr)'!$C:$FB,98)</f>
        <v>-1.77E-2</v>
      </c>
      <c r="N16" s="91">
        <f>VLOOKUP($A16,'Data Vlaue (Cr)'!$C:$FB,79)</f>
        <v>1308</v>
      </c>
      <c r="O16" s="92">
        <f>VLOOKUP($A16,'Data Vlaue (Cr)'!$C:$FB,82)</f>
        <v>-0.29699999999999999</v>
      </c>
    </row>
    <row r="17" spans="1:15" x14ac:dyDescent="0.25">
      <c r="A17" s="97" t="str">
        <f>'Data Vlaue (Cr)'!C12</f>
        <v>ANGELONE</v>
      </c>
      <c r="B17" s="142">
        <f>VLOOKUP(A17,'Data Vlaue (Cr)'!C12:CW225,99,0)</f>
        <v>2416</v>
      </c>
      <c r="C17" s="90">
        <f>VLOOKUP(A17,'Data Vlaue (Cr)'!C12:CY225,101,0)</f>
        <v>-173</v>
      </c>
      <c r="D17" s="139">
        <f>VLOOKUP(A17,'Data Vlaue (Cr)'!C12:CZ225,102,0)</f>
        <v>-6.6799999999999998E-2</v>
      </c>
      <c r="E17" s="91">
        <f>VLOOKUP($A17,'Data Vlaue (Cr)'!$C:$FB,75)</f>
        <v>1095</v>
      </c>
      <c r="F17" s="91">
        <f>VLOOKUP($A17,'Data Vlaue (Cr)'!$C:$FB,77)</f>
        <v>18</v>
      </c>
      <c r="G17" s="92">
        <f>VLOOKUP(A17,'Data Vlaue (Cr)'!C12:CB225,78,0)</f>
        <v>1.66E-2</v>
      </c>
      <c r="H17" s="91">
        <f>VLOOKUP($A17,'Data Vlaue (Cr)'!$C:$FB,91)</f>
        <v>786</v>
      </c>
      <c r="I17" s="91">
        <f>VLOOKUP($A17,'Data Vlaue (Cr)'!$C:$FB,93)</f>
        <v>-76</v>
      </c>
      <c r="J17" s="92">
        <f>VLOOKUP($A17,'Data Vlaue (Cr)'!$C:$FB,94)</f>
        <v>-8.8200000000000001E-2</v>
      </c>
      <c r="K17" s="91">
        <f>VLOOKUP($A17,'Data Vlaue (Cr)'!$C:$FB,95)</f>
        <v>535</v>
      </c>
      <c r="L17" s="91">
        <f>VLOOKUP($A17,'Data Vlaue (Cr)'!$C:$FB,97)</f>
        <v>-115</v>
      </c>
      <c r="M17" s="92">
        <f>VLOOKUP($A17,'Data Vlaue (Cr)'!$C:$FB,98)</f>
        <v>-0.17649999999999999</v>
      </c>
      <c r="N17" s="91">
        <f>VLOOKUP($A17,'Data Vlaue (Cr)'!$C:$FB,79)</f>
        <v>538</v>
      </c>
      <c r="O17" s="92">
        <f>VLOOKUP($A17,'Data Vlaue (Cr)'!$C:$FB,82)</f>
        <v>-0.26750000000000002</v>
      </c>
    </row>
    <row r="18" spans="1:15" x14ac:dyDescent="0.25">
      <c r="A18" s="97" t="str">
        <f>'Data Vlaue (Cr)'!C13</f>
        <v>APLAPOLLO</v>
      </c>
      <c r="B18" s="142">
        <f>VLOOKUP(A18,'Data Vlaue (Cr)'!C13:CW226,99,0)</f>
        <v>3002</v>
      </c>
      <c r="C18" s="90">
        <f>VLOOKUP(A18,'Data Vlaue (Cr)'!C13:CY226,101,0)</f>
        <v>208</v>
      </c>
      <c r="D18" s="139">
        <f>VLOOKUP(A18,'Data Vlaue (Cr)'!C13:CZ226,102,0)</f>
        <v>7.4300000000000005E-2</v>
      </c>
      <c r="E18" s="91">
        <f>VLOOKUP($A18,'Data Vlaue (Cr)'!$C:$FB,75)</f>
        <v>2336</v>
      </c>
      <c r="F18" s="91">
        <f>VLOOKUP($A18,'Data Vlaue (Cr)'!$C:$FB,77)</f>
        <v>117</v>
      </c>
      <c r="G18" s="92">
        <f>VLOOKUP(A18,'Data Vlaue (Cr)'!C13:CB226,78,0)</f>
        <v>5.2699999999999997E-2</v>
      </c>
      <c r="H18" s="91">
        <f>VLOOKUP($A18,'Data Vlaue (Cr)'!$C:$FB,91)</f>
        <v>415</v>
      </c>
      <c r="I18" s="91">
        <f>VLOOKUP($A18,'Data Vlaue (Cr)'!$C:$FB,93)</f>
        <v>44</v>
      </c>
      <c r="J18" s="92">
        <f>VLOOKUP($A18,'Data Vlaue (Cr)'!$C:$FB,94)</f>
        <v>0.1193</v>
      </c>
      <c r="K18" s="91">
        <f>VLOOKUP($A18,'Data Vlaue (Cr)'!$C:$FB,95)</f>
        <v>250</v>
      </c>
      <c r="L18" s="91">
        <f>VLOOKUP($A18,'Data Vlaue (Cr)'!$C:$FB,97)</f>
        <v>46</v>
      </c>
      <c r="M18" s="92">
        <f>VLOOKUP($A18,'Data Vlaue (Cr)'!$C:$FB,98)</f>
        <v>0.22750000000000001</v>
      </c>
      <c r="N18" s="91">
        <f>VLOOKUP($A18,'Data Vlaue (Cr)'!$C:$FB,79)</f>
        <v>1396</v>
      </c>
      <c r="O18" s="92">
        <f>VLOOKUP($A18,'Data Vlaue (Cr)'!$C:$FB,82)</f>
        <v>-8.8099999999999998E-2</v>
      </c>
    </row>
    <row r="19" spans="1:15" x14ac:dyDescent="0.25">
      <c r="A19" s="97" t="str">
        <f>'Data Vlaue (Cr)'!C14</f>
        <v>APOLLOHOSP</v>
      </c>
      <c r="B19" s="142">
        <f>VLOOKUP(A19,'Data Vlaue (Cr)'!C14:CW227,99,0)</f>
        <v>4829</v>
      </c>
      <c r="C19" s="90">
        <f>VLOOKUP(A19,'Data Vlaue (Cr)'!C14:CY227,101,0)</f>
        <v>404</v>
      </c>
      <c r="D19" s="139">
        <f>VLOOKUP(A19,'Data Vlaue (Cr)'!C14:CZ227,102,0)</f>
        <v>9.1399999999999995E-2</v>
      </c>
      <c r="E19" s="91">
        <f>VLOOKUP($A19,'Data Vlaue (Cr)'!$C:$FB,75)</f>
        <v>2714</v>
      </c>
      <c r="F19" s="91">
        <f>VLOOKUP($A19,'Data Vlaue (Cr)'!$C:$FB,77)</f>
        <v>290</v>
      </c>
      <c r="G19" s="92">
        <f>VLOOKUP(A19,'Data Vlaue (Cr)'!C14:CB227,78,0)</f>
        <v>0.1196</v>
      </c>
      <c r="H19" s="91">
        <f>VLOOKUP($A19,'Data Vlaue (Cr)'!$C:$FB,91)</f>
        <v>1368</v>
      </c>
      <c r="I19" s="91">
        <f>VLOOKUP($A19,'Data Vlaue (Cr)'!$C:$FB,93)</f>
        <v>104</v>
      </c>
      <c r="J19" s="92">
        <f>VLOOKUP($A19,'Data Vlaue (Cr)'!$C:$FB,94)</f>
        <v>8.2299999999999998E-2</v>
      </c>
      <c r="K19" s="91">
        <f>VLOOKUP($A19,'Data Vlaue (Cr)'!$C:$FB,95)</f>
        <v>746</v>
      </c>
      <c r="L19" s="91">
        <f>VLOOKUP($A19,'Data Vlaue (Cr)'!$C:$FB,97)</f>
        <v>10</v>
      </c>
      <c r="M19" s="92">
        <f>VLOOKUP($A19,'Data Vlaue (Cr)'!$C:$FB,98)</f>
        <v>1.38E-2</v>
      </c>
      <c r="N19" s="91">
        <f>VLOOKUP($A19,'Data Vlaue (Cr)'!$C:$FB,79)</f>
        <v>1386</v>
      </c>
      <c r="O19" s="92">
        <f>VLOOKUP($A19,'Data Vlaue (Cr)'!$C:$FB,82)</f>
        <v>-0.2457</v>
      </c>
    </row>
    <row r="20" spans="1:15" x14ac:dyDescent="0.25">
      <c r="A20" s="97" t="str">
        <f>'Data Vlaue (Cr)'!C15</f>
        <v>ASHOKLEY</v>
      </c>
      <c r="B20" s="142">
        <f>VLOOKUP(A20,'Data Vlaue (Cr)'!C15:CW228,99,0)</f>
        <v>5476</v>
      </c>
      <c r="C20" s="90">
        <f>VLOOKUP(A20,'Data Vlaue (Cr)'!C15:CY228,101,0)</f>
        <v>-533</v>
      </c>
      <c r="D20" s="139">
        <f>VLOOKUP(A20,'Data Vlaue (Cr)'!C15:CZ228,102,0)</f>
        <v>-8.8700000000000001E-2</v>
      </c>
      <c r="E20" s="91">
        <f>VLOOKUP($A20,'Data Vlaue (Cr)'!$C:$FB,75)</f>
        <v>3430</v>
      </c>
      <c r="F20" s="91">
        <f>VLOOKUP($A20,'Data Vlaue (Cr)'!$C:$FB,77)</f>
        <v>-280</v>
      </c>
      <c r="G20" s="92">
        <f>VLOOKUP(A20,'Data Vlaue (Cr)'!C15:CB228,78,0)</f>
        <v>-7.5399999999999995E-2</v>
      </c>
      <c r="H20" s="91">
        <f>VLOOKUP($A20,'Data Vlaue (Cr)'!$C:$FB,91)</f>
        <v>1163</v>
      </c>
      <c r="I20" s="91">
        <f>VLOOKUP($A20,'Data Vlaue (Cr)'!$C:$FB,93)</f>
        <v>-329</v>
      </c>
      <c r="J20" s="92">
        <f>VLOOKUP($A20,'Data Vlaue (Cr)'!$C:$FB,94)</f>
        <v>-0.22059999999999999</v>
      </c>
      <c r="K20" s="91">
        <f>VLOOKUP($A20,'Data Vlaue (Cr)'!$C:$FB,95)</f>
        <v>883</v>
      </c>
      <c r="L20" s="91">
        <f>VLOOKUP($A20,'Data Vlaue (Cr)'!$C:$FB,97)</f>
        <v>76</v>
      </c>
      <c r="M20" s="92">
        <f>VLOOKUP($A20,'Data Vlaue (Cr)'!$C:$FB,98)</f>
        <v>9.4E-2</v>
      </c>
      <c r="N20" s="91">
        <f>VLOOKUP($A20,'Data Vlaue (Cr)'!$C:$FB,79)</f>
        <v>1084</v>
      </c>
      <c r="O20" s="92">
        <f>VLOOKUP($A20,'Data Vlaue (Cr)'!$C:$FB,82)</f>
        <v>-0.48459999999999998</v>
      </c>
    </row>
    <row r="21" spans="1:15" x14ac:dyDescent="0.25">
      <c r="A21" s="97" t="str">
        <f>'Data Vlaue (Cr)'!C16</f>
        <v>ASIANPAINT</v>
      </c>
      <c r="B21" s="142">
        <f>VLOOKUP(A21,'Data Vlaue (Cr)'!C16:CW229,99,0)</f>
        <v>5849</v>
      </c>
      <c r="C21" s="90">
        <f>VLOOKUP(A21,'Data Vlaue (Cr)'!C16:CY229,101,0)</f>
        <v>26</v>
      </c>
      <c r="D21" s="139">
        <f>VLOOKUP(A21,'Data Vlaue (Cr)'!C16:CZ229,102,0)</f>
        <v>4.4999999999999997E-3</v>
      </c>
      <c r="E21" s="91">
        <f>VLOOKUP($A21,'Data Vlaue (Cr)'!$C:$FB,75)</f>
        <v>3544</v>
      </c>
      <c r="F21" s="91">
        <f>VLOOKUP($A21,'Data Vlaue (Cr)'!$C:$FB,77)</f>
        <v>65</v>
      </c>
      <c r="G21" s="92">
        <f>VLOOKUP(A21,'Data Vlaue (Cr)'!C16:CB229,78,0)</f>
        <v>1.8800000000000001E-2</v>
      </c>
      <c r="H21" s="91">
        <f>VLOOKUP($A21,'Data Vlaue (Cr)'!$C:$FB,91)</f>
        <v>1351</v>
      </c>
      <c r="I21" s="91">
        <f>VLOOKUP($A21,'Data Vlaue (Cr)'!$C:$FB,93)</f>
        <v>-57</v>
      </c>
      <c r="J21" s="92">
        <f>VLOOKUP($A21,'Data Vlaue (Cr)'!$C:$FB,94)</f>
        <v>-4.0399999999999998E-2</v>
      </c>
      <c r="K21" s="91">
        <f>VLOOKUP($A21,'Data Vlaue (Cr)'!$C:$FB,95)</f>
        <v>954</v>
      </c>
      <c r="L21" s="91">
        <f>VLOOKUP($A21,'Data Vlaue (Cr)'!$C:$FB,97)</f>
        <v>18</v>
      </c>
      <c r="M21" s="92">
        <f>VLOOKUP($A21,'Data Vlaue (Cr)'!$C:$FB,98)</f>
        <v>1.9E-2</v>
      </c>
      <c r="N21" s="91">
        <f>VLOOKUP($A21,'Data Vlaue (Cr)'!$C:$FB,79)</f>
        <v>1287</v>
      </c>
      <c r="O21" s="92">
        <f>VLOOKUP($A21,'Data Vlaue (Cr)'!$C:$FB,82)</f>
        <v>-0.4753</v>
      </c>
    </row>
    <row r="22" spans="1:15" x14ac:dyDescent="0.25">
      <c r="A22" s="97" t="str">
        <f>'Data Vlaue (Cr)'!C17</f>
        <v>ASTRAL</v>
      </c>
      <c r="B22" s="142">
        <f>VLOOKUP(A22,'Data Vlaue (Cr)'!C17:CW230,99,0)</f>
        <v>1899</v>
      </c>
      <c r="C22" s="90">
        <f>VLOOKUP(A22,'Data Vlaue (Cr)'!C17:CY230,101,0)</f>
        <v>-77</v>
      </c>
      <c r="D22" s="139">
        <f>VLOOKUP(A22,'Data Vlaue (Cr)'!C17:CZ230,102,0)</f>
        <v>-3.8899999999999997E-2</v>
      </c>
      <c r="E22" s="91">
        <f>VLOOKUP($A22,'Data Vlaue (Cr)'!$C:$FB,75)</f>
        <v>1084</v>
      </c>
      <c r="F22" s="91">
        <f>VLOOKUP($A22,'Data Vlaue (Cr)'!$C:$FB,77)</f>
        <v>-87</v>
      </c>
      <c r="G22" s="92">
        <f>VLOOKUP(A22,'Data Vlaue (Cr)'!C17:CB230,78,0)</f>
        <v>-7.4099999999999999E-2</v>
      </c>
      <c r="H22" s="91">
        <f>VLOOKUP($A22,'Data Vlaue (Cr)'!$C:$FB,91)</f>
        <v>490</v>
      </c>
      <c r="I22" s="91">
        <f>VLOOKUP($A22,'Data Vlaue (Cr)'!$C:$FB,93)</f>
        <v>36</v>
      </c>
      <c r="J22" s="92">
        <f>VLOOKUP($A22,'Data Vlaue (Cr)'!$C:$FB,94)</f>
        <v>7.8399999999999997E-2</v>
      </c>
      <c r="K22" s="91">
        <f>VLOOKUP($A22,'Data Vlaue (Cr)'!$C:$FB,95)</f>
        <v>325</v>
      </c>
      <c r="L22" s="91">
        <f>VLOOKUP($A22,'Data Vlaue (Cr)'!$C:$FB,97)</f>
        <v>-26</v>
      </c>
      <c r="M22" s="92">
        <f>VLOOKUP($A22,'Data Vlaue (Cr)'!$C:$FB,98)</f>
        <v>-7.3400000000000007E-2</v>
      </c>
      <c r="N22" s="91">
        <f>VLOOKUP($A22,'Data Vlaue (Cr)'!$C:$FB,79)</f>
        <v>309</v>
      </c>
      <c r="O22" s="92">
        <f>VLOOKUP($A22,'Data Vlaue (Cr)'!$C:$FB,82)</f>
        <v>-0.54010000000000002</v>
      </c>
    </row>
    <row r="23" spans="1:15" x14ac:dyDescent="0.25">
      <c r="A23" s="97" t="str">
        <f>'Data Vlaue (Cr)'!C18</f>
        <v>AUBANK</v>
      </c>
      <c r="B23" s="142">
        <f>VLOOKUP(A23,'Data Vlaue (Cr)'!C18:CW231,99,0)</f>
        <v>4350</v>
      </c>
      <c r="C23" s="90">
        <f>VLOOKUP(A23,'Data Vlaue (Cr)'!C18:CY231,101,0)</f>
        <v>-246</v>
      </c>
      <c r="D23" s="139">
        <f>VLOOKUP(A23,'Data Vlaue (Cr)'!C18:CZ231,102,0)</f>
        <v>-5.3400000000000003E-2</v>
      </c>
      <c r="E23" s="91">
        <f>VLOOKUP($A23,'Data Vlaue (Cr)'!$C:$FB,75)</f>
        <v>2638</v>
      </c>
      <c r="F23" s="91">
        <f>VLOOKUP($A23,'Data Vlaue (Cr)'!$C:$FB,77)</f>
        <v>-26</v>
      </c>
      <c r="G23" s="92">
        <f>VLOOKUP(A23,'Data Vlaue (Cr)'!C18:CB231,78,0)</f>
        <v>-9.7999999999999997E-3</v>
      </c>
      <c r="H23" s="91">
        <f>VLOOKUP($A23,'Data Vlaue (Cr)'!$C:$FB,91)</f>
        <v>991</v>
      </c>
      <c r="I23" s="91">
        <f>VLOOKUP($A23,'Data Vlaue (Cr)'!$C:$FB,93)</f>
        <v>-121</v>
      </c>
      <c r="J23" s="92">
        <f>VLOOKUP($A23,'Data Vlaue (Cr)'!$C:$FB,94)</f>
        <v>-0.1091</v>
      </c>
      <c r="K23" s="91">
        <f>VLOOKUP($A23,'Data Vlaue (Cr)'!$C:$FB,95)</f>
        <v>721</v>
      </c>
      <c r="L23" s="91">
        <f>VLOOKUP($A23,'Data Vlaue (Cr)'!$C:$FB,97)</f>
        <v>-98</v>
      </c>
      <c r="M23" s="92">
        <f>VLOOKUP($A23,'Data Vlaue (Cr)'!$C:$FB,98)</f>
        <v>-0.1198</v>
      </c>
      <c r="N23" s="91">
        <f>VLOOKUP($A23,'Data Vlaue (Cr)'!$C:$FB,79)</f>
        <v>806</v>
      </c>
      <c r="O23" s="92">
        <f>VLOOKUP($A23,'Data Vlaue (Cr)'!$C:$FB,82)</f>
        <v>-0.55369999999999997</v>
      </c>
    </row>
    <row r="24" spans="1:15" x14ac:dyDescent="0.25">
      <c r="A24" s="97" t="str">
        <f>'Data Vlaue (Cr)'!C19</f>
        <v>AUROPHARMA</v>
      </c>
      <c r="B24" s="142">
        <f>VLOOKUP(A24,'Data Vlaue (Cr)'!C19:CW232,99,0)</f>
        <v>3648</v>
      </c>
      <c r="C24" s="90">
        <f>VLOOKUP(A24,'Data Vlaue (Cr)'!C19:CY232,101,0)</f>
        <v>-35</v>
      </c>
      <c r="D24" s="139">
        <f>VLOOKUP(A24,'Data Vlaue (Cr)'!C19:CZ232,102,0)</f>
        <v>-9.4000000000000004E-3</v>
      </c>
      <c r="E24" s="91">
        <f>VLOOKUP($A24,'Data Vlaue (Cr)'!$C:$FB,75)</f>
        <v>2587</v>
      </c>
      <c r="F24" s="91">
        <f>VLOOKUP($A24,'Data Vlaue (Cr)'!$C:$FB,77)</f>
        <v>33</v>
      </c>
      <c r="G24" s="92">
        <f>VLOOKUP(A24,'Data Vlaue (Cr)'!C19:CB232,78,0)</f>
        <v>1.2999999999999999E-2</v>
      </c>
      <c r="H24" s="91">
        <f>VLOOKUP($A24,'Data Vlaue (Cr)'!$C:$FB,91)</f>
        <v>703</v>
      </c>
      <c r="I24" s="91">
        <f>VLOOKUP($A24,'Data Vlaue (Cr)'!$C:$FB,93)</f>
        <v>-42</v>
      </c>
      <c r="J24" s="92">
        <f>VLOOKUP($A24,'Data Vlaue (Cr)'!$C:$FB,94)</f>
        <v>-5.7000000000000002E-2</v>
      </c>
      <c r="K24" s="91">
        <f>VLOOKUP($A24,'Data Vlaue (Cr)'!$C:$FB,95)</f>
        <v>358</v>
      </c>
      <c r="L24" s="91">
        <f>VLOOKUP($A24,'Data Vlaue (Cr)'!$C:$FB,97)</f>
        <v>-26</v>
      </c>
      <c r="M24" s="92">
        <f>VLOOKUP($A24,'Data Vlaue (Cr)'!$C:$FB,98)</f>
        <v>-6.6600000000000006E-2</v>
      </c>
      <c r="N24" s="91">
        <f>VLOOKUP($A24,'Data Vlaue (Cr)'!$C:$FB,79)</f>
        <v>872</v>
      </c>
      <c r="O24" s="92">
        <f>VLOOKUP($A24,'Data Vlaue (Cr)'!$C:$FB,82)</f>
        <v>-0.36399999999999999</v>
      </c>
    </row>
    <row r="25" spans="1:15" x14ac:dyDescent="0.25">
      <c r="A25" s="97" t="str">
        <f>'Data Vlaue (Cr)'!C20</f>
        <v>AXISBANK</v>
      </c>
      <c r="B25" s="142">
        <f>VLOOKUP(A25,'Data Vlaue (Cr)'!C20:CW233,99,0)</f>
        <v>17327</v>
      </c>
      <c r="C25" s="90">
        <f>VLOOKUP(A25,'Data Vlaue (Cr)'!C20:CY233,101,0)</f>
        <v>247</v>
      </c>
      <c r="D25" s="139">
        <f>VLOOKUP(A25,'Data Vlaue (Cr)'!C20:CZ233,102,0)</f>
        <v>1.44E-2</v>
      </c>
      <c r="E25" s="91">
        <f>VLOOKUP($A25,'Data Vlaue (Cr)'!$C:$FB,75)</f>
        <v>10688</v>
      </c>
      <c r="F25" s="91">
        <f>VLOOKUP($A25,'Data Vlaue (Cr)'!$C:$FB,77)</f>
        <v>206</v>
      </c>
      <c r="G25" s="92">
        <f>VLOOKUP(A25,'Data Vlaue (Cr)'!C20:CB233,78,0)</f>
        <v>1.9599999999999999E-2</v>
      </c>
      <c r="H25" s="91">
        <f>VLOOKUP($A25,'Data Vlaue (Cr)'!$C:$FB,91)</f>
        <v>4701</v>
      </c>
      <c r="I25" s="91">
        <f>VLOOKUP($A25,'Data Vlaue (Cr)'!$C:$FB,93)</f>
        <v>14</v>
      </c>
      <c r="J25" s="92">
        <f>VLOOKUP($A25,'Data Vlaue (Cr)'!$C:$FB,94)</f>
        <v>3.0000000000000001E-3</v>
      </c>
      <c r="K25" s="91">
        <f>VLOOKUP($A25,'Data Vlaue (Cr)'!$C:$FB,95)</f>
        <v>1938</v>
      </c>
      <c r="L25" s="91">
        <f>VLOOKUP($A25,'Data Vlaue (Cr)'!$C:$FB,97)</f>
        <v>27</v>
      </c>
      <c r="M25" s="92">
        <f>VLOOKUP($A25,'Data Vlaue (Cr)'!$C:$FB,98)</f>
        <v>1.4E-2</v>
      </c>
      <c r="N25" s="91">
        <f>VLOOKUP($A25,'Data Vlaue (Cr)'!$C:$FB,79)</f>
        <v>4150</v>
      </c>
      <c r="O25" s="92">
        <f>VLOOKUP($A25,'Data Vlaue (Cr)'!$C:$FB,82)</f>
        <v>-0.38350000000000001</v>
      </c>
    </row>
    <row r="26" spans="1:15" x14ac:dyDescent="0.25">
      <c r="A26" s="97" t="str">
        <f>'Data Vlaue (Cr)'!C21</f>
        <v>BAJAJ-AUTO</v>
      </c>
      <c r="B26" s="142">
        <f>VLOOKUP(A26,'Data Vlaue (Cr)'!C21:CW234,99,0)</f>
        <v>5680</v>
      </c>
      <c r="C26" s="90">
        <f>VLOOKUP(A26,'Data Vlaue (Cr)'!C21:CY234,101,0)</f>
        <v>-500</v>
      </c>
      <c r="D26" s="139">
        <f>VLOOKUP(A26,'Data Vlaue (Cr)'!C21:CZ234,102,0)</f>
        <v>-8.09E-2</v>
      </c>
      <c r="E26" s="91">
        <f>VLOOKUP($A26,'Data Vlaue (Cr)'!$C:$FB,75)</f>
        <v>3471</v>
      </c>
      <c r="F26" s="91">
        <f>VLOOKUP($A26,'Data Vlaue (Cr)'!$C:$FB,77)</f>
        <v>-237</v>
      </c>
      <c r="G26" s="92">
        <f>VLOOKUP(A26,'Data Vlaue (Cr)'!C21:CB234,78,0)</f>
        <v>-6.3899999999999998E-2</v>
      </c>
      <c r="H26" s="91">
        <f>VLOOKUP($A26,'Data Vlaue (Cr)'!$C:$FB,91)</f>
        <v>1383</v>
      </c>
      <c r="I26" s="91">
        <f>VLOOKUP($A26,'Data Vlaue (Cr)'!$C:$FB,93)</f>
        <v>-214</v>
      </c>
      <c r="J26" s="92">
        <f>VLOOKUP($A26,'Data Vlaue (Cr)'!$C:$FB,94)</f>
        <v>-0.13420000000000001</v>
      </c>
      <c r="K26" s="91">
        <f>VLOOKUP($A26,'Data Vlaue (Cr)'!$C:$FB,95)</f>
        <v>825</v>
      </c>
      <c r="L26" s="91">
        <f>VLOOKUP($A26,'Data Vlaue (Cr)'!$C:$FB,97)</f>
        <v>-48</v>
      </c>
      <c r="M26" s="92">
        <f>VLOOKUP($A26,'Data Vlaue (Cr)'!$C:$FB,98)</f>
        <v>-5.5500000000000001E-2</v>
      </c>
      <c r="N26" s="91">
        <f>VLOOKUP($A26,'Data Vlaue (Cr)'!$C:$FB,79)</f>
        <v>964</v>
      </c>
      <c r="O26" s="92">
        <f>VLOOKUP($A26,'Data Vlaue (Cr)'!$C:$FB,82)</f>
        <v>-0.55089999999999995</v>
      </c>
    </row>
    <row r="27" spans="1:15" x14ac:dyDescent="0.25">
      <c r="A27" s="97" t="str">
        <f>'Data Vlaue (Cr)'!C22</f>
        <v>BAJAJFINSV</v>
      </c>
      <c r="B27" s="142">
        <f>VLOOKUP(A27,'Data Vlaue (Cr)'!C22:CW235,99,0)</f>
        <v>4999</v>
      </c>
      <c r="C27" s="90">
        <f>VLOOKUP(A27,'Data Vlaue (Cr)'!C22:CY235,101,0)</f>
        <v>-97</v>
      </c>
      <c r="D27" s="139">
        <f>VLOOKUP(A27,'Data Vlaue (Cr)'!C22:CZ235,102,0)</f>
        <v>-1.9E-2</v>
      </c>
      <c r="E27" s="91">
        <f>VLOOKUP($A27,'Data Vlaue (Cr)'!$C:$FB,75)</f>
        <v>3207</v>
      </c>
      <c r="F27" s="91">
        <f>VLOOKUP($A27,'Data Vlaue (Cr)'!$C:$FB,77)</f>
        <v>-71</v>
      </c>
      <c r="G27" s="92">
        <f>VLOOKUP(A27,'Data Vlaue (Cr)'!C22:CB235,78,0)</f>
        <v>-2.18E-2</v>
      </c>
      <c r="H27" s="91">
        <f>VLOOKUP($A27,'Data Vlaue (Cr)'!$C:$FB,91)</f>
        <v>1130</v>
      </c>
      <c r="I27" s="91">
        <f>VLOOKUP($A27,'Data Vlaue (Cr)'!$C:$FB,93)</f>
        <v>-43</v>
      </c>
      <c r="J27" s="92">
        <f>VLOOKUP($A27,'Data Vlaue (Cr)'!$C:$FB,94)</f>
        <v>-3.6400000000000002E-2</v>
      </c>
      <c r="K27" s="91">
        <f>VLOOKUP($A27,'Data Vlaue (Cr)'!$C:$FB,95)</f>
        <v>662</v>
      </c>
      <c r="L27" s="91">
        <f>VLOOKUP($A27,'Data Vlaue (Cr)'!$C:$FB,97)</f>
        <v>18</v>
      </c>
      <c r="M27" s="92">
        <f>VLOOKUP($A27,'Data Vlaue (Cr)'!$C:$FB,98)</f>
        <v>2.7300000000000001E-2</v>
      </c>
      <c r="N27" s="91">
        <f>VLOOKUP($A27,'Data Vlaue (Cr)'!$C:$FB,79)</f>
        <v>1659</v>
      </c>
      <c r="O27" s="92">
        <f>VLOOKUP($A27,'Data Vlaue (Cr)'!$C:$FB,82)</f>
        <v>-0.33729999999999999</v>
      </c>
    </row>
    <row r="28" spans="1:15" x14ac:dyDescent="0.25">
      <c r="A28" s="97" t="str">
        <f>'Data Vlaue (Cr)'!C23</f>
        <v>BAJAJHLDNG</v>
      </c>
      <c r="B28" s="142">
        <f>VLOOKUP(A28,'Data Vlaue (Cr)'!C23:CW236,99,0)</f>
        <v>532</v>
      </c>
      <c r="C28" s="90">
        <f>VLOOKUP(A28,'Data Vlaue (Cr)'!C23:CY236,101,0)</f>
        <v>-70</v>
      </c>
      <c r="D28" s="139">
        <f>VLOOKUP(A28,'Data Vlaue (Cr)'!C23:CZ236,102,0)</f>
        <v>-0.1163</v>
      </c>
      <c r="E28" s="91">
        <f>VLOOKUP($A28,'Data Vlaue (Cr)'!$C:$FB,75)</f>
        <v>250</v>
      </c>
      <c r="F28" s="91">
        <f>VLOOKUP($A28,'Data Vlaue (Cr)'!$C:$FB,77)</f>
        <v>-7</v>
      </c>
      <c r="G28" s="92">
        <f>VLOOKUP(A28,'Data Vlaue (Cr)'!C23:CB236,78,0)</f>
        <v>-2.8500000000000001E-2</v>
      </c>
      <c r="H28" s="91">
        <f>VLOOKUP($A28,'Data Vlaue (Cr)'!$C:$FB,91)</f>
        <v>187</v>
      </c>
      <c r="I28" s="91">
        <f>VLOOKUP($A28,'Data Vlaue (Cr)'!$C:$FB,93)</f>
        <v>-71</v>
      </c>
      <c r="J28" s="92">
        <f>VLOOKUP($A28,'Data Vlaue (Cr)'!$C:$FB,94)</f>
        <v>-0.2737</v>
      </c>
      <c r="K28" s="91">
        <f>VLOOKUP($A28,'Data Vlaue (Cr)'!$C:$FB,95)</f>
        <v>94</v>
      </c>
      <c r="L28" s="91">
        <f>VLOOKUP($A28,'Data Vlaue (Cr)'!$C:$FB,97)</f>
        <v>8</v>
      </c>
      <c r="M28" s="92">
        <f>VLOOKUP($A28,'Data Vlaue (Cr)'!$C:$FB,98)</f>
        <v>9.06E-2</v>
      </c>
      <c r="N28" s="91">
        <f>VLOOKUP($A28,'Data Vlaue (Cr)'!$C:$FB,79)</f>
        <v>150</v>
      </c>
      <c r="O28" s="92">
        <f>VLOOKUP($A28,'Data Vlaue (Cr)'!$C:$FB,82)</f>
        <v>-0.31850000000000001</v>
      </c>
    </row>
    <row r="29" spans="1:15" x14ac:dyDescent="0.25">
      <c r="A29" s="97" t="str">
        <f>'Data Vlaue (Cr)'!C24</f>
        <v>BAJFINANCE</v>
      </c>
      <c r="B29" s="142">
        <f>VLOOKUP(A29,'Data Vlaue (Cr)'!C24:CW237,99,0)</f>
        <v>13616</v>
      </c>
      <c r="C29" s="90">
        <f>VLOOKUP(A29,'Data Vlaue (Cr)'!C24:CY237,101,0)</f>
        <v>-144</v>
      </c>
      <c r="D29" s="139">
        <f>VLOOKUP(A29,'Data Vlaue (Cr)'!C24:CZ237,102,0)</f>
        <v>-1.0500000000000001E-2</v>
      </c>
      <c r="E29" s="91">
        <f>VLOOKUP($A29,'Data Vlaue (Cr)'!$C:$FB,75)</f>
        <v>8924</v>
      </c>
      <c r="F29" s="91">
        <f>VLOOKUP($A29,'Data Vlaue (Cr)'!$C:$FB,77)</f>
        <v>6</v>
      </c>
      <c r="G29" s="92">
        <f>VLOOKUP(A29,'Data Vlaue (Cr)'!C24:CB237,78,0)</f>
        <v>6.9999999999999999E-4</v>
      </c>
      <c r="H29" s="91">
        <f>VLOOKUP($A29,'Data Vlaue (Cr)'!$C:$FB,91)</f>
        <v>2905</v>
      </c>
      <c r="I29" s="91">
        <f>VLOOKUP($A29,'Data Vlaue (Cr)'!$C:$FB,93)</f>
        <v>-125</v>
      </c>
      <c r="J29" s="92">
        <f>VLOOKUP($A29,'Data Vlaue (Cr)'!$C:$FB,94)</f>
        <v>-4.1099999999999998E-2</v>
      </c>
      <c r="K29" s="91">
        <f>VLOOKUP($A29,'Data Vlaue (Cr)'!$C:$FB,95)</f>
        <v>1787</v>
      </c>
      <c r="L29" s="91">
        <f>VLOOKUP($A29,'Data Vlaue (Cr)'!$C:$FB,97)</f>
        <v>-26</v>
      </c>
      <c r="M29" s="92">
        <f>VLOOKUP($A29,'Data Vlaue (Cr)'!$C:$FB,98)</f>
        <v>-1.44E-2</v>
      </c>
      <c r="N29" s="91">
        <f>VLOOKUP($A29,'Data Vlaue (Cr)'!$C:$FB,79)</f>
        <v>2883</v>
      </c>
      <c r="O29" s="92">
        <f>VLOOKUP($A29,'Data Vlaue (Cr)'!$C:$FB,82)</f>
        <v>-0.48120000000000002</v>
      </c>
    </row>
    <row r="30" spans="1:15" x14ac:dyDescent="0.25">
      <c r="A30" s="97" t="str">
        <f>'Data Vlaue (Cr)'!C25</f>
        <v>BANDHANBNK</v>
      </c>
      <c r="B30" s="142">
        <f>VLOOKUP(A30,'Data Vlaue (Cr)'!C25:CW238,99,0)</f>
        <v>2887</v>
      </c>
      <c r="C30" s="90">
        <f>VLOOKUP(A30,'Data Vlaue (Cr)'!C25:CY238,101,0)</f>
        <v>-140</v>
      </c>
      <c r="D30" s="139">
        <f>VLOOKUP(A30,'Data Vlaue (Cr)'!C25:CZ238,102,0)</f>
        <v>-4.6100000000000002E-2</v>
      </c>
      <c r="E30" s="91">
        <f>VLOOKUP($A30,'Data Vlaue (Cr)'!$C:$FB,75)</f>
        <v>1891</v>
      </c>
      <c r="F30" s="91">
        <f>VLOOKUP($A30,'Data Vlaue (Cr)'!$C:$FB,77)</f>
        <v>-98</v>
      </c>
      <c r="G30" s="92">
        <f>VLOOKUP(A30,'Data Vlaue (Cr)'!C25:CB238,78,0)</f>
        <v>-4.9299999999999997E-2</v>
      </c>
      <c r="H30" s="91">
        <f>VLOOKUP($A30,'Data Vlaue (Cr)'!$C:$FB,91)</f>
        <v>547</v>
      </c>
      <c r="I30" s="91">
        <f>VLOOKUP($A30,'Data Vlaue (Cr)'!$C:$FB,93)</f>
        <v>-30</v>
      </c>
      <c r="J30" s="92">
        <f>VLOOKUP($A30,'Data Vlaue (Cr)'!$C:$FB,94)</f>
        <v>-5.1400000000000001E-2</v>
      </c>
      <c r="K30" s="91">
        <f>VLOOKUP($A30,'Data Vlaue (Cr)'!$C:$FB,95)</f>
        <v>450</v>
      </c>
      <c r="L30" s="91">
        <f>VLOOKUP($A30,'Data Vlaue (Cr)'!$C:$FB,97)</f>
        <v>-12</v>
      </c>
      <c r="M30" s="92">
        <f>VLOOKUP($A30,'Data Vlaue (Cr)'!$C:$FB,98)</f>
        <v>-2.5700000000000001E-2</v>
      </c>
      <c r="N30" s="91">
        <f>VLOOKUP($A30,'Data Vlaue (Cr)'!$C:$FB,79)</f>
        <v>909</v>
      </c>
      <c r="O30" s="92">
        <f>VLOOKUP($A30,'Data Vlaue (Cr)'!$C:$FB,82)</f>
        <v>-0.1507</v>
      </c>
    </row>
    <row r="31" spans="1:15" x14ac:dyDescent="0.25">
      <c r="A31" s="97" t="str">
        <f>'Data Vlaue (Cr)'!C26</f>
        <v>BANKBARODA</v>
      </c>
      <c r="B31" s="142">
        <f>VLOOKUP(A31,'Data Vlaue (Cr)'!C26:CW239,99,0)</f>
        <v>5467</v>
      </c>
      <c r="C31" s="90">
        <f>VLOOKUP(A31,'Data Vlaue (Cr)'!C26:CY239,101,0)</f>
        <v>-272</v>
      </c>
      <c r="D31" s="139">
        <f>VLOOKUP(A31,'Data Vlaue (Cr)'!C26:CZ239,102,0)</f>
        <v>-4.7399999999999998E-2</v>
      </c>
      <c r="E31" s="91">
        <f>VLOOKUP($A31,'Data Vlaue (Cr)'!$C:$FB,75)</f>
        <v>2423</v>
      </c>
      <c r="F31" s="91">
        <f>VLOOKUP($A31,'Data Vlaue (Cr)'!$C:$FB,77)</f>
        <v>19</v>
      </c>
      <c r="G31" s="92">
        <f>VLOOKUP(A31,'Data Vlaue (Cr)'!C26:CB239,78,0)</f>
        <v>8.0999999999999996E-3</v>
      </c>
      <c r="H31" s="91">
        <f>VLOOKUP($A31,'Data Vlaue (Cr)'!$C:$FB,91)</f>
        <v>1750</v>
      </c>
      <c r="I31" s="91">
        <f>VLOOKUP($A31,'Data Vlaue (Cr)'!$C:$FB,93)</f>
        <v>-256</v>
      </c>
      <c r="J31" s="92">
        <f>VLOOKUP($A31,'Data Vlaue (Cr)'!$C:$FB,94)</f>
        <v>-0.12770000000000001</v>
      </c>
      <c r="K31" s="91">
        <f>VLOOKUP($A31,'Data Vlaue (Cr)'!$C:$FB,95)</f>
        <v>1293</v>
      </c>
      <c r="L31" s="91">
        <f>VLOOKUP($A31,'Data Vlaue (Cr)'!$C:$FB,97)</f>
        <v>-35</v>
      </c>
      <c r="M31" s="92">
        <f>VLOOKUP($A31,'Data Vlaue (Cr)'!$C:$FB,98)</f>
        <v>-2.64E-2</v>
      </c>
      <c r="N31" s="91">
        <f>VLOOKUP($A31,'Data Vlaue (Cr)'!$C:$FB,79)</f>
        <v>905</v>
      </c>
      <c r="O31" s="92">
        <f>VLOOKUP($A31,'Data Vlaue (Cr)'!$C:$FB,82)</f>
        <v>-0.43480000000000002</v>
      </c>
    </row>
    <row r="32" spans="1:15" x14ac:dyDescent="0.25">
      <c r="A32" s="97" t="str">
        <f>'Data Vlaue (Cr)'!C27</f>
        <v>BANKINDIA</v>
      </c>
      <c r="B32" s="142">
        <f>VLOOKUP(A32,'Data Vlaue (Cr)'!C27:CW240,99,0)</f>
        <v>2214</v>
      </c>
      <c r="C32" s="90">
        <f>VLOOKUP(A32,'Data Vlaue (Cr)'!C27:CY240,101,0)</f>
        <v>-57</v>
      </c>
      <c r="D32" s="139">
        <f>VLOOKUP(A32,'Data Vlaue (Cr)'!C27:CZ240,102,0)</f>
        <v>-2.5100000000000001E-2</v>
      </c>
      <c r="E32" s="91">
        <f>VLOOKUP($A32,'Data Vlaue (Cr)'!$C:$FB,75)</f>
        <v>932</v>
      </c>
      <c r="F32" s="91">
        <f>VLOOKUP($A32,'Data Vlaue (Cr)'!$C:$FB,77)</f>
        <v>19</v>
      </c>
      <c r="G32" s="92">
        <f>VLOOKUP(A32,'Data Vlaue (Cr)'!C27:CB240,78,0)</f>
        <v>2.1000000000000001E-2</v>
      </c>
      <c r="H32" s="91">
        <f>VLOOKUP($A32,'Data Vlaue (Cr)'!$C:$FB,91)</f>
        <v>710</v>
      </c>
      <c r="I32" s="91">
        <f>VLOOKUP($A32,'Data Vlaue (Cr)'!$C:$FB,93)</f>
        <v>-59</v>
      </c>
      <c r="J32" s="92">
        <f>VLOOKUP($A32,'Data Vlaue (Cr)'!$C:$FB,94)</f>
        <v>-7.6600000000000001E-2</v>
      </c>
      <c r="K32" s="91">
        <f>VLOOKUP($A32,'Data Vlaue (Cr)'!$C:$FB,95)</f>
        <v>572</v>
      </c>
      <c r="L32" s="91">
        <f>VLOOKUP($A32,'Data Vlaue (Cr)'!$C:$FB,97)</f>
        <v>-17</v>
      </c>
      <c r="M32" s="92">
        <f>VLOOKUP($A32,'Data Vlaue (Cr)'!$C:$FB,98)</f>
        <v>-2.93E-2</v>
      </c>
      <c r="N32" s="91">
        <f>VLOOKUP($A32,'Data Vlaue (Cr)'!$C:$FB,79)</f>
        <v>345</v>
      </c>
      <c r="O32" s="92">
        <f>VLOOKUP($A32,'Data Vlaue (Cr)'!$C:$FB,82)</f>
        <v>-0.47510000000000002</v>
      </c>
    </row>
    <row r="33" spans="1:15" x14ac:dyDescent="0.25">
      <c r="A33" s="97" t="str">
        <f>'Data Vlaue (Cr)'!C28</f>
        <v>BANKNIFTY</v>
      </c>
      <c r="B33" s="142">
        <f>VLOOKUP(A33,'Data Vlaue (Cr)'!C28:CW241,99,0)</f>
        <v>242463</v>
      </c>
      <c r="C33" s="90">
        <f>VLOOKUP(A33,'Data Vlaue (Cr)'!C28:CY241,101,0)</f>
        <v>9507</v>
      </c>
      <c r="D33" s="139">
        <f>VLOOKUP(A33,'Data Vlaue (Cr)'!C28:CZ241,102,0)</f>
        <v>4.0800000000000003E-2</v>
      </c>
      <c r="E33" s="91">
        <f>VLOOKUP($A33,'Data Vlaue (Cr)'!$C:$FB,75)</f>
        <v>9363</v>
      </c>
      <c r="F33" s="91">
        <f>VLOOKUP($A33,'Data Vlaue (Cr)'!$C:$FB,77)</f>
        <v>-92</v>
      </c>
      <c r="G33" s="92">
        <f>VLOOKUP(A33,'Data Vlaue (Cr)'!C28:CB241,78,0)</f>
        <v>-9.7000000000000003E-3</v>
      </c>
      <c r="H33" s="91">
        <f>VLOOKUP($A33,'Data Vlaue (Cr)'!$C:$FB,91)</f>
        <v>128779</v>
      </c>
      <c r="I33" s="91">
        <f>VLOOKUP($A33,'Data Vlaue (Cr)'!$C:$FB,93)</f>
        <v>182</v>
      </c>
      <c r="J33" s="92">
        <f>VLOOKUP($A33,'Data Vlaue (Cr)'!$C:$FB,94)</f>
        <v>1.4E-3</v>
      </c>
      <c r="K33" s="91">
        <f>VLOOKUP($A33,'Data Vlaue (Cr)'!$C:$FB,95)</f>
        <v>104321</v>
      </c>
      <c r="L33" s="91">
        <f>VLOOKUP($A33,'Data Vlaue (Cr)'!$C:$FB,97)</f>
        <v>9417</v>
      </c>
      <c r="M33" s="92">
        <f>VLOOKUP($A33,'Data Vlaue (Cr)'!$C:$FB,98)</f>
        <v>9.9199999999999997E-2</v>
      </c>
      <c r="N33" s="91">
        <f>VLOOKUP($A33,'Data Vlaue (Cr)'!$C:$FB,79)</f>
        <v>5489</v>
      </c>
      <c r="O33" s="92">
        <f>VLOOKUP($A33,'Data Vlaue (Cr)'!$C:$FB,82)</f>
        <v>-0.17899999999999999</v>
      </c>
    </row>
    <row r="34" spans="1:15" x14ac:dyDescent="0.25">
      <c r="A34" s="97" t="str">
        <f>'Data Vlaue (Cr)'!C29</f>
        <v>BDL</v>
      </c>
      <c r="B34" s="142">
        <f>VLOOKUP(A34,'Data Vlaue (Cr)'!C29:CW242,99,0)</f>
        <v>1877</v>
      </c>
      <c r="C34" s="90">
        <f>VLOOKUP(A34,'Data Vlaue (Cr)'!C29:CY242,101,0)</f>
        <v>-64</v>
      </c>
      <c r="D34" s="139">
        <f>VLOOKUP(A34,'Data Vlaue (Cr)'!C29:CZ242,102,0)</f>
        <v>-3.2899999999999999E-2</v>
      </c>
      <c r="E34" s="91">
        <f>VLOOKUP($A34,'Data Vlaue (Cr)'!$C:$FB,75)</f>
        <v>747</v>
      </c>
      <c r="F34" s="91">
        <f>VLOOKUP($A34,'Data Vlaue (Cr)'!$C:$FB,77)</f>
        <v>-45</v>
      </c>
      <c r="G34" s="92">
        <f>VLOOKUP(A34,'Data Vlaue (Cr)'!C29:CB242,78,0)</f>
        <v>-5.6399999999999999E-2</v>
      </c>
      <c r="H34" s="91">
        <f>VLOOKUP($A34,'Data Vlaue (Cr)'!$C:$FB,91)</f>
        <v>737</v>
      </c>
      <c r="I34" s="91">
        <f>VLOOKUP($A34,'Data Vlaue (Cr)'!$C:$FB,93)</f>
        <v>-13</v>
      </c>
      <c r="J34" s="92">
        <f>VLOOKUP($A34,'Data Vlaue (Cr)'!$C:$FB,94)</f>
        <v>-1.6799999999999999E-2</v>
      </c>
      <c r="K34" s="91">
        <f>VLOOKUP($A34,'Data Vlaue (Cr)'!$C:$FB,95)</f>
        <v>393</v>
      </c>
      <c r="L34" s="91">
        <f>VLOOKUP($A34,'Data Vlaue (Cr)'!$C:$FB,97)</f>
        <v>-7</v>
      </c>
      <c r="M34" s="92">
        <f>VLOOKUP($A34,'Data Vlaue (Cr)'!$C:$FB,98)</f>
        <v>-1.6400000000000001E-2</v>
      </c>
      <c r="N34" s="91">
        <f>VLOOKUP($A34,'Data Vlaue (Cr)'!$C:$FB,79)</f>
        <v>425</v>
      </c>
      <c r="O34" s="92">
        <f>VLOOKUP($A34,'Data Vlaue (Cr)'!$C:$FB,82)</f>
        <v>-0.24560000000000001</v>
      </c>
    </row>
    <row r="35" spans="1:15" x14ac:dyDescent="0.25">
      <c r="A35" s="97" t="str">
        <f>'Data Vlaue (Cr)'!C30</f>
        <v>BEL</v>
      </c>
      <c r="B35" s="142">
        <f>VLOOKUP(A35,'Data Vlaue (Cr)'!C30:CW243,99,0)</f>
        <v>8980</v>
      </c>
      <c r="C35" s="90">
        <f>VLOOKUP(A35,'Data Vlaue (Cr)'!C30:CY243,101,0)</f>
        <v>-334</v>
      </c>
      <c r="D35" s="139">
        <f>VLOOKUP(A35,'Data Vlaue (Cr)'!C30:CZ243,102,0)</f>
        <v>-3.5799999999999998E-2</v>
      </c>
      <c r="E35" s="91">
        <f>VLOOKUP($A35,'Data Vlaue (Cr)'!$C:$FB,75)</f>
        <v>5110</v>
      </c>
      <c r="F35" s="91">
        <f>VLOOKUP($A35,'Data Vlaue (Cr)'!$C:$FB,77)</f>
        <v>-176</v>
      </c>
      <c r="G35" s="92">
        <f>VLOOKUP(A35,'Data Vlaue (Cr)'!C30:CB243,78,0)</f>
        <v>-3.3399999999999999E-2</v>
      </c>
      <c r="H35" s="91">
        <f>VLOOKUP($A35,'Data Vlaue (Cr)'!$C:$FB,91)</f>
        <v>2388</v>
      </c>
      <c r="I35" s="91">
        <f>VLOOKUP($A35,'Data Vlaue (Cr)'!$C:$FB,93)</f>
        <v>-176</v>
      </c>
      <c r="J35" s="92">
        <f>VLOOKUP($A35,'Data Vlaue (Cr)'!$C:$FB,94)</f>
        <v>-6.88E-2</v>
      </c>
      <c r="K35" s="91">
        <f>VLOOKUP($A35,'Data Vlaue (Cr)'!$C:$FB,95)</f>
        <v>1481</v>
      </c>
      <c r="L35" s="91">
        <f>VLOOKUP($A35,'Data Vlaue (Cr)'!$C:$FB,97)</f>
        <v>19</v>
      </c>
      <c r="M35" s="92">
        <f>VLOOKUP($A35,'Data Vlaue (Cr)'!$C:$FB,98)</f>
        <v>1.29E-2</v>
      </c>
      <c r="N35" s="91">
        <f>VLOOKUP($A35,'Data Vlaue (Cr)'!$C:$FB,79)</f>
        <v>2438</v>
      </c>
      <c r="O35" s="92">
        <f>VLOOKUP($A35,'Data Vlaue (Cr)'!$C:$FB,82)</f>
        <v>-0.35160000000000002</v>
      </c>
    </row>
    <row r="36" spans="1:15" x14ac:dyDescent="0.25">
      <c r="A36" s="97" t="str">
        <f>'Data Vlaue (Cr)'!C31</f>
        <v>BHARATFORG</v>
      </c>
      <c r="B36" s="142">
        <f>VLOOKUP(A36,'Data Vlaue (Cr)'!C31:CW244,99,0)</f>
        <v>1993</v>
      </c>
      <c r="C36" s="90">
        <f>VLOOKUP(A36,'Data Vlaue (Cr)'!C31:CY244,101,0)</f>
        <v>-114</v>
      </c>
      <c r="D36" s="139">
        <f>VLOOKUP(A36,'Data Vlaue (Cr)'!C31:CZ244,102,0)</f>
        <v>-5.3999999999999999E-2</v>
      </c>
      <c r="E36" s="91">
        <f>VLOOKUP($A36,'Data Vlaue (Cr)'!$C:$FB,75)</f>
        <v>1076</v>
      </c>
      <c r="F36" s="91">
        <f>VLOOKUP($A36,'Data Vlaue (Cr)'!$C:$FB,77)</f>
        <v>-19</v>
      </c>
      <c r="G36" s="92">
        <f>VLOOKUP(A36,'Data Vlaue (Cr)'!C31:CB244,78,0)</f>
        <v>-1.7100000000000001E-2</v>
      </c>
      <c r="H36" s="91">
        <f>VLOOKUP($A36,'Data Vlaue (Cr)'!$C:$FB,91)</f>
        <v>598</v>
      </c>
      <c r="I36" s="91">
        <f>VLOOKUP($A36,'Data Vlaue (Cr)'!$C:$FB,93)</f>
        <v>-56</v>
      </c>
      <c r="J36" s="92">
        <f>VLOOKUP($A36,'Data Vlaue (Cr)'!$C:$FB,94)</f>
        <v>-8.6300000000000002E-2</v>
      </c>
      <c r="K36" s="91">
        <f>VLOOKUP($A36,'Data Vlaue (Cr)'!$C:$FB,95)</f>
        <v>320</v>
      </c>
      <c r="L36" s="91">
        <f>VLOOKUP($A36,'Data Vlaue (Cr)'!$C:$FB,97)</f>
        <v>-39</v>
      </c>
      <c r="M36" s="92">
        <f>VLOOKUP($A36,'Data Vlaue (Cr)'!$C:$FB,98)</f>
        <v>-0.1079</v>
      </c>
      <c r="N36" s="91">
        <f>VLOOKUP($A36,'Data Vlaue (Cr)'!$C:$FB,79)</f>
        <v>457</v>
      </c>
      <c r="O36" s="92">
        <f>VLOOKUP($A36,'Data Vlaue (Cr)'!$C:$FB,82)</f>
        <v>-0.4622</v>
      </c>
    </row>
    <row r="37" spans="1:15" x14ac:dyDescent="0.25">
      <c r="A37" s="97" t="str">
        <f>'Data Vlaue (Cr)'!C32</f>
        <v>BHARTIARTL</v>
      </c>
      <c r="B37" s="142">
        <f>VLOOKUP(A37,'Data Vlaue (Cr)'!C32:CW245,99,0)</f>
        <v>15330</v>
      </c>
      <c r="C37" s="90">
        <f>VLOOKUP(A37,'Data Vlaue (Cr)'!C32:CY245,101,0)</f>
        <v>-144</v>
      </c>
      <c r="D37" s="139">
        <f>VLOOKUP(A37,'Data Vlaue (Cr)'!C32:CZ245,102,0)</f>
        <v>-9.2999999999999992E-3</v>
      </c>
      <c r="E37" s="91">
        <f>VLOOKUP($A37,'Data Vlaue (Cr)'!$C:$FB,75)</f>
        <v>10774</v>
      </c>
      <c r="F37" s="91">
        <f>VLOOKUP($A37,'Data Vlaue (Cr)'!$C:$FB,77)</f>
        <v>134</v>
      </c>
      <c r="G37" s="92">
        <f>VLOOKUP(A37,'Data Vlaue (Cr)'!C32:CB245,78,0)</f>
        <v>1.26E-2</v>
      </c>
      <c r="H37" s="91">
        <f>VLOOKUP($A37,'Data Vlaue (Cr)'!$C:$FB,91)</f>
        <v>3104</v>
      </c>
      <c r="I37" s="91">
        <f>VLOOKUP($A37,'Data Vlaue (Cr)'!$C:$FB,93)</f>
        <v>-228</v>
      </c>
      <c r="J37" s="92">
        <f>VLOOKUP($A37,'Data Vlaue (Cr)'!$C:$FB,94)</f>
        <v>-6.8500000000000005E-2</v>
      </c>
      <c r="K37" s="91">
        <f>VLOOKUP($A37,'Data Vlaue (Cr)'!$C:$FB,95)</f>
        <v>1451</v>
      </c>
      <c r="L37" s="91">
        <f>VLOOKUP($A37,'Data Vlaue (Cr)'!$C:$FB,97)</f>
        <v>-51</v>
      </c>
      <c r="M37" s="92">
        <f>VLOOKUP($A37,'Data Vlaue (Cr)'!$C:$FB,98)</f>
        <v>-3.3700000000000001E-2</v>
      </c>
      <c r="N37" s="91">
        <f>VLOOKUP($A37,'Data Vlaue (Cr)'!$C:$FB,79)</f>
        <v>4068</v>
      </c>
      <c r="O37" s="92">
        <f>VLOOKUP($A37,'Data Vlaue (Cr)'!$C:$FB,82)</f>
        <v>-0.44740000000000002</v>
      </c>
    </row>
    <row r="38" spans="1:15" x14ac:dyDescent="0.25">
      <c r="A38" s="97" t="str">
        <f>'Data Vlaue (Cr)'!C33</f>
        <v>BHEL</v>
      </c>
      <c r="B38" s="142">
        <f>VLOOKUP(A38,'Data Vlaue (Cr)'!C33:CW246,99,0)</f>
        <v>6043</v>
      </c>
      <c r="C38" s="90">
        <f>VLOOKUP(A38,'Data Vlaue (Cr)'!C33:CY246,101,0)</f>
        <v>-109</v>
      </c>
      <c r="D38" s="139">
        <f>VLOOKUP(A38,'Data Vlaue (Cr)'!C33:CZ246,102,0)</f>
        <v>-1.77E-2</v>
      </c>
      <c r="E38" s="91">
        <f>VLOOKUP($A38,'Data Vlaue (Cr)'!$C:$FB,75)</f>
        <v>2185</v>
      </c>
      <c r="F38" s="91">
        <f>VLOOKUP($A38,'Data Vlaue (Cr)'!$C:$FB,77)</f>
        <v>-1</v>
      </c>
      <c r="G38" s="92">
        <f>VLOOKUP(A38,'Data Vlaue (Cr)'!C33:CB246,78,0)</f>
        <v>-4.0000000000000002E-4</v>
      </c>
      <c r="H38" s="91">
        <f>VLOOKUP($A38,'Data Vlaue (Cr)'!$C:$FB,91)</f>
        <v>2764</v>
      </c>
      <c r="I38" s="91">
        <f>VLOOKUP($A38,'Data Vlaue (Cr)'!$C:$FB,93)</f>
        <v>-47</v>
      </c>
      <c r="J38" s="92">
        <f>VLOOKUP($A38,'Data Vlaue (Cr)'!$C:$FB,94)</f>
        <v>-1.6899999999999998E-2</v>
      </c>
      <c r="K38" s="91">
        <f>VLOOKUP($A38,'Data Vlaue (Cr)'!$C:$FB,95)</f>
        <v>1094</v>
      </c>
      <c r="L38" s="91">
        <f>VLOOKUP($A38,'Data Vlaue (Cr)'!$C:$FB,97)</f>
        <v>-61</v>
      </c>
      <c r="M38" s="92">
        <f>VLOOKUP($A38,'Data Vlaue (Cr)'!$C:$FB,98)</f>
        <v>-5.2600000000000001E-2</v>
      </c>
      <c r="N38" s="91">
        <f>VLOOKUP($A38,'Data Vlaue (Cr)'!$C:$FB,79)</f>
        <v>1222</v>
      </c>
      <c r="O38" s="92">
        <f>VLOOKUP($A38,'Data Vlaue (Cr)'!$C:$FB,82)</f>
        <v>-0.23419999999999999</v>
      </c>
    </row>
    <row r="39" spans="1:15" x14ac:dyDescent="0.25">
      <c r="A39" s="97" t="str">
        <f>'Data Vlaue (Cr)'!C34</f>
        <v>BIOCON</v>
      </c>
      <c r="B39" s="142">
        <f>VLOOKUP(A39,'Data Vlaue (Cr)'!C34:CW247,99,0)</f>
        <v>3502</v>
      </c>
      <c r="C39" s="90">
        <f>VLOOKUP(A39,'Data Vlaue (Cr)'!C34:CY247,101,0)</f>
        <v>-129</v>
      </c>
      <c r="D39" s="139">
        <f>VLOOKUP(A39,'Data Vlaue (Cr)'!C34:CZ247,102,0)</f>
        <v>-3.5400000000000001E-2</v>
      </c>
      <c r="E39" s="91">
        <f>VLOOKUP($A39,'Data Vlaue (Cr)'!$C:$FB,75)</f>
        <v>1889</v>
      </c>
      <c r="F39" s="91">
        <f>VLOOKUP($A39,'Data Vlaue (Cr)'!$C:$FB,77)</f>
        <v>-10</v>
      </c>
      <c r="G39" s="92">
        <f>VLOOKUP(A39,'Data Vlaue (Cr)'!C34:CB247,78,0)</f>
        <v>-5.3E-3</v>
      </c>
      <c r="H39" s="91">
        <f>VLOOKUP($A39,'Data Vlaue (Cr)'!$C:$FB,91)</f>
        <v>1108</v>
      </c>
      <c r="I39" s="91">
        <f>VLOOKUP($A39,'Data Vlaue (Cr)'!$C:$FB,93)</f>
        <v>-102</v>
      </c>
      <c r="J39" s="92">
        <f>VLOOKUP($A39,'Data Vlaue (Cr)'!$C:$FB,94)</f>
        <v>-8.4699999999999998E-2</v>
      </c>
      <c r="K39" s="91">
        <f>VLOOKUP($A39,'Data Vlaue (Cr)'!$C:$FB,95)</f>
        <v>505</v>
      </c>
      <c r="L39" s="91">
        <f>VLOOKUP($A39,'Data Vlaue (Cr)'!$C:$FB,97)</f>
        <v>-16</v>
      </c>
      <c r="M39" s="92">
        <f>VLOOKUP($A39,'Data Vlaue (Cr)'!$C:$FB,98)</f>
        <v>-3.1099999999999999E-2</v>
      </c>
      <c r="N39" s="91">
        <f>VLOOKUP($A39,'Data Vlaue (Cr)'!$C:$FB,79)</f>
        <v>1236</v>
      </c>
      <c r="O39" s="92">
        <f>VLOOKUP($A39,'Data Vlaue (Cr)'!$C:$FB,82)</f>
        <v>-0.16400000000000001</v>
      </c>
    </row>
    <row r="40" spans="1:15" x14ac:dyDescent="0.25">
      <c r="A40" s="97" t="str">
        <f>'Data Vlaue (Cr)'!C35</f>
        <v>BLUESTARCO</v>
      </c>
      <c r="B40" s="142">
        <f>VLOOKUP(A40,'Data Vlaue (Cr)'!C35:CW248,99,0)</f>
        <v>817</v>
      </c>
      <c r="C40" s="90">
        <f>VLOOKUP(A40,'Data Vlaue (Cr)'!C35:CY248,101,0)</f>
        <v>-20</v>
      </c>
      <c r="D40" s="139">
        <f>VLOOKUP(A40,'Data Vlaue (Cr)'!C35:CZ248,102,0)</f>
        <v>-2.3900000000000001E-2</v>
      </c>
      <c r="E40" s="91">
        <f>VLOOKUP($A40,'Data Vlaue (Cr)'!$C:$FB,75)</f>
        <v>490</v>
      </c>
      <c r="F40" s="91">
        <f>VLOOKUP($A40,'Data Vlaue (Cr)'!$C:$FB,77)</f>
        <v>-23</v>
      </c>
      <c r="G40" s="92">
        <f>VLOOKUP(A40,'Data Vlaue (Cr)'!C35:CB248,78,0)</f>
        <v>-4.5199999999999997E-2</v>
      </c>
      <c r="H40" s="91">
        <f>VLOOKUP($A40,'Data Vlaue (Cr)'!$C:$FB,91)</f>
        <v>166</v>
      </c>
      <c r="I40" s="91">
        <f>VLOOKUP($A40,'Data Vlaue (Cr)'!$C:$FB,93)</f>
        <v>4</v>
      </c>
      <c r="J40" s="92">
        <f>VLOOKUP($A40,'Data Vlaue (Cr)'!$C:$FB,94)</f>
        <v>2.2700000000000001E-2</v>
      </c>
      <c r="K40" s="91">
        <f>VLOOKUP($A40,'Data Vlaue (Cr)'!$C:$FB,95)</f>
        <v>162</v>
      </c>
      <c r="L40" s="91">
        <f>VLOOKUP($A40,'Data Vlaue (Cr)'!$C:$FB,97)</f>
        <v>-1</v>
      </c>
      <c r="M40" s="92">
        <f>VLOOKUP($A40,'Data Vlaue (Cr)'!$C:$FB,98)</f>
        <v>-3.0999999999999999E-3</v>
      </c>
      <c r="N40" s="91">
        <f>VLOOKUP($A40,'Data Vlaue (Cr)'!$C:$FB,79)</f>
        <v>166</v>
      </c>
      <c r="O40" s="92">
        <f>VLOOKUP($A40,'Data Vlaue (Cr)'!$C:$FB,82)</f>
        <v>-0.44869999999999999</v>
      </c>
    </row>
    <row r="41" spans="1:15" x14ac:dyDescent="0.25">
      <c r="A41" s="97" t="str">
        <f>'Data Vlaue (Cr)'!C36</f>
        <v>BOSCHLTD</v>
      </c>
      <c r="B41" s="142">
        <f>VLOOKUP(A41,'Data Vlaue (Cr)'!C36:CW249,99,0)</f>
        <v>2667</v>
      </c>
      <c r="C41" s="90">
        <f>VLOOKUP(A41,'Data Vlaue (Cr)'!C36:CY249,101,0)</f>
        <v>-28</v>
      </c>
      <c r="D41" s="139">
        <f>VLOOKUP(A41,'Data Vlaue (Cr)'!C36:CZ249,102,0)</f>
        <v>-1.0200000000000001E-2</v>
      </c>
      <c r="E41" s="91">
        <f>VLOOKUP($A41,'Data Vlaue (Cr)'!$C:$FB,75)</f>
        <v>781</v>
      </c>
      <c r="F41" s="91">
        <f>VLOOKUP($A41,'Data Vlaue (Cr)'!$C:$FB,77)</f>
        <v>-3</v>
      </c>
      <c r="G41" s="92">
        <f>VLOOKUP(A41,'Data Vlaue (Cr)'!C36:CB249,78,0)</f>
        <v>-4.1000000000000003E-3</v>
      </c>
      <c r="H41" s="91">
        <f>VLOOKUP($A41,'Data Vlaue (Cr)'!$C:$FB,91)</f>
        <v>1484</v>
      </c>
      <c r="I41" s="91">
        <f>VLOOKUP($A41,'Data Vlaue (Cr)'!$C:$FB,93)</f>
        <v>-17</v>
      </c>
      <c r="J41" s="92">
        <f>VLOOKUP($A41,'Data Vlaue (Cr)'!$C:$FB,94)</f>
        <v>-1.0999999999999999E-2</v>
      </c>
      <c r="K41" s="91">
        <f>VLOOKUP($A41,'Data Vlaue (Cr)'!$C:$FB,95)</f>
        <v>402</v>
      </c>
      <c r="L41" s="91">
        <f>VLOOKUP($A41,'Data Vlaue (Cr)'!$C:$FB,97)</f>
        <v>-8</v>
      </c>
      <c r="M41" s="92">
        <f>VLOOKUP($A41,'Data Vlaue (Cr)'!$C:$FB,98)</f>
        <v>-1.9E-2</v>
      </c>
      <c r="N41" s="91">
        <f>VLOOKUP($A41,'Data Vlaue (Cr)'!$C:$FB,79)</f>
        <v>456</v>
      </c>
      <c r="O41" s="92">
        <f>VLOOKUP($A41,'Data Vlaue (Cr)'!$C:$FB,82)</f>
        <v>-0.25900000000000001</v>
      </c>
    </row>
    <row r="42" spans="1:15" x14ac:dyDescent="0.25">
      <c r="A42" s="97" t="str">
        <f>'Data Vlaue (Cr)'!C37</f>
        <v>BPCL</v>
      </c>
      <c r="B42" s="142">
        <f>VLOOKUP(A42,'Data Vlaue (Cr)'!C37:CW250,99,0)</f>
        <v>2283</v>
      </c>
      <c r="C42" s="90">
        <f>VLOOKUP(A42,'Data Vlaue (Cr)'!C37:CY250,101,0)</f>
        <v>-98</v>
      </c>
      <c r="D42" s="139">
        <f>VLOOKUP(A42,'Data Vlaue (Cr)'!C37:CZ250,102,0)</f>
        <v>-4.1300000000000003E-2</v>
      </c>
      <c r="E42" s="91">
        <f>VLOOKUP($A42,'Data Vlaue (Cr)'!$C:$FB,75)</f>
        <v>1070</v>
      </c>
      <c r="F42" s="91">
        <f>VLOOKUP($A42,'Data Vlaue (Cr)'!$C:$FB,77)</f>
        <v>-12</v>
      </c>
      <c r="G42" s="92">
        <f>VLOOKUP(A42,'Data Vlaue (Cr)'!C37:CB250,78,0)</f>
        <v>-1.1299999999999999E-2</v>
      </c>
      <c r="H42" s="91">
        <f>VLOOKUP($A42,'Data Vlaue (Cr)'!$C:$FB,91)</f>
        <v>775</v>
      </c>
      <c r="I42" s="91">
        <f>VLOOKUP($A42,'Data Vlaue (Cr)'!$C:$FB,93)</f>
        <v>-73</v>
      </c>
      <c r="J42" s="92">
        <f>VLOOKUP($A42,'Data Vlaue (Cr)'!$C:$FB,94)</f>
        <v>-8.6400000000000005E-2</v>
      </c>
      <c r="K42" s="91">
        <f>VLOOKUP($A42,'Data Vlaue (Cr)'!$C:$FB,95)</f>
        <v>438</v>
      </c>
      <c r="L42" s="91">
        <f>VLOOKUP($A42,'Data Vlaue (Cr)'!$C:$FB,97)</f>
        <v>-13</v>
      </c>
      <c r="M42" s="92">
        <f>VLOOKUP($A42,'Data Vlaue (Cr)'!$C:$FB,98)</f>
        <v>-2.8400000000000002E-2</v>
      </c>
      <c r="N42" s="91">
        <f>VLOOKUP($A42,'Data Vlaue (Cr)'!$C:$FB,79)</f>
        <v>627</v>
      </c>
      <c r="O42" s="92">
        <f>VLOOKUP($A42,'Data Vlaue (Cr)'!$C:$FB,82)</f>
        <v>-0.2127</v>
      </c>
    </row>
    <row r="43" spans="1:15" x14ac:dyDescent="0.25">
      <c r="A43" s="97" t="str">
        <f>'Data Vlaue (Cr)'!C38</f>
        <v>BRITANNIA</v>
      </c>
      <c r="B43" s="142">
        <f>VLOOKUP(A43,'Data Vlaue (Cr)'!C38:CW251,99,0)</f>
        <v>2749</v>
      </c>
      <c r="C43" s="90">
        <f>VLOOKUP(A43,'Data Vlaue (Cr)'!C38:CY251,101,0)</f>
        <v>-136</v>
      </c>
      <c r="D43" s="139">
        <f>VLOOKUP(A43,'Data Vlaue (Cr)'!C38:CZ251,102,0)</f>
        <v>-4.7100000000000003E-2</v>
      </c>
      <c r="E43" s="91">
        <f>VLOOKUP($A43,'Data Vlaue (Cr)'!$C:$FB,75)</f>
        <v>1832</v>
      </c>
      <c r="F43" s="91">
        <f>VLOOKUP($A43,'Data Vlaue (Cr)'!$C:$FB,77)</f>
        <v>-49</v>
      </c>
      <c r="G43" s="92">
        <f>VLOOKUP(A43,'Data Vlaue (Cr)'!C38:CB251,78,0)</f>
        <v>-2.5899999999999999E-2</v>
      </c>
      <c r="H43" s="91">
        <f>VLOOKUP($A43,'Data Vlaue (Cr)'!$C:$FB,91)</f>
        <v>572</v>
      </c>
      <c r="I43" s="91">
        <f>VLOOKUP($A43,'Data Vlaue (Cr)'!$C:$FB,93)</f>
        <v>-111</v>
      </c>
      <c r="J43" s="92">
        <f>VLOOKUP($A43,'Data Vlaue (Cr)'!$C:$FB,94)</f>
        <v>-0.16309999999999999</v>
      </c>
      <c r="K43" s="91">
        <f>VLOOKUP($A43,'Data Vlaue (Cr)'!$C:$FB,95)</f>
        <v>345</v>
      </c>
      <c r="L43" s="91">
        <f>VLOOKUP($A43,'Data Vlaue (Cr)'!$C:$FB,97)</f>
        <v>24</v>
      </c>
      <c r="M43" s="92">
        <f>VLOOKUP($A43,'Data Vlaue (Cr)'!$C:$FB,98)</f>
        <v>7.5600000000000001E-2</v>
      </c>
      <c r="N43" s="91">
        <f>VLOOKUP($A43,'Data Vlaue (Cr)'!$C:$FB,79)</f>
        <v>628</v>
      </c>
      <c r="O43" s="92">
        <f>VLOOKUP($A43,'Data Vlaue (Cr)'!$C:$FB,82)</f>
        <v>-0.54900000000000004</v>
      </c>
    </row>
    <row r="44" spans="1:15" x14ac:dyDescent="0.25">
      <c r="A44" s="97" t="str">
        <f>'Data Vlaue (Cr)'!C39</f>
        <v>BSE</v>
      </c>
      <c r="B44" s="142">
        <f>VLOOKUP(A44,'Data Vlaue (Cr)'!C39:CW252,99,0)</f>
        <v>6889</v>
      </c>
      <c r="C44" s="90">
        <f>VLOOKUP(A44,'Data Vlaue (Cr)'!C39:CY252,101,0)</f>
        <v>-818</v>
      </c>
      <c r="D44" s="139">
        <f>VLOOKUP(A44,'Data Vlaue (Cr)'!C39:CZ252,102,0)</f>
        <v>-0.1061</v>
      </c>
      <c r="E44" s="91">
        <f>VLOOKUP($A44,'Data Vlaue (Cr)'!$C:$FB,75)</f>
        <v>3097</v>
      </c>
      <c r="F44" s="91">
        <f>VLOOKUP($A44,'Data Vlaue (Cr)'!$C:$FB,77)</f>
        <v>-122</v>
      </c>
      <c r="G44" s="92">
        <f>VLOOKUP(A44,'Data Vlaue (Cr)'!C39:CB252,78,0)</f>
        <v>-3.78E-2</v>
      </c>
      <c r="H44" s="91">
        <f>VLOOKUP($A44,'Data Vlaue (Cr)'!$C:$FB,91)</f>
        <v>2379</v>
      </c>
      <c r="I44" s="91">
        <f>VLOOKUP($A44,'Data Vlaue (Cr)'!$C:$FB,93)</f>
        <v>-605</v>
      </c>
      <c r="J44" s="92">
        <f>VLOOKUP($A44,'Data Vlaue (Cr)'!$C:$FB,94)</f>
        <v>-0.20269999999999999</v>
      </c>
      <c r="K44" s="91">
        <f>VLOOKUP($A44,'Data Vlaue (Cr)'!$C:$FB,95)</f>
        <v>1412</v>
      </c>
      <c r="L44" s="91">
        <f>VLOOKUP($A44,'Data Vlaue (Cr)'!$C:$FB,97)</f>
        <v>-91</v>
      </c>
      <c r="M44" s="92">
        <f>VLOOKUP($A44,'Data Vlaue (Cr)'!$C:$FB,98)</f>
        <v>-6.08E-2</v>
      </c>
      <c r="N44" s="91">
        <f>VLOOKUP($A44,'Data Vlaue (Cr)'!$C:$FB,79)</f>
        <v>1484</v>
      </c>
      <c r="O44" s="92">
        <f>VLOOKUP($A44,'Data Vlaue (Cr)'!$C:$FB,82)</f>
        <v>-0.314</v>
      </c>
    </row>
    <row r="45" spans="1:15" x14ac:dyDescent="0.25">
      <c r="A45" s="97" t="str">
        <f>'Data Vlaue (Cr)'!C40</f>
        <v>CAMS</v>
      </c>
      <c r="B45" s="142">
        <f>VLOOKUP(A45,'Data Vlaue (Cr)'!C40:CW253,99,0)</f>
        <v>1163</v>
      </c>
      <c r="C45" s="90">
        <f>VLOOKUP(A45,'Data Vlaue (Cr)'!C40:CY253,101,0)</f>
        <v>105</v>
      </c>
      <c r="D45" s="139">
        <f>VLOOKUP(A45,'Data Vlaue (Cr)'!C40:CZ253,102,0)</f>
        <v>9.9599999999999994E-2</v>
      </c>
      <c r="E45" s="91">
        <f>VLOOKUP($A45,'Data Vlaue (Cr)'!$C:$FB,75)</f>
        <v>515</v>
      </c>
      <c r="F45" s="91">
        <f>VLOOKUP($A45,'Data Vlaue (Cr)'!$C:$FB,77)</f>
        <v>20</v>
      </c>
      <c r="G45" s="92">
        <f>VLOOKUP(A45,'Data Vlaue (Cr)'!C40:CB253,78,0)</f>
        <v>4.1000000000000002E-2</v>
      </c>
      <c r="H45" s="91">
        <f>VLOOKUP($A45,'Data Vlaue (Cr)'!$C:$FB,91)</f>
        <v>387</v>
      </c>
      <c r="I45" s="91">
        <f>VLOOKUP($A45,'Data Vlaue (Cr)'!$C:$FB,93)</f>
        <v>65</v>
      </c>
      <c r="J45" s="92">
        <f>VLOOKUP($A45,'Data Vlaue (Cr)'!$C:$FB,94)</f>
        <v>0.20169999999999999</v>
      </c>
      <c r="K45" s="91">
        <f>VLOOKUP($A45,'Data Vlaue (Cr)'!$C:$FB,95)</f>
        <v>261</v>
      </c>
      <c r="L45" s="91">
        <f>VLOOKUP($A45,'Data Vlaue (Cr)'!$C:$FB,97)</f>
        <v>20</v>
      </c>
      <c r="M45" s="92">
        <f>VLOOKUP($A45,'Data Vlaue (Cr)'!$C:$FB,98)</f>
        <v>8.3400000000000002E-2</v>
      </c>
      <c r="N45" s="91">
        <f>VLOOKUP($A45,'Data Vlaue (Cr)'!$C:$FB,79)</f>
        <v>215</v>
      </c>
      <c r="O45" s="92">
        <f>VLOOKUP($A45,'Data Vlaue (Cr)'!$C:$FB,82)</f>
        <v>-0.3745</v>
      </c>
    </row>
    <row r="46" spans="1:15" x14ac:dyDescent="0.25">
      <c r="A46" s="97" t="str">
        <f>'Data Vlaue (Cr)'!C41</f>
        <v>CANBK</v>
      </c>
      <c r="B46" s="142">
        <f>VLOOKUP(A46,'Data Vlaue (Cr)'!C41:CW254,99,0)</f>
        <v>5602</v>
      </c>
      <c r="C46" s="90">
        <f>VLOOKUP(A46,'Data Vlaue (Cr)'!C41:CY254,101,0)</f>
        <v>-74</v>
      </c>
      <c r="D46" s="139">
        <f>VLOOKUP(A46,'Data Vlaue (Cr)'!C41:CZ254,102,0)</f>
        <v>-1.2999999999999999E-2</v>
      </c>
      <c r="E46" s="91">
        <f>VLOOKUP($A46,'Data Vlaue (Cr)'!$C:$FB,75)</f>
        <v>2552</v>
      </c>
      <c r="F46" s="91">
        <f>VLOOKUP($A46,'Data Vlaue (Cr)'!$C:$FB,77)</f>
        <v>86</v>
      </c>
      <c r="G46" s="92">
        <f>VLOOKUP(A46,'Data Vlaue (Cr)'!C41:CB254,78,0)</f>
        <v>3.4799999999999998E-2</v>
      </c>
      <c r="H46" s="91">
        <f>VLOOKUP($A46,'Data Vlaue (Cr)'!$C:$FB,91)</f>
        <v>1603</v>
      </c>
      <c r="I46" s="91">
        <f>VLOOKUP($A46,'Data Vlaue (Cr)'!$C:$FB,93)</f>
        <v>-175</v>
      </c>
      <c r="J46" s="92">
        <f>VLOOKUP($A46,'Data Vlaue (Cr)'!$C:$FB,94)</f>
        <v>-9.8400000000000001E-2</v>
      </c>
      <c r="K46" s="91">
        <f>VLOOKUP($A46,'Data Vlaue (Cr)'!$C:$FB,95)</f>
        <v>1447</v>
      </c>
      <c r="L46" s="91">
        <f>VLOOKUP($A46,'Data Vlaue (Cr)'!$C:$FB,97)</f>
        <v>15</v>
      </c>
      <c r="M46" s="92">
        <f>VLOOKUP($A46,'Data Vlaue (Cr)'!$C:$FB,98)</f>
        <v>1.0500000000000001E-2</v>
      </c>
      <c r="N46" s="91">
        <f>VLOOKUP($A46,'Data Vlaue (Cr)'!$C:$FB,79)</f>
        <v>925</v>
      </c>
      <c r="O46" s="92">
        <f>VLOOKUP($A46,'Data Vlaue (Cr)'!$C:$FB,82)</f>
        <v>-0.29920000000000002</v>
      </c>
    </row>
    <row r="47" spans="1:15" x14ac:dyDescent="0.25">
      <c r="A47" s="97" t="str">
        <f>'Data Vlaue (Cr)'!C42</f>
        <v>CDSL</v>
      </c>
      <c r="B47" s="142">
        <f>VLOOKUP(A47,'Data Vlaue (Cr)'!C42:CW255,99,0)</f>
        <v>3644</v>
      </c>
      <c r="C47" s="90">
        <f>VLOOKUP(A47,'Data Vlaue (Cr)'!C42:CY255,101,0)</f>
        <v>-185</v>
      </c>
      <c r="D47" s="139">
        <f>VLOOKUP(A47,'Data Vlaue (Cr)'!C42:CZ255,102,0)</f>
        <v>-4.8300000000000003E-2</v>
      </c>
      <c r="E47" s="91">
        <f>VLOOKUP($A47,'Data Vlaue (Cr)'!$C:$FB,75)</f>
        <v>1580</v>
      </c>
      <c r="F47" s="91">
        <f>VLOOKUP($A47,'Data Vlaue (Cr)'!$C:$FB,77)</f>
        <v>-8</v>
      </c>
      <c r="G47" s="92">
        <f>VLOOKUP(A47,'Data Vlaue (Cr)'!C42:CB255,78,0)</f>
        <v>-5.1999999999999998E-3</v>
      </c>
      <c r="H47" s="91">
        <f>VLOOKUP($A47,'Data Vlaue (Cr)'!$C:$FB,91)</f>
        <v>1264</v>
      </c>
      <c r="I47" s="91">
        <f>VLOOKUP($A47,'Data Vlaue (Cr)'!$C:$FB,93)</f>
        <v>-197</v>
      </c>
      <c r="J47" s="92">
        <f>VLOOKUP($A47,'Data Vlaue (Cr)'!$C:$FB,94)</f>
        <v>-0.1346</v>
      </c>
      <c r="K47" s="91">
        <f>VLOOKUP($A47,'Data Vlaue (Cr)'!$C:$FB,95)</f>
        <v>801</v>
      </c>
      <c r="L47" s="91">
        <f>VLOOKUP($A47,'Data Vlaue (Cr)'!$C:$FB,97)</f>
        <v>20</v>
      </c>
      <c r="M47" s="92">
        <f>VLOOKUP($A47,'Data Vlaue (Cr)'!$C:$FB,98)</f>
        <v>2.53E-2</v>
      </c>
      <c r="N47" s="91">
        <f>VLOOKUP($A47,'Data Vlaue (Cr)'!$C:$FB,79)</f>
        <v>699</v>
      </c>
      <c r="O47" s="92">
        <f>VLOOKUP($A47,'Data Vlaue (Cr)'!$C:$FB,82)</f>
        <v>-0.30709999999999998</v>
      </c>
    </row>
    <row r="48" spans="1:15" x14ac:dyDescent="0.25">
      <c r="A48" s="97" t="str">
        <f>'Data Vlaue (Cr)'!C43</f>
        <v>CGPOWER</v>
      </c>
      <c r="B48" s="142">
        <f>VLOOKUP(A48,'Data Vlaue (Cr)'!C43:CW256,99,0)</f>
        <v>2399</v>
      </c>
      <c r="C48" s="90">
        <f>VLOOKUP(A48,'Data Vlaue (Cr)'!C43:CY256,101,0)</f>
        <v>-171</v>
      </c>
      <c r="D48" s="139">
        <f>VLOOKUP(A48,'Data Vlaue (Cr)'!C43:CZ256,102,0)</f>
        <v>-6.6500000000000004E-2</v>
      </c>
      <c r="E48" s="91">
        <f>VLOOKUP($A48,'Data Vlaue (Cr)'!$C:$FB,75)</f>
        <v>1068</v>
      </c>
      <c r="F48" s="91">
        <f>VLOOKUP($A48,'Data Vlaue (Cr)'!$C:$FB,77)</f>
        <v>-64</v>
      </c>
      <c r="G48" s="92">
        <f>VLOOKUP(A48,'Data Vlaue (Cr)'!C43:CB256,78,0)</f>
        <v>-5.6899999999999999E-2</v>
      </c>
      <c r="H48" s="91">
        <f>VLOOKUP($A48,'Data Vlaue (Cr)'!$C:$FB,91)</f>
        <v>880</v>
      </c>
      <c r="I48" s="91">
        <f>VLOOKUP($A48,'Data Vlaue (Cr)'!$C:$FB,93)</f>
        <v>-75</v>
      </c>
      <c r="J48" s="92">
        <f>VLOOKUP($A48,'Data Vlaue (Cr)'!$C:$FB,94)</f>
        <v>-7.8200000000000006E-2</v>
      </c>
      <c r="K48" s="91">
        <f>VLOOKUP($A48,'Data Vlaue (Cr)'!$C:$FB,95)</f>
        <v>451</v>
      </c>
      <c r="L48" s="91">
        <f>VLOOKUP($A48,'Data Vlaue (Cr)'!$C:$FB,97)</f>
        <v>-32</v>
      </c>
      <c r="M48" s="92">
        <f>VLOOKUP($A48,'Data Vlaue (Cr)'!$C:$FB,98)</f>
        <v>-6.5699999999999995E-2</v>
      </c>
      <c r="N48" s="91">
        <f>VLOOKUP($A48,'Data Vlaue (Cr)'!$C:$FB,79)</f>
        <v>505</v>
      </c>
      <c r="O48" s="92">
        <f>VLOOKUP($A48,'Data Vlaue (Cr)'!$C:$FB,82)</f>
        <v>-0.39019999999999999</v>
      </c>
    </row>
    <row r="49" spans="1:15" x14ac:dyDescent="0.25">
      <c r="A49" s="97" t="str">
        <f>'Data Vlaue (Cr)'!C44</f>
        <v>CHOLAFIN</v>
      </c>
      <c r="B49" s="142">
        <f>VLOOKUP(A49,'Data Vlaue (Cr)'!C44:CW257,99,0)</f>
        <v>3981</v>
      </c>
      <c r="C49" s="90">
        <f>VLOOKUP(A49,'Data Vlaue (Cr)'!C44:CY257,101,0)</f>
        <v>-122</v>
      </c>
      <c r="D49" s="139">
        <f>VLOOKUP(A49,'Data Vlaue (Cr)'!C44:CZ257,102,0)</f>
        <v>-2.9899999999999999E-2</v>
      </c>
      <c r="E49" s="91">
        <f>VLOOKUP($A49,'Data Vlaue (Cr)'!$C:$FB,75)</f>
        <v>2603</v>
      </c>
      <c r="F49" s="91">
        <f>VLOOKUP($A49,'Data Vlaue (Cr)'!$C:$FB,77)</f>
        <v>26</v>
      </c>
      <c r="G49" s="92">
        <f>VLOOKUP(A49,'Data Vlaue (Cr)'!C44:CB257,78,0)</f>
        <v>1.01E-2</v>
      </c>
      <c r="H49" s="91">
        <f>VLOOKUP($A49,'Data Vlaue (Cr)'!$C:$FB,91)</f>
        <v>802</v>
      </c>
      <c r="I49" s="91">
        <f>VLOOKUP($A49,'Data Vlaue (Cr)'!$C:$FB,93)</f>
        <v>-117</v>
      </c>
      <c r="J49" s="92">
        <f>VLOOKUP($A49,'Data Vlaue (Cr)'!$C:$FB,94)</f>
        <v>-0.12759999999999999</v>
      </c>
      <c r="K49" s="91">
        <f>VLOOKUP($A49,'Data Vlaue (Cr)'!$C:$FB,95)</f>
        <v>575</v>
      </c>
      <c r="L49" s="91">
        <f>VLOOKUP($A49,'Data Vlaue (Cr)'!$C:$FB,97)</f>
        <v>-31</v>
      </c>
      <c r="M49" s="92">
        <f>VLOOKUP($A49,'Data Vlaue (Cr)'!$C:$FB,98)</f>
        <v>-5.1200000000000002E-2</v>
      </c>
      <c r="N49" s="91">
        <f>VLOOKUP($A49,'Data Vlaue (Cr)'!$C:$FB,79)</f>
        <v>1056</v>
      </c>
      <c r="O49" s="92">
        <f>VLOOKUP($A49,'Data Vlaue (Cr)'!$C:$FB,82)</f>
        <v>-0.4501</v>
      </c>
    </row>
    <row r="50" spans="1:15" x14ac:dyDescent="0.25">
      <c r="A50" s="97" t="str">
        <f>'Data Vlaue (Cr)'!C45</f>
        <v>CIPLA</v>
      </c>
      <c r="B50" s="142">
        <f>VLOOKUP(A50,'Data Vlaue (Cr)'!C45:CW258,99,0)</f>
        <v>3927</v>
      </c>
      <c r="C50" s="90">
        <f>VLOOKUP(A50,'Data Vlaue (Cr)'!C45:CY258,101,0)</f>
        <v>13</v>
      </c>
      <c r="D50" s="139">
        <f>VLOOKUP(A50,'Data Vlaue (Cr)'!C45:CZ258,102,0)</f>
        <v>3.2000000000000002E-3</v>
      </c>
      <c r="E50" s="91">
        <f>VLOOKUP($A50,'Data Vlaue (Cr)'!$C:$FB,75)</f>
        <v>2027</v>
      </c>
      <c r="F50" s="91">
        <f>VLOOKUP($A50,'Data Vlaue (Cr)'!$C:$FB,77)</f>
        <v>35</v>
      </c>
      <c r="G50" s="92">
        <f>VLOOKUP(A50,'Data Vlaue (Cr)'!C45:CB258,78,0)</f>
        <v>1.7600000000000001E-2</v>
      </c>
      <c r="H50" s="91">
        <f>VLOOKUP($A50,'Data Vlaue (Cr)'!$C:$FB,91)</f>
        <v>1077</v>
      </c>
      <c r="I50" s="91">
        <f>VLOOKUP($A50,'Data Vlaue (Cr)'!$C:$FB,93)</f>
        <v>-12</v>
      </c>
      <c r="J50" s="92">
        <f>VLOOKUP($A50,'Data Vlaue (Cr)'!$C:$FB,94)</f>
        <v>-1.06E-2</v>
      </c>
      <c r="K50" s="91">
        <f>VLOOKUP($A50,'Data Vlaue (Cr)'!$C:$FB,95)</f>
        <v>823</v>
      </c>
      <c r="L50" s="91">
        <f>VLOOKUP($A50,'Data Vlaue (Cr)'!$C:$FB,97)</f>
        <v>-11</v>
      </c>
      <c r="M50" s="92">
        <f>VLOOKUP($A50,'Data Vlaue (Cr)'!$C:$FB,98)</f>
        <v>-1.3100000000000001E-2</v>
      </c>
      <c r="N50" s="91">
        <f>VLOOKUP($A50,'Data Vlaue (Cr)'!$C:$FB,79)</f>
        <v>857</v>
      </c>
      <c r="O50" s="92">
        <f>VLOOKUP($A50,'Data Vlaue (Cr)'!$C:$FB,82)</f>
        <v>-0.35580000000000001</v>
      </c>
    </row>
    <row r="51" spans="1:15" x14ac:dyDescent="0.25">
      <c r="A51" s="97" t="str">
        <f>'Data Vlaue (Cr)'!C46</f>
        <v>COALINDIA</v>
      </c>
      <c r="B51" s="142">
        <f>VLOOKUP(A51,'Data Vlaue (Cr)'!C46:CW259,99,0)</f>
        <v>5740</v>
      </c>
      <c r="C51" s="90">
        <f>VLOOKUP(A51,'Data Vlaue (Cr)'!C46:CY259,101,0)</f>
        <v>-168</v>
      </c>
      <c r="D51" s="139">
        <f>VLOOKUP(A51,'Data Vlaue (Cr)'!C46:CZ259,102,0)</f>
        <v>-2.8400000000000002E-2</v>
      </c>
      <c r="E51" s="91">
        <f>VLOOKUP($A51,'Data Vlaue (Cr)'!$C:$FB,75)</f>
        <v>2419</v>
      </c>
      <c r="F51" s="91">
        <f>VLOOKUP($A51,'Data Vlaue (Cr)'!$C:$FB,77)</f>
        <v>14</v>
      </c>
      <c r="G51" s="92">
        <f>VLOOKUP(A51,'Data Vlaue (Cr)'!C46:CB259,78,0)</f>
        <v>5.7999999999999996E-3</v>
      </c>
      <c r="H51" s="91">
        <f>VLOOKUP($A51,'Data Vlaue (Cr)'!$C:$FB,91)</f>
        <v>2213</v>
      </c>
      <c r="I51" s="91">
        <f>VLOOKUP($A51,'Data Vlaue (Cr)'!$C:$FB,93)</f>
        <v>-179</v>
      </c>
      <c r="J51" s="92">
        <f>VLOOKUP($A51,'Data Vlaue (Cr)'!$C:$FB,94)</f>
        <v>-7.4700000000000003E-2</v>
      </c>
      <c r="K51" s="91">
        <f>VLOOKUP($A51,'Data Vlaue (Cr)'!$C:$FB,95)</f>
        <v>1108</v>
      </c>
      <c r="L51" s="91">
        <f>VLOOKUP($A51,'Data Vlaue (Cr)'!$C:$FB,97)</f>
        <v>-3</v>
      </c>
      <c r="M51" s="92">
        <f>VLOOKUP($A51,'Data Vlaue (Cr)'!$C:$FB,98)</f>
        <v>-2.5000000000000001E-3</v>
      </c>
      <c r="N51" s="91">
        <f>VLOOKUP($A51,'Data Vlaue (Cr)'!$C:$FB,79)</f>
        <v>1381</v>
      </c>
      <c r="O51" s="92">
        <f>VLOOKUP($A51,'Data Vlaue (Cr)'!$C:$FB,82)</f>
        <v>-0.20469999999999999</v>
      </c>
    </row>
    <row r="52" spans="1:15" x14ac:dyDescent="0.25">
      <c r="A52" s="97" t="str">
        <f>'Data Vlaue (Cr)'!C47</f>
        <v>COFORGE</v>
      </c>
      <c r="B52" s="142">
        <f>VLOOKUP(A52,'Data Vlaue (Cr)'!C47:CW260,99,0)</f>
        <v>4840</v>
      </c>
      <c r="C52" s="90">
        <f>VLOOKUP(A52,'Data Vlaue (Cr)'!C47:CY260,101,0)</f>
        <v>163</v>
      </c>
      <c r="D52" s="139">
        <f>VLOOKUP(A52,'Data Vlaue (Cr)'!C47:CZ260,102,0)</f>
        <v>3.49E-2</v>
      </c>
      <c r="E52" s="91">
        <f>VLOOKUP($A52,'Data Vlaue (Cr)'!$C:$FB,75)</f>
        <v>2448</v>
      </c>
      <c r="F52" s="91">
        <f>VLOOKUP($A52,'Data Vlaue (Cr)'!$C:$FB,77)</f>
        <v>49</v>
      </c>
      <c r="G52" s="92">
        <f>VLOOKUP(A52,'Data Vlaue (Cr)'!C47:CB260,78,0)</f>
        <v>2.06E-2</v>
      </c>
      <c r="H52" s="91">
        <f>VLOOKUP($A52,'Data Vlaue (Cr)'!$C:$FB,91)</f>
        <v>1528</v>
      </c>
      <c r="I52" s="91">
        <f>VLOOKUP($A52,'Data Vlaue (Cr)'!$C:$FB,93)</f>
        <v>81</v>
      </c>
      <c r="J52" s="92">
        <f>VLOOKUP($A52,'Data Vlaue (Cr)'!$C:$FB,94)</f>
        <v>5.5800000000000002E-2</v>
      </c>
      <c r="K52" s="91">
        <f>VLOOKUP($A52,'Data Vlaue (Cr)'!$C:$FB,95)</f>
        <v>865</v>
      </c>
      <c r="L52" s="91">
        <f>VLOOKUP($A52,'Data Vlaue (Cr)'!$C:$FB,97)</f>
        <v>33</v>
      </c>
      <c r="M52" s="92">
        <f>VLOOKUP($A52,'Data Vlaue (Cr)'!$C:$FB,98)</f>
        <v>3.95E-2</v>
      </c>
      <c r="N52" s="91">
        <f>VLOOKUP($A52,'Data Vlaue (Cr)'!$C:$FB,79)</f>
        <v>1121</v>
      </c>
      <c r="O52" s="92">
        <f>VLOOKUP($A52,'Data Vlaue (Cr)'!$C:$FB,82)</f>
        <v>-0.35759999999999997</v>
      </c>
    </row>
    <row r="53" spans="1:15" x14ac:dyDescent="0.25">
      <c r="A53" s="97" t="str">
        <f>'Data Vlaue (Cr)'!C48</f>
        <v>COLPAL</v>
      </c>
      <c r="B53" s="142">
        <f>VLOOKUP(A53,'Data Vlaue (Cr)'!C48:CW261,99,0)</f>
        <v>2240</v>
      </c>
      <c r="C53" s="90">
        <f>VLOOKUP(A53,'Data Vlaue (Cr)'!C48:CY261,101,0)</f>
        <v>-216</v>
      </c>
      <c r="D53" s="139">
        <f>VLOOKUP(A53,'Data Vlaue (Cr)'!C48:CZ261,102,0)</f>
        <v>-8.7999999999999995E-2</v>
      </c>
      <c r="E53" s="91">
        <f>VLOOKUP($A53,'Data Vlaue (Cr)'!$C:$FB,75)</f>
        <v>1375</v>
      </c>
      <c r="F53" s="91">
        <f>VLOOKUP($A53,'Data Vlaue (Cr)'!$C:$FB,77)</f>
        <v>-102</v>
      </c>
      <c r="G53" s="92">
        <f>VLOOKUP(A53,'Data Vlaue (Cr)'!C48:CB261,78,0)</f>
        <v>-6.93E-2</v>
      </c>
      <c r="H53" s="91">
        <f>VLOOKUP($A53,'Data Vlaue (Cr)'!$C:$FB,91)</f>
        <v>498</v>
      </c>
      <c r="I53" s="91">
        <f>VLOOKUP($A53,'Data Vlaue (Cr)'!$C:$FB,93)</f>
        <v>-95</v>
      </c>
      <c r="J53" s="92">
        <f>VLOOKUP($A53,'Data Vlaue (Cr)'!$C:$FB,94)</f>
        <v>-0.16020000000000001</v>
      </c>
      <c r="K53" s="91">
        <f>VLOOKUP($A53,'Data Vlaue (Cr)'!$C:$FB,95)</f>
        <v>367</v>
      </c>
      <c r="L53" s="91">
        <f>VLOOKUP($A53,'Data Vlaue (Cr)'!$C:$FB,97)</f>
        <v>-19</v>
      </c>
      <c r="M53" s="92">
        <f>VLOOKUP($A53,'Data Vlaue (Cr)'!$C:$FB,98)</f>
        <v>-4.87E-2</v>
      </c>
      <c r="N53" s="91">
        <f>VLOOKUP($A53,'Data Vlaue (Cr)'!$C:$FB,79)</f>
        <v>626</v>
      </c>
      <c r="O53" s="92">
        <f>VLOOKUP($A53,'Data Vlaue (Cr)'!$C:$FB,82)</f>
        <v>-0.39760000000000001</v>
      </c>
    </row>
    <row r="54" spans="1:15" x14ac:dyDescent="0.25">
      <c r="A54" s="97" t="str">
        <f>'Data Vlaue (Cr)'!C49</f>
        <v>CONCOR</v>
      </c>
      <c r="B54" s="142">
        <f>VLOOKUP(A54,'Data Vlaue (Cr)'!C49:CW262,99,0)</f>
        <v>2804</v>
      </c>
      <c r="C54" s="90">
        <f>VLOOKUP(A54,'Data Vlaue (Cr)'!C49:CY262,101,0)</f>
        <v>86</v>
      </c>
      <c r="D54" s="139">
        <f>VLOOKUP(A54,'Data Vlaue (Cr)'!C49:CZ262,102,0)</f>
        <v>3.15E-2</v>
      </c>
      <c r="E54" s="91">
        <f>VLOOKUP($A54,'Data Vlaue (Cr)'!$C:$FB,75)</f>
        <v>1691</v>
      </c>
      <c r="F54" s="91">
        <f>VLOOKUP($A54,'Data Vlaue (Cr)'!$C:$FB,77)</f>
        <v>16</v>
      </c>
      <c r="G54" s="92">
        <f>VLOOKUP(A54,'Data Vlaue (Cr)'!C49:CB262,78,0)</f>
        <v>9.7999999999999997E-3</v>
      </c>
      <c r="H54" s="91">
        <f>VLOOKUP($A54,'Data Vlaue (Cr)'!$C:$FB,91)</f>
        <v>628</v>
      </c>
      <c r="I54" s="91">
        <f>VLOOKUP($A54,'Data Vlaue (Cr)'!$C:$FB,93)</f>
        <v>33</v>
      </c>
      <c r="J54" s="92">
        <f>VLOOKUP($A54,'Data Vlaue (Cr)'!$C:$FB,94)</f>
        <v>5.62E-2</v>
      </c>
      <c r="K54" s="91">
        <f>VLOOKUP($A54,'Data Vlaue (Cr)'!$C:$FB,95)</f>
        <v>484</v>
      </c>
      <c r="L54" s="91">
        <f>VLOOKUP($A54,'Data Vlaue (Cr)'!$C:$FB,97)</f>
        <v>36</v>
      </c>
      <c r="M54" s="92">
        <f>VLOOKUP($A54,'Data Vlaue (Cr)'!$C:$FB,98)</f>
        <v>7.9799999999999996E-2</v>
      </c>
      <c r="N54" s="91">
        <f>VLOOKUP($A54,'Data Vlaue (Cr)'!$C:$FB,79)</f>
        <v>780</v>
      </c>
      <c r="O54" s="92">
        <f>VLOOKUP($A54,'Data Vlaue (Cr)'!$C:$FB,82)</f>
        <v>-0.28499999999999998</v>
      </c>
    </row>
    <row r="55" spans="1:15" x14ac:dyDescent="0.25">
      <c r="A55" s="97" t="str">
        <f>'Data Vlaue (Cr)'!C50</f>
        <v>CROMPTON</v>
      </c>
      <c r="B55" s="142">
        <f>VLOOKUP(A55,'Data Vlaue (Cr)'!C50:CW263,99,0)</f>
        <v>2096</v>
      </c>
      <c r="C55" s="90">
        <f>VLOOKUP(A55,'Data Vlaue (Cr)'!C50:CY263,101,0)</f>
        <v>23</v>
      </c>
      <c r="D55" s="139">
        <f>VLOOKUP(A55,'Data Vlaue (Cr)'!C50:CZ263,102,0)</f>
        <v>1.11E-2</v>
      </c>
      <c r="E55" s="91">
        <f>VLOOKUP($A55,'Data Vlaue (Cr)'!$C:$FB,75)</f>
        <v>1293</v>
      </c>
      <c r="F55" s="91">
        <f>VLOOKUP($A55,'Data Vlaue (Cr)'!$C:$FB,77)</f>
        <v>28</v>
      </c>
      <c r="G55" s="92">
        <f>VLOOKUP(A55,'Data Vlaue (Cr)'!C50:CB263,78,0)</f>
        <v>2.2499999999999999E-2</v>
      </c>
      <c r="H55" s="91">
        <f>VLOOKUP($A55,'Data Vlaue (Cr)'!$C:$FB,91)</f>
        <v>525</v>
      </c>
      <c r="I55" s="91">
        <f>VLOOKUP($A55,'Data Vlaue (Cr)'!$C:$FB,93)</f>
        <v>6</v>
      </c>
      <c r="J55" s="92">
        <f>VLOOKUP($A55,'Data Vlaue (Cr)'!$C:$FB,94)</f>
        <v>1.12E-2</v>
      </c>
      <c r="K55" s="91">
        <f>VLOOKUP($A55,'Data Vlaue (Cr)'!$C:$FB,95)</f>
        <v>278</v>
      </c>
      <c r="L55" s="91">
        <f>VLOOKUP($A55,'Data Vlaue (Cr)'!$C:$FB,97)</f>
        <v>-11</v>
      </c>
      <c r="M55" s="92">
        <f>VLOOKUP($A55,'Data Vlaue (Cr)'!$C:$FB,98)</f>
        <v>-3.8899999999999997E-2</v>
      </c>
      <c r="N55" s="91">
        <f>VLOOKUP($A55,'Data Vlaue (Cr)'!$C:$FB,79)</f>
        <v>621</v>
      </c>
      <c r="O55" s="92">
        <f>VLOOKUP($A55,'Data Vlaue (Cr)'!$C:$FB,82)</f>
        <v>-0.33029999999999998</v>
      </c>
    </row>
    <row r="56" spans="1:15" x14ac:dyDescent="0.25">
      <c r="A56" s="97" t="str">
        <f>'Data Vlaue (Cr)'!C51</f>
        <v>CUMMINSIND</v>
      </c>
      <c r="B56" s="142">
        <f>VLOOKUP(A56,'Data Vlaue (Cr)'!C51:CW264,99,0)</f>
        <v>2661</v>
      </c>
      <c r="C56" s="90">
        <f>VLOOKUP(A56,'Data Vlaue (Cr)'!C51:CY264,101,0)</f>
        <v>-48</v>
      </c>
      <c r="D56" s="139">
        <f>VLOOKUP(A56,'Data Vlaue (Cr)'!C51:CZ264,102,0)</f>
        <v>-1.77E-2</v>
      </c>
      <c r="E56" s="91">
        <f>VLOOKUP($A56,'Data Vlaue (Cr)'!$C:$FB,75)</f>
        <v>1548</v>
      </c>
      <c r="F56" s="91">
        <f>VLOOKUP($A56,'Data Vlaue (Cr)'!$C:$FB,77)</f>
        <v>13</v>
      </c>
      <c r="G56" s="92">
        <f>VLOOKUP(A56,'Data Vlaue (Cr)'!C51:CB264,78,0)</f>
        <v>8.5000000000000006E-3</v>
      </c>
      <c r="H56" s="91">
        <f>VLOOKUP($A56,'Data Vlaue (Cr)'!$C:$FB,91)</f>
        <v>697</v>
      </c>
      <c r="I56" s="91">
        <f>VLOOKUP($A56,'Data Vlaue (Cr)'!$C:$FB,93)</f>
        <v>-48</v>
      </c>
      <c r="J56" s="92">
        <f>VLOOKUP($A56,'Data Vlaue (Cr)'!$C:$FB,94)</f>
        <v>-6.4799999999999996E-2</v>
      </c>
      <c r="K56" s="91">
        <f>VLOOKUP($A56,'Data Vlaue (Cr)'!$C:$FB,95)</f>
        <v>416</v>
      </c>
      <c r="L56" s="91">
        <f>VLOOKUP($A56,'Data Vlaue (Cr)'!$C:$FB,97)</f>
        <v>-13</v>
      </c>
      <c r="M56" s="92">
        <f>VLOOKUP($A56,'Data Vlaue (Cr)'!$C:$FB,98)</f>
        <v>-2.98E-2</v>
      </c>
      <c r="N56" s="91">
        <f>VLOOKUP($A56,'Data Vlaue (Cr)'!$C:$FB,79)</f>
        <v>594</v>
      </c>
      <c r="O56" s="92">
        <f>VLOOKUP($A56,'Data Vlaue (Cr)'!$C:$FB,82)</f>
        <v>-0.48</v>
      </c>
    </row>
    <row r="57" spans="1:15" x14ac:dyDescent="0.25">
      <c r="A57" s="97" t="str">
        <f>'Data Vlaue (Cr)'!C52</f>
        <v>DABUR</v>
      </c>
      <c r="B57" s="142">
        <f>VLOOKUP(A57,'Data Vlaue (Cr)'!C52:CW265,99,0)</f>
        <v>2341</v>
      </c>
      <c r="C57" s="90">
        <f>VLOOKUP(A57,'Data Vlaue (Cr)'!C52:CY265,101,0)</f>
        <v>32</v>
      </c>
      <c r="D57" s="139">
        <f>VLOOKUP(A57,'Data Vlaue (Cr)'!C52:CZ265,102,0)</f>
        <v>1.3899999999999999E-2</v>
      </c>
      <c r="E57" s="91">
        <f>VLOOKUP($A57,'Data Vlaue (Cr)'!$C:$FB,75)</f>
        <v>1314</v>
      </c>
      <c r="F57" s="91">
        <f>VLOOKUP($A57,'Data Vlaue (Cr)'!$C:$FB,77)</f>
        <v>71</v>
      </c>
      <c r="G57" s="92">
        <f>VLOOKUP(A57,'Data Vlaue (Cr)'!C52:CB265,78,0)</f>
        <v>5.74E-2</v>
      </c>
      <c r="H57" s="91">
        <f>VLOOKUP($A57,'Data Vlaue (Cr)'!$C:$FB,91)</f>
        <v>619</v>
      </c>
      <c r="I57" s="91">
        <f>VLOOKUP($A57,'Data Vlaue (Cr)'!$C:$FB,93)</f>
        <v>-32</v>
      </c>
      <c r="J57" s="92">
        <f>VLOOKUP($A57,'Data Vlaue (Cr)'!$C:$FB,94)</f>
        <v>-4.99E-2</v>
      </c>
      <c r="K57" s="91">
        <f>VLOOKUP($A57,'Data Vlaue (Cr)'!$C:$FB,95)</f>
        <v>408</v>
      </c>
      <c r="L57" s="91">
        <f>VLOOKUP($A57,'Data Vlaue (Cr)'!$C:$FB,97)</f>
        <v>-7</v>
      </c>
      <c r="M57" s="92">
        <f>VLOOKUP($A57,'Data Vlaue (Cr)'!$C:$FB,98)</f>
        <v>-1.6299999999999999E-2</v>
      </c>
      <c r="N57" s="91">
        <f>VLOOKUP($A57,'Data Vlaue (Cr)'!$C:$FB,79)</f>
        <v>481</v>
      </c>
      <c r="O57" s="92">
        <f>VLOOKUP($A57,'Data Vlaue (Cr)'!$C:$FB,82)</f>
        <v>-0.46160000000000001</v>
      </c>
    </row>
    <row r="58" spans="1:15" x14ac:dyDescent="0.25">
      <c r="A58" s="97" t="str">
        <f>'Data Vlaue (Cr)'!C53</f>
        <v>DALBHARAT</v>
      </c>
      <c r="B58" s="142">
        <f>VLOOKUP(A58,'Data Vlaue (Cr)'!C53:CW266,99,0)</f>
        <v>1179</v>
      </c>
      <c r="C58" s="90">
        <f>VLOOKUP(A58,'Data Vlaue (Cr)'!C53:CY266,101,0)</f>
        <v>-86</v>
      </c>
      <c r="D58" s="139">
        <f>VLOOKUP(A58,'Data Vlaue (Cr)'!C53:CZ266,102,0)</f>
        <v>-6.7699999999999996E-2</v>
      </c>
      <c r="E58" s="91">
        <f>VLOOKUP($A58,'Data Vlaue (Cr)'!$C:$FB,75)</f>
        <v>684</v>
      </c>
      <c r="F58" s="91">
        <f>VLOOKUP($A58,'Data Vlaue (Cr)'!$C:$FB,77)</f>
        <v>16</v>
      </c>
      <c r="G58" s="92">
        <f>VLOOKUP(A58,'Data Vlaue (Cr)'!C53:CB266,78,0)</f>
        <v>2.4299999999999999E-2</v>
      </c>
      <c r="H58" s="91">
        <f>VLOOKUP($A58,'Data Vlaue (Cr)'!$C:$FB,91)</f>
        <v>332</v>
      </c>
      <c r="I58" s="91">
        <f>VLOOKUP($A58,'Data Vlaue (Cr)'!$C:$FB,93)</f>
        <v>-38</v>
      </c>
      <c r="J58" s="92">
        <f>VLOOKUP($A58,'Data Vlaue (Cr)'!$C:$FB,94)</f>
        <v>-0.1032</v>
      </c>
      <c r="K58" s="91">
        <f>VLOOKUP($A58,'Data Vlaue (Cr)'!$C:$FB,95)</f>
        <v>163</v>
      </c>
      <c r="L58" s="91">
        <f>VLOOKUP($A58,'Data Vlaue (Cr)'!$C:$FB,97)</f>
        <v>-64</v>
      </c>
      <c r="M58" s="92">
        <f>VLOOKUP($A58,'Data Vlaue (Cr)'!$C:$FB,98)</f>
        <v>-0.28100000000000003</v>
      </c>
      <c r="N58" s="91">
        <f>VLOOKUP($A58,'Data Vlaue (Cr)'!$C:$FB,79)</f>
        <v>354</v>
      </c>
      <c r="O58" s="92">
        <f>VLOOKUP($A58,'Data Vlaue (Cr)'!$C:$FB,82)</f>
        <v>-0.32429999999999998</v>
      </c>
    </row>
    <row r="59" spans="1:15" x14ac:dyDescent="0.25">
      <c r="A59" s="97" t="str">
        <f>'Data Vlaue (Cr)'!C54</f>
        <v>DELHIVERY</v>
      </c>
      <c r="B59" s="142">
        <f>VLOOKUP(A59,'Data Vlaue (Cr)'!C54:CW267,99,0)</f>
        <v>1397</v>
      </c>
      <c r="C59" s="90">
        <f>VLOOKUP(A59,'Data Vlaue (Cr)'!C54:CY267,101,0)</f>
        <v>-41</v>
      </c>
      <c r="D59" s="139">
        <f>VLOOKUP(A59,'Data Vlaue (Cr)'!C54:CZ267,102,0)</f>
        <v>-2.8799999999999999E-2</v>
      </c>
      <c r="E59" s="91">
        <f>VLOOKUP($A59,'Data Vlaue (Cr)'!$C:$FB,75)</f>
        <v>891</v>
      </c>
      <c r="F59" s="91">
        <f>VLOOKUP($A59,'Data Vlaue (Cr)'!$C:$FB,77)</f>
        <v>13</v>
      </c>
      <c r="G59" s="92">
        <f>VLOOKUP(A59,'Data Vlaue (Cr)'!C54:CB267,78,0)</f>
        <v>1.47E-2</v>
      </c>
      <c r="H59" s="91">
        <f>VLOOKUP($A59,'Data Vlaue (Cr)'!$C:$FB,91)</f>
        <v>279</v>
      </c>
      <c r="I59" s="91">
        <f>VLOOKUP($A59,'Data Vlaue (Cr)'!$C:$FB,93)</f>
        <v>-37</v>
      </c>
      <c r="J59" s="92">
        <f>VLOOKUP($A59,'Data Vlaue (Cr)'!$C:$FB,94)</f>
        <v>-0.11609999999999999</v>
      </c>
      <c r="K59" s="91">
        <f>VLOOKUP($A59,'Data Vlaue (Cr)'!$C:$FB,95)</f>
        <v>227</v>
      </c>
      <c r="L59" s="91">
        <f>VLOOKUP($A59,'Data Vlaue (Cr)'!$C:$FB,97)</f>
        <v>-18</v>
      </c>
      <c r="M59" s="92">
        <f>VLOOKUP($A59,'Data Vlaue (Cr)'!$C:$FB,98)</f>
        <v>-7.2099999999999997E-2</v>
      </c>
      <c r="N59" s="91">
        <f>VLOOKUP($A59,'Data Vlaue (Cr)'!$C:$FB,79)</f>
        <v>406</v>
      </c>
      <c r="O59" s="92">
        <f>VLOOKUP($A59,'Data Vlaue (Cr)'!$C:$FB,82)</f>
        <v>-0.37130000000000002</v>
      </c>
    </row>
    <row r="60" spans="1:15" x14ac:dyDescent="0.25">
      <c r="A60" s="97" t="str">
        <f>'Data Vlaue (Cr)'!C55</f>
        <v>DIVISLAB</v>
      </c>
      <c r="B60" s="142">
        <f>VLOOKUP(A60,'Data Vlaue (Cr)'!C55:CW268,99,0)</f>
        <v>3890</v>
      </c>
      <c r="C60" s="90">
        <f>VLOOKUP(A60,'Data Vlaue (Cr)'!C55:CY268,101,0)</f>
        <v>25</v>
      </c>
      <c r="D60" s="139">
        <f>VLOOKUP(A60,'Data Vlaue (Cr)'!C55:CZ268,102,0)</f>
        <v>6.6E-3</v>
      </c>
      <c r="E60" s="91">
        <f>VLOOKUP($A60,'Data Vlaue (Cr)'!$C:$FB,75)</f>
        <v>2166</v>
      </c>
      <c r="F60" s="91">
        <f>VLOOKUP($A60,'Data Vlaue (Cr)'!$C:$FB,77)</f>
        <v>54</v>
      </c>
      <c r="G60" s="92">
        <f>VLOOKUP(A60,'Data Vlaue (Cr)'!C55:CB268,78,0)</f>
        <v>2.5499999999999998E-2</v>
      </c>
      <c r="H60" s="91">
        <f>VLOOKUP($A60,'Data Vlaue (Cr)'!$C:$FB,91)</f>
        <v>1157</v>
      </c>
      <c r="I60" s="91">
        <f>VLOOKUP($A60,'Data Vlaue (Cr)'!$C:$FB,93)</f>
        <v>-6</v>
      </c>
      <c r="J60" s="92">
        <f>VLOOKUP($A60,'Data Vlaue (Cr)'!$C:$FB,94)</f>
        <v>-4.7999999999999996E-3</v>
      </c>
      <c r="K60" s="91">
        <f>VLOOKUP($A60,'Data Vlaue (Cr)'!$C:$FB,95)</f>
        <v>567</v>
      </c>
      <c r="L60" s="91">
        <f>VLOOKUP($A60,'Data Vlaue (Cr)'!$C:$FB,97)</f>
        <v>-23</v>
      </c>
      <c r="M60" s="92">
        <f>VLOOKUP($A60,'Data Vlaue (Cr)'!$C:$FB,98)</f>
        <v>-3.8600000000000002E-2</v>
      </c>
      <c r="N60" s="91">
        <f>VLOOKUP($A60,'Data Vlaue (Cr)'!$C:$FB,79)</f>
        <v>801</v>
      </c>
      <c r="O60" s="92">
        <f>VLOOKUP($A60,'Data Vlaue (Cr)'!$C:$FB,82)</f>
        <v>-0.44940000000000002</v>
      </c>
    </row>
    <row r="61" spans="1:15" x14ac:dyDescent="0.25">
      <c r="A61" s="97" t="str">
        <f>'Data Vlaue (Cr)'!C56</f>
        <v>DIXON</v>
      </c>
      <c r="B61" s="142">
        <f>VLOOKUP(A61,'Data Vlaue (Cr)'!C56:CW269,99,0)</f>
        <v>9908</v>
      </c>
      <c r="C61" s="90">
        <f>VLOOKUP(A61,'Data Vlaue (Cr)'!C56:CY269,101,0)</f>
        <v>-46</v>
      </c>
      <c r="D61" s="139">
        <f>VLOOKUP(A61,'Data Vlaue (Cr)'!C56:CZ269,102,0)</f>
        <v>-4.5999999999999999E-3</v>
      </c>
      <c r="E61" s="91">
        <f>VLOOKUP($A61,'Data Vlaue (Cr)'!$C:$FB,75)</f>
        <v>3851</v>
      </c>
      <c r="F61" s="91">
        <f>VLOOKUP($A61,'Data Vlaue (Cr)'!$C:$FB,77)</f>
        <v>66</v>
      </c>
      <c r="G61" s="92">
        <f>VLOOKUP(A61,'Data Vlaue (Cr)'!C56:CB269,78,0)</f>
        <v>1.7500000000000002E-2</v>
      </c>
      <c r="H61" s="91">
        <f>VLOOKUP($A61,'Data Vlaue (Cr)'!$C:$FB,91)</f>
        <v>3960</v>
      </c>
      <c r="I61" s="91">
        <f>VLOOKUP($A61,'Data Vlaue (Cr)'!$C:$FB,93)</f>
        <v>-56</v>
      </c>
      <c r="J61" s="92">
        <f>VLOOKUP($A61,'Data Vlaue (Cr)'!$C:$FB,94)</f>
        <v>-1.3899999999999999E-2</v>
      </c>
      <c r="K61" s="91">
        <f>VLOOKUP($A61,'Data Vlaue (Cr)'!$C:$FB,95)</f>
        <v>2097</v>
      </c>
      <c r="L61" s="91">
        <f>VLOOKUP($A61,'Data Vlaue (Cr)'!$C:$FB,97)</f>
        <v>-56</v>
      </c>
      <c r="M61" s="92">
        <f>VLOOKUP($A61,'Data Vlaue (Cr)'!$C:$FB,98)</f>
        <v>-2.6100000000000002E-2</v>
      </c>
      <c r="N61" s="91">
        <f>VLOOKUP($A61,'Data Vlaue (Cr)'!$C:$FB,79)</f>
        <v>2100</v>
      </c>
      <c r="O61" s="92">
        <f>VLOOKUP($A61,'Data Vlaue (Cr)'!$C:$FB,82)</f>
        <v>-0.20930000000000001</v>
      </c>
    </row>
    <row r="62" spans="1:15" x14ac:dyDescent="0.25">
      <c r="A62" s="97" t="str">
        <f>'Data Vlaue (Cr)'!C57</f>
        <v>DLF</v>
      </c>
      <c r="B62" s="142">
        <f>VLOOKUP(A62,'Data Vlaue (Cr)'!C57:CW270,99,0)</f>
        <v>6300</v>
      </c>
      <c r="C62" s="90">
        <f>VLOOKUP(A62,'Data Vlaue (Cr)'!C57:CY270,101,0)</f>
        <v>353</v>
      </c>
      <c r="D62" s="139">
        <f>VLOOKUP(A62,'Data Vlaue (Cr)'!C57:CZ270,102,0)</f>
        <v>5.9299999999999999E-2</v>
      </c>
      <c r="E62" s="91">
        <f>VLOOKUP($A62,'Data Vlaue (Cr)'!$C:$FB,75)</f>
        <v>3771</v>
      </c>
      <c r="F62" s="91">
        <f>VLOOKUP($A62,'Data Vlaue (Cr)'!$C:$FB,77)</f>
        <v>62</v>
      </c>
      <c r="G62" s="92">
        <f>VLOOKUP(A62,'Data Vlaue (Cr)'!C57:CB270,78,0)</f>
        <v>1.67E-2</v>
      </c>
      <c r="H62" s="91">
        <f>VLOOKUP($A62,'Data Vlaue (Cr)'!$C:$FB,91)</f>
        <v>1579</v>
      </c>
      <c r="I62" s="91">
        <f>VLOOKUP($A62,'Data Vlaue (Cr)'!$C:$FB,93)</f>
        <v>141</v>
      </c>
      <c r="J62" s="92">
        <f>VLOOKUP($A62,'Data Vlaue (Cr)'!$C:$FB,94)</f>
        <v>9.7900000000000001E-2</v>
      </c>
      <c r="K62" s="91">
        <f>VLOOKUP($A62,'Data Vlaue (Cr)'!$C:$FB,95)</f>
        <v>950</v>
      </c>
      <c r="L62" s="91">
        <f>VLOOKUP($A62,'Data Vlaue (Cr)'!$C:$FB,97)</f>
        <v>150</v>
      </c>
      <c r="M62" s="92">
        <f>VLOOKUP($A62,'Data Vlaue (Cr)'!$C:$FB,98)</f>
        <v>0.18709999999999999</v>
      </c>
      <c r="N62" s="91">
        <f>VLOOKUP($A62,'Data Vlaue (Cr)'!$C:$FB,79)</f>
        <v>1681</v>
      </c>
      <c r="O62" s="92">
        <f>VLOOKUP($A62,'Data Vlaue (Cr)'!$C:$FB,82)</f>
        <v>-0.29220000000000002</v>
      </c>
    </row>
    <row r="63" spans="1:15" x14ac:dyDescent="0.25">
      <c r="A63" s="97" t="str">
        <f>'Data Vlaue (Cr)'!C58</f>
        <v>DMART</v>
      </c>
      <c r="B63" s="142">
        <f>VLOOKUP(A63,'Data Vlaue (Cr)'!C58:CW271,99,0)</f>
        <v>3789</v>
      </c>
      <c r="C63" s="90">
        <f>VLOOKUP(A63,'Data Vlaue (Cr)'!C58:CY271,101,0)</f>
        <v>-225</v>
      </c>
      <c r="D63" s="139">
        <f>VLOOKUP(A63,'Data Vlaue (Cr)'!C58:CZ271,102,0)</f>
        <v>-5.62E-2</v>
      </c>
      <c r="E63" s="91">
        <f>VLOOKUP($A63,'Data Vlaue (Cr)'!$C:$FB,75)</f>
        <v>1958</v>
      </c>
      <c r="F63" s="91">
        <f>VLOOKUP($A63,'Data Vlaue (Cr)'!$C:$FB,77)</f>
        <v>-48</v>
      </c>
      <c r="G63" s="92">
        <f>VLOOKUP(A63,'Data Vlaue (Cr)'!C58:CB271,78,0)</f>
        <v>-2.3800000000000002E-2</v>
      </c>
      <c r="H63" s="91">
        <f>VLOOKUP($A63,'Data Vlaue (Cr)'!$C:$FB,91)</f>
        <v>1315</v>
      </c>
      <c r="I63" s="91">
        <f>VLOOKUP($A63,'Data Vlaue (Cr)'!$C:$FB,93)</f>
        <v>-131</v>
      </c>
      <c r="J63" s="92">
        <f>VLOOKUP($A63,'Data Vlaue (Cr)'!$C:$FB,94)</f>
        <v>-9.0700000000000003E-2</v>
      </c>
      <c r="K63" s="91">
        <f>VLOOKUP($A63,'Data Vlaue (Cr)'!$C:$FB,95)</f>
        <v>515</v>
      </c>
      <c r="L63" s="91">
        <f>VLOOKUP($A63,'Data Vlaue (Cr)'!$C:$FB,97)</f>
        <v>-46</v>
      </c>
      <c r="M63" s="92">
        <f>VLOOKUP($A63,'Data Vlaue (Cr)'!$C:$FB,98)</f>
        <v>-8.2600000000000007E-2</v>
      </c>
      <c r="N63" s="91">
        <f>VLOOKUP($A63,'Data Vlaue (Cr)'!$C:$FB,79)</f>
        <v>637</v>
      </c>
      <c r="O63" s="92">
        <f>VLOOKUP($A63,'Data Vlaue (Cr)'!$C:$FB,82)</f>
        <v>-0.46960000000000002</v>
      </c>
    </row>
    <row r="64" spans="1:15" x14ac:dyDescent="0.25">
      <c r="A64" s="97" t="str">
        <f>'Data Vlaue (Cr)'!C59</f>
        <v>DRREDDY</v>
      </c>
      <c r="B64" s="142">
        <f>VLOOKUP(A64,'Data Vlaue (Cr)'!C59:CW272,99,0)</f>
        <v>4057</v>
      </c>
      <c r="C64" s="90">
        <f>VLOOKUP(A64,'Data Vlaue (Cr)'!C59:CY272,101,0)</f>
        <v>-93</v>
      </c>
      <c r="D64" s="139">
        <f>VLOOKUP(A64,'Data Vlaue (Cr)'!C59:CZ272,102,0)</f>
        <v>-2.24E-2</v>
      </c>
      <c r="E64" s="91">
        <f>VLOOKUP($A64,'Data Vlaue (Cr)'!$C:$FB,75)</f>
        <v>1844</v>
      </c>
      <c r="F64" s="91">
        <f>VLOOKUP($A64,'Data Vlaue (Cr)'!$C:$FB,77)</f>
        <v>17</v>
      </c>
      <c r="G64" s="92">
        <f>VLOOKUP(A64,'Data Vlaue (Cr)'!C59:CB272,78,0)</f>
        <v>9.4000000000000004E-3</v>
      </c>
      <c r="H64" s="91">
        <f>VLOOKUP($A64,'Data Vlaue (Cr)'!$C:$FB,91)</f>
        <v>1383</v>
      </c>
      <c r="I64" s="91">
        <f>VLOOKUP($A64,'Data Vlaue (Cr)'!$C:$FB,93)</f>
        <v>-53</v>
      </c>
      <c r="J64" s="92">
        <f>VLOOKUP($A64,'Data Vlaue (Cr)'!$C:$FB,94)</f>
        <v>-3.6600000000000001E-2</v>
      </c>
      <c r="K64" s="91">
        <f>VLOOKUP($A64,'Data Vlaue (Cr)'!$C:$FB,95)</f>
        <v>829</v>
      </c>
      <c r="L64" s="91">
        <f>VLOOKUP($A64,'Data Vlaue (Cr)'!$C:$FB,97)</f>
        <v>-58</v>
      </c>
      <c r="M64" s="92">
        <f>VLOOKUP($A64,'Data Vlaue (Cr)'!$C:$FB,98)</f>
        <v>-6.5000000000000002E-2</v>
      </c>
      <c r="N64" s="91">
        <f>VLOOKUP($A64,'Data Vlaue (Cr)'!$C:$FB,79)</f>
        <v>923</v>
      </c>
      <c r="O64" s="92">
        <f>VLOOKUP($A64,'Data Vlaue (Cr)'!$C:$FB,82)</f>
        <v>-0.35930000000000001</v>
      </c>
    </row>
    <row r="65" spans="1:15" x14ac:dyDescent="0.25">
      <c r="A65" s="97" t="str">
        <f>'Data Vlaue (Cr)'!C60</f>
        <v>EICHERMOT</v>
      </c>
      <c r="B65" s="142">
        <f>VLOOKUP(A65,'Data Vlaue (Cr)'!C60:CW273,99,0)</f>
        <v>4172</v>
      </c>
      <c r="C65" s="90">
        <f>VLOOKUP(A65,'Data Vlaue (Cr)'!C60:CY273,101,0)</f>
        <v>72</v>
      </c>
      <c r="D65" s="139">
        <f>VLOOKUP(A65,'Data Vlaue (Cr)'!C60:CZ273,102,0)</f>
        <v>1.7600000000000001E-2</v>
      </c>
      <c r="E65" s="91">
        <f>VLOOKUP($A65,'Data Vlaue (Cr)'!$C:$FB,75)</f>
        <v>2145</v>
      </c>
      <c r="F65" s="91">
        <f>VLOOKUP($A65,'Data Vlaue (Cr)'!$C:$FB,77)</f>
        <v>12</v>
      </c>
      <c r="G65" s="92">
        <f>VLOOKUP(A65,'Data Vlaue (Cr)'!C60:CB273,78,0)</f>
        <v>5.4000000000000003E-3</v>
      </c>
      <c r="H65" s="91">
        <f>VLOOKUP($A65,'Data Vlaue (Cr)'!$C:$FB,91)</f>
        <v>1359</v>
      </c>
      <c r="I65" s="91">
        <f>VLOOKUP($A65,'Data Vlaue (Cr)'!$C:$FB,93)</f>
        <v>58</v>
      </c>
      <c r="J65" s="92">
        <f>VLOOKUP($A65,'Data Vlaue (Cr)'!$C:$FB,94)</f>
        <v>4.48E-2</v>
      </c>
      <c r="K65" s="91">
        <f>VLOOKUP($A65,'Data Vlaue (Cr)'!$C:$FB,95)</f>
        <v>667</v>
      </c>
      <c r="L65" s="91">
        <f>VLOOKUP($A65,'Data Vlaue (Cr)'!$C:$FB,97)</f>
        <v>2</v>
      </c>
      <c r="M65" s="92">
        <f>VLOOKUP($A65,'Data Vlaue (Cr)'!$C:$FB,98)</f>
        <v>3.7000000000000002E-3</v>
      </c>
      <c r="N65" s="91">
        <f>VLOOKUP($A65,'Data Vlaue (Cr)'!$C:$FB,79)</f>
        <v>1009</v>
      </c>
      <c r="O65" s="92">
        <f>VLOOKUP($A65,'Data Vlaue (Cr)'!$C:$FB,82)</f>
        <v>-0.3629</v>
      </c>
    </row>
    <row r="66" spans="1:15" x14ac:dyDescent="0.25">
      <c r="A66" s="97" t="str">
        <f>'Data Vlaue (Cr)'!C61</f>
        <v>ETERNAL</v>
      </c>
      <c r="B66" s="142">
        <f>VLOOKUP(A66,'Data Vlaue (Cr)'!C61:CW274,99,0)</f>
        <v>14223</v>
      </c>
      <c r="C66" s="90">
        <f>VLOOKUP(A66,'Data Vlaue (Cr)'!C61:CY274,101,0)</f>
        <v>37</v>
      </c>
      <c r="D66" s="139">
        <f>VLOOKUP(A66,'Data Vlaue (Cr)'!C61:CZ274,102,0)</f>
        <v>2.5999999999999999E-3</v>
      </c>
      <c r="E66" s="91">
        <f>VLOOKUP($A66,'Data Vlaue (Cr)'!$C:$FB,75)</f>
        <v>9525</v>
      </c>
      <c r="F66" s="91">
        <f>VLOOKUP($A66,'Data Vlaue (Cr)'!$C:$FB,77)</f>
        <v>341</v>
      </c>
      <c r="G66" s="92">
        <f>VLOOKUP(A66,'Data Vlaue (Cr)'!C61:CB274,78,0)</f>
        <v>3.7100000000000001E-2</v>
      </c>
      <c r="H66" s="91">
        <f>VLOOKUP($A66,'Data Vlaue (Cr)'!$C:$FB,91)</f>
        <v>3030</v>
      </c>
      <c r="I66" s="91">
        <f>VLOOKUP($A66,'Data Vlaue (Cr)'!$C:$FB,93)</f>
        <v>197</v>
      </c>
      <c r="J66" s="92">
        <f>VLOOKUP($A66,'Data Vlaue (Cr)'!$C:$FB,94)</f>
        <v>6.9599999999999995E-2</v>
      </c>
      <c r="K66" s="91">
        <f>VLOOKUP($A66,'Data Vlaue (Cr)'!$C:$FB,95)</f>
        <v>1669</v>
      </c>
      <c r="L66" s="91">
        <f>VLOOKUP($A66,'Data Vlaue (Cr)'!$C:$FB,97)</f>
        <v>-501</v>
      </c>
      <c r="M66" s="92">
        <f>VLOOKUP($A66,'Data Vlaue (Cr)'!$C:$FB,98)</f>
        <v>-0.23080000000000001</v>
      </c>
      <c r="N66" s="91">
        <f>VLOOKUP($A66,'Data Vlaue (Cr)'!$C:$FB,79)</f>
        <v>2949</v>
      </c>
      <c r="O66" s="92">
        <f>VLOOKUP($A66,'Data Vlaue (Cr)'!$C:$FB,82)</f>
        <v>-0.46560000000000001</v>
      </c>
    </row>
    <row r="67" spans="1:15" x14ac:dyDescent="0.25">
      <c r="A67" s="97" t="str">
        <f>'Data Vlaue (Cr)'!C62</f>
        <v>EXIDEIND</v>
      </c>
      <c r="B67" s="142">
        <f>VLOOKUP(A67,'Data Vlaue (Cr)'!C62:CW275,99,0)</f>
        <v>2122</v>
      </c>
      <c r="C67" s="90">
        <f>VLOOKUP(A67,'Data Vlaue (Cr)'!C62:CY275,101,0)</f>
        <v>-127</v>
      </c>
      <c r="D67" s="139">
        <f>VLOOKUP(A67,'Data Vlaue (Cr)'!C62:CZ275,102,0)</f>
        <v>-5.6500000000000002E-2</v>
      </c>
      <c r="E67" s="91">
        <f>VLOOKUP($A67,'Data Vlaue (Cr)'!$C:$FB,75)</f>
        <v>1089</v>
      </c>
      <c r="F67" s="91">
        <f>VLOOKUP($A67,'Data Vlaue (Cr)'!$C:$FB,77)</f>
        <v>-30</v>
      </c>
      <c r="G67" s="92">
        <f>VLOOKUP(A67,'Data Vlaue (Cr)'!C62:CB275,78,0)</f>
        <v>-2.7199999999999998E-2</v>
      </c>
      <c r="H67" s="91">
        <f>VLOOKUP($A67,'Data Vlaue (Cr)'!$C:$FB,91)</f>
        <v>630</v>
      </c>
      <c r="I67" s="91">
        <f>VLOOKUP($A67,'Data Vlaue (Cr)'!$C:$FB,93)</f>
        <v>-79</v>
      </c>
      <c r="J67" s="92">
        <f>VLOOKUP($A67,'Data Vlaue (Cr)'!$C:$FB,94)</f>
        <v>-0.11119999999999999</v>
      </c>
      <c r="K67" s="91">
        <f>VLOOKUP($A67,'Data Vlaue (Cr)'!$C:$FB,95)</f>
        <v>403</v>
      </c>
      <c r="L67" s="91">
        <f>VLOOKUP($A67,'Data Vlaue (Cr)'!$C:$FB,97)</f>
        <v>-18</v>
      </c>
      <c r="M67" s="92">
        <f>VLOOKUP($A67,'Data Vlaue (Cr)'!$C:$FB,98)</f>
        <v>-4.2299999999999997E-2</v>
      </c>
      <c r="N67" s="91">
        <f>VLOOKUP($A67,'Data Vlaue (Cr)'!$C:$FB,79)</f>
        <v>561</v>
      </c>
      <c r="O67" s="92">
        <f>VLOOKUP($A67,'Data Vlaue (Cr)'!$C:$FB,82)</f>
        <v>-0.27979999999999999</v>
      </c>
    </row>
    <row r="68" spans="1:15" x14ac:dyDescent="0.25">
      <c r="A68" s="97" t="str">
        <f>'Data Vlaue (Cr)'!C63</f>
        <v>FEDERALBNK</v>
      </c>
      <c r="B68" s="142">
        <f>VLOOKUP(A68,'Data Vlaue (Cr)'!C63:CW276,99,0)</f>
        <v>5414</v>
      </c>
      <c r="C68" s="90">
        <f>VLOOKUP(A68,'Data Vlaue (Cr)'!C63:CY276,101,0)</f>
        <v>66</v>
      </c>
      <c r="D68" s="139">
        <f>VLOOKUP(A68,'Data Vlaue (Cr)'!C63:CZ276,102,0)</f>
        <v>1.23E-2</v>
      </c>
      <c r="E68" s="91">
        <f>VLOOKUP($A68,'Data Vlaue (Cr)'!$C:$FB,75)</f>
        <v>1917</v>
      </c>
      <c r="F68" s="91">
        <f>VLOOKUP($A68,'Data Vlaue (Cr)'!$C:$FB,77)</f>
        <v>121</v>
      </c>
      <c r="G68" s="92">
        <f>VLOOKUP(A68,'Data Vlaue (Cr)'!C63:CB276,78,0)</f>
        <v>6.7100000000000007E-2</v>
      </c>
      <c r="H68" s="91">
        <f>VLOOKUP($A68,'Data Vlaue (Cr)'!$C:$FB,91)</f>
        <v>1637</v>
      </c>
      <c r="I68" s="91">
        <f>VLOOKUP($A68,'Data Vlaue (Cr)'!$C:$FB,93)</f>
        <v>-63</v>
      </c>
      <c r="J68" s="92">
        <f>VLOOKUP($A68,'Data Vlaue (Cr)'!$C:$FB,94)</f>
        <v>-3.7100000000000001E-2</v>
      </c>
      <c r="K68" s="91">
        <f>VLOOKUP($A68,'Data Vlaue (Cr)'!$C:$FB,95)</f>
        <v>1860</v>
      </c>
      <c r="L68" s="91">
        <f>VLOOKUP($A68,'Data Vlaue (Cr)'!$C:$FB,97)</f>
        <v>8</v>
      </c>
      <c r="M68" s="92">
        <f>VLOOKUP($A68,'Data Vlaue (Cr)'!$C:$FB,98)</f>
        <v>4.5999999999999999E-3</v>
      </c>
      <c r="N68" s="91">
        <f>VLOOKUP($A68,'Data Vlaue (Cr)'!$C:$FB,79)</f>
        <v>845</v>
      </c>
      <c r="O68" s="92">
        <f>VLOOKUP($A68,'Data Vlaue (Cr)'!$C:$FB,82)</f>
        <v>-0.25569999999999998</v>
      </c>
    </row>
    <row r="69" spans="1:15" x14ac:dyDescent="0.25">
      <c r="A69" s="97" t="str">
        <f>'Data Vlaue (Cr)'!C64</f>
        <v>FINNIFTY</v>
      </c>
      <c r="B69" s="142">
        <f>VLOOKUP(A69,'Data Vlaue (Cr)'!C64:CW277,99,0)</f>
        <v>6007</v>
      </c>
      <c r="C69" s="90">
        <f>VLOOKUP(A69,'Data Vlaue (Cr)'!C64:CY277,101,0)</f>
        <v>-568</v>
      </c>
      <c r="D69" s="139">
        <f>VLOOKUP(A69,'Data Vlaue (Cr)'!C64:CZ277,102,0)</f>
        <v>-8.6400000000000005E-2</v>
      </c>
      <c r="E69" s="91">
        <f>VLOOKUP($A69,'Data Vlaue (Cr)'!$C:$FB,75)</f>
        <v>155</v>
      </c>
      <c r="F69" s="91">
        <f>VLOOKUP($A69,'Data Vlaue (Cr)'!$C:$FB,77)</f>
        <v>5</v>
      </c>
      <c r="G69" s="92">
        <f>VLOOKUP(A69,'Data Vlaue (Cr)'!C64:CB277,78,0)</f>
        <v>3.49E-2</v>
      </c>
      <c r="H69" s="91">
        <f>VLOOKUP($A69,'Data Vlaue (Cr)'!$C:$FB,91)</f>
        <v>3264</v>
      </c>
      <c r="I69" s="91">
        <f>VLOOKUP($A69,'Data Vlaue (Cr)'!$C:$FB,93)</f>
        <v>-1048</v>
      </c>
      <c r="J69" s="92">
        <f>VLOOKUP($A69,'Data Vlaue (Cr)'!$C:$FB,94)</f>
        <v>-0.24299999999999999</v>
      </c>
      <c r="K69" s="91">
        <f>VLOOKUP($A69,'Data Vlaue (Cr)'!$C:$FB,95)</f>
        <v>2588</v>
      </c>
      <c r="L69" s="91">
        <f>VLOOKUP($A69,'Data Vlaue (Cr)'!$C:$FB,97)</f>
        <v>474</v>
      </c>
      <c r="M69" s="92">
        <f>VLOOKUP($A69,'Data Vlaue (Cr)'!$C:$FB,98)</f>
        <v>0.22439999999999999</v>
      </c>
      <c r="N69" s="91">
        <f>VLOOKUP($A69,'Data Vlaue (Cr)'!$C:$FB,79)</f>
        <v>131</v>
      </c>
      <c r="O69" s="92">
        <f>VLOOKUP($A69,'Data Vlaue (Cr)'!$C:$FB,82)</f>
        <v>2.5000000000000001E-3</v>
      </c>
    </row>
    <row r="70" spans="1:15" x14ac:dyDescent="0.25">
      <c r="A70" s="97" t="str">
        <f>'Data Vlaue (Cr)'!C65</f>
        <v>FORTIS</v>
      </c>
      <c r="B70" s="142">
        <f>VLOOKUP(A70,'Data Vlaue (Cr)'!C65:CW278,99,0)</f>
        <v>1693</v>
      </c>
      <c r="C70" s="90">
        <f>VLOOKUP(A70,'Data Vlaue (Cr)'!C65:CY278,101,0)</f>
        <v>164</v>
      </c>
      <c r="D70" s="139">
        <f>VLOOKUP(A70,'Data Vlaue (Cr)'!C65:CZ278,102,0)</f>
        <v>0.1071</v>
      </c>
      <c r="E70" s="91">
        <f>VLOOKUP($A70,'Data Vlaue (Cr)'!$C:$FB,75)</f>
        <v>1071</v>
      </c>
      <c r="F70" s="91">
        <f>VLOOKUP($A70,'Data Vlaue (Cr)'!$C:$FB,77)</f>
        <v>99</v>
      </c>
      <c r="G70" s="92">
        <f>VLOOKUP(A70,'Data Vlaue (Cr)'!C65:CB278,78,0)</f>
        <v>0.1016</v>
      </c>
      <c r="H70" s="91">
        <f>VLOOKUP($A70,'Data Vlaue (Cr)'!$C:$FB,91)</f>
        <v>373</v>
      </c>
      <c r="I70" s="91">
        <f>VLOOKUP($A70,'Data Vlaue (Cr)'!$C:$FB,93)</f>
        <v>42</v>
      </c>
      <c r="J70" s="92">
        <f>VLOOKUP($A70,'Data Vlaue (Cr)'!$C:$FB,94)</f>
        <v>0.1258</v>
      </c>
      <c r="K70" s="91">
        <f>VLOOKUP($A70,'Data Vlaue (Cr)'!$C:$FB,95)</f>
        <v>250</v>
      </c>
      <c r="L70" s="91">
        <f>VLOOKUP($A70,'Data Vlaue (Cr)'!$C:$FB,97)</f>
        <v>23</v>
      </c>
      <c r="M70" s="92">
        <f>VLOOKUP($A70,'Data Vlaue (Cr)'!$C:$FB,98)</f>
        <v>0.1033</v>
      </c>
      <c r="N70" s="91">
        <f>VLOOKUP($A70,'Data Vlaue (Cr)'!$C:$FB,79)</f>
        <v>430</v>
      </c>
      <c r="O70" s="92">
        <f>VLOOKUP($A70,'Data Vlaue (Cr)'!$C:$FB,82)</f>
        <v>-0.4168</v>
      </c>
    </row>
    <row r="71" spans="1:15" x14ac:dyDescent="0.25">
      <c r="A71" s="97" t="str">
        <f>'Data Vlaue (Cr)'!C66</f>
        <v>GAIL</v>
      </c>
      <c r="B71" s="142">
        <f>VLOOKUP(A71,'Data Vlaue (Cr)'!C66:CW279,99,0)</f>
        <v>2775</v>
      </c>
      <c r="C71" s="90">
        <f>VLOOKUP(A71,'Data Vlaue (Cr)'!C66:CY279,101,0)</f>
        <v>-88</v>
      </c>
      <c r="D71" s="139">
        <f>VLOOKUP(A71,'Data Vlaue (Cr)'!C66:CZ279,102,0)</f>
        <v>-3.0800000000000001E-2</v>
      </c>
      <c r="E71" s="91">
        <f>VLOOKUP($A71,'Data Vlaue (Cr)'!$C:$FB,75)</f>
        <v>1520</v>
      </c>
      <c r="F71" s="91">
        <f>VLOOKUP($A71,'Data Vlaue (Cr)'!$C:$FB,77)</f>
        <v>-74</v>
      </c>
      <c r="G71" s="92">
        <f>VLOOKUP(A71,'Data Vlaue (Cr)'!C66:CB279,78,0)</f>
        <v>-4.6699999999999998E-2</v>
      </c>
      <c r="H71" s="91">
        <f>VLOOKUP($A71,'Data Vlaue (Cr)'!$C:$FB,91)</f>
        <v>689</v>
      </c>
      <c r="I71" s="91">
        <f>VLOOKUP($A71,'Data Vlaue (Cr)'!$C:$FB,93)</f>
        <v>-14</v>
      </c>
      <c r="J71" s="92">
        <f>VLOOKUP($A71,'Data Vlaue (Cr)'!$C:$FB,94)</f>
        <v>-1.95E-2</v>
      </c>
      <c r="K71" s="91">
        <f>VLOOKUP($A71,'Data Vlaue (Cr)'!$C:$FB,95)</f>
        <v>566</v>
      </c>
      <c r="L71" s="91">
        <f>VLOOKUP($A71,'Data Vlaue (Cr)'!$C:$FB,97)</f>
        <v>0</v>
      </c>
      <c r="M71" s="92">
        <f>VLOOKUP($A71,'Data Vlaue (Cr)'!$C:$FB,98)</f>
        <v>1E-4</v>
      </c>
      <c r="N71" s="91">
        <f>VLOOKUP($A71,'Data Vlaue (Cr)'!$C:$FB,79)</f>
        <v>816</v>
      </c>
      <c r="O71" s="92">
        <f>VLOOKUP($A71,'Data Vlaue (Cr)'!$C:$FB,82)</f>
        <v>-0.30170000000000002</v>
      </c>
    </row>
    <row r="72" spans="1:15" x14ac:dyDescent="0.25">
      <c r="A72" s="97" t="str">
        <f>'Data Vlaue (Cr)'!C67</f>
        <v>GLENMARK</v>
      </c>
      <c r="B72" s="142">
        <f>VLOOKUP(A72,'Data Vlaue (Cr)'!C67:CW280,99,0)</f>
        <v>3340</v>
      </c>
      <c r="C72" s="90">
        <f>VLOOKUP(A72,'Data Vlaue (Cr)'!C67:CY280,101,0)</f>
        <v>-144</v>
      </c>
      <c r="D72" s="139">
        <f>VLOOKUP(A72,'Data Vlaue (Cr)'!C67:CZ280,102,0)</f>
        <v>-4.1300000000000003E-2</v>
      </c>
      <c r="E72" s="91">
        <f>VLOOKUP($A72,'Data Vlaue (Cr)'!$C:$FB,75)</f>
        <v>2229</v>
      </c>
      <c r="F72" s="91">
        <f>VLOOKUP($A72,'Data Vlaue (Cr)'!$C:$FB,77)</f>
        <v>-55</v>
      </c>
      <c r="G72" s="92">
        <f>VLOOKUP(A72,'Data Vlaue (Cr)'!C67:CB280,78,0)</f>
        <v>-2.41E-2</v>
      </c>
      <c r="H72" s="91">
        <f>VLOOKUP($A72,'Data Vlaue (Cr)'!$C:$FB,91)</f>
        <v>716</v>
      </c>
      <c r="I72" s="91">
        <f>VLOOKUP($A72,'Data Vlaue (Cr)'!$C:$FB,93)</f>
        <v>-58</v>
      </c>
      <c r="J72" s="92">
        <f>VLOOKUP($A72,'Data Vlaue (Cr)'!$C:$FB,94)</f>
        <v>-7.5499999999999998E-2</v>
      </c>
      <c r="K72" s="91">
        <f>VLOOKUP($A72,'Data Vlaue (Cr)'!$C:$FB,95)</f>
        <v>395</v>
      </c>
      <c r="L72" s="91">
        <f>VLOOKUP($A72,'Data Vlaue (Cr)'!$C:$FB,97)</f>
        <v>-30</v>
      </c>
      <c r="M72" s="92">
        <f>VLOOKUP($A72,'Data Vlaue (Cr)'!$C:$FB,98)</f>
        <v>-7.0999999999999994E-2</v>
      </c>
      <c r="N72" s="91">
        <f>VLOOKUP($A72,'Data Vlaue (Cr)'!$C:$FB,79)</f>
        <v>1115</v>
      </c>
      <c r="O72" s="92">
        <f>VLOOKUP($A72,'Data Vlaue (Cr)'!$C:$FB,82)</f>
        <v>-0.33310000000000001</v>
      </c>
    </row>
    <row r="73" spans="1:15" x14ac:dyDescent="0.25">
      <c r="A73" s="97" t="str">
        <f>'Data Vlaue (Cr)'!C68</f>
        <v>GMRAIRPORT</v>
      </c>
      <c r="B73" s="142">
        <f>VLOOKUP(A73,'Data Vlaue (Cr)'!C68:CW281,99,0)</f>
        <v>3434</v>
      </c>
      <c r="C73" s="90">
        <f>VLOOKUP(A73,'Data Vlaue (Cr)'!C68:CY281,101,0)</f>
        <v>-50</v>
      </c>
      <c r="D73" s="139">
        <f>VLOOKUP(A73,'Data Vlaue (Cr)'!C68:CZ281,102,0)</f>
        <v>-1.43E-2</v>
      </c>
      <c r="E73" s="91">
        <f>VLOOKUP($A73,'Data Vlaue (Cr)'!$C:$FB,75)</f>
        <v>1730</v>
      </c>
      <c r="F73" s="91">
        <f>VLOOKUP($A73,'Data Vlaue (Cr)'!$C:$FB,77)</f>
        <v>9</v>
      </c>
      <c r="G73" s="92">
        <f>VLOOKUP(A73,'Data Vlaue (Cr)'!C68:CB281,78,0)</f>
        <v>5.4000000000000003E-3</v>
      </c>
      <c r="H73" s="91">
        <f>VLOOKUP($A73,'Data Vlaue (Cr)'!$C:$FB,91)</f>
        <v>1114</v>
      </c>
      <c r="I73" s="91">
        <f>VLOOKUP($A73,'Data Vlaue (Cr)'!$C:$FB,93)</f>
        <v>-74</v>
      </c>
      <c r="J73" s="92">
        <f>VLOOKUP($A73,'Data Vlaue (Cr)'!$C:$FB,94)</f>
        <v>-6.25E-2</v>
      </c>
      <c r="K73" s="91">
        <f>VLOOKUP($A73,'Data Vlaue (Cr)'!$C:$FB,95)</f>
        <v>590</v>
      </c>
      <c r="L73" s="91">
        <f>VLOOKUP($A73,'Data Vlaue (Cr)'!$C:$FB,97)</f>
        <v>15</v>
      </c>
      <c r="M73" s="92">
        <f>VLOOKUP($A73,'Data Vlaue (Cr)'!$C:$FB,98)</f>
        <v>2.6200000000000001E-2</v>
      </c>
      <c r="N73" s="91">
        <f>VLOOKUP($A73,'Data Vlaue (Cr)'!$C:$FB,79)</f>
        <v>976</v>
      </c>
      <c r="O73" s="92">
        <f>VLOOKUP($A73,'Data Vlaue (Cr)'!$C:$FB,82)</f>
        <v>-0.2351</v>
      </c>
    </row>
    <row r="74" spans="1:15" x14ac:dyDescent="0.25">
      <c r="A74" s="97" t="str">
        <f>'Data Vlaue (Cr)'!C69</f>
        <v>GODREJCP</v>
      </c>
      <c r="B74" s="142">
        <f>VLOOKUP(A74,'Data Vlaue (Cr)'!C69:CW282,99,0)</f>
        <v>1495</v>
      </c>
      <c r="C74" s="90">
        <f>VLOOKUP(A74,'Data Vlaue (Cr)'!C69:CY282,101,0)</f>
        <v>-42</v>
      </c>
      <c r="D74" s="139">
        <f>VLOOKUP(A74,'Data Vlaue (Cr)'!C69:CZ282,102,0)</f>
        <v>-2.7199999999999998E-2</v>
      </c>
      <c r="E74" s="91">
        <f>VLOOKUP($A74,'Data Vlaue (Cr)'!$C:$FB,75)</f>
        <v>1100</v>
      </c>
      <c r="F74" s="91">
        <f>VLOOKUP($A74,'Data Vlaue (Cr)'!$C:$FB,77)</f>
        <v>10</v>
      </c>
      <c r="G74" s="92">
        <f>VLOOKUP(A74,'Data Vlaue (Cr)'!C69:CB282,78,0)</f>
        <v>8.9999999999999993E-3</v>
      </c>
      <c r="H74" s="91">
        <f>VLOOKUP($A74,'Data Vlaue (Cr)'!$C:$FB,91)</f>
        <v>235</v>
      </c>
      <c r="I74" s="91">
        <f>VLOOKUP($A74,'Data Vlaue (Cr)'!$C:$FB,93)</f>
        <v>-39</v>
      </c>
      <c r="J74" s="92">
        <f>VLOOKUP($A74,'Data Vlaue (Cr)'!$C:$FB,94)</f>
        <v>-0.14219999999999999</v>
      </c>
      <c r="K74" s="91">
        <f>VLOOKUP($A74,'Data Vlaue (Cr)'!$C:$FB,95)</f>
        <v>160</v>
      </c>
      <c r="L74" s="91">
        <f>VLOOKUP($A74,'Data Vlaue (Cr)'!$C:$FB,97)</f>
        <v>-13</v>
      </c>
      <c r="M74" s="92">
        <f>VLOOKUP($A74,'Data Vlaue (Cr)'!$C:$FB,98)</f>
        <v>-7.3499999999999996E-2</v>
      </c>
      <c r="N74" s="91">
        <f>VLOOKUP($A74,'Data Vlaue (Cr)'!$C:$FB,79)</f>
        <v>439</v>
      </c>
      <c r="O74" s="92">
        <f>VLOOKUP($A74,'Data Vlaue (Cr)'!$C:$FB,82)</f>
        <v>-0.46970000000000001</v>
      </c>
    </row>
    <row r="75" spans="1:15" x14ac:dyDescent="0.25">
      <c r="A75" s="97" t="str">
        <f>'Data Vlaue (Cr)'!C70</f>
        <v>GODREJPROP</v>
      </c>
      <c r="B75" s="142">
        <f>VLOOKUP(A75,'Data Vlaue (Cr)'!C70:CW283,99,0)</f>
        <v>3781</v>
      </c>
      <c r="C75" s="90">
        <f>VLOOKUP(A75,'Data Vlaue (Cr)'!C70:CY283,101,0)</f>
        <v>74</v>
      </c>
      <c r="D75" s="139">
        <f>VLOOKUP(A75,'Data Vlaue (Cr)'!C70:CZ283,102,0)</f>
        <v>0.02</v>
      </c>
      <c r="E75" s="91">
        <f>VLOOKUP($A75,'Data Vlaue (Cr)'!$C:$FB,75)</f>
        <v>1899</v>
      </c>
      <c r="F75" s="91">
        <f>VLOOKUP($A75,'Data Vlaue (Cr)'!$C:$FB,77)</f>
        <v>60</v>
      </c>
      <c r="G75" s="92">
        <f>VLOOKUP(A75,'Data Vlaue (Cr)'!C70:CB283,78,0)</f>
        <v>3.2800000000000003E-2</v>
      </c>
      <c r="H75" s="91">
        <f>VLOOKUP($A75,'Data Vlaue (Cr)'!$C:$FB,91)</f>
        <v>1178</v>
      </c>
      <c r="I75" s="91">
        <f>VLOOKUP($A75,'Data Vlaue (Cr)'!$C:$FB,93)</f>
        <v>1</v>
      </c>
      <c r="J75" s="92">
        <f>VLOOKUP($A75,'Data Vlaue (Cr)'!$C:$FB,94)</f>
        <v>8.0000000000000004E-4</v>
      </c>
      <c r="K75" s="91">
        <f>VLOOKUP($A75,'Data Vlaue (Cr)'!$C:$FB,95)</f>
        <v>704</v>
      </c>
      <c r="L75" s="91">
        <f>VLOOKUP($A75,'Data Vlaue (Cr)'!$C:$FB,97)</f>
        <v>13</v>
      </c>
      <c r="M75" s="92">
        <f>VLOOKUP($A75,'Data Vlaue (Cr)'!$C:$FB,98)</f>
        <v>1.8700000000000001E-2</v>
      </c>
      <c r="N75" s="91">
        <f>VLOOKUP($A75,'Data Vlaue (Cr)'!$C:$FB,79)</f>
        <v>755</v>
      </c>
      <c r="O75" s="92">
        <f>VLOOKUP($A75,'Data Vlaue (Cr)'!$C:$FB,82)</f>
        <v>-0.3795</v>
      </c>
    </row>
    <row r="76" spans="1:15" x14ac:dyDescent="0.25">
      <c r="A76" s="97" t="str">
        <f>'Data Vlaue (Cr)'!C71</f>
        <v>GRASIM</v>
      </c>
      <c r="B76" s="142">
        <f>VLOOKUP(A76,'Data Vlaue (Cr)'!C71:CW284,99,0)</f>
        <v>5552</v>
      </c>
      <c r="C76" s="90">
        <f>VLOOKUP(A76,'Data Vlaue (Cr)'!C71:CY284,101,0)</f>
        <v>-81</v>
      </c>
      <c r="D76" s="139">
        <f>VLOOKUP(A76,'Data Vlaue (Cr)'!C71:CZ284,102,0)</f>
        <v>-1.43E-2</v>
      </c>
      <c r="E76" s="91">
        <f>VLOOKUP($A76,'Data Vlaue (Cr)'!$C:$FB,75)</f>
        <v>4692</v>
      </c>
      <c r="F76" s="91">
        <f>VLOOKUP($A76,'Data Vlaue (Cr)'!$C:$FB,77)</f>
        <v>-29</v>
      </c>
      <c r="G76" s="92">
        <f>VLOOKUP(A76,'Data Vlaue (Cr)'!C71:CB284,78,0)</f>
        <v>-6.0000000000000001E-3</v>
      </c>
      <c r="H76" s="91">
        <f>VLOOKUP($A76,'Data Vlaue (Cr)'!$C:$FB,91)</f>
        <v>427</v>
      </c>
      <c r="I76" s="91">
        <f>VLOOKUP($A76,'Data Vlaue (Cr)'!$C:$FB,93)</f>
        <v>-36</v>
      </c>
      <c r="J76" s="92">
        <f>VLOOKUP($A76,'Data Vlaue (Cr)'!$C:$FB,94)</f>
        <v>-7.8399999999999997E-2</v>
      </c>
      <c r="K76" s="91">
        <f>VLOOKUP($A76,'Data Vlaue (Cr)'!$C:$FB,95)</f>
        <v>433</v>
      </c>
      <c r="L76" s="91">
        <f>VLOOKUP($A76,'Data Vlaue (Cr)'!$C:$FB,97)</f>
        <v>-16</v>
      </c>
      <c r="M76" s="92">
        <f>VLOOKUP($A76,'Data Vlaue (Cr)'!$C:$FB,98)</f>
        <v>-3.5299999999999998E-2</v>
      </c>
      <c r="N76" s="91">
        <f>VLOOKUP($A76,'Data Vlaue (Cr)'!$C:$FB,79)</f>
        <v>1412</v>
      </c>
      <c r="O76" s="92">
        <f>VLOOKUP($A76,'Data Vlaue (Cr)'!$C:$FB,82)</f>
        <v>-0.51039999999999996</v>
      </c>
    </row>
    <row r="77" spans="1:15" x14ac:dyDescent="0.25">
      <c r="A77" s="97" t="str">
        <f>'Data Vlaue (Cr)'!C72</f>
        <v>HAL</v>
      </c>
      <c r="B77" s="142">
        <f>VLOOKUP(A77,'Data Vlaue (Cr)'!C72:CW285,99,0)</f>
        <v>8027</v>
      </c>
      <c r="C77" s="90">
        <f>VLOOKUP(A77,'Data Vlaue (Cr)'!C72:CY285,101,0)</f>
        <v>-324</v>
      </c>
      <c r="D77" s="139">
        <f>VLOOKUP(A77,'Data Vlaue (Cr)'!C72:CZ285,102,0)</f>
        <v>-3.8800000000000001E-2</v>
      </c>
      <c r="E77" s="91">
        <f>VLOOKUP($A77,'Data Vlaue (Cr)'!$C:$FB,75)</f>
        <v>4015</v>
      </c>
      <c r="F77" s="91">
        <f>VLOOKUP($A77,'Data Vlaue (Cr)'!$C:$FB,77)</f>
        <v>-60</v>
      </c>
      <c r="G77" s="92">
        <f>VLOOKUP(A77,'Data Vlaue (Cr)'!C72:CB285,78,0)</f>
        <v>-1.46E-2</v>
      </c>
      <c r="H77" s="91">
        <f>VLOOKUP($A77,'Data Vlaue (Cr)'!$C:$FB,91)</f>
        <v>2521</v>
      </c>
      <c r="I77" s="91">
        <f>VLOOKUP($A77,'Data Vlaue (Cr)'!$C:$FB,93)</f>
        <v>-267</v>
      </c>
      <c r="J77" s="92">
        <f>VLOOKUP($A77,'Data Vlaue (Cr)'!$C:$FB,94)</f>
        <v>-9.5600000000000004E-2</v>
      </c>
      <c r="K77" s="91">
        <f>VLOOKUP($A77,'Data Vlaue (Cr)'!$C:$FB,95)</f>
        <v>1490</v>
      </c>
      <c r="L77" s="91">
        <f>VLOOKUP($A77,'Data Vlaue (Cr)'!$C:$FB,97)</f>
        <v>2</v>
      </c>
      <c r="M77" s="92">
        <f>VLOOKUP($A77,'Data Vlaue (Cr)'!$C:$FB,98)</f>
        <v>1.4E-3</v>
      </c>
      <c r="N77" s="91">
        <f>VLOOKUP($A77,'Data Vlaue (Cr)'!$C:$FB,79)</f>
        <v>1994</v>
      </c>
      <c r="O77" s="92">
        <f>VLOOKUP($A77,'Data Vlaue (Cr)'!$C:$FB,82)</f>
        <v>-0.2641</v>
      </c>
    </row>
    <row r="78" spans="1:15" x14ac:dyDescent="0.25">
      <c r="A78" s="97" t="str">
        <f>'Data Vlaue (Cr)'!C73</f>
        <v>HAVELLS</v>
      </c>
      <c r="B78" s="142">
        <f>VLOOKUP(A78,'Data Vlaue (Cr)'!C73:CW286,99,0)</f>
        <v>3014</v>
      </c>
      <c r="C78" s="90">
        <f>VLOOKUP(A78,'Data Vlaue (Cr)'!C73:CY286,101,0)</f>
        <v>-146</v>
      </c>
      <c r="D78" s="139">
        <f>VLOOKUP(A78,'Data Vlaue (Cr)'!C73:CZ286,102,0)</f>
        <v>-4.6100000000000002E-2</v>
      </c>
      <c r="E78" s="91">
        <f>VLOOKUP($A78,'Data Vlaue (Cr)'!$C:$FB,75)</f>
        <v>1392</v>
      </c>
      <c r="F78" s="91">
        <f>VLOOKUP($A78,'Data Vlaue (Cr)'!$C:$FB,77)</f>
        <v>-36</v>
      </c>
      <c r="G78" s="92">
        <f>VLOOKUP(A78,'Data Vlaue (Cr)'!C73:CB286,78,0)</f>
        <v>-2.4899999999999999E-2</v>
      </c>
      <c r="H78" s="91">
        <f>VLOOKUP($A78,'Data Vlaue (Cr)'!$C:$FB,91)</f>
        <v>1005</v>
      </c>
      <c r="I78" s="91">
        <f>VLOOKUP($A78,'Data Vlaue (Cr)'!$C:$FB,93)</f>
        <v>-90</v>
      </c>
      <c r="J78" s="92">
        <f>VLOOKUP($A78,'Data Vlaue (Cr)'!$C:$FB,94)</f>
        <v>-8.2600000000000007E-2</v>
      </c>
      <c r="K78" s="91">
        <f>VLOOKUP($A78,'Data Vlaue (Cr)'!$C:$FB,95)</f>
        <v>617</v>
      </c>
      <c r="L78" s="91">
        <f>VLOOKUP($A78,'Data Vlaue (Cr)'!$C:$FB,97)</f>
        <v>-20</v>
      </c>
      <c r="M78" s="92">
        <f>VLOOKUP($A78,'Data Vlaue (Cr)'!$C:$FB,98)</f>
        <v>-3.0700000000000002E-2</v>
      </c>
      <c r="N78" s="91">
        <f>VLOOKUP($A78,'Data Vlaue (Cr)'!$C:$FB,79)</f>
        <v>650</v>
      </c>
      <c r="O78" s="92">
        <f>VLOOKUP($A78,'Data Vlaue (Cr)'!$C:$FB,82)</f>
        <v>-0.37440000000000001</v>
      </c>
    </row>
    <row r="79" spans="1:15" x14ac:dyDescent="0.25">
      <c r="A79" s="97" t="str">
        <f>'Data Vlaue (Cr)'!C74</f>
        <v>HCLTECH</v>
      </c>
      <c r="B79" s="142">
        <f>VLOOKUP(A79,'Data Vlaue (Cr)'!C74:CW287,99,0)</f>
        <v>5151</v>
      </c>
      <c r="C79" s="90">
        <f>VLOOKUP(A79,'Data Vlaue (Cr)'!C74:CY287,101,0)</f>
        <v>-5</v>
      </c>
      <c r="D79" s="139">
        <f>VLOOKUP(A79,'Data Vlaue (Cr)'!C74:CZ287,102,0)</f>
        <v>-1E-3</v>
      </c>
      <c r="E79" s="91">
        <f>VLOOKUP($A79,'Data Vlaue (Cr)'!$C:$FB,75)</f>
        <v>3022</v>
      </c>
      <c r="F79" s="91">
        <f>VLOOKUP($A79,'Data Vlaue (Cr)'!$C:$FB,77)</f>
        <v>68</v>
      </c>
      <c r="G79" s="92">
        <f>VLOOKUP(A79,'Data Vlaue (Cr)'!C74:CB287,78,0)</f>
        <v>2.3099999999999999E-2</v>
      </c>
      <c r="H79" s="91">
        <f>VLOOKUP($A79,'Data Vlaue (Cr)'!$C:$FB,91)</f>
        <v>1335</v>
      </c>
      <c r="I79" s="91">
        <f>VLOOKUP($A79,'Data Vlaue (Cr)'!$C:$FB,93)</f>
        <v>-69</v>
      </c>
      <c r="J79" s="92">
        <f>VLOOKUP($A79,'Data Vlaue (Cr)'!$C:$FB,94)</f>
        <v>-4.9099999999999998E-2</v>
      </c>
      <c r="K79" s="91">
        <f>VLOOKUP($A79,'Data Vlaue (Cr)'!$C:$FB,95)</f>
        <v>794</v>
      </c>
      <c r="L79" s="91">
        <f>VLOOKUP($A79,'Data Vlaue (Cr)'!$C:$FB,97)</f>
        <v>-4</v>
      </c>
      <c r="M79" s="92">
        <f>VLOOKUP($A79,'Data Vlaue (Cr)'!$C:$FB,98)</f>
        <v>-5.4999999999999997E-3</v>
      </c>
      <c r="N79" s="91">
        <f>VLOOKUP($A79,'Data Vlaue (Cr)'!$C:$FB,79)</f>
        <v>1138</v>
      </c>
      <c r="O79" s="92">
        <f>VLOOKUP($A79,'Data Vlaue (Cr)'!$C:$FB,82)</f>
        <v>-0.41589999999999999</v>
      </c>
    </row>
    <row r="80" spans="1:15" x14ac:dyDescent="0.25">
      <c r="A80" s="97" t="str">
        <f>'Data Vlaue (Cr)'!C75</f>
        <v>HDFCAMC</v>
      </c>
      <c r="B80" s="142">
        <f>VLOOKUP(A80,'Data Vlaue (Cr)'!C75:CW288,99,0)</f>
        <v>3154</v>
      </c>
      <c r="C80" s="90">
        <f>VLOOKUP(A80,'Data Vlaue (Cr)'!C75:CY288,101,0)</f>
        <v>-149</v>
      </c>
      <c r="D80" s="139">
        <f>VLOOKUP(A80,'Data Vlaue (Cr)'!C75:CZ288,102,0)</f>
        <v>-4.5199999999999997E-2</v>
      </c>
      <c r="E80" s="91">
        <f>VLOOKUP($A80,'Data Vlaue (Cr)'!$C:$FB,75)</f>
        <v>1941</v>
      </c>
      <c r="F80" s="91">
        <f>VLOOKUP($A80,'Data Vlaue (Cr)'!$C:$FB,77)</f>
        <v>-46</v>
      </c>
      <c r="G80" s="92">
        <f>VLOOKUP(A80,'Data Vlaue (Cr)'!C75:CB288,78,0)</f>
        <v>-2.3199999999999998E-2</v>
      </c>
      <c r="H80" s="91">
        <f>VLOOKUP($A80,'Data Vlaue (Cr)'!$C:$FB,91)</f>
        <v>828</v>
      </c>
      <c r="I80" s="91">
        <f>VLOOKUP($A80,'Data Vlaue (Cr)'!$C:$FB,93)</f>
        <v>-79</v>
      </c>
      <c r="J80" s="92">
        <f>VLOOKUP($A80,'Data Vlaue (Cr)'!$C:$FB,94)</f>
        <v>-8.7300000000000003E-2</v>
      </c>
      <c r="K80" s="91">
        <f>VLOOKUP($A80,'Data Vlaue (Cr)'!$C:$FB,95)</f>
        <v>386</v>
      </c>
      <c r="L80" s="91">
        <f>VLOOKUP($A80,'Data Vlaue (Cr)'!$C:$FB,97)</f>
        <v>-24</v>
      </c>
      <c r="M80" s="92">
        <f>VLOOKUP($A80,'Data Vlaue (Cr)'!$C:$FB,98)</f>
        <v>-5.8900000000000001E-2</v>
      </c>
      <c r="N80" s="91">
        <f>VLOOKUP($A80,'Data Vlaue (Cr)'!$C:$FB,79)</f>
        <v>864</v>
      </c>
      <c r="O80" s="92">
        <f>VLOOKUP($A80,'Data Vlaue (Cr)'!$C:$FB,82)</f>
        <v>-0.41749999999999998</v>
      </c>
    </row>
    <row r="81" spans="1:15" x14ac:dyDescent="0.25">
      <c r="A81" s="97" t="str">
        <f>'Data Vlaue (Cr)'!C76</f>
        <v>HDFCBANK</v>
      </c>
      <c r="B81" s="142">
        <f>VLOOKUP(A81,'Data Vlaue (Cr)'!C76:CW289,99,0)</f>
        <v>37614</v>
      </c>
      <c r="C81" s="90">
        <f>VLOOKUP(A81,'Data Vlaue (Cr)'!C76:CY289,101,0)</f>
        <v>772</v>
      </c>
      <c r="D81" s="139">
        <f>VLOOKUP(A81,'Data Vlaue (Cr)'!C76:CZ289,102,0)</f>
        <v>2.1000000000000001E-2</v>
      </c>
      <c r="E81" s="91">
        <f>VLOOKUP($A81,'Data Vlaue (Cr)'!$C:$FB,75)</f>
        <v>24573</v>
      </c>
      <c r="F81" s="91">
        <f>VLOOKUP($A81,'Data Vlaue (Cr)'!$C:$FB,77)</f>
        <v>1150</v>
      </c>
      <c r="G81" s="92">
        <f>VLOOKUP(A81,'Data Vlaue (Cr)'!C76:CB289,78,0)</f>
        <v>4.9099999999999998E-2</v>
      </c>
      <c r="H81" s="91">
        <f>VLOOKUP($A81,'Data Vlaue (Cr)'!$C:$FB,91)</f>
        <v>8772</v>
      </c>
      <c r="I81" s="91">
        <f>VLOOKUP($A81,'Data Vlaue (Cr)'!$C:$FB,93)</f>
        <v>-304</v>
      </c>
      <c r="J81" s="92">
        <f>VLOOKUP($A81,'Data Vlaue (Cr)'!$C:$FB,94)</f>
        <v>-3.3399999999999999E-2</v>
      </c>
      <c r="K81" s="91">
        <f>VLOOKUP($A81,'Data Vlaue (Cr)'!$C:$FB,95)</f>
        <v>4269</v>
      </c>
      <c r="L81" s="91">
        <f>VLOOKUP($A81,'Data Vlaue (Cr)'!$C:$FB,97)</f>
        <v>-75</v>
      </c>
      <c r="M81" s="92">
        <f>VLOOKUP($A81,'Data Vlaue (Cr)'!$C:$FB,98)</f>
        <v>-1.72E-2</v>
      </c>
      <c r="N81" s="91">
        <f>VLOOKUP($A81,'Data Vlaue (Cr)'!$C:$FB,79)</f>
        <v>9753</v>
      </c>
      <c r="O81" s="92">
        <f>VLOOKUP($A81,'Data Vlaue (Cr)'!$C:$FB,82)</f>
        <v>-0.29089999999999999</v>
      </c>
    </row>
    <row r="82" spans="1:15" x14ac:dyDescent="0.25">
      <c r="A82" s="97" t="str">
        <f>'Data Vlaue (Cr)'!C77</f>
        <v>HDFCLIFE</v>
      </c>
      <c r="B82" s="142">
        <f>VLOOKUP(A82,'Data Vlaue (Cr)'!C77:CW290,99,0)</f>
        <v>4443</v>
      </c>
      <c r="C82" s="90">
        <f>VLOOKUP(A82,'Data Vlaue (Cr)'!C77:CY290,101,0)</f>
        <v>7</v>
      </c>
      <c r="D82" s="139">
        <f>VLOOKUP(A82,'Data Vlaue (Cr)'!C77:CZ290,102,0)</f>
        <v>1.6000000000000001E-3</v>
      </c>
      <c r="E82" s="91">
        <f>VLOOKUP($A82,'Data Vlaue (Cr)'!$C:$FB,75)</f>
        <v>2834</v>
      </c>
      <c r="F82" s="91">
        <f>VLOOKUP($A82,'Data Vlaue (Cr)'!$C:$FB,77)</f>
        <v>8</v>
      </c>
      <c r="G82" s="92">
        <f>VLOOKUP(A82,'Data Vlaue (Cr)'!C77:CB290,78,0)</f>
        <v>2.7000000000000001E-3</v>
      </c>
      <c r="H82" s="91">
        <f>VLOOKUP($A82,'Data Vlaue (Cr)'!$C:$FB,91)</f>
        <v>1110</v>
      </c>
      <c r="I82" s="91">
        <f>VLOOKUP($A82,'Data Vlaue (Cr)'!$C:$FB,93)</f>
        <v>19</v>
      </c>
      <c r="J82" s="92">
        <f>VLOOKUP($A82,'Data Vlaue (Cr)'!$C:$FB,94)</f>
        <v>1.7500000000000002E-2</v>
      </c>
      <c r="K82" s="91">
        <f>VLOOKUP($A82,'Data Vlaue (Cr)'!$C:$FB,95)</f>
        <v>498</v>
      </c>
      <c r="L82" s="91">
        <f>VLOOKUP($A82,'Data Vlaue (Cr)'!$C:$FB,97)</f>
        <v>-20</v>
      </c>
      <c r="M82" s="92">
        <f>VLOOKUP($A82,'Data Vlaue (Cr)'!$C:$FB,98)</f>
        <v>-3.7999999999999999E-2</v>
      </c>
      <c r="N82" s="91">
        <f>VLOOKUP($A82,'Data Vlaue (Cr)'!$C:$FB,79)</f>
        <v>1179</v>
      </c>
      <c r="O82" s="92">
        <f>VLOOKUP($A82,'Data Vlaue (Cr)'!$C:$FB,82)</f>
        <v>-0.40229999999999999</v>
      </c>
    </row>
    <row r="83" spans="1:15" x14ac:dyDescent="0.25">
      <c r="A83" s="97" t="str">
        <f>'Data Vlaue (Cr)'!C78</f>
        <v>HEROMOTOCO</v>
      </c>
      <c r="B83" s="142">
        <f>VLOOKUP(A83,'Data Vlaue (Cr)'!C78:CW291,99,0)</f>
        <v>5379</v>
      </c>
      <c r="C83" s="90">
        <f>VLOOKUP(A83,'Data Vlaue (Cr)'!C78:CY291,101,0)</f>
        <v>-210</v>
      </c>
      <c r="D83" s="139">
        <f>VLOOKUP(A83,'Data Vlaue (Cr)'!C78:CZ291,102,0)</f>
        <v>-3.7499999999999999E-2</v>
      </c>
      <c r="E83" s="91">
        <f>VLOOKUP($A83,'Data Vlaue (Cr)'!$C:$FB,75)</f>
        <v>2633</v>
      </c>
      <c r="F83" s="91">
        <f>VLOOKUP($A83,'Data Vlaue (Cr)'!$C:$FB,77)</f>
        <v>-85</v>
      </c>
      <c r="G83" s="92">
        <f>VLOOKUP(A83,'Data Vlaue (Cr)'!C78:CB291,78,0)</f>
        <v>-3.1099999999999999E-2</v>
      </c>
      <c r="H83" s="91">
        <f>VLOOKUP($A83,'Data Vlaue (Cr)'!$C:$FB,91)</f>
        <v>1859</v>
      </c>
      <c r="I83" s="91">
        <f>VLOOKUP($A83,'Data Vlaue (Cr)'!$C:$FB,93)</f>
        <v>-103</v>
      </c>
      <c r="J83" s="92">
        <f>VLOOKUP($A83,'Data Vlaue (Cr)'!$C:$FB,94)</f>
        <v>-5.2299999999999999E-2</v>
      </c>
      <c r="K83" s="91">
        <f>VLOOKUP($A83,'Data Vlaue (Cr)'!$C:$FB,95)</f>
        <v>887</v>
      </c>
      <c r="L83" s="91">
        <f>VLOOKUP($A83,'Data Vlaue (Cr)'!$C:$FB,97)</f>
        <v>-23</v>
      </c>
      <c r="M83" s="92">
        <f>VLOOKUP($A83,'Data Vlaue (Cr)'!$C:$FB,98)</f>
        <v>-2.4799999999999999E-2</v>
      </c>
      <c r="N83" s="91">
        <f>VLOOKUP($A83,'Data Vlaue (Cr)'!$C:$FB,79)</f>
        <v>1259</v>
      </c>
      <c r="O83" s="92">
        <f>VLOOKUP($A83,'Data Vlaue (Cr)'!$C:$FB,82)</f>
        <v>-0.36709999999999998</v>
      </c>
    </row>
    <row r="84" spans="1:15" x14ac:dyDescent="0.25">
      <c r="A84" s="97" t="str">
        <f>'Data Vlaue (Cr)'!C79</f>
        <v>HINDALCO</v>
      </c>
      <c r="B84" s="142">
        <f>VLOOKUP(A84,'Data Vlaue (Cr)'!C79:CW292,99,0)</f>
        <v>7533</v>
      </c>
      <c r="C84" s="90">
        <f>VLOOKUP(A84,'Data Vlaue (Cr)'!C79:CY292,101,0)</f>
        <v>-271</v>
      </c>
      <c r="D84" s="139">
        <f>VLOOKUP(A84,'Data Vlaue (Cr)'!C79:CZ292,102,0)</f>
        <v>-3.4700000000000002E-2</v>
      </c>
      <c r="E84" s="91">
        <f>VLOOKUP($A84,'Data Vlaue (Cr)'!$C:$FB,75)</f>
        <v>4785</v>
      </c>
      <c r="F84" s="91">
        <f>VLOOKUP($A84,'Data Vlaue (Cr)'!$C:$FB,77)</f>
        <v>-26</v>
      </c>
      <c r="G84" s="92">
        <f>VLOOKUP(A84,'Data Vlaue (Cr)'!C79:CB292,78,0)</f>
        <v>-5.3E-3</v>
      </c>
      <c r="H84" s="91">
        <f>VLOOKUP($A84,'Data Vlaue (Cr)'!$C:$FB,91)</f>
        <v>1557</v>
      </c>
      <c r="I84" s="91">
        <f>VLOOKUP($A84,'Data Vlaue (Cr)'!$C:$FB,93)</f>
        <v>-191</v>
      </c>
      <c r="J84" s="92">
        <f>VLOOKUP($A84,'Data Vlaue (Cr)'!$C:$FB,94)</f>
        <v>-0.10929999999999999</v>
      </c>
      <c r="K84" s="91">
        <f>VLOOKUP($A84,'Data Vlaue (Cr)'!$C:$FB,95)</f>
        <v>1190</v>
      </c>
      <c r="L84" s="91">
        <f>VLOOKUP($A84,'Data Vlaue (Cr)'!$C:$FB,97)</f>
        <v>-54</v>
      </c>
      <c r="M84" s="92">
        <f>VLOOKUP($A84,'Data Vlaue (Cr)'!$C:$FB,98)</f>
        <v>-4.36E-2</v>
      </c>
      <c r="N84" s="91">
        <f>VLOOKUP($A84,'Data Vlaue (Cr)'!$C:$FB,79)</f>
        <v>1675</v>
      </c>
      <c r="O84" s="92">
        <f>VLOOKUP($A84,'Data Vlaue (Cr)'!$C:$FB,82)</f>
        <v>-0.45350000000000001</v>
      </c>
    </row>
    <row r="85" spans="1:15" x14ac:dyDescent="0.25">
      <c r="A85" s="97" t="str">
        <f>'Data Vlaue (Cr)'!C80</f>
        <v>HINDPETRO</v>
      </c>
      <c r="B85" s="142">
        <f>VLOOKUP(A85,'Data Vlaue (Cr)'!C80:CW293,99,0)</f>
        <v>3169</v>
      </c>
      <c r="C85" s="90">
        <f>VLOOKUP(A85,'Data Vlaue (Cr)'!C80:CY293,101,0)</f>
        <v>-108</v>
      </c>
      <c r="D85" s="139">
        <f>VLOOKUP(A85,'Data Vlaue (Cr)'!C80:CZ293,102,0)</f>
        <v>-3.3000000000000002E-2</v>
      </c>
      <c r="E85" s="91">
        <f>VLOOKUP($A85,'Data Vlaue (Cr)'!$C:$FB,75)</f>
        <v>1702</v>
      </c>
      <c r="F85" s="91">
        <f>VLOOKUP($A85,'Data Vlaue (Cr)'!$C:$FB,77)</f>
        <v>15</v>
      </c>
      <c r="G85" s="92">
        <f>VLOOKUP(A85,'Data Vlaue (Cr)'!C80:CB293,78,0)</f>
        <v>9.1000000000000004E-3</v>
      </c>
      <c r="H85" s="91">
        <f>VLOOKUP($A85,'Data Vlaue (Cr)'!$C:$FB,91)</f>
        <v>964</v>
      </c>
      <c r="I85" s="91">
        <f>VLOOKUP($A85,'Data Vlaue (Cr)'!$C:$FB,93)</f>
        <v>-74</v>
      </c>
      <c r="J85" s="92">
        <f>VLOOKUP($A85,'Data Vlaue (Cr)'!$C:$FB,94)</f>
        <v>-7.17E-2</v>
      </c>
      <c r="K85" s="91">
        <f>VLOOKUP($A85,'Data Vlaue (Cr)'!$C:$FB,95)</f>
        <v>503</v>
      </c>
      <c r="L85" s="91">
        <f>VLOOKUP($A85,'Data Vlaue (Cr)'!$C:$FB,97)</f>
        <v>-49</v>
      </c>
      <c r="M85" s="92">
        <f>VLOOKUP($A85,'Data Vlaue (Cr)'!$C:$FB,98)</f>
        <v>-8.8999999999999996E-2</v>
      </c>
      <c r="N85" s="91">
        <f>VLOOKUP($A85,'Data Vlaue (Cr)'!$C:$FB,79)</f>
        <v>987</v>
      </c>
      <c r="O85" s="92">
        <f>VLOOKUP($A85,'Data Vlaue (Cr)'!$C:$FB,82)</f>
        <v>-0.27350000000000002</v>
      </c>
    </row>
    <row r="86" spans="1:15" x14ac:dyDescent="0.25">
      <c r="A86" s="97" t="str">
        <f>'Data Vlaue (Cr)'!C81</f>
        <v>HINDUNILVR</v>
      </c>
      <c r="B86" s="142">
        <f>VLOOKUP(A86,'Data Vlaue (Cr)'!C81:CW294,99,0)</f>
        <v>5853</v>
      </c>
      <c r="C86" s="90">
        <f>VLOOKUP(A86,'Data Vlaue (Cr)'!C81:CY294,101,0)</f>
        <v>-201</v>
      </c>
      <c r="D86" s="139">
        <f>VLOOKUP(A86,'Data Vlaue (Cr)'!C81:CZ294,102,0)</f>
        <v>-3.3099999999999997E-2</v>
      </c>
      <c r="E86" s="91">
        <f>VLOOKUP($A86,'Data Vlaue (Cr)'!$C:$FB,75)</f>
        <v>3238</v>
      </c>
      <c r="F86" s="91">
        <f>VLOOKUP($A86,'Data Vlaue (Cr)'!$C:$FB,77)</f>
        <v>-198</v>
      </c>
      <c r="G86" s="92">
        <f>VLOOKUP(A86,'Data Vlaue (Cr)'!C81:CB294,78,0)</f>
        <v>-5.7599999999999998E-2</v>
      </c>
      <c r="H86" s="91">
        <f>VLOOKUP($A86,'Data Vlaue (Cr)'!$C:$FB,91)</f>
        <v>1715</v>
      </c>
      <c r="I86" s="91">
        <f>VLOOKUP($A86,'Data Vlaue (Cr)'!$C:$FB,93)</f>
        <v>-56</v>
      </c>
      <c r="J86" s="92">
        <f>VLOOKUP($A86,'Data Vlaue (Cr)'!$C:$FB,94)</f>
        <v>-3.1800000000000002E-2</v>
      </c>
      <c r="K86" s="91">
        <f>VLOOKUP($A86,'Data Vlaue (Cr)'!$C:$FB,95)</f>
        <v>901</v>
      </c>
      <c r="L86" s="91">
        <f>VLOOKUP($A86,'Data Vlaue (Cr)'!$C:$FB,97)</f>
        <v>54</v>
      </c>
      <c r="M86" s="92">
        <f>VLOOKUP($A86,'Data Vlaue (Cr)'!$C:$FB,98)</f>
        <v>6.3299999999999995E-2</v>
      </c>
      <c r="N86" s="91">
        <f>VLOOKUP($A86,'Data Vlaue (Cr)'!$C:$FB,79)</f>
        <v>981</v>
      </c>
      <c r="O86" s="92">
        <f>VLOOKUP($A86,'Data Vlaue (Cr)'!$C:$FB,82)</f>
        <v>-0.54800000000000004</v>
      </c>
    </row>
    <row r="87" spans="1:15" x14ac:dyDescent="0.25">
      <c r="A87" s="97" t="str">
        <f>'Data Vlaue (Cr)'!C82</f>
        <v>HINDZINC</v>
      </c>
      <c r="B87" s="142">
        <f>VLOOKUP(A87,'Data Vlaue (Cr)'!C82:CW295,99,0)</f>
        <v>9284</v>
      </c>
      <c r="C87" s="90">
        <f>VLOOKUP(A87,'Data Vlaue (Cr)'!C82:CY295,101,0)</f>
        <v>-176</v>
      </c>
      <c r="D87" s="139">
        <f>VLOOKUP(A87,'Data Vlaue (Cr)'!C82:CZ295,102,0)</f>
        <v>-1.8599999999999998E-2</v>
      </c>
      <c r="E87" s="91">
        <f>VLOOKUP($A87,'Data Vlaue (Cr)'!$C:$FB,75)</f>
        <v>2341</v>
      </c>
      <c r="F87" s="91">
        <f>VLOOKUP($A87,'Data Vlaue (Cr)'!$C:$FB,77)</f>
        <v>-100</v>
      </c>
      <c r="G87" s="92">
        <f>VLOOKUP(A87,'Data Vlaue (Cr)'!C82:CB295,78,0)</f>
        <v>-4.0899999999999999E-2</v>
      </c>
      <c r="H87" s="91">
        <f>VLOOKUP($A87,'Data Vlaue (Cr)'!$C:$FB,91)</f>
        <v>4398</v>
      </c>
      <c r="I87" s="91">
        <f>VLOOKUP($A87,'Data Vlaue (Cr)'!$C:$FB,93)</f>
        <v>-9</v>
      </c>
      <c r="J87" s="92">
        <f>VLOOKUP($A87,'Data Vlaue (Cr)'!$C:$FB,94)</f>
        <v>-2E-3</v>
      </c>
      <c r="K87" s="91">
        <f>VLOOKUP($A87,'Data Vlaue (Cr)'!$C:$FB,95)</f>
        <v>2545</v>
      </c>
      <c r="L87" s="91">
        <f>VLOOKUP($A87,'Data Vlaue (Cr)'!$C:$FB,97)</f>
        <v>-67</v>
      </c>
      <c r="M87" s="92">
        <f>VLOOKUP($A87,'Data Vlaue (Cr)'!$C:$FB,98)</f>
        <v>-2.5600000000000001E-2</v>
      </c>
      <c r="N87" s="91">
        <f>VLOOKUP($A87,'Data Vlaue (Cr)'!$C:$FB,79)</f>
        <v>771</v>
      </c>
      <c r="O87" s="92">
        <f>VLOOKUP($A87,'Data Vlaue (Cr)'!$C:$FB,82)</f>
        <v>-0.40439999999999998</v>
      </c>
    </row>
    <row r="88" spans="1:15" x14ac:dyDescent="0.25">
      <c r="A88" s="97" t="str">
        <f>'Data Vlaue (Cr)'!C83</f>
        <v>HUDCO</v>
      </c>
      <c r="B88" s="142">
        <f>VLOOKUP(A88,'Data Vlaue (Cr)'!C83:CW296,99,0)</f>
        <v>1779</v>
      </c>
      <c r="C88" s="90">
        <f>VLOOKUP(A88,'Data Vlaue (Cr)'!C83:CY296,101,0)</f>
        <v>-37</v>
      </c>
      <c r="D88" s="139">
        <f>VLOOKUP(A88,'Data Vlaue (Cr)'!C83:CZ296,102,0)</f>
        <v>-2.0400000000000001E-2</v>
      </c>
      <c r="E88" s="91">
        <f>VLOOKUP($A88,'Data Vlaue (Cr)'!$C:$FB,75)</f>
        <v>864</v>
      </c>
      <c r="F88" s="91">
        <f>VLOOKUP($A88,'Data Vlaue (Cr)'!$C:$FB,77)</f>
        <v>-3</v>
      </c>
      <c r="G88" s="92">
        <f>VLOOKUP(A88,'Data Vlaue (Cr)'!C83:CB296,78,0)</f>
        <v>-2.8999999999999998E-3</v>
      </c>
      <c r="H88" s="91">
        <f>VLOOKUP($A88,'Data Vlaue (Cr)'!$C:$FB,91)</f>
        <v>572</v>
      </c>
      <c r="I88" s="91">
        <f>VLOOKUP($A88,'Data Vlaue (Cr)'!$C:$FB,93)</f>
        <v>-31</v>
      </c>
      <c r="J88" s="92">
        <f>VLOOKUP($A88,'Data Vlaue (Cr)'!$C:$FB,94)</f>
        <v>-5.11E-2</v>
      </c>
      <c r="K88" s="91">
        <f>VLOOKUP($A88,'Data Vlaue (Cr)'!$C:$FB,95)</f>
        <v>344</v>
      </c>
      <c r="L88" s="91">
        <f>VLOOKUP($A88,'Data Vlaue (Cr)'!$C:$FB,97)</f>
        <v>-4</v>
      </c>
      <c r="M88" s="92">
        <f>VLOOKUP($A88,'Data Vlaue (Cr)'!$C:$FB,98)</f>
        <v>-1.09E-2</v>
      </c>
      <c r="N88" s="91">
        <f>VLOOKUP($A88,'Data Vlaue (Cr)'!$C:$FB,79)</f>
        <v>526</v>
      </c>
      <c r="O88" s="92">
        <f>VLOOKUP($A88,'Data Vlaue (Cr)'!$C:$FB,82)</f>
        <v>-0.22439999999999999</v>
      </c>
    </row>
    <row r="89" spans="1:15" x14ac:dyDescent="0.25">
      <c r="A89" s="97" t="str">
        <f>'Data Vlaue (Cr)'!C84</f>
        <v>ICICIBANK</v>
      </c>
      <c r="B89" s="142">
        <f>VLOOKUP(A89,'Data Vlaue (Cr)'!C84:CW297,99,0)</f>
        <v>28284</v>
      </c>
      <c r="C89" s="90">
        <f>VLOOKUP(A89,'Data Vlaue (Cr)'!C84:CY297,101,0)</f>
        <v>-184</v>
      </c>
      <c r="D89" s="139">
        <f>VLOOKUP(A89,'Data Vlaue (Cr)'!C84:CZ297,102,0)</f>
        <v>-6.4999999999999997E-3</v>
      </c>
      <c r="E89" s="91">
        <f>VLOOKUP($A89,'Data Vlaue (Cr)'!$C:$FB,75)</f>
        <v>17993</v>
      </c>
      <c r="F89" s="91">
        <f>VLOOKUP($A89,'Data Vlaue (Cr)'!$C:$FB,77)</f>
        <v>79</v>
      </c>
      <c r="G89" s="92">
        <f>VLOOKUP(A89,'Data Vlaue (Cr)'!C84:CB297,78,0)</f>
        <v>4.4000000000000003E-3</v>
      </c>
      <c r="H89" s="91">
        <f>VLOOKUP($A89,'Data Vlaue (Cr)'!$C:$FB,91)</f>
        <v>6998</v>
      </c>
      <c r="I89" s="91">
        <f>VLOOKUP($A89,'Data Vlaue (Cr)'!$C:$FB,93)</f>
        <v>-150</v>
      </c>
      <c r="J89" s="92">
        <f>VLOOKUP($A89,'Data Vlaue (Cr)'!$C:$FB,94)</f>
        <v>-2.1000000000000001E-2</v>
      </c>
      <c r="K89" s="91">
        <f>VLOOKUP($A89,'Data Vlaue (Cr)'!$C:$FB,95)</f>
        <v>3293</v>
      </c>
      <c r="L89" s="91">
        <f>VLOOKUP($A89,'Data Vlaue (Cr)'!$C:$FB,97)</f>
        <v>-113</v>
      </c>
      <c r="M89" s="92">
        <f>VLOOKUP($A89,'Data Vlaue (Cr)'!$C:$FB,98)</f>
        <v>-3.3099999999999997E-2</v>
      </c>
      <c r="N89" s="91">
        <f>VLOOKUP($A89,'Data Vlaue (Cr)'!$C:$FB,79)</f>
        <v>7141</v>
      </c>
      <c r="O89" s="92">
        <f>VLOOKUP($A89,'Data Vlaue (Cr)'!$C:$FB,82)</f>
        <v>-0.311</v>
      </c>
    </row>
    <row r="90" spans="1:15" x14ac:dyDescent="0.25">
      <c r="A90" s="97" t="str">
        <f>'Data Vlaue (Cr)'!C85</f>
        <v>ICICIGI</v>
      </c>
      <c r="B90" s="142">
        <f>VLOOKUP(A90,'Data Vlaue (Cr)'!C85:CW298,99,0)</f>
        <v>1594</v>
      </c>
      <c r="C90" s="90">
        <f>VLOOKUP(A90,'Data Vlaue (Cr)'!C85:CY298,101,0)</f>
        <v>-83</v>
      </c>
      <c r="D90" s="139">
        <f>VLOOKUP(A90,'Data Vlaue (Cr)'!C85:CZ298,102,0)</f>
        <v>-4.9700000000000001E-2</v>
      </c>
      <c r="E90" s="91">
        <f>VLOOKUP($A90,'Data Vlaue (Cr)'!$C:$FB,75)</f>
        <v>1179</v>
      </c>
      <c r="F90" s="91">
        <f>VLOOKUP($A90,'Data Vlaue (Cr)'!$C:$FB,77)</f>
        <v>-59</v>
      </c>
      <c r="G90" s="92">
        <f>VLOOKUP(A90,'Data Vlaue (Cr)'!C85:CB298,78,0)</f>
        <v>-4.7399999999999998E-2</v>
      </c>
      <c r="H90" s="91">
        <f>VLOOKUP($A90,'Data Vlaue (Cr)'!$C:$FB,91)</f>
        <v>256</v>
      </c>
      <c r="I90" s="91">
        <f>VLOOKUP($A90,'Data Vlaue (Cr)'!$C:$FB,93)</f>
        <v>-15</v>
      </c>
      <c r="J90" s="92">
        <f>VLOOKUP($A90,'Data Vlaue (Cr)'!$C:$FB,94)</f>
        <v>-5.5199999999999999E-2</v>
      </c>
      <c r="K90" s="91">
        <f>VLOOKUP($A90,'Data Vlaue (Cr)'!$C:$FB,95)</f>
        <v>159</v>
      </c>
      <c r="L90" s="91">
        <f>VLOOKUP($A90,'Data Vlaue (Cr)'!$C:$FB,97)</f>
        <v>-10</v>
      </c>
      <c r="M90" s="92">
        <f>VLOOKUP($A90,'Data Vlaue (Cr)'!$C:$FB,98)</f>
        <v>-5.7200000000000001E-2</v>
      </c>
      <c r="N90" s="91">
        <f>VLOOKUP($A90,'Data Vlaue (Cr)'!$C:$FB,79)</f>
        <v>509</v>
      </c>
      <c r="O90" s="92">
        <f>VLOOKUP($A90,'Data Vlaue (Cr)'!$C:$FB,82)</f>
        <v>-0.3579</v>
      </c>
    </row>
    <row r="91" spans="1:15" x14ac:dyDescent="0.25">
      <c r="A91" s="97" t="str">
        <f>'Data Vlaue (Cr)'!C86</f>
        <v>ICICIPRULI</v>
      </c>
      <c r="B91" s="142">
        <f>VLOOKUP(A91,'Data Vlaue (Cr)'!C86:CW299,99,0)</f>
        <v>1650</v>
      </c>
      <c r="C91" s="90">
        <f>VLOOKUP(A91,'Data Vlaue (Cr)'!C86:CY299,101,0)</f>
        <v>-39</v>
      </c>
      <c r="D91" s="139">
        <f>VLOOKUP(A91,'Data Vlaue (Cr)'!C86:CZ299,102,0)</f>
        <v>-2.3E-2</v>
      </c>
      <c r="E91" s="91">
        <f>VLOOKUP($A91,'Data Vlaue (Cr)'!$C:$FB,75)</f>
        <v>1143</v>
      </c>
      <c r="F91" s="91">
        <f>VLOOKUP($A91,'Data Vlaue (Cr)'!$C:$FB,77)</f>
        <v>14</v>
      </c>
      <c r="G91" s="92">
        <f>VLOOKUP(A91,'Data Vlaue (Cr)'!C86:CB299,78,0)</f>
        <v>1.23E-2</v>
      </c>
      <c r="H91" s="91">
        <f>VLOOKUP($A91,'Data Vlaue (Cr)'!$C:$FB,91)</f>
        <v>313</v>
      </c>
      <c r="I91" s="91">
        <f>VLOOKUP($A91,'Data Vlaue (Cr)'!$C:$FB,93)</f>
        <v>-40</v>
      </c>
      <c r="J91" s="92">
        <f>VLOOKUP($A91,'Data Vlaue (Cr)'!$C:$FB,94)</f>
        <v>-0.11409999999999999</v>
      </c>
      <c r="K91" s="91">
        <f>VLOOKUP($A91,'Data Vlaue (Cr)'!$C:$FB,95)</f>
        <v>194</v>
      </c>
      <c r="L91" s="91">
        <f>VLOOKUP($A91,'Data Vlaue (Cr)'!$C:$FB,97)</f>
        <v>-12</v>
      </c>
      <c r="M91" s="92">
        <f>VLOOKUP($A91,'Data Vlaue (Cr)'!$C:$FB,98)</f>
        <v>-5.9900000000000002E-2</v>
      </c>
      <c r="N91" s="91">
        <f>VLOOKUP($A91,'Data Vlaue (Cr)'!$C:$FB,79)</f>
        <v>437</v>
      </c>
      <c r="O91" s="92">
        <f>VLOOKUP($A91,'Data Vlaue (Cr)'!$C:$FB,82)</f>
        <v>-0.52459999999999996</v>
      </c>
    </row>
    <row r="92" spans="1:15" x14ac:dyDescent="0.25">
      <c r="A92" s="97" t="str">
        <f>'Data Vlaue (Cr)'!C87</f>
        <v>IDEA</v>
      </c>
      <c r="B92" s="142">
        <f>VLOOKUP(A92,'Data Vlaue (Cr)'!C87:CW300,99,0)</f>
        <v>12191</v>
      </c>
      <c r="C92" s="90">
        <f>VLOOKUP(A92,'Data Vlaue (Cr)'!C87:CY300,101,0)</f>
        <v>-76</v>
      </c>
      <c r="D92" s="139">
        <f>VLOOKUP(A92,'Data Vlaue (Cr)'!C87:CZ300,102,0)</f>
        <v>-6.1999999999999998E-3</v>
      </c>
      <c r="E92" s="91">
        <f>VLOOKUP($A92,'Data Vlaue (Cr)'!$C:$FB,75)</f>
        <v>7582</v>
      </c>
      <c r="F92" s="91">
        <f>VLOOKUP($A92,'Data Vlaue (Cr)'!$C:$FB,77)</f>
        <v>65</v>
      </c>
      <c r="G92" s="92">
        <f>VLOOKUP(A92,'Data Vlaue (Cr)'!C87:CB300,78,0)</f>
        <v>8.6999999999999994E-3</v>
      </c>
      <c r="H92" s="91">
        <f>VLOOKUP($A92,'Data Vlaue (Cr)'!$C:$FB,91)</f>
        <v>2982</v>
      </c>
      <c r="I92" s="91">
        <f>VLOOKUP($A92,'Data Vlaue (Cr)'!$C:$FB,93)</f>
        <v>-130</v>
      </c>
      <c r="J92" s="92">
        <f>VLOOKUP($A92,'Data Vlaue (Cr)'!$C:$FB,94)</f>
        <v>-4.1799999999999997E-2</v>
      </c>
      <c r="K92" s="91">
        <f>VLOOKUP($A92,'Data Vlaue (Cr)'!$C:$FB,95)</f>
        <v>1627</v>
      </c>
      <c r="L92" s="91">
        <f>VLOOKUP($A92,'Data Vlaue (Cr)'!$C:$FB,97)</f>
        <v>-11</v>
      </c>
      <c r="M92" s="92">
        <f>VLOOKUP($A92,'Data Vlaue (Cr)'!$C:$FB,98)</f>
        <v>-6.7999999999999996E-3</v>
      </c>
      <c r="N92" s="91">
        <f>VLOOKUP($A92,'Data Vlaue (Cr)'!$C:$FB,79)</f>
        <v>3716</v>
      </c>
      <c r="O92" s="92">
        <f>VLOOKUP($A92,'Data Vlaue (Cr)'!$C:$FB,82)</f>
        <v>-0.20530000000000001</v>
      </c>
    </row>
    <row r="93" spans="1:15" x14ac:dyDescent="0.25">
      <c r="A93" s="97" t="str">
        <f>'Data Vlaue (Cr)'!C88</f>
        <v>IDFCFIRSTB</v>
      </c>
      <c r="B93" s="142">
        <f>VLOOKUP(A93,'Data Vlaue (Cr)'!C88:CW301,99,0)</f>
        <v>4507</v>
      </c>
      <c r="C93" s="90">
        <f>VLOOKUP(A93,'Data Vlaue (Cr)'!C88:CY301,101,0)</f>
        <v>-158</v>
      </c>
      <c r="D93" s="139">
        <f>VLOOKUP(A93,'Data Vlaue (Cr)'!C88:CZ301,102,0)</f>
        <v>-3.4000000000000002E-2</v>
      </c>
      <c r="E93" s="91">
        <f>VLOOKUP($A93,'Data Vlaue (Cr)'!$C:$FB,75)</f>
        <v>2550</v>
      </c>
      <c r="F93" s="91">
        <f>VLOOKUP($A93,'Data Vlaue (Cr)'!$C:$FB,77)</f>
        <v>-138</v>
      </c>
      <c r="G93" s="92">
        <f>VLOOKUP(A93,'Data Vlaue (Cr)'!C88:CB301,78,0)</f>
        <v>-5.1400000000000001E-2</v>
      </c>
      <c r="H93" s="91">
        <f>VLOOKUP($A93,'Data Vlaue (Cr)'!$C:$FB,91)</f>
        <v>1220</v>
      </c>
      <c r="I93" s="91">
        <f>VLOOKUP($A93,'Data Vlaue (Cr)'!$C:$FB,93)</f>
        <v>-56</v>
      </c>
      <c r="J93" s="92">
        <f>VLOOKUP($A93,'Data Vlaue (Cr)'!$C:$FB,94)</f>
        <v>-4.3999999999999997E-2</v>
      </c>
      <c r="K93" s="91">
        <f>VLOOKUP($A93,'Data Vlaue (Cr)'!$C:$FB,95)</f>
        <v>737</v>
      </c>
      <c r="L93" s="91">
        <f>VLOOKUP($A93,'Data Vlaue (Cr)'!$C:$FB,97)</f>
        <v>36</v>
      </c>
      <c r="M93" s="92">
        <f>VLOOKUP($A93,'Data Vlaue (Cr)'!$C:$FB,98)</f>
        <v>5.0999999999999997E-2</v>
      </c>
      <c r="N93" s="91">
        <f>VLOOKUP($A93,'Data Vlaue (Cr)'!$C:$FB,79)</f>
        <v>811</v>
      </c>
      <c r="O93" s="92">
        <f>VLOOKUP($A93,'Data Vlaue (Cr)'!$C:$FB,82)</f>
        <v>-0.44040000000000001</v>
      </c>
    </row>
    <row r="94" spans="1:15" x14ac:dyDescent="0.25">
      <c r="A94" s="97" t="str">
        <f>'Data Vlaue (Cr)'!C89</f>
        <v>IEX</v>
      </c>
      <c r="B94" s="142">
        <f>VLOOKUP(A94,'Data Vlaue (Cr)'!C89:CW302,99,0)</f>
        <v>3420</v>
      </c>
      <c r="C94" s="90">
        <f>VLOOKUP(A94,'Data Vlaue (Cr)'!C89:CY302,101,0)</f>
        <v>-244</v>
      </c>
      <c r="D94" s="139">
        <f>VLOOKUP(A94,'Data Vlaue (Cr)'!C89:CZ302,102,0)</f>
        <v>-6.6699999999999995E-2</v>
      </c>
      <c r="E94" s="91">
        <f>VLOOKUP($A94,'Data Vlaue (Cr)'!$C:$FB,75)</f>
        <v>1115</v>
      </c>
      <c r="F94" s="91">
        <f>VLOOKUP($A94,'Data Vlaue (Cr)'!$C:$FB,77)</f>
        <v>-114</v>
      </c>
      <c r="G94" s="92">
        <f>VLOOKUP(A94,'Data Vlaue (Cr)'!C89:CB302,78,0)</f>
        <v>-9.2899999999999996E-2</v>
      </c>
      <c r="H94" s="91">
        <f>VLOOKUP($A94,'Data Vlaue (Cr)'!$C:$FB,91)</f>
        <v>1382</v>
      </c>
      <c r="I94" s="91">
        <f>VLOOKUP($A94,'Data Vlaue (Cr)'!$C:$FB,93)</f>
        <v>-92</v>
      </c>
      <c r="J94" s="92">
        <f>VLOOKUP($A94,'Data Vlaue (Cr)'!$C:$FB,94)</f>
        <v>-6.2300000000000001E-2</v>
      </c>
      <c r="K94" s="91">
        <f>VLOOKUP($A94,'Data Vlaue (Cr)'!$C:$FB,95)</f>
        <v>924</v>
      </c>
      <c r="L94" s="91">
        <f>VLOOKUP($A94,'Data Vlaue (Cr)'!$C:$FB,97)</f>
        <v>-38</v>
      </c>
      <c r="M94" s="92">
        <f>VLOOKUP($A94,'Data Vlaue (Cr)'!$C:$FB,98)</f>
        <v>-0.04</v>
      </c>
      <c r="N94" s="91">
        <f>VLOOKUP($A94,'Data Vlaue (Cr)'!$C:$FB,79)</f>
        <v>498</v>
      </c>
      <c r="O94" s="92">
        <f>VLOOKUP($A94,'Data Vlaue (Cr)'!$C:$FB,82)</f>
        <v>-0.35210000000000002</v>
      </c>
    </row>
    <row r="95" spans="1:15" x14ac:dyDescent="0.25">
      <c r="A95" s="97" t="str">
        <f>'Data Vlaue (Cr)'!C90</f>
        <v>IIFL</v>
      </c>
      <c r="B95" s="142">
        <f>VLOOKUP(A95,'Data Vlaue (Cr)'!C90:CW303,99,0)</f>
        <v>1802</v>
      </c>
      <c r="C95" s="90">
        <f>VLOOKUP(A95,'Data Vlaue (Cr)'!C90:CY303,101,0)</f>
        <v>570</v>
      </c>
      <c r="D95" s="139">
        <f>VLOOKUP(A95,'Data Vlaue (Cr)'!C90:CZ303,102,0)</f>
        <v>0.46260000000000001</v>
      </c>
      <c r="E95" s="91">
        <f>VLOOKUP($A95,'Data Vlaue (Cr)'!$C:$FB,75)</f>
        <v>598</v>
      </c>
      <c r="F95" s="91">
        <f>VLOOKUP($A95,'Data Vlaue (Cr)'!$C:$FB,77)</f>
        <v>89</v>
      </c>
      <c r="G95" s="92">
        <f>VLOOKUP(A95,'Data Vlaue (Cr)'!C90:CB303,78,0)</f>
        <v>0.1739</v>
      </c>
      <c r="H95" s="91">
        <f>VLOOKUP($A95,'Data Vlaue (Cr)'!$C:$FB,91)</f>
        <v>770</v>
      </c>
      <c r="I95" s="91">
        <f>VLOOKUP($A95,'Data Vlaue (Cr)'!$C:$FB,93)</f>
        <v>329</v>
      </c>
      <c r="J95" s="92">
        <f>VLOOKUP($A95,'Data Vlaue (Cr)'!$C:$FB,94)</f>
        <v>0.74460000000000004</v>
      </c>
      <c r="K95" s="91">
        <f>VLOOKUP($A95,'Data Vlaue (Cr)'!$C:$FB,95)</f>
        <v>434</v>
      </c>
      <c r="L95" s="91">
        <f>VLOOKUP($A95,'Data Vlaue (Cr)'!$C:$FB,97)</f>
        <v>153</v>
      </c>
      <c r="M95" s="92">
        <f>VLOOKUP($A95,'Data Vlaue (Cr)'!$C:$FB,98)</f>
        <v>0.54279999999999995</v>
      </c>
      <c r="N95" s="91">
        <f>VLOOKUP($A95,'Data Vlaue (Cr)'!$C:$FB,79)</f>
        <v>598</v>
      </c>
      <c r="O95" s="92">
        <f>VLOOKUP($A95,'Data Vlaue (Cr)'!$C:$FB,82)</f>
        <v>0.1739</v>
      </c>
    </row>
    <row r="96" spans="1:15" x14ac:dyDescent="0.25">
      <c r="A96" s="97" t="str">
        <f>'Data Vlaue (Cr)'!C91</f>
        <v>INDHOTEL</v>
      </c>
      <c r="B96" s="142">
        <f>VLOOKUP(A96,'Data Vlaue (Cr)'!C91:CW304,99,0)</f>
        <v>3394</v>
      </c>
      <c r="C96" s="90">
        <f>VLOOKUP(A96,'Data Vlaue (Cr)'!C91:CY304,101,0)</f>
        <v>-1</v>
      </c>
      <c r="D96" s="139">
        <f>VLOOKUP(A96,'Data Vlaue (Cr)'!C91:CZ304,102,0)</f>
        <v>-2.9999999999999997E-4</v>
      </c>
      <c r="E96" s="91">
        <f>VLOOKUP($A96,'Data Vlaue (Cr)'!$C:$FB,75)</f>
        <v>1879</v>
      </c>
      <c r="F96" s="91">
        <f>VLOOKUP($A96,'Data Vlaue (Cr)'!$C:$FB,77)</f>
        <v>61</v>
      </c>
      <c r="G96" s="92">
        <f>VLOOKUP(A96,'Data Vlaue (Cr)'!C91:CB304,78,0)</f>
        <v>3.3700000000000001E-2</v>
      </c>
      <c r="H96" s="91">
        <f>VLOOKUP($A96,'Data Vlaue (Cr)'!$C:$FB,91)</f>
        <v>910</v>
      </c>
      <c r="I96" s="91">
        <f>VLOOKUP($A96,'Data Vlaue (Cr)'!$C:$FB,93)</f>
        <v>-71</v>
      </c>
      <c r="J96" s="92">
        <f>VLOOKUP($A96,'Data Vlaue (Cr)'!$C:$FB,94)</f>
        <v>-7.2599999999999998E-2</v>
      </c>
      <c r="K96" s="91">
        <f>VLOOKUP($A96,'Data Vlaue (Cr)'!$C:$FB,95)</f>
        <v>605</v>
      </c>
      <c r="L96" s="91">
        <f>VLOOKUP($A96,'Data Vlaue (Cr)'!$C:$FB,97)</f>
        <v>9</v>
      </c>
      <c r="M96" s="92">
        <f>VLOOKUP($A96,'Data Vlaue (Cr)'!$C:$FB,98)</f>
        <v>1.4999999999999999E-2</v>
      </c>
      <c r="N96" s="91">
        <f>VLOOKUP($A96,'Data Vlaue (Cr)'!$C:$FB,79)</f>
        <v>911</v>
      </c>
      <c r="O96" s="92">
        <f>VLOOKUP($A96,'Data Vlaue (Cr)'!$C:$FB,82)</f>
        <v>-0.34300000000000003</v>
      </c>
    </row>
    <row r="97" spans="1:15" x14ac:dyDescent="0.25">
      <c r="A97" s="97" t="str">
        <f>'Data Vlaue (Cr)'!C92</f>
        <v>INDIANB</v>
      </c>
      <c r="B97" s="142">
        <f>VLOOKUP(A97,'Data Vlaue (Cr)'!C92:CW305,99,0)</f>
        <v>2318</v>
      </c>
      <c r="C97" s="90">
        <f>VLOOKUP(A97,'Data Vlaue (Cr)'!C92:CY305,101,0)</f>
        <v>276</v>
      </c>
      <c r="D97" s="139">
        <f>VLOOKUP(A97,'Data Vlaue (Cr)'!C92:CZ305,102,0)</f>
        <v>0.1353</v>
      </c>
      <c r="E97" s="91">
        <f>VLOOKUP($A97,'Data Vlaue (Cr)'!$C:$FB,75)</f>
        <v>998</v>
      </c>
      <c r="F97" s="91">
        <f>VLOOKUP($A97,'Data Vlaue (Cr)'!$C:$FB,77)</f>
        <v>19</v>
      </c>
      <c r="G97" s="92">
        <f>VLOOKUP(A97,'Data Vlaue (Cr)'!C92:CB305,78,0)</f>
        <v>1.9800000000000002E-2</v>
      </c>
      <c r="H97" s="91">
        <f>VLOOKUP($A97,'Data Vlaue (Cr)'!$C:$FB,91)</f>
        <v>743</v>
      </c>
      <c r="I97" s="91">
        <f>VLOOKUP($A97,'Data Vlaue (Cr)'!$C:$FB,93)</f>
        <v>161</v>
      </c>
      <c r="J97" s="92">
        <f>VLOOKUP($A97,'Data Vlaue (Cr)'!$C:$FB,94)</f>
        <v>0.27760000000000001</v>
      </c>
      <c r="K97" s="91">
        <f>VLOOKUP($A97,'Data Vlaue (Cr)'!$C:$FB,95)</f>
        <v>576</v>
      </c>
      <c r="L97" s="91">
        <f>VLOOKUP($A97,'Data Vlaue (Cr)'!$C:$FB,97)</f>
        <v>95</v>
      </c>
      <c r="M97" s="92">
        <f>VLOOKUP($A97,'Data Vlaue (Cr)'!$C:$FB,98)</f>
        <v>0.1983</v>
      </c>
      <c r="N97" s="91">
        <f>VLOOKUP($A97,'Data Vlaue (Cr)'!$C:$FB,79)</f>
        <v>400</v>
      </c>
      <c r="O97" s="92">
        <f>VLOOKUP($A97,'Data Vlaue (Cr)'!$C:$FB,82)</f>
        <v>-0.47120000000000001</v>
      </c>
    </row>
    <row r="98" spans="1:15" x14ac:dyDescent="0.25">
      <c r="A98" s="97" t="str">
        <f>'Data Vlaue (Cr)'!C93</f>
        <v>INDIAVIX</v>
      </c>
      <c r="B98" s="142">
        <f>VLOOKUP(A98,'Data Vlaue (Cr)'!C93:CW306,99,0)</f>
        <v>0</v>
      </c>
      <c r="C98" s="90">
        <f>VLOOKUP(A98,'Data Vlaue (Cr)'!C93:CY306,101,0)</f>
        <v>0</v>
      </c>
      <c r="D98" s="139">
        <f>VLOOKUP(A98,'Data Vlaue (Cr)'!C93:CZ306,102,0)</f>
        <v>0</v>
      </c>
      <c r="E98" s="91">
        <f>VLOOKUP($A98,'Data Vlaue (Cr)'!$C:$FB,75)</f>
        <v>0</v>
      </c>
      <c r="F98" s="91">
        <f>VLOOKUP($A98,'Data Vlaue (Cr)'!$C:$FB,77)</f>
        <v>0</v>
      </c>
      <c r="G98" s="92">
        <f>VLOOKUP(A98,'Data Vlaue (Cr)'!C93:CB306,78,0)</f>
        <v>0</v>
      </c>
      <c r="H98" s="91">
        <f>VLOOKUP($A98,'Data Vlaue (Cr)'!$C:$FB,91)</f>
        <v>0</v>
      </c>
      <c r="I98" s="91">
        <f>VLOOKUP($A98,'Data Vlaue (Cr)'!$C:$FB,93)</f>
        <v>0</v>
      </c>
      <c r="J98" s="92">
        <f>VLOOKUP($A98,'Data Vlaue (Cr)'!$C:$FB,94)</f>
        <v>0</v>
      </c>
      <c r="K98" s="91">
        <f>VLOOKUP($A98,'Data Vlaue (Cr)'!$C:$FB,95)</f>
        <v>0</v>
      </c>
      <c r="L98" s="91">
        <f>VLOOKUP($A98,'Data Vlaue (Cr)'!$C:$FB,97)</f>
        <v>0</v>
      </c>
      <c r="M98" s="92">
        <f>VLOOKUP($A98,'Data Vlaue (Cr)'!$C:$FB,98)</f>
        <v>0</v>
      </c>
      <c r="N98" s="91">
        <f>VLOOKUP($A98,'Data Vlaue (Cr)'!$C:$FB,79)</f>
        <v>0</v>
      </c>
      <c r="O98" s="92">
        <f>VLOOKUP($A98,'Data Vlaue (Cr)'!$C:$FB,82)</f>
        <v>0</v>
      </c>
    </row>
    <row r="99" spans="1:15" x14ac:dyDescent="0.25">
      <c r="A99" s="97" t="str">
        <f>'Data Vlaue (Cr)'!C94</f>
        <v>INDIGO</v>
      </c>
      <c r="B99" s="142">
        <f>VLOOKUP(A99,'Data Vlaue (Cr)'!C94:CW307,99,0)</f>
        <v>9340</v>
      </c>
      <c r="C99" s="90">
        <f>VLOOKUP(A99,'Data Vlaue (Cr)'!C94:CY307,101,0)</f>
        <v>255</v>
      </c>
      <c r="D99" s="139">
        <f>VLOOKUP(A99,'Data Vlaue (Cr)'!C94:CZ307,102,0)</f>
        <v>2.8000000000000001E-2</v>
      </c>
      <c r="E99" s="91">
        <f>VLOOKUP($A99,'Data Vlaue (Cr)'!$C:$FB,75)</f>
        <v>4421</v>
      </c>
      <c r="F99" s="91">
        <f>VLOOKUP($A99,'Data Vlaue (Cr)'!$C:$FB,77)</f>
        <v>93</v>
      </c>
      <c r="G99" s="92">
        <f>VLOOKUP(A99,'Data Vlaue (Cr)'!C94:CB307,78,0)</f>
        <v>2.1499999999999998E-2</v>
      </c>
      <c r="H99" s="91">
        <f>VLOOKUP($A99,'Data Vlaue (Cr)'!$C:$FB,91)</f>
        <v>2917</v>
      </c>
      <c r="I99" s="91">
        <f>VLOOKUP($A99,'Data Vlaue (Cr)'!$C:$FB,93)</f>
        <v>87</v>
      </c>
      <c r="J99" s="92">
        <f>VLOOKUP($A99,'Data Vlaue (Cr)'!$C:$FB,94)</f>
        <v>3.0599999999999999E-2</v>
      </c>
      <c r="K99" s="91">
        <f>VLOOKUP($A99,'Data Vlaue (Cr)'!$C:$FB,95)</f>
        <v>2002</v>
      </c>
      <c r="L99" s="91">
        <f>VLOOKUP($A99,'Data Vlaue (Cr)'!$C:$FB,97)</f>
        <v>75</v>
      </c>
      <c r="M99" s="92">
        <f>VLOOKUP($A99,'Data Vlaue (Cr)'!$C:$FB,98)</f>
        <v>3.9E-2</v>
      </c>
      <c r="N99" s="91">
        <f>VLOOKUP($A99,'Data Vlaue (Cr)'!$C:$FB,79)</f>
        <v>2152</v>
      </c>
      <c r="O99" s="92">
        <f>VLOOKUP($A99,'Data Vlaue (Cr)'!$C:$FB,82)</f>
        <v>-0.28920000000000001</v>
      </c>
    </row>
    <row r="100" spans="1:15" x14ac:dyDescent="0.25">
      <c r="A100" s="97" t="str">
        <f>'Data Vlaue (Cr)'!C95</f>
        <v>INDUSINDBK</v>
      </c>
      <c r="B100" s="142">
        <f>VLOOKUP(A100,'Data Vlaue (Cr)'!C95:CW308,99,0)</f>
        <v>5551</v>
      </c>
      <c r="C100" s="90">
        <f>VLOOKUP(A100,'Data Vlaue (Cr)'!C95:CY308,101,0)</f>
        <v>62</v>
      </c>
      <c r="D100" s="139">
        <f>VLOOKUP(A100,'Data Vlaue (Cr)'!C95:CZ308,102,0)</f>
        <v>1.1299999999999999E-2</v>
      </c>
      <c r="E100" s="91">
        <f>VLOOKUP($A100,'Data Vlaue (Cr)'!$C:$FB,75)</f>
        <v>3554</v>
      </c>
      <c r="F100" s="91">
        <f>VLOOKUP($A100,'Data Vlaue (Cr)'!$C:$FB,77)</f>
        <v>21</v>
      </c>
      <c r="G100" s="92">
        <f>VLOOKUP(A100,'Data Vlaue (Cr)'!C95:CB308,78,0)</f>
        <v>5.8999999999999999E-3</v>
      </c>
      <c r="H100" s="91">
        <f>VLOOKUP($A100,'Data Vlaue (Cr)'!$C:$FB,91)</f>
        <v>1022</v>
      </c>
      <c r="I100" s="91">
        <f>VLOOKUP($A100,'Data Vlaue (Cr)'!$C:$FB,93)</f>
        <v>32</v>
      </c>
      <c r="J100" s="92">
        <f>VLOOKUP($A100,'Data Vlaue (Cr)'!$C:$FB,94)</f>
        <v>3.2399999999999998E-2</v>
      </c>
      <c r="K100" s="91">
        <f>VLOOKUP($A100,'Data Vlaue (Cr)'!$C:$FB,95)</f>
        <v>975</v>
      </c>
      <c r="L100" s="91">
        <f>VLOOKUP($A100,'Data Vlaue (Cr)'!$C:$FB,97)</f>
        <v>9</v>
      </c>
      <c r="M100" s="92">
        <f>VLOOKUP($A100,'Data Vlaue (Cr)'!$C:$FB,98)</f>
        <v>9.7000000000000003E-3</v>
      </c>
      <c r="N100" s="91">
        <f>VLOOKUP($A100,'Data Vlaue (Cr)'!$C:$FB,79)</f>
        <v>1792</v>
      </c>
      <c r="O100" s="92">
        <f>VLOOKUP($A100,'Data Vlaue (Cr)'!$C:$FB,82)</f>
        <v>-0.25340000000000001</v>
      </c>
    </row>
    <row r="101" spans="1:15" x14ac:dyDescent="0.25">
      <c r="A101" s="97" t="str">
        <f>'Data Vlaue (Cr)'!C96</f>
        <v>INDUSTOWER</v>
      </c>
      <c r="B101" s="142">
        <f>VLOOKUP(A101,'Data Vlaue (Cr)'!C96:CW309,99,0)</f>
        <v>6173</v>
      </c>
      <c r="C101" s="90">
        <f>VLOOKUP(A101,'Data Vlaue (Cr)'!C96:CY309,101,0)</f>
        <v>-53</v>
      </c>
      <c r="D101" s="139">
        <f>VLOOKUP(A101,'Data Vlaue (Cr)'!C96:CZ309,102,0)</f>
        <v>-8.5000000000000006E-3</v>
      </c>
      <c r="E101" s="91">
        <f>VLOOKUP($A101,'Data Vlaue (Cr)'!$C:$FB,75)</f>
        <v>4228</v>
      </c>
      <c r="F101" s="91">
        <f>VLOOKUP($A101,'Data Vlaue (Cr)'!$C:$FB,77)</f>
        <v>67</v>
      </c>
      <c r="G101" s="92">
        <f>VLOOKUP(A101,'Data Vlaue (Cr)'!C96:CB309,78,0)</f>
        <v>1.61E-2</v>
      </c>
      <c r="H101" s="91">
        <f>VLOOKUP($A101,'Data Vlaue (Cr)'!$C:$FB,91)</f>
        <v>1272</v>
      </c>
      <c r="I101" s="91">
        <f>VLOOKUP($A101,'Data Vlaue (Cr)'!$C:$FB,93)</f>
        <v>-72</v>
      </c>
      <c r="J101" s="92">
        <f>VLOOKUP($A101,'Data Vlaue (Cr)'!$C:$FB,94)</f>
        <v>-5.3900000000000003E-2</v>
      </c>
      <c r="K101" s="91">
        <f>VLOOKUP($A101,'Data Vlaue (Cr)'!$C:$FB,95)</f>
        <v>672</v>
      </c>
      <c r="L101" s="91">
        <f>VLOOKUP($A101,'Data Vlaue (Cr)'!$C:$FB,97)</f>
        <v>-48</v>
      </c>
      <c r="M101" s="92">
        <f>VLOOKUP($A101,'Data Vlaue (Cr)'!$C:$FB,98)</f>
        <v>-6.6500000000000004E-2</v>
      </c>
      <c r="N101" s="91">
        <f>VLOOKUP($A101,'Data Vlaue (Cr)'!$C:$FB,79)</f>
        <v>2107</v>
      </c>
      <c r="O101" s="92">
        <f>VLOOKUP($A101,'Data Vlaue (Cr)'!$C:$FB,82)</f>
        <v>-0.26219999999999999</v>
      </c>
    </row>
    <row r="102" spans="1:15" x14ac:dyDescent="0.25">
      <c r="A102" s="97" t="str">
        <f>'Data Vlaue (Cr)'!C97</f>
        <v>INFY</v>
      </c>
      <c r="B102" s="142">
        <f>VLOOKUP(A102,'Data Vlaue (Cr)'!C97:CW310,99,0)</f>
        <v>20012</v>
      </c>
      <c r="C102" s="90">
        <f>VLOOKUP(A102,'Data Vlaue (Cr)'!C97:CY310,101,0)</f>
        <v>-136</v>
      </c>
      <c r="D102" s="139">
        <f>VLOOKUP(A102,'Data Vlaue (Cr)'!C97:CZ310,102,0)</f>
        <v>-6.7000000000000002E-3</v>
      </c>
      <c r="E102" s="91">
        <f>VLOOKUP($A102,'Data Vlaue (Cr)'!$C:$FB,75)</f>
        <v>11904</v>
      </c>
      <c r="F102" s="91">
        <f>VLOOKUP($A102,'Data Vlaue (Cr)'!$C:$FB,77)</f>
        <v>180</v>
      </c>
      <c r="G102" s="92">
        <f>VLOOKUP(A102,'Data Vlaue (Cr)'!C97:CB310,78,0)</f>
        <v>1.5299999999999999E-2</v>
      </c>
      <c r="H102" s="91">
        <f>VLOOKUP($A102,'Data Vlaue (Cr)'!$C:$FB,91)</f>
        <v>5068</v>
      </c>
      <c r="I102" s="91">
        <f>VLOOKUP($A102,'Data Vlaue (Cr)'!$C:$FB,93)</f>
        <v>-56</v>
      </c>
      <c r="J102" s="92">
        <f>VLOOKUP($A102,'Data Vlaue (Cr)'!$C:$FB,94)</f>
        <v>-1.09E-2</v>
      </c>
      <c r="K102" s="91">
        <f>VLOOKUP($A102,'Data Vlaue (Cr)'!$C:$FB,95)</f>
        <v>3039</v>
      </c>
      <c r="L102" s="91">
        <f>VLOOKUP($A102,'Data Vlaue (Cr)'!$C:$FB,97)</f>
        <v>-260</v>
      </c>
      <c r="M102" s="92">
        <f>VLOOKUP($A102,'Data Vlaue (Cr)'!$C:$FB,98)</f>
        <v>-7.8700000000000006E-2</v>
      </c>
      <c r="N102" s="91">
        <f>VLOOKUP($A102,'Data Vlaue (Cr)'!$C:$FB,79)</f>
        <v>4244</v>
      </c>
      <c r="O102" s="92">
        <f>VLOOKUP($A102,'Data Vlaue (Cr)'!$C:$FB,82)</f>
        <v>-0.41239999999999999</v>
      </c>
    </row>
    <row r="103" spans="1:15" x14ac:dyDescent="0.25">
      <c r="A103" s="97" t="str">
        <f>'Data Vlaue (Cr)'!C98</f>
        <v>INOXWIND</v>
      </c>
      <c r="B103" s="142">
        <f>VLOOKUP(A103,'Data Vlaue (Cr)'!C98:CW311,99,0)</f>
        <v>1953</v>
      </c>
      <c r="C103" s="90">
        <f>VLOOKUP(A103,'Data Vlaue (Cr)'!C98:CY311,101,0)</f>
        <v>2</v>
      </c>
      <c r="D103" s="139">
        <f>VLOOKUP(A103,'Data Vlaue (Cr)'!C98:CZ311,102,0)</f>
        <v>8.9999999999999998E-4</v>
      </c>
      <c r="E103" s="91">
        <f>VLOOKUP($A103,'Data Vlaue (Cr)'!$C:$FB,75)</f>
        <v>1174</v>
      </c>
      <c r="F103" s="91">
        <f>VLOOKUP($A103,'Data Vlaue (Cr)'!$C:$FB,77)</f>
        <v>22</v>
      </c>
      <c r="G103" s="92">
        <f>VLOOKUP(A103,'Data Vlaue (Cr)'!C98:CB311,78,0)</f>
        <v>1.89E-2</v>
      </c>
      <c r="H103" s="91">
        <f>VLOOKUP($A103,'Data Vlaue (Cr)'!$C:$FB,91)</f>
        <v>484</v>
      </c>
      <c r="I103" s="91">
        <f>VLOOKUP($A103,'Data Vlaue (Cr)'!$C:$FB,93)</f>
        <v>-17</v>
      </c>
      <c r="J103" s="92">
        <f>VLOOKUP($A103,'Data Vlaue (Cr)'!$C:$FB,94)</f>
        <v>-3.4299999999999997E-2</v>
      </c>
      <c r="K103" s="91">
        <f>VLOOKUP($A103,'Data Vlaue (Cr)'!$C:$FB,95)</f>
        <v>295</v>
      </c>
      <c r="L103" s="91">
        <f>VLOOKUP($A103,'Data Vlaue (Cr)'!$C:$FB,97)</f>
        <v>-3</v>
      </c>
      <c r="M103" s="92">
        <f>VLOOKUP($A103,'Data Vlaue (Cr)'!$C:$FB,98)</f>
        <v>-9.4999999999999998E-3</v>
      </c>
      <c r="N103" s="91">
        <f>VLOOKUP($A103,'Data Vlaue (Cr)'!$C:$FB,79)</f>
        <v>655</v>
      </c>
      <c r="O103" s="92">
        <f>VLOOKUP($A103,'Data Vlaue (Cr)'!$C:$FB,82)</f>
        <v>-0.2412</v>
      </c>
    </row>
    <row r="104" spans="1:15" x14ac:dyDescent="0.25">
      <c r="A104" s="97" t="str">
        <f>'Data Vlaue (Cr)'!C99</f>
        <v>IOC</v>
      </c>
      <c r="B104" s="142">
        <f>VLOOKUP(A104,'Data Vlaue (Cr)'!C99:CW312,99,0)</f>
        <v>2952</v>
      </c>
      <c r="C104" s="90">
        <f>VLOOKUP(A104,'Data Vlaue (Cr)'!C99:CY312,101,0)</f>
        <v>-54</v>
      </c>
      <c r="D104" s="139">
        <f>VLOOKUP(A104,'Data Vlaue (Cr)'!C99:CZ312,102,0)</f>
        <v>-1.8100000000000002E-2</v>
      </c>
      <c r="E104" s="91">
        <f>VLOOKUP($A104,'Data Vlaue (Cr)'!$C:$FB,75)</f>
        <v>1531</v>
      </c>
      <c r="F104" s="91">
        <f>VLOOKUP($A104,'Data Vlaue (Cr)'!$C:$FB,77)</f>
        <v>14</v>
      </c>
      <c r="G104" s="92">
        <f>VLOOKUP(A104,'Data Vlaue (Cr)'!C99:CB312,78,0)</f>
        <v>9.1000000000000004E-3</v>
      </c>
      <c r="H104" s="91">
        <f>VLOOKUP($A104,'Data Vlaue (Cr)'!$C:$FB,91)</f>
        <v>872</v>
      </c>
      <c r="I104" s="91">
        <f>VLOOKUP($A104,'Data Vlaue (Cr)'!$C:$FB,93)</f>
        <v>-34</v>
      </c>
      <c r="J104" s="92">
        <f>VLOOKUP($A104,'Data Vlaue (Cr)'!$C:$FB,94)</f>
        <v>-3.7900000000000003E-2</v>
      </c>
      <c r="K104" s="91">
        <f>VLOOKUP($A104,'Data Vlaue (Cr)'!$C:$FB,95)</f>
        <v>549</v>
      </c>
      <c r="L104" s="91">
        <f>VLOOKUP($A104,'Data Vlaue (Cr)'!$C:$FB,97)</f>
        <v>-34</v>
      </c>
      <c r="M104" s="92">
        <f>VLOOKUP($A104,'Data Vlaue (Cr)'!$C:$FB,98)</f>
        <v>-5.8000000000000003E-2</v>
      </c>
      <c r="N104" s="91">
        <f>VLOOKUP($A104,'Data Vlaue (Cr)'!$C:$FB,79)</f>
        <v>734</v>
      </c>
      <c r="O104" s="92">
        <f>VLOOKUP($A104,'Data Vlaue (Cr)'!$C:$FB,82)</f>
        <v>-0.33660000000000001</v>
      </c>
    </row>
    <row r="105" spans="1:15" x14ac:dyDescent="0.25">
      <c r="A105" s="97" t="str">
        <f>'Data Vlaue (Cr)'!C100</f>
        <v>IRCTC</v>
      </c>
      <c r="B105" s="142">
        <f>VLOOKUP(A105,'Data Vlaue (Cr)'!C100:CW313,99,0)</f>
        <v>4027</v>
      </c>
      <c r="C105" s="90">
        <f>VLOOKUP(A105,'Data Vlaue (Cr)'!C100:CY313,101,0)</f>
        <v>-6</v>
      </c>
      <c r="D105" s="139">
        <f>VLOOKUP(A105,'Data Vlaue (Cr)'!C100:CZ313,102,0)</f>
        <v>-1.5E-3</v>
      </c>
      <c r="E105" s="91">
        <f>VLOOKUP($A105,'Data Vlaue (Cr)'!$C:$FB,75)</f>
        <v>1661</v>
      </c>
      <c r="F105" s="91">
        <f>VLOOKUP($A105,'Data Vlaue (Cr)'!$C:$FB,77)</f>
        <v>76</v>
      </c>
      <c r="G105" s="92">
        <f>VLOOKUP(A105,'Data Vlaue (Cr)'!C100:CB313,78,0)</f>
        <v>4.7899999999999998E-2</v>
      </c>
      <c r="H105" s="91">
        <f>VLOOKUP($A105,'Data Vlaue (Cr)'!$C:$FB,91)</f>
        <v>1594</v>
      </c>
      <c r="I105" s="91">
        <f>VLOOKUP($A105,'Data Vlaue (Cr)'!$C:$FB,93)</f>
        <v>-94</v>
      </c>
      <c r="J105" s="92">
        <f>VLOOKUP($A105,'Data Vlaue (Cr)'!$C:$FB,94)</f>
        <v>-5.5800000000000002E-2</v>
      </c>
      <c r="K105" s="91">
        <f>VLOOKUP($A105,'Data Vlaue (Cr)'!$C:$FB,95)</f>
        <v>772</v>
      </c>
      <c r="L105" s="91">
        <f>VLOOKUP($A105,'Data Vlaue (Cr)'!$C:$FB,97)</f>
        <v>12</v>
      </c>
      <c r="M105" s="92">
        <f>VLOOKUP($A105,'Data Vlaue (Cr)'!$C:$FB,98)</f>
        <v>1.5900000000000001E-2</v>
      </c>
      <c r="N105" s="91">
        <f>VLOOKUP($A105,'Data Vlaue (Cr)'!$C:$FB,79)</f>
        <v>629</v>
      </c>
      <c r="O105" s="92">
        <f>VLOOKUP($A105,'Data Vlaue (Cr)'!$C:$FB,82)</f>
        <v>-0.35539999999999999</v>
      </c>
    </row>
    <row r="106" spans="1:15" x14ac:dyDescent="0.25">
      <c r="A106" s="97" t="str">
        <f>'Data Vlaue (Cr)'!C101</f>
        <v>IREDA</v>
      </c>
      <c r="B106" s="142">
        <f>VLOOKUP(A106,'Data Vlaue (Cr)'!C101:CW314,99,0)</f>
        <v>2077</v>
      </c>
      <c r="C106" s="90">
        <f>VLOOKUP(A106,'Data Vlaue (Cr)'!C101:CY314,101,0)</f>
        <v>-202</v>
      </c>
      <c r="D106" s="139">
        <f>VLOOKUP(A106,'Data Vlaue (Cr)'!C101:CZ314,102,0)</f>
        <v>-8.8499999999999995E-2</v>
      </c>
      <c r="E106" s="91">
        <f>VLOOKUP($A106,'Data Vlaue (Cr)'!$C:$FB,75)</f>
        <v>941</v>
      </c>
      <c r="F106" s="91">
        <f>VLOOKUP($A106,'Data Vlaue (Cr)'!$C:$FB,77)</f>
        <v>-116</v>
      </c>
      <c r="G106" s="92">
        <f>VLOOKUP(A106,'Data Vlaue (Cr)'!C101:CB314,78,0)</f>
        <v>-0.1095</v>
      </c>
      <c r="H106" s="91">
        <f>VLOOKUP($A106,'Data Vlaue (Cr)'!$C:$FB,91)</f>
        <v>755</v>
      </c>
      <c r="I106" s="91">
        <f>VLOOKUP($A106,'Data Vlaue (Cr)'!$C:$FB,93)</f>
        <v>-84</v>
      </c>
      <c r="J106" s="92">
        <f>VLOOKUP($A106,'Data Vlaue (Cr)'!$C:$FB,94)</f>
        <v>-9.98E-2</v>
      </c>
      <c r="K106" s="91">
        <f>VLOOKUP($A106,'Data Vlaue (Cr)'!$C:$FB,95)</f>
        <v>381</v>
      </c>
      <c r="L106" s="91">
        <f>VLOOKUP($A106,'Data Vlaue (Cr)'!$C:$FB,97)</f>
        <v>-2</v>
      </c>
      <c r="M106" s="92">
        <f>VLOOKUP($A106,'Data Vlaue (Cr)'!$C:$FB,98)</f>
        <v>-5.8999999999999999E-3</v>
      </c>
      <c r="N106" s="91">
        <f>VLOOKUP($A106,'Data Vlaue (Cr)'!$C:$FB,79)</f>
        <v>315</v>
      </c>
      <c r="O106" s="92">
        <f>VLOOKUP($A106,'Data Vlaue (Cr)'!$C:$FB,82)</f>
        <v>-0.46960000000000002</v>
      </c>
    </row>
    <row r="107" spans="1:15" x14ac:dyDescent="0.25">
      <c r="A107" s="97" t="str">
        <f>'Data Vlaue (Cr)'!C102</f>
        <v>IRFC</v>
      </c>
      <c r="B107" s="142">
        <f>VLOOKUP(A107,'Data Vlaue (Cr)'!C102:CW315,99,0)</f>
        <v>2660</v>
      </c>
      <c r="C107" s="90">
        <f>VLOOKUP(A107,'Data Vlaue (Cr)'!C102:CY315,101,0)</f>
        <v>-78</v>
      </c>
      <c r="D107" s="139">
        <f>VLOOKUP(A107,'Data Vlaue (Cr)'!C102:CZ315,102,0)</f>
        <v>-2.8299999999999999E-2</v>
      </c>
      <c r="E107" s="91">
        <f>VLOOKUP($A107,'Data Vlaue (Cr)'!$C:$FB,75)</f>
        <v>787</v>
      </c>
      <c r="F107" s="91">
        <f>VLOOKUP($A107,'Data Vlaue (Cr)'!$C:$FB,77)</f>
        <v>-80</v>
      </c>
      <c r="G107" s="92">
        <f>VLOOKUP(A107,'Data Vlaue (Cr)'!C102:CB315,78,0)</f>
        <v>-9.2399999999999996E-2</v>
      </c>
      <c r="H107" s="91">
        <f>VLOOKUP($A107,'Data Vlaue (Cr)'!$C:$FB,91)</f>
        <v>1371</v>
      </c>
      <c r="I107" s="91">
        <f>VLOOKUP($A107,'Data Vlaue (Cr)'!$C:$FB,93)</f>
        <v>-2</v>
      </c>
      <c r="J107" s="92">
        <f>VLOOKUP($A107,'Data Vlaue (Cr)'!$C:$FB,94)</f>
        <v>-1.1000000000000001E-3</v>
      </c>
      <c r="K107" s="91">
        <f>VLOOKUP($A107,'Data Vlaue (Cr)'!$C:$FB,95)</f>
        <v>502</v>
      </c>
      <c r="L107" s="91">
        <f>VLOOKUP($A107,'Data Vlaue (Cr)'!$C:$FB,97)</f>
        <v>4</v>
      </c>
      <c r="M107" s="92">
        <f>VLOOKUP($A107,'Data Vlaue (Cr)'!$C:$FB,98)</f>
        <v>8.2000000000000007E-3</v>
      </c>
      <c r="N107" s="91">
        <f>VLOOKUP($A107,'Data Vlaue (Cr)'!$C:$FB,79)</f>
        <v>338</v>
      </c>
      <c r="O107" s="92">
        <f>VLOOKUP($A107,'Data Vlaue (Cr)'!$C:$FB,82)</f>
        <v>-0.36109999999999998</v>
      </c>
    </row>
    <row r="108" spans="1:15" x14ac:dyDescent="0.25">
      <c r="A108" s="97" t="str">
        <f>'Data Vlaue (Cr)'!C103</f>
        <v>ITC</v>
      </c>
      <c r="B108" s="142">
        <f>VLOOKUP(A108,'Data Vlaue (Cr)'!C103:CW316,99,0)</f>
        <v>21116</v>
      </c>
      <c r="C108" s="90">
        <f>VLOOKUP(A108,'Data Vlaue (Cr)'!C103:CY316,101,0)</f>
        <v>-926</v>
      </c>
      <c r="D108" s="139">
        <f>VLOOKUP(A108,'Data Vlaue (Cr)'!C103:CZ316,102,0)</f>
        <v>-4.2000000000000003E-2</v>
      </c>
      <c r="E108" s="91">
        <f>VLOOKUP($A108,'Data Vlaue (Cr)'!$C:$FB,75)</f>
        <v>7751</v>
      </c>
      <c r="F108" s="91">
        <f>VLOOKUP($A108,'Data Vlaue (Cr)'!$C:$FB,77)</f>
        <v>-372</v>
      </c>
      <c r="G108" s="92">
        <f>VLOOKUP(A108,'Data Vlaue (Cr)'!C103:CB316,78,0)</f>
        <v>-4.58E-2</v>
      </c>
      <c r="H108" s="91">
        <f>VLOOKUP($A108,'Data Vlaue (Cr)'!$C:$FB,91)</f>
        <v>9528</v>
      </c>
      <c r="I108" s="91">
        <f>VLOOKUP($A108,'Data Vlaue (Cr)'!$C:$FB,93)</f>
        <v>-552</v>
      </c>
      <c r="J108" s="92">
        <f>VLOOKUP($A108,'Data Vlaue (Cr)'!$C:$FB,94)</f>
        <v>-5.4800000000000001E-2</v>
      </c>
      <c r="K108" s="91">
        <f>VLOOKUP($A108,'Data Vlaue (Cr)'!$C:$FB,95)</f>
        <v>3837</v>
      </c>
      <c r="L108" s="91">
        <f>VLOOKUP($A108,'Data Vlaue (Cr)'!$C:$FB,97)</f>
        <v>-2</v>
      </c>
      <c r="M108" s="92">
        <f>VLOOKUP($A108,'Data Vlaue (Cr)'!$C:$FB,98)</f>
        <v>-5.0000000000000001E-4</v>
      </c>
      <c r="N108" s="91">
        <f>VLOOKUP($A108,'Data Vlaue (Cr)'!$C:$FB,79)</f>
        <v>4841</v>
      </c>
      <c r="O108" s="92">
        <f>VLOOKUP($A108,'Data Vlaue (Cr)'!$C:$FB,82)</f>
        <v>-0.17699999999999999</v>
      </c>
    </row>
    <row r="109" spans="1:15" x14ac:dyDescent="0.25">
      <c r="A109" s="97" t="str">
        <f>'Data Vlaue (Cr)'!C104</f>
        <v>JINDALSTEL</v>
      </c>
      <c r="B109" s="142">
        <f>VLOOKUP(A109,'Data Vlaue (Cr)'!C104:CW317,99,0)</f>
        <v>2149</v>
      </c>
      <c r="C109" s="90">
        <f>VLOOKUP(A109,'Data Vlaue (Cr)'!C104:CY317,101,0)</f>
        <v>-45</v>
      </c>
      <c r="D109" s="139">
        <f>VLOOKUP(A109,'Data Vlaue (Cr)'!C104:CZ317,102,0)</f>
        <v>-2.0400000000000001E-2</v>
      </c>
      <c r="E109" s="91">
        <f>VLOOKUP($A109,'Data Vlaue (Cr)'!$C:$FB,75)</f>
        <v>1241</v>
      </c>
      <c r="F109" s="91">
        <f>VLOOKUP($A109,'Data Vlaue (Cr)'!$C:$FB,77)</f>
        <v>-16</v>
      </c>
      <c r="G109" s="92">
        <f>VLOOKUP(A109,'Data Vlaue (Cr)'!C104:CB317,78,0)</f>
        <v>-1.2699999999999999E-2</v>
      </c>
      <c r="H109" s="91">
        <f>VLOOKUP($A109,'Data Vlaue (Cr)'!$C:$FB,91)</f>
        <v>468</v>
      </c>
      <c r="I109" s="91">
        <f>VLOOKUP($A109,'Data Vlaue (Cr)'!$C:$FB,93)</f>
        <v>-47</v>
      </c>
      <c r="J109" s="92">
        <f>VLOOKUP($A109,'Data Vlaue (Cr)'!$C:$FB,94)</f>
        <v>-9.1700000000000004E-2</v>
      </c>
      <c r="K109" s="91">
        <f>VLOOKUP($A109,'Data Vlaue (Cr)'!$C:$FB,95)</f>
        <v>440</v>
      </c>
      <c r="L109" s="91">
        <f>VLOOKUP($A109,'Data Vlaue (Cr)'!$C:$FB,97)</f>
        <v>19</v>
      </c>
      <c r="M109" s="92">
        <f>VLOOKUP($A109,'Data Vlaue (Cr)'!$C:$FB,98)</f>
        <v>4.3999999999999997E-2</v>
      </c>
      <c r="N109" s="91">
        <f>VLOOKUP($A109,'Data Vlaue (Cr)'!$C:$FB,79)</f>
        <v>464</v>
      </c>
      <c r="O109" s="92">
        <f>VLOOKUP($A109,'Data Vlaue (Cr)'!$C:$FB,82)</f>
        <v>-0.40029999999999999</v>
      </c>
    </row>
    <row r="110" spans="1:15" x14ac:dyDescent="0.25">
      <c r="A110" s="97" t="str">
        <f>'Data Vlaue (Cr)'!C105</f>
        <v>JIOFIN</v>
      </c>
      <c r="B110" s="142">
        <f>VLOOKUP(A110,'Data Vlaue (Cr)'!C105:CW318,99,0)</f>
        <v>8492</v>
      </c>
      <c r="C110" s="90">
        <f>VLOOKUP(A110,'Data Vlaue (Cr)'!C105:CY318,101,0)</f>
        <v>25</v>
      </c>
      <c r="D110" s="139">
        <f>VLOOKUP(A110,'Data Vlaue (Cr)'!C105:CZ318,102,0)</f>
        <v>3.0000000000000001E-3</v>
      </c>
      <c r="E110" s="91">
        <f>VLOOKUP($A110,'Data Vlaue (Cr)'!$C:$FB,75)</f>
        <v>4400</v>
      </c>
      <c r="F110" s="91">
        <f>VLOOKUP($A110,'Data Vlaue (Cr)'!$C:$FB,77)</f>
        <v>58</v>
      </c>
      <c r="G110" s="92">
        <f>VLOOKUP(A110,'Data Vlaue (Cr)'!C105:CB318,78,0)</f>
        <v>1.3299999999999999E-2</v>
      </c>
      <c r="H110" s="91">
        <f>VLOOKUP($A110,'Data Vlaue (Cr)'!$C:$FB,91)</f>
        <v>2543</v>
      </c>
      <c r="I110" s="91">
        <f>VLOOKUP($A110,'Data Vlaue (Cr)'!$C:$FB,93)</f>
        <v>-2</v>
      </c>
      <c r="J110" s="92">
        <f>VLOOKUP($A110,'Data Vlaue (Cr)'!$C:$FB,94)</f>
        <v>-8.9999999999999998E-4</v>
      </c>
      <c r="K110" s="91">
        <f>VLOOKUP($A110,'Data Vlaue (Cr)'!$C:$FB,95)</f>
        <v>1550</v>
      </c>
      <c r="L110" s="91">
        <f>VLOOKUP($A110,'Data Vlaue (Cr)'!$C:$FB,97)</f>
        <v>-30</v>
      </c>
      <c r="M110" s="92">
        <f>VLOOKUP($A110,'Data Vlaue (Cr)'!$C:$FB,98)</f>
        <v>-1.9099999999999999E-2</v>
      </c>
      <c r="N110" s="91">
        <f>VLOOKUP($A110,'Data Vlaue (Cr)'!$C:$FB,79)</f>
        <v>2004</v>
      </c>
      <c r="O110" s="92">
        <f>VLOOKUP($A110,'Data Vlaue (Cr)'!$C:$FB,82)</f>
        <v>-0.29959999999999998</v>
      </c>
    </row>
    <row r="111" spans="1:15" x14ac:dyDescent="0.25">
      <c r="A111" s="97" t="str">
        <f>'Data Vlaue (Cr)'!C106</f>
        <v>JSWENERGY</v>
      </c>
      <c r="B111" s="142">
        <f>VLOOKUP(A111,'Data Vlaue (Cr)'!C106:CW319,99,0)</f>
        <v>2611</v>
      </c>
      <c r="C111" s="90">
        <f>VLOOKUP(A111,'Data Vlaue (Cr)'!C106:CY319,101,0)</f>
        <v>-54</v>
      </c>
      <c r="D111" s="139">
        <f>VLOOKUP(A111,'Data Vlaue (Cr)'!C106:CZ319,102,0)</f>
        <v>-2.0400000000000001E-2</v>
      </c>
      <c r="E111" s="91">
        <f>VLOOKUP($A111,'Data Vlaue (Cr)'!$C:$FB,75)</f>
        <v>1858</v>
      </c>
      <c r="F111" s="91">
        <f>VLOOKUP($A111,'Data Vlaue (Cr)'!$C:$FB,77)</f>
        <v>-35</v>
      </c>
      <c r="G111" s="92">
        <f>VLOOKUP(A111,'Data Vlaue (Cr)'!C106:CB319,78,0)</f>
        <v>-1.83E-2</v>
      </c>
      <c r="H111" s="91">
        <f>VLOOKUP($A111,'Data Vlaue (Cr)'!$C:$FB,91)</f>
        <v>434</v>
      </c>
      <c r="I111" s="91">
        <f>VLOOKUP($A111,'Data Vlaue (Cr)'!$C:$FB,93)</f>
        <v>-7</v>
      </c>
      <c r="J111" s="92">
        <f>VLOOKUP($A111,'Data Vlaue (Cr)'!$C:$FB,94)</f>
        <v>-1.5800000000000002E-2</v>
      </c>
      <c r="K111" s="91">
        <f>VLOOKUP($A111,'Data Vlaue (Cr)'!$C:$FB,95)</f>
        <v>320</v>
      </c>
      <c r="L111" s="91">
        <f>VLOOKUP($A111,'Data Vlaue (Cr)'!$C:$FB,97)</f>
        <v>-13</v>
      </c>
      <c r="M111" s="92">
        <f>VLOOKUP($A111,'Data Vlaue (Cr)'!$C:$FB,98)</f>
        <v>-3.8600000000000002E-2</v>
      </c>
      <c r="N111" s="91">
        <f>VLOOKUP($A111,'Data Vlaue (Cr)'!$C:$FB,79)</f>
        <v>1143</v>
      </c>
      <c r="O111" s="92">
        <f>VLOOKUP($A111,'Data Vlaue (Cr)'!$C:$FB,82)</f>
        <v>-0.1988</v>
      </c>
    </row>
    <row r="112" spans="1:15" x14ac:dyDescent="0.25">
      <c r="A112" s="97" t="str">
        <f>'Data Vlaue (Cr)'!C107</f>
        <v>JSWSTEEL</v>
      </c>
      <c r="B112" s="142">
        <f>VLOOKUP(A112,'Data Vlaue (Cr)'!C107:CW320,99,0)</f>
        <v>7552</v>
      </c>
      <c r="C112" s="90">
        <f>VLOOKUP(A112,'Data Vlaue (Cr)'!C107:CY320,101,0)</f>
        <v>22</v>
      </c>
      <c r="D112" s="139">
        <f>VLOOKUP(A112,'Data Vlaue (Cr)'!C107:CZ320,102,0)</f>
        <v>2.8999999999999998E-3</v>
      </c>
      <c r="E112" s="91">
        <f>VLOOKUP($A112,'Data Vlaue (Cr)'!$C:$FB,75)</f>
        <v>5949</v>
      </c>
      <c r="F112" s="91">
        <f>VLOOKUP($A112,'Data Vlaue (Cr)'!$C:$FB,77)</f>
        <v>38</v>
      </c>
      <c r="G112" s="92">
        <f>VLOOKUP(A112,'Data Vlaue (Cr)'!C107:CB320,78,0)</f>
        <v>6.4000000000000003E-3</v>
      </c>
      <c r="H112" s="91">
        <f>VLOOKUP($A112,'Data Vlaue (Cr)'!$C:$FB,91)</f>
        <v>833</v>
      </c>
      <c r="I112" s="91">
        <f>VLOOKUP($A112,'Data Vlaue (Cr)'!$C:$FB,93)</f>
        <v>-23</v>
      </c>
      <c r="J112" s="92">
        <f>VLOOKUP($A112,'Data Vlaue (Cr)'!$C:$FB,94)</f>
        <v>-2.7300000000000001E-2</v>
      </c>
      <c r="K112" s="91">
        <f>VLOOKUP($A112,'Data Vlaue (Cr)'!$C:$FB,95)</f>
        <v>770</v>
      </c>
      <c r="L112" s="91">
        <f>VLOOKUP($A112,'Data Vlaue (Cr)'!$C:$FB,97)</f>
        <v>8</v>
      </c>
      <c r="M112" s="92">
        <f>VLOOKUP($A112,'Data Vlaue (Cr)'!$C:$FB,98)</f>
        <v>1.0500000000000001E-2</v>
      </c>
      <c r="N112" s="91">
        <f>VLOOKUP($A112,'Data Vlaue (Cr)'!$C:$FB,79)</f>
        <v>2461</v>
      </c>
      <c r="O112" s="92">
        <f>VLOOKUP($A112,'Data Vlaue (Cr)'!$C:$FB,82)</f>
        <v>-0.3901</v>
      </c>
    </row>
    <row r="113" spans="1:15" x14ac:dyDescent="0.25">
      <c r="A113" s="97" t="str">
        <f>'Data Vlaue (Cr)'!C108</f>
        <v>JUBLFOOD</v>
      </c>
      <c r="B113" s="142">
        <f>VLOOKUP(A113,'Data Vlaue (Cr)'!C108:CW321,99,0)</f>
        <v>2356</v>
      </c>
      <c r="C113" s="90">
        <f>VLOOKUP(A113,'Data Vlaue (Cr)'!C108:CY321,101,0)</f>
        <v>120</v>
      </c>
      <c r="D113" s="139">
        <f>VLOOKUP(A113,'Data Vlaue (Cr)'!C108:CZ321,102,0)</f>
        <v>5.3800000000000001E-2</v>
      </c>
      <c r="E113" s="91">
        <f>VLOOKUP($A113,'Data Vlaue (Cr)'!$C:$FB,75)</f>
        <v>1346</v>
      </c>
      <c r="F113" s="91">
        <f>VLOOKUP($A113,'Data Vlaue (Cr)'!$C:$FB,77)</f>
        <v>142</v>
      </c>
      <c r="G113" s="92">
        <f>VLOOKUP(A113,'Data Vlaue (Cr)'!C108:CB321,78,0)</f>
        <v>0.1182</v>
      </c>
      <c r="H113" s="91">
        <f>VLOOKUP($A113,'Data Vlaue (Cr)'!$C:$FB,91)</f>
        <v>627</v>
      </c>
      <c r="I113" s="91">
        <f>VLOOKUP($A113,'Data Vlaue (Cr)'!$C:$FB,93)</f>
        <v>-17</v>
      </c>
      <c r="J113" s="92">
        <f>VLOOKUP($A113,'Data Vlaue (Cr)'!$C:$FB,94)</f>
        <v>-2.5700000000000001E-2</v>
      </c>
      <c r="K113" s="91">
        <f>VLOOKUP($A113,'Data Vlaue (Cr)'!$C:$FB,95)</f>
        <v>383</v>
      </c>
      <c r="L113" s="91">
        <f>VLOOKUP($A113,'Data Vlaue (Cr)'!$C:$FB,97)</f>
        <v>-5</v>
      </c>
      <c r="M113" s="92">
        <f>VLOOKUP($A113,'Data Vlaue (Cr)'!$C:$FB,98)</f>
        <v>-1.38E-2</v>
      </c>
      <c r="N113" s="91">
        <f>VLOOKUP($A113,'Data Vlaue (Cr)'!$C:$FB,79)</f>
        <v>475</v>
      </c>
      <c r="O113" s="92">
        <f>VLOOKUP($A113,'Data Vlaue (Cr)'!$C:$FB,82)</f>
        <v>-0.36020000000000002</v>
      </c>
    </row>
    <row r="114" spans="1:15" x14ac:dyDescent="0.25">
      <c r="A114" s="97" t="str">
        <f>'Data Vlaue (Cr)'!C109</f>
        <v>KALYANKJIL</v>
      </c>
      <c r="B114" s="142">
        <f>VLOOKUP(A114,'Data Vlaue (Cr)'!C109:CW322,99,0)</f>
        <v>3075</v>
      </c>
      <c r="C114" s="90">
        <f>VLOOKUP(A114,'Data Vlaue (Cr)'!C109:CY322,101,0)</f>
        <v>33</v>
      </c>
      <c r="D114" s="139">
        <f>VLOOKUP(A114,'Data Vlaue (Cr)'!C109:CZ322,102,0)</f>
        <v>1.0999999999999999E-2</v>
      </c>
      <c r="E114" s="91">
        <f>VLOOKUP($A114,'Data Vlaue (Cr)'!$C:$FB,75)</f>
        <v>1287</v>
      </c>
      <c r="F114" s="91">
        <f>VLOOKUP($A114,'Data Vlaue (Cr)'!$C:$FB,77)</f>
        <v>-28</v>
      </c>
      <c r="G114" s="92">
        <f>VLOOKUP(A114,'Data Vlaue (Cr)'!C109:CB322,78,0)</f>
        <v>-2.1299999999999999E-2</v>
      </c>
      <c r="H114" s="91">
        <f>VLOOKUP($A114,'Data Vlaue (Cr)'!$C:$FB,91)</f>
        <v>1148</v>
      </c>
      <c r="I114" s="91">
        <f>VLOOKUP($A114,'Data Vlaue (Cr)'!$C:$FB,93)</f>
        <v>-23</v>
      </c>
      <c r="J114" s="92">
        <f>VLOOKUP($A114,'Data Vlaue (Cr)'!$C:$FB,94)</f>
        <v>-1.9900000000000001E-2</v>
      </c>
      <c r="K114" s="91">
        <f>VLOOKUP($A114,'Data Vlaue (Cr)'!$C:$FB,95)</f>
        <v>640</v>
      </c>
      <c r="L114" s="91">
        <f>VLOOKUP($A114,'Data Vlaue (Cr)'!$C:$FB,97)</f>
        <v>85</v>
      </c>
      <c r="M114" s="92">
        <f>VLOOKUP($A114,'Data Vlaue (Cr)'!$C:$FB,98)</f>
        <v>0.15279999999999999</v>
      </c>
      <c r="N114" s="91">
        <f>VLOOKUP($A114,'Data Vlaue (Cr)'!$C:$FB,79)</f>
        <v>550</v>
      </c>
      <c r="O114" s="92">
        <f>VLOOKUP($A114,'Data Vlaue (Cr)'!$C:$FB,82)</f>
        <v>-0.35759999999999997</v>
      </c>
    </row>
    <row r="115" spans="1:15" x14ac:dyDescent="0.25">
      <c r="A115" s="97" t="str">
        <f>'Data Vlaue (Cr)'!C110</f>
        <v>KAYNES</v>
      </c>
      <c r="B115" s="142">
        <f>VLOOKUP(A115,'Data Vlaue (Cr)'!C110:CW323,99,0)</f>
        <v>3053</v>
      </c>
      <c r="C115" s="90">
        <f>VLOOKUP(A115,'Data Vlaue (Cr)'!C110:CY323,101,0)</f>
        <v>-83</v>
      </c>
      <c r="D115" s="139">
        <f>VLOOKUP(A115,'Data Vlaue (Cr)'!C110:CZ323,102,0)</f>
        <v>-2.6599999999999999E-2</v>
      </c>
      <c r="E115" s="91">
        <f>VLOOKUP($A115,'Data Vlaue (Cr)'!$C:$FB,75)</f>
        <v>1271</v>
      </c>
      <c r="F115" s="91">
        <f>VLOOKUP($A115,'Data Vlaue (Cr)'!$C:$FB,77)</f>
        <v>75</v>
      </c>
      <c r="G115" s="92">
        <f>VLOOKUP(A115,'Data Vlaue (Cr)'!C110:CB323,78,0)</f>
        <v>6.2799999999999995E-2</v>
      </c>
      <c r="H115" s="91">
        <f>VLOOKUP($A115,'Data Vlaue (Cr)'!$C:$FB,91)</f>
        <v>1201</v>
      </c>
      <c r="I115" s="91">
        <f>VLOOKUP($A115,'Data Vlaue (Cr)'!$C:$FB,93)</f>
        <v>-105</v>
      </c>
      <c r="J115" s="92">
        <f>VLOOKUP($A115,'Data Vlaue (Cr)'!$C:$FB,94)</f>
        <v>-8.0399999999999999E-2</v>
      </c>
      <c r="K115" s="91">
        <f>VLOOKUP($A115,'Data Vlaue (Cr)'!$C:$FB,95)</f>
        <v>582</v>
      </c>
      <c r="L115" s="91">
        <f>VLOOKUP($A115,'Data Vlaue (Cr)'!$C:$FB,97)</f>
        <v>-54</v>
      </c>
      <c r="M115" s="92">
        <f>VLOOKUP($A115,'Data Vlaue (Cr)'!$C:$FB,98)</f>
        <v>-8.43E-2</v>
      </c>
      <c r="N115" s="91">
        <f>VLOOKUP($A115,'Data Vlaue (Cr)'!$C:$FB,79)</f>
        <v>582</v>
      </c>
      <c r="O115" s="92">
        <f>VLOOKUP($A115,'Data Vlaue (Cr)'!$C:$FB,82)</f>
        <v>-0.35010000000000002</v>
      </c>
    </row>
    <row r="116" spans="1:15" x14ac:dyDescent="0.25">
      <c r="A116" s="97" t="str">
        <f>'Data Vlaue (Cr)'!C111</f>
        <v>KEI</v>
      </c>
      <c r="B116" s="142">
        <f>VLOOKUP(A116,'Data Vlaue (Cr)'!C111:CW324,99,0)</f>
        <v>1179</v>
      </c>
      <c r="C116" s="90">
        <f>VLOOKUP(A116,'Data Vlaue (Cr)'!C111:CY324,101,0)</f>
        <v>166</v>
      </c>
      <c r="D116" s="139">
        <f>VLOOKUP(A116,'Data Vlaue (Cr)'!C111:CZ324,102,0)</f>
        <v>0.16370000000000001</v>
      </c>
      <c r="E116" s="91">
        <f>VLOOKUP($A116,'Data Vlaue (Cr)'!$C:$FB,75)</f>
        <v>443</v>
      </c>
      <c r="F116" s="91">
        <f>VLOOKUP($A116,'Data Vlaue (Cr)'!$C:$FB,77)</f>
        <v>87</v>
      </c>
      <c r="G116" s="92">
        <f>VLOOKUP(A116,'Data Vlaue (Cr)'!C111:CB324,78,0)</f>
        <v>0.246</v>
      </c>
      <c r="H116" s="91">
        <f>VLOOKUP($A116,'Data Vlaue (Cr)'!$C:$FB,91)</f>
        <v>461</v>
      </c>
      <c r="I116" s="91">
        <f>VLOOKUP($A116,'Data Vlaue (Cr)'!$C:$FB,93)</f>
        <v>93</v>
      </c>
      <c r="J116" s="92">
        <f>VLOOKUP($A116,'Data Vlaue (Cr)'!$C:$FB,94)</f>
        <v>0.25390000000000001</v>
      </c>
      <c r="K116" s="91">
        <f>VLOOKUP($A116,'Data Vlaue (Cr)'!$C:$FB,95)</f>
        <v>275</v>
      </c>
      <c r="L116" s="91">
        <f>VLOOKUP($A116,'Data Vlaue (Cr)'!$C:$FB,97)</f>
        <v>-15</v>
      </c>
      <c r="M116" s="92">
        <f>VLOOKUP($A116,'Data Vlaue (Cr)'!$C:$FB,98)</f>
        <v>-5.11E-2</v>
      </c>
      <c r="N116" s="91">
        <f>VLOOKUP($A116,'Data Vlaue (Cr)'!$C:$FB,79)</f>
        <v>150</v>
      </c>
      <c r="O116" s="92">
        <f>VLOOKUP($A116,'Data Vlaue (Cr)'!$C:$FB,82)</f>
        <v>-0.48170000000000002</v>
      </c>
    </row>
    <row r="117" spans="1:15" x14ac:dyDescent="0.25">
      <c r="A117" s="97" t="str">
        <f>'Data Vlaue (Cr)'!C112</f>
        <v>KFINTECH</v>
      </c>
      <c r="B117" s="142">
        <f>VLOOKUP(A117,'Data Vlaue (Cr)'!C112:CW325,99,0)</f>
        <v>1072</v>
      </c>
      <c r="C117" s="90">
        <f>VLOOKUP(A117,'Data Vlaue (Cr)'!C112:CY325,101,0)</f>
        <v>-110</v>
      </c>
      <c r="D117" s="139">
        <f>VLOOKUP(A117,'Data Vlaue (Cr)'!C112:CZ325,102,0)</f>
        <v>-9.3299999999999994E-2</v>
      </c>
      <c r="E117" s="91">
        <f>VLOOKUP($A117,'Data Vlaue (Cr)'!$C:$FB,75)</f>
        <v>705</v>
      </c>
      <c r="F117" s="91">
        <f>VLOOKUP($A117,'Data Vlaue (Cr)'!$C:$FB,77)</f>
        <v>-68</v>
      </c>
      <c r="G117" s="92">
        <f>VLOOKUP(A117,'Data Vlaue (Cr)'!C112:CB325,78,0)</f>
        <v>-8.7499999999999994E-2</v>
      </c>
      <c r="H117" s="91">
        <f>VLOOKUP($A117,'Data Vlaue (Cr)'!$C:$FB,91)</f>
        <v>193</v>
      </c>
      <c r="I117" s="91">
        <f>VLOOKUP($A117,'Data Vlaue (Cr)'!$C:$FB,93)</f>
        <v>-33</v>
      </c>
      <c r="J117" s="92">
        <f>VLOOKUP($A117,'Data Vlaue (Cr)'!$C:$FB,94)</f>
        <v>-0.14680000000000001</v>
      </c>
      <c r="K117" s="91">
        <f>VLOOKUP($A117,'Data Vlaue (Cr)'!$C:$FB,95)</f>
        <v>174</v>
      </c>
      <c r="L117" s="91">
        <f>VLOOKUP($A117,'Data Vlaue (Cr)'!$C:$FB,97)</f>
        <v>-9</v>
      </c>
      <c r="M117" s="92">
        <f>VLOOKUP($A117,'Data Vlaue (Cr)'!$C:$FB,98)</f>
        <v>-5.1200000000000002E-2</v>
      </c>
      <c r="N117" s="91">
        <f>VLOOKUP($A117,'Data Vlaue (Cr)'!$C:$FB,79)</f>
        <v>271</v>
      </c>
      <c r="O117" s="92">
        <f>VLOOKUP($A117,'Data Vlaue (Cr)'!$C:$FB,82)</f>
        <v>-0.38090000000000002</v>
      </c>
    </row>
    <row r="118" spans="1:15" x14ac:dyDescent="0.25">
      <c r="A118" s="97" t="str">
        <f>'Data Vlaue (Cr)'!C113</f>
        <v>KOTAKBANK</v>
      </c>
      <c r="B118" s="142">
        <f>VLOOKUP(A118,'Data Vlaue (Cr)'!C113:CW326,99,0)</f>
        <v>11385</v>
      </c>
      <c r="C118" s="90">
        <f>VLOOKUP(A118,'Data Vlaue (Cr)'!C113:CY326,101,0)</f>
        <v>-80</v>
      </c>
      <c r="D118" s="139">
        <f>VLOOKUP(A118,'Data Vlaue (Cr)'!C113:CZ326,102,0)</f>
        <v>-7.0000000000000001E-3</v>
      </c>
      <c r="E118" s="91">
        <f>VLOOKUP($A118,'Data Vlaue (Cr)'!$C:$FB,75)</f>
        <v>8365</v>
      </c>
      <c r="F118" s="91">
        <f>VLOOKUP($A118,'Data Vlaue (Cr)'!$C:$FB,77)</f>
        <v>9</v>
      </c>
      <c r="G118" s="92">
        <f>VLOOKUP(A118,'Data Vlaue (Cr)'!C113:CB326,78,0)</f>
        <v>1.1000000000000001E-3</v>
      </c>
      <c r="H118" s="91">
        <f>VLOOKUP($A118,'Data Vlaue (Cr)'!$C:$FB,91)</f>
        <v>1852</v>
      </c>
      <c r="I118" s="91">
        <f>VLOOKUP($A118,'Data Vlaue (Cr)'!$C:$FB,93)</f>
        <v>-42</v>
      </c>
      <c r="J118" s="92">
        <f>VLOOKUP($A118,'Data Vlaue (Cr)'!$C:$FB,94)</f>
        <v>-2.1899999999999999E-2</v>
      </c>
      <c r="K118" s="91">
        <f>VLOOKUP($A118,'Data Vlaue (Cr)'!$C:$FB,95)</f>
        <v>1168</v>
      </c>
      <c r="L118" s="91">
        <f>VLOOKUP($A118,'Data Vlaue (Cr)'!$C:$FB,97)</f>
        <v>-48</v>
      </c>
      <c r="M118" s="92">
        <f>VLOOKUP($A118,'Data Vlaue (Cr)'!$C:$FB,98)</f>
        <v>-3.9199999999999999E-2</v>
      </c>
      <c r="N118" s="91">
        <f>VLOOKUP($A118,'Data Vlaue (Cr)'!$C:$FB,79)</f>
        <v>2856</v>
      </c>
      <c r="O118" s="92">
        <f>VLOOKUP($A118,'Data Vlaue (Cr)'!$C:$FB,82)</f>
        <v>-0.3911</v>
      </c>
    </row>
    <row r="119" spans="1:15" x14ac:dyDescent="0.25">
      <c r="A119" s="97" t="str">
        <f>'Data Vlaue (Cr)'!C114</f>
        <v>KPITTECH</v>
      </c>
      <c r="B119" s="142">
        <f>VLOOKUP(A119,'Data Vlaue (Cr)'!C114:CW327,99,0)</f>
        <v>1005</v>
      </c>
      <c r="C119" s="90">
        <f>VLOOKUP(A119,'Data Vlaue (Cr)'!C114:CY327,101,0)</f>
        <v>-5</v>
      </c>
      <c r="D119" s="139">
        <f>VLOOKUP(A119,'Data Vlaue (Cr)'!C114:CZ327,102,0)</f>
        <v>-4.7999999999999996E-3</v>
      </c>
      <c r="E119" s="91">
        <f>VLOOKUP($A119,'Data Vlaue (Cr)'!$C:$FB,75)</f>
        <v>489</v>
      </c>
      <c r="F119" s="91">
        <f>VLOOKUP($A119,'Data Vlaue (Cr)'!$C:$FB,77)</f>
        <v>-5</v>
      </c>
      <c r="G119" s="92">
        <f>VLOOKUP(A119,'Data Vlaue (Cr)'!C114:CB327,78,0)</f>
        <v>-1.03E-2</v>
      </c>
      <c r="H119" s="91">
        <f>VLOOKUP($A119,'Data Vlaue (Cr)'!$C:$FB,91)</f>
        <v>307</v>
      </c>
      <c r="I119" s="91">
        <f>VLOOKUP($A119,'Data Vlaue (Cr)'!$C:$FB,93)</f>
        <v>1</v>
      </c>
      <c r="J119" s="92">
        <f>VLOOKUP($A119,'Data Vlaue (Cr)'!$C:$FB,94)</f>
        <v>1.9E-3</v>
      </c>
      <c r="K119" s="91">
        <f>VLOOKUP($A119,'Data Vlaue (Cr)'!$C:$FB,95)</f>
        <v>208</v>
      </c>
      <c r="L119" s="91">
        <f>VLOOKUP($A119,'Data Vlaue (Cr)'!$C:$FB,97)</f>
        <v>0</v>
      </c>
      <c r="M119" s="92">
        <f>VLOOKUP($A119,'Data Vlaue (Cr)'!$C:$FB,98)</f>
        <v>-1.4E-3</v>
      </c>
      <c r="N119" s="91">
        <f>VLOOKUP($A119,'Data Vlaue (Cr)'!$C:$FB,79)</f>
        <v>194</v>
      </c>
      <c r="O119" s="92">
        <f>VLOOKUP($A119,'Data Vlaue (Cr)'!$C:$FB,82)</f>
        <v>-0.36080000000000001</v>
      </c>
    </row>
    <row r="120" spans="1:15" x14ac:dyDescent="0.25">
      <c r="A120" s="97" t="str">
        <f>'Data Vlaue (Cr)'!C115</f>
        <v>LAURUSLABS</v>
      </c>
      <c r="B120" s="142">
        <f>VLOOKUP(A120,'Data Vlaue (Cr)'!C115:CW328,99,0)</f>
        <v>4290</v>
      </c>
      <c r="C120" s="90">
        <f>VLOOKUP(A120,'Data Vlaue (Cr)'!C115:CY328,101,0)</f>
        <v>132</v>
      </c>
      <c r="D120" s="139">
        <f>VLOOKUP(A120,'Data Vlaue (Cr)'!C115:CZ328,102,0)</f>
        <v>3.1800000000000002E-2</v>
      </c>
      <c r="E120" s="91">
        <f>VLOOKUP($A120,'Data Vlaue (Cr)'!$C:$FB,75)</f>
        <v>1942</v>
      </c>
      <c r="F120" s="91">
        <f>VLOOKUP($A120,'Data Vlaue (Cr)'!$C:$FB,77)</f>
        <v>97</v>
      </c>
      <c r="G120" s="92">
        <f>VLOOKUP(A120,'Data Vlaue (Cr)'!C115:CB328,78,0)</f>
        <v>5.2400000000000002E-2</v>
      </c>
      <c r="H120" s="91">
        <f>VLOOKUP($A120,'Data Vlaue (Cr)'!$C:$FB,91)</f>
        <v>1540</v>
      </c>
      <c r="I120" s="91">
        <f>VLOOKUP($A120,'Data Vlaue (Cr)'!$C:$FB,93)</f>
        <v>38</v>
      </c>
      <c r="J120" s="92">
        <f>VLOOKUP($A120,'Data Vlaue (Cr)'!$C:$FB,94)</f>
        <v>2.5600000000000001E-2</v>
      </c>
      <c r="K120" s="91">
        <f>VLOOKUP($A120,'Data Vlaue (Cr)'!$C:$FB,95)</f>
        <v>808</v>
      </c>
      <c r="L120" s="91">
        <f>VLOOKUP($A120,'Data Vlaue (Cr)'!$C:$FB,97)</f>
        <v>-3</v>
      </c>
      <c r="M120" s="92">
        <f>VLOOKUP($A120,'Data Vlaue (Cr)'!$C:$FB,98)</f>
        <v>-3.8999999999999998E-3</v>
      </c>
      <c r="N120" s="91">
        <f>VLOOKUP($A120,'Data Vlaue (Cr)'!$C:$FB,79)</f>
        <v>836</v>
      </c>
      <c r="O120" s="92">
        <f>VLOOKUP($A120,'Data Vlaue (Cr)'!$C:$FB,82)</f>
        <v>-0.2334</v>
      </c>
    </row>
    <row r="121" spans="1:15" x14ac:dyDescent="0.25">
      <c r="A121" s="97" t="str">
        <f>'Data Vlaue (Cr)'!C116</f>
        <v>LICHSGFIN</v>
      </c>
      <c r="B121" s="142">
        <f>VLOOKUP(A121,'Data Vlaue (Cr)'!C116:CW329,99,0)</f>
        <v>2543</v>
      </c>
      <c r="C121" s="90">
        <f>VLOOKUP(A121,'Data Vlaue (Cr)'!C116:CY329,101,0)</f>
        <v>-74</v>
      </c>
      <c r="D121" s="139">
        <f>VLOOKUP(A121,'Data Vlaue (Cr)'!C116:CZ329,102,0)</f>
        <v>-2.8500000000000001E-2</v>
      </c>
      <c r="E121" s="91">
        <f>VLOOKUP($A121,'Data Vlaue (Cr)'!$C:$FB,75)</f>
        <v>1644</v>
      </c>
      <c r="F121" s="91">
        <f>VLOOKUP($A121,'Data Vlaue (Cr)'!$C:$FB,77)</f>
        <v>-25</v>
      </c>
      <c r="G121" s="92">
        <f>VLOOKUP(A121,'Data Vlaue (Cr)'!C116:CB329,78,0)</f>
        <v>-1.49E-2</v>
      </c>
      <c r="H121" s="91">
        <f>VLOOKUP($A121,'Data Vlaue (Cr)'!$C:$FB,91)</f>
        <v>429</v>
      </c>
      <c r="I121" s="91">
        <f>VLOOKUP($A121,'Data Vlaue (Cr)'!$C:$FB,93)</f>
        <v>-54</v>
      </c>
      <c r="J121" s="92">
        <f>VLOOKUP($A121,'Data Vlaue (Cr)'!$C:$FB,94)</f>
        <v>-0.1108</v>
      </c>
      <c r="K121" s="91">
        <f>VLOOKUP($A121,'Data Vlaue (Cr)'!$C:$FB,95)</f>
        <v>470</v>
      </c>
      <c r="L121" s="91">
        <f>VLOOKUP($A121,'Data Vlaue (Cr)'!$C:$FB,97)</f>
        <v>4</v>
      </c>
      <c r="M121" s="92">
        <f>VLOOKUP($A121,'Data Vlaue (Cr)'!$C:$FB,98)</f>
        <v>8.3000000000000001E-3</v>
      </c>
      <c r="N121" s="91">
        <f>VLOOKUP($A121,'Data Vlaue (Cr)'!$C:$FB,79)</f>
        <v>791</v>
      </c>
      <c r="O121" s="92">
        <f>VLOOKUP($A121,'Data Vlaue (Cr)'!$C:$FB,82)</f>
        <v>-0.2429</v>
      </c>
    </row>
    <row r="122" spans="1:15" x14ac:dyDescent="0.25">
      <c r="A122" s="97" t="str">
        <f>'Data Vlaue (Cr)'!C117</f>
        <v>LICI</v>
      </c>
      <c r="B122" s="142">
        <f>VLOOKUP(A122,'Data Vlaue (Cr)'!C117:CW330,99,0)</f>
        <v>1886</v>
      </c>
      <c r="C122" s="90">
        <f>VLOOKUP(A122,'Data Vlaue (Cr)'!C117:CY330,101,0)</f>
        <v>-56</v>
      </c>
      <c r="D122" s="139">
        <f>VLOOKUP(A122,'Data Vlaue (Cr)'!C117:CZ330,102,0)</f>
        <v>-2.8899999999999999E-2</v>
      </c>
      <c r="E122" s="91">
        <f>VLOOKUP($A122,'Data Vlaue (Cr)'!$C:$FB,75)</f>
        <v>986</v>
      </c>
      <c r="F122" s="91">
        <f>VLOOKUP($A122,'Data Vlaue (Cr)'!$C:$FB,77)</f>
        <v>-21</v>
      </c>
      <c r="G122" s="92">
        <f>VLOOKUP(A122,'Data Vlaue (Cr)'!C117:CB330,78,0)</f>
        <v>-2.0500000000000001E-2</v>
      </c>
      <c r="H122" s="91">
        <f>VLOOKUP($A122,'Data Vlaue (Cr)'!$C:$FB,91)</f>
        <v>569</v>
      </c>
      <c r="I122" s="91">
        <f>VLOOKUP($A122,'Data Vlaue (Cr)'!$C:$FB,93)</f>
        <v>-14</v>
      </c>
      <c r="J122" s="92">
        <f>VLOOKUP($A122,'Data Vlaue (Cr)'!$C:$FB,94)</f>
        <v>-2.4400000000000002E-2</v>
      </c>
      <c r="K122" s="91">
        <f>VLOOKUP($A122,'Data Vlaue (Cr)'!$C:$FB,95)</f>
        <v>330</v>
      </c>
      <c r="L122" s="91">
        <f>VLOOKUP($A122,'Data Vlaue (Cr)'!$C:$FB,97)</f>
        <v>-21</v>
      </c>
      <c r="M122" s="92">
        <f>VLOOKUP($A122,'Data Vlaue (Cr)'!$C:$FB,98)</f>
        <v>-6.0699999999999997E-2</v>
      </c>
      <c r="N122" s="91">
        <f>VLOOKUP($A122,'Data Vlaue (Cr)'!$C:$FB,79)</f>
        <v>502</v>
      </c>
      <c r="O122" s="92">
        <f>VLOOKUP($A122,'Data Vlaue (Cr)'!$C:$FB,82)</f>
        <v>-0.29709999999999998</v>
      </c>
    </row>
    <row r="123" spans="1:15" x14ac:dyDescent="0.25">
      <c r="A123" s="97" t="str">
        <f>'Data Vlaue (Cr)'!C118</f>
        <v>LODHA</v>
      </c>
      <c r="B123" s="142">
        <f>VLOOKUP(A123,'Data Vlaue (Cr)'!C118:CW331,99,0)</f>
        <v>1802</v>
      </c>
      <c r="C123" s="90">
        <f>VLOOKUP(A123,'Data Vlaue (Cr)'!C118:CY331,101,0)</f>
        <v>78</v>
      </c>
      <c r="D123" s="139">
        <f>VLOOKUP(A123,'Data Vlaue (Cr)'!C118:CZ331,102,0)</f>
        <v>4.5100000000000001E-2</v>
      </c>
      <c r="E123" s="91">
        <f>VLOOKUP($A123,'Data Vlaue (Cr)'!$C:$FB,75)</f>
        <v>1096</v>
      </c>
      <c r="F123" s="91">
        <f>VLOOKUP($A123,'Data Vlaue (Cr)'!$C:$FB,77)</f>
        <v>79</v>
      </c>
      <c r="G123" s="92">
        <f>VLOOKUP(A123,'Data Vlaue (Cr)'!C118:CB331,78,0)</f>
        <v>7.7299999999999994E-2</v>
      </c>
      <c r="H123" s="91">
        <f>VLOOKUP($A123,'Data Vlaue (Cr)'!$C:$FB,91)</f>
        <v>464</v>
      </c>
      <c r="I123" s="91">
        <f>VLOOKUP($A123,'Data Vlaue (Cr)'!$C:$FB,93)</f>
        <v>-4</v>
      </c>
      <c r="J123" s="92">
        <f>VLOOKUP($A123,'Data Vlaue (Cr)'!$C:$FB,94)</f>
        <v>-8.8999999999999999E-3</v>
      </c>
      <c r="K123" s="91">
        <f>VLOOKUP($A123,'Data Vlaue (Cr)'!$C:$FB,95)</f>
        <v>241</v>
      </c>
      <c r="L123" s="91">
        <f>VLOOKUP($A123,'Data Vlaue (Cr)'!$C:$FB,97)</f>
        <v>3</v>
      </c>
      <c r="M123" s="92">
        <f>VLOOKUP($A123,'Data Vlaue (Cr)'!$C:$FB,98)</f>
        <v>1.4E-2</v>
      </c>
      <c r="N123" s="91">
        <f>VLOOKUP($A123,'Data Vlaue (Cr)'!$C:$FB,79)</f>
        <v>464</v>
      </c>
      <c r="O123" s="92">
        <f>VLOOKUP($A123,'Data Vlaue (Cr)'!$C:$FB,82)</f>
        <v>-0.2848</v>
      </c>
    </row>
    <row r="124" spans="1:15" x14ac:dyDescent="0.25">
      <c r="A124" s="97" t="str">
        <f>'Data Vlaue (Cr)'!C119</f>
        <v>LT</v>
      </c>
      <c r="B124" s="142">
        <f>VLOOKUP(A124,'Data Vlaue (Cr)'!C119:CW332,99,0)</f>
        <v>9790</v>
      </c>
      <c r="C124" s="90">
        <f>VLOOKUP(A124,'Data Vlaue (Cr)'!C119:CY332,101,0)</f>
        <v>24</v>
      </c>
      <c r="D124" s="139">
        <f>VLOOKUP(A124,'Data Vlaue (Cr)'!C119:CZ332,102,0)</f>
        <v>2.3999999999999998E-3</v>
      </c>
      <c r="E124" s="91">
        <f>VLOOKUP($A124,'Data Vlaue (Cr)'!$C:$FB,75)</f>
        <v>5729</v>
      </c>
      <c r="F124" s="91">
        <f>VLOOKUP($A124,'Data Vlaue (Cr)'!$C:$FB,77)</f>
        <v>61</v>
      </c>
      <c r="G124" s="92">
        <f>VLOOKUP(A124,'Data Vlaue (Cr)'!C119:CB332,78,0)</f>
        <v>1.0800000000000001E-2</v>
      </c>
      <c r="H124" s="91">
        <f>VLOOKUP($A124,'Data Vlaue (Cr)'!$C:$FB,91)</f>
        <v>2736</v>
      </c>
      <c r="I124" s="91">
        <f>VLOOKUP($A124,'Data Vlaue (Cr)'!$C:$FB,93)</f>
        <v>-76</v>
      </c>
      <c r="J124" s="92">
        <f>VLOOKUP($A124,'Data Vlaue (Cr)'!$C:$FB,94)</f>
        <v>-2.69E-2</v>
      </c>
      <c r="K124" s="91">
        <f>VLOOKUP($A124,'Data Vlaue (Cr)'!$C:$FB,95)</f>
        <v>1325</v>
      </c>
      <c r="L124" s="91">
        <f>VLOOKUP($A124,'Data Vlaue (Cr)'!$C:$FB,97)</f>
        <v>38</v>
      </c>
      <c r="M124" s="92">
        <f>VLOOKUP($A124,'Data Vlaue (Cr)'!$C:$FB,98)</f>
        <v>2.98E-2</v>
      </c>
      <c r="N124" s="91">
        <f>VLOOKUP($A124,'Data Vlaue (Cr)'!$C:$FB,79)</f>
        <v>2564</v>
      </c>
      <c r="O124" s="92">
        <f>VLOOKUP($A124,'Data Vlaue (Cr)'!$C:$FB,82)</f>
        <v>-0.35580000000000001</v>
      </c>
    </row>
    <row r="125" spans="1:15" x14ac:dyDescent="0.25">
      <c r="A125" s="97" t="str">
        <f>'Data Vlaue (Cr)'!C120</f>
        <v>LTF</v>
      </c>
      <c r="B125" s="142">
        <f>VLOOKUP(A125,'Data Vlaue (Cr)'!C120:CW333,99,0)</f>
        <v>3711</v>
      </c>
      <c r="C125" s="90">
        <f>VLOOKUP(A125,'Data Vlaue (Cr)'!C120:CY333,101,0)</f>
        <v>-158</v>
      </c>
      <c r="D125" s="139">
        <f>VLOOKUP(A125,'Data Vlaue (Cr)'!C120:CZ333,102,0)</f>
        <v>-4.1000000000000002E-2</v>
      </c>
      <c r="E125" s="91">
        <f>VLOOKUP($A125,'Data Vlaue (Cr)'!$C:$FB,75)</f>
        <v>1480</v>
      </c>
      <c r="F125" s="91">
        <f>VLOOKUP($A125,'Data Vlaue (Cr)'!$C:$FB,77)</f>
        <v>22</v>
      </c>
      <c r="G125" s="92">
        <f>VLOOKUP(A125,'Data Vlaue (Cr)'!C120:CB333,78,0)</f>
        <v>1.54E-2</v>
      </c>
      <c r="H125" s="91">
        <f>VLOOKUP($A125,'Data Vlaue (Cr)'!$C:$FB,91)</f>
        <v>1527</v>
      </c>
      <c r="I125" s="91">
        <f>VLOOKUP($A125,'Data Vlaue (Cr)'!$C:$FB,93)</f>
        <v>-151</v>
      </c>
      <c r="J125" s="92">
        <f>VLOOKUP($A125,'Data Vlaue (Cr)'!$C:$FB,94)</f>
        <v>-9.01E-2</v>
      </c>
      <c r="K125" s="91">
        <f>VLOOKUP($A125,'Data Vlaue (Cr)'!$C:$FB,95)</f>
        <v>704</v>
      </c>
      <c r="L125" s="91">
        <f>VLOOKUP($A125,'Data Vlaue (Cr)'!$C:$FB,97)</f>
        <v>-30</v>
      </c>
      <c r="M125" s="92">
        <f>VLOOKUP($A125,'Data Vlaue (Cr)'!$C:$FB,98)</f>
        <v>-4.0599999999999997E-2</v>
      </c>
      <c r="N125" s="91">
        <f>VLOOKUP($A125,'Data Vlaue (Cr)'!$C:$FB,79)</f>
        <v>565</v>
      </c>
      <c r="O125" s="92">
        <f>VLOOKUP($A125,'Data Vlaue (Cr)'!$C:$FB,82)</f>
        <v>-0.3952</v>
      </c>
    </row>
    <row r="126" spans="1:15" x14ac:dyDescent="0.25">
      <c r="A126" s="97" t="str">
        <f>'Data Vlaue (Cr)'!C121</f>
        <v>LTIM</v>
      </c>
      <c r="B126" s="142">
        <f>VLOOKUP(A126,'Data Vlaue (Cr)'!C121:CW334,99,0)</f>
        <v>3403</v>
      </c>
      <c r="C126" s="90">
        <f>VLOOKUP(A126,'Data Vlaue (Cr)'!C121:CY334,101,0)</f>
        <v>-314</v>
      </c>
      <c r="D126" s="139">
        <f>VLOOKUP(A126,'Data Vlaue (Cr)'!C121:CZ334,102,0)</f>
        <v>-8.4400000000000003E-2</v>
      </c>
      <c r="E126" s="91">
        <f>VLOOKUP($A126,'Data Vlaue (Cr)'!$C:$FB,75)</f>
        <v>1690</v>
      </c>
      <c r="F126" s="91">
        <f>VLOOKUP($A126,'Data Vlaue (Cr)'!$C:$FB,77)</f>
        <v>-32</v>
      </c>
      <c r="G126" s="92">
        <f>VLOOKUP(A126,'Data Vlaue (Cr)'!C121:CB334,78,0)</f>
        <v>-1.84E-2</v>
      </c>
      <c r="H126" s="91">
        <f>VLOOKUP($A126,'Data Vlaue (Cr)'!$C:$FB,91)</f>
        <v>1079</v>
      </c>
      <c r="I126" s="91">
        <f>VLOOKUP($A126,'Data Vlaue (Cr)'!$C:$FB,93)</f>
        <v>-247</v>
      </c>
      <c r="J126" s="92">
        <f>VLOOKUP($A126,'Data Vlaue (Cr)'!$C:$FB,94)</f>
        <v>-0.1862</v>
      </c>
      <c r="K126" s="91">
        <f>VLOOKUP($A126,'Data Vlaue (Cr)'!$C:$FB,95)</f>
        <v>634</v>
      </c>
      <c r="L126" s="91">
        <f>VLOOKUP($A126,'Data Vlaue (Cr)'!$C:$FB,97)</f>
        <v>-35</v>
      </c>
      <c r="M126" s="92">
        <f>VLOOKUP($A126,'Data Vlaue (Cr)'!$C:$FB,98)</f>
        <v>-5.2699999999999997E-2</v>
      </c>
      <c r="N126" s="91">
        <f>VLOOKUP($A126,'Data Vlaue (Cr)'!$C:$FB,79)</f>
        <v>790</v>
      </c>
      <c r="O126" s="92">
        <f>VLOOKUP($A126,'Data Vlaue (Cr)'!$C:$FB,82)</f>
        <v>-0.35630000000000001</v>
      </c>
    </row>
    <row r="127" spans="1:15" x14ac:dyDescent="0.25">
      <c r="A127" s="97" t="str">
        <f>'Data Vlaue (Cr)'!C122</f>
        <v>LUPIN</v>
      </c>
      <c r="B127" s="142">
        <f>VLOOKUP(A127,'Data Vlaue (Cr)'!C122:CW335,99,0)</f>
        <v>2408</v>
      </c>
      <c r="C127" s="90">
        <f>VLOOKUP(A127,'Data Vlaue (Cr)'!C122:CY335,101,0)</f>
        <v>-53</v>
      </c>
      <c r="D127" s="139">
        <f>VLOOKUP(A127,'Data Vlaue (Cr)'!C122:CZ335,102,0)</f>
        <v>-2.1700000000000001E-2</v>
      </c>
      <c r="E127" s="91">
        <f>VLOOKUP($A127,'Data Vlaue (Cr)'!$C:$FB,75)</f>
        <v>1600</v>
      </c>
      <c r="F127" s="91">
        <f>VLOOKUP($A127,'Data Vlaue (Cr)'!$C:$FB,77)</f>
        <v>64</v>
      </c>
      <c r="G127" s="92">
        <f>VLOOKUP(A127,'Data Vlaue (Cr)'!C122:CB335,78,0)</f>
        <v>4.19E-2</v>
      </c>
      <c r="H127" s="91">
        <f>VLOOKUP($A127,'Data Vlaue (Cr)'!$C:$FB,91)</f>
        <v>508</v>
      </c>
      <c r="I127" s="91">
        <f>VLOOKUP($A127,'Data Vlaue (Cr)'!$C:$FB,93)</f>
        <v>-73</v>
      </c>
      <c r="J127" s="92">
        <f>VLOOKUP($A127,'Data Vlaue (Cr)'!$C:$FB,94)</f>
        <v>-0.12529999999999999</v>
      </c>
      <c r="K127" s="91">
        <f>VLOOKUP($A127,'Data Vlaue (Cr)'!$C:$FB,95)</f>
        <v>301</v>
      </c>
      <c r="L127" s="91">
        <f>VLOOKUP($A127,'Data Vlaue (Cr)'!$C:$FB,97)</f>
        <v>-45</v>
      </c>
      <c r="M127" s="92">
        <f>VLOOKUP($A127,'Data Vlaue (Cr)'!$C:$FB,98)</f>
        <v>-0.1303</v>
      </c>
      <c r="N127" s="91">
        <f>VLOOKUP($A127,'Data Vlaue (Cr)'!$C:$FB,79)</f>
        <v>808</v>
      </c>
      <c r="O127" s="92">
        <f>VLOOKUP($A127,'Data Vlaue (Cr)'!$C:$FB,82)</f>
        <v>-0.31790000000000002</v>
      </c>
    </row>
    <row r="128" spans="1:15" x14ac:dyDescent="0.25">
      <c r="A128" s="97" t="str">
        <f>'Data Vlaue (Cr)'!C123</f>
        <v>M&amp;M</v>
      </c>
      <c r="B128" s="142">
        <f>VLOOKUP(A128,'Data Vlaue (Cr)'!C123:CW336,99,0)</f>
        <v>8740</v>
      </c>
      <c r="C128" s="90">
        <f>VLOOKUP(A128,'Data Vlaue (Cr)'!C123:CY336,101,0)</f>
        <v>-75</v>
      </c>
      <c r="D128" s="139">
        <f>VLOOKUP(A128,'Data Vlaue (Cr)'!C123:CZ336,102,0)</f>
        <v>-8.5000000000000006E-3</v>
      </c>
      <c r="E128" s="91">
        <f>VLOOKUP($A128,'Data Vlaue (Cr)'!$C:$FB,75)</f>
        <v>6534</v>
      </c>
      <c r="F128" s="91">
        <f>VLOOKUP($A128,'Data Vlaue (Cr)'!$C:$FB,77)</f>
        <v>142</v>
      </c>
      <c r="G128" s="92">
        <f>VLOOKUP(A128,'Data Vlaue (Cr)'!C123:CB336,78,0)</f>
        <v>2.23E-2</v>
      </c>
      <c r="H128" s="91">
        <f>VLOOKUP($A128,'Data Vlaue (Cr)'!$C:$FB,91)</f>
        <v>1379</v>
      </c>
      <c r="I128" s="91">
        <f>VLOOKUP($A128,'Data Vlaue (Cr)'!$C:$FB,93)</f>
        <v>-196</v>
      </c>
      <c r="J128" s="92">
        <f>VLOOKUP($A128,'Data Vlaue (Cr)'!$C:$FB,94)</f>
        <v>-0.1245</v>
      </c>
      <c r="K128" s="91">
        <f>VLOOKUP($A128,'Data Vlaue (Cr)'!$C:$FB,95)</f>
        <v>827</v>
      </c>
      <c r="L128" s="91">
        <f>VLOOKUP($A128,'Data Vlaue (Cr)'!$C:$FB,97)</f>
        <v>-21</v>
      </c>
      <c r="M128" s="92">
        <f>VLOOKUP($A128,'Data Vlaue (Cr)'!$C:$FB,98)</f>
        <v>-2.52E-2</v>
      </c>
      <c r="N128" s="91">
        <f>VLOOKUP($A128,'Data Vlaue (Cr)'!$C:$FB,79)</f>
        <v>2111</v>
      </c>
      <c r="O128" s="92">
        <f>VLOOKUP($A128,'Data Vlaue (Cr)'!$C:$FB,82)</f>
        <v>-0.54179999999999995</v>
      </c>
    </row>
    <row r="129" spans="1:15" x14ac:dyDescent="0.25">
      <c r="A129" s="97" t="str">
        <f>'Data Vlaue (Cr)'!C124</f>
        <v>MANAPPURAM</v>
      </c>
      <c r="B129" s="142">
        <f>VLOOKUP(A129,'Data Vlaue (Cr)'!C124:CW337,99,0)</f>
        <v>2857</v>
      </c>
      <c r="C129" s="90">
        <f>VLOOKUP(A129,'Data Vlaue (Cr)'!C124:CY337,101,0)</f>
        <v>-246</v>
      </c>
      <c r="D129" s="139">
        <f>VLOOKUP(A129,'Data Vlaue (Cr)'!C124:CZ337,102,0)</f>
        <v>-7.9399999999999998E-2</v>
      </c>
      <c r="E129" s="91">
        <f>VLOOKUP($A129,'Data Vlaue (Cr)'!$C:$FB,75)</f>
        <v>1306</v>
      </c>
      <c r="F129" s="91">
        <f>VLOOKUP($A129,'Data Vlaue (Cr)'!$C:$FB,77)</f>
        <v>-58</v>
      </c>
      <c r="G129" s="92">
        <f>VLOOKUP(A129,'Data Vlaue (Cr)'!C124:CB337,78,0)</f>
        <v>-4.2900000000000001E-2</v>
      </c>
      <c r="H129" s="91">
        <f>VLOOKUP($A129,'Data Vlaue (Cr)'!$C:$FB,91)</f>
        <v>888</v>
      </c>
      <c r="I129" s="91">
        <f>VLOOKUP($A129,'Data Vlaue (Cr)'!$C:$FB,93)</f>
        <v>-188</v>
      </c>
      <c r="J129" s="92">
        <f>VLOOKUP($A129,'Data Vlaue (Cr)'!$C:$FB,94)</f>
        <v>-0.17430000000000001</v>
      </c>
      <c r="K129" s="91">
        <f>VLOOKUP($A129,'Data Vlaue (Cr)'!$C:$FB,95)</f>
        <v>662</v>
      </c>
      <c r="L129" s="91">
        <f>VLOOKUP($A129,'Data Vlaue (Cr)'!$C:$FB,97)</f>
        <v>0</v>
      </c>
      <c r="M129" s="92">
        <f>VLOOKUP($A129,'Data Vlaue (Cr)'!$C:$FB,98)</f>
        <v>-2.9999999999999997E-4</v>
      </c>
      <c r="N129" s="91">
        <f>VLOOKUP($A129,'Data Vlaue (Cr)'!$C:$FB,79)</f>
        <v>742</v>
      </c>
      <c r="O129" s="92">
        <f>VLOOKUP($A129,'Data Vlaue (Cr)'!$C:$FB,82)</f>
        <v>-0.25719999999999998</v>
      </c>
    </row>
    <row r="130" spans="1:15" x14ac:dyDescent="0.25">
      <c r="A130" s="97" t="str">
        <f>'Data Vlaue (Cr)'!C125</f>
        <v>MANKIND</v>
      </c>
      <c r="B130" s="142">
        <f>VLOOKUP(A130,'Data Vlaue (Cr)'!C125:CW338,99,0)</f>
        <v>823</v>
      </c>
      <c r="C130" s="90">
        <f>VLOOKUP(A130,'Data Vlaue (Cr)'!C125:CY338,101,0)</f>
        <v>-48</v>
      </c>
      <c r="D130" s="139">
        <f>VLOOKUP(A130,'Data Vlaue (Cr)'!C125:CZ338,102,0)</f>
        <v>-5.4600000000000003E-2</v>
      </c>
      <c r="E130" s="91">
        <f>VLOOKUP($A130,'Data Vlaue (Cr)'!$C:$FB,75)</f>
        <v>461</v>
      </c>
      <c r="F130" s="91">
        <f>VLOOKUP($A130,'Data Vlaue (Cr)'!$C:$FB,77)</f>
        <v>-6</v>
      </c>
      <c r="G130" s="92">
        <f>VLOOKUP(A130,'Data Vlaue (Cr)'!C125:CB338,78,0)</f>
        <v>-1.24E-2</v>
      </c>
      <c r="H130" s="91">
        <f>VLOOKUP($A130,'Data Vlaue (Cr)'!$C:$FB,91)</f>
        <v>229</v>
      </c>
      <c r="I130" s="91">
        <f>VLOOKUP($A130,'Data Vlaue (Cr)'!$C:$FB,93)</f>
        <v>-23</v>
      </c>
      <c r="J130" s="92">
        <f>VLOOKUP($A130,'Data Vlaue (Cr)'!$C:$FB,94)</f>
        <v>-8.9700000000000002E-2</v>
      </c>
      <c r="K130" s="91">
        <f>VLOOKUP($A130,'Data Vlaue (Cr)'!$C:$FB,95)</f>
        <v>132</v>
      </c>
      <c r="L130" s="91">
        <f>VLOOKUP($A130,'Data Vlaue (Cr)'!$C:$FB,97)</f>
        <v>-19</v>
      </c>
      <c r="M130" s="92">
        <f>VLOOKUP($A130,'Data Vlaue (Cr)'!$C:$FB,98)</f>
        <v>-0.12609999999999999</v>
      </c>
      <c r="N130" s="91">
        <f>VLOOKUP($A130,'Data Vlaue (Cr)'!$C:$FB,79)</f>
        <v>169</v>
      </c>
      <c r="O130" s="92">
        <f>VLOOKUP($A130,'Data Vlaue (Cr)'!$C:$FB,82)</f>
        <v>-0.50129999999999997</v>
      </c>
    </row>
    <row r="131" spans="1:15" x14ac:dyDescent="0.25">
      <c r="A131" s="97" t="str">
        <f>'Data Vlaue (Cr)'!C126</f>
        <v>MARICO</v>
      </c>
      <c r="B131" s="142">
        <f>VLOOKUP(A131,'Data Vlaue (Cr)'!C126:CW339,99,0)</f>
        <v>3308</v>
      </c>
      <c r="C131" s="90">
        <f>VLOOKUP(A131,'Data Vlaue (Cr)'!C126:CY339,101,0)</f>
        <v>-1</v>
      </c>
      <c r="D131" s="139">
        <f>VLOOKUP(A131,'Data Vlaue (Cr)'!C126:CZ339,102,0)</f>
        <v>-4.0000000000000002E-4</v>
      </c>
      <c r="E131" s="91">
        <f>VLOOKUP($A131,'Data Vlaue (Cr)'!$C:$FB,75)</f>
        <v>2480</v>
      </c>
      <c r="F131" s="91">
        <f>VLOOKUP($A131,'Data Vlaue (Cr)'!$C:$FB,77)</f>
        <v>45</v>
      </c>
      <c r="G131" s="92">
        <f>VLOOKUP(A131,'Data Vlaue (Cr)'!C126:CB339,78,0)</f>
        <v>1.8599999999999998E-2</v>
      </c>
      <c r="H131" s="91">
        <f>VLOOKUP($A131,'Data Vlaue (Cr)'!$C:$FB,91)</f>
        <v>546</v>
      </c>
      <c r="I131" s="91">
        <f>VLOOKUP($A131,'Data Vlaue (Cr)'!$C:$FB,93)</f>
        <v>-20</v>
      </c>
      <c r="J131" s="92">
        <f>VLOOKUP($A131,'Data Vlaue (Cr)'!$C:$FB,94)</f>
        <v>-3.4799999999999998E-2</v>
      </c>
      <c r="K131" s="91">
        <f>VLOOKUP($A131,'Data Vlaue (Cr)'!$C:$FB,95)</f>
        <v>282</v>
      </c>
      <c r="L131" s="91">
        <f>VLOOKUP($A131,'Data Vlaue (Cr)'!$C:$FB,97)</f>
        <v>-27</v>
      </c>
      <c r="M131" s="92">
        <f>VLOOKUP($A131,'Data Vlaue (Cr)'!$C:$FB,98)</f>
        <v>-8.6800000000000002E-2</v>
      </c>
      <c r="N131" s="91">
        <f>VLOOKUP($A131,'Data Vlaue (Cr)'!$C:$FB,79)</f>
        <v>949</v>
      </c>
      <c r="O131" s="92">
        <f>VLOOKUP($A131,'Data Vlaue (Cr)'!$C:$FB,82)</f>
        <v>-0.47939999999999999</v>
      </c>
    </row>
    <row r="132" spans="1:15" x14ac:dyDescent="0.25">
      <c r="A132" s="97" t="str">
        <f>'Data Vlaue (Cr)'!C127</f>
        <v>MARUTI</v>
      </c>
      <c r="B132" s="142">
        <f>VLOOKUP(A132,'Data Vlaue (Cr)'!C127:CW340,99,0)</f>
        <v>10677</v>
      </c>
      <c r="C132" s="90">
        <f>VLOOKUP(A132,'Data Vlaue (Cr)'!C127:CY340,101,0)</f>
        <v>-423</v>
      </c>
      <c r="D132" s="139">
        <f>VLOOKUP(A132,'Data Vlaue (Cr)'!C127:CZ340,102,0)</f>
        <v>-3.8100000000000002E-2</v>
      </c>
      <c r="E132" s="91">
        <f>VLOOKUP($A132,'Data Vlaue (Cr)'!$C:$FB,75)</f>
        <v>4825</v>
      </c>
      <c r="F132" s="91">
        <f>VLOOKUP($A132,'Data Vlaue (Cr)'!$C:$FB,77)</f>
        <v>-39</v>
      </c>
      <c r="G132" s="92">
        <f>VLOOKUP(A132,'Data Vlaue (Cr)'!C127:CB340,78,0)</f>
        <v>-7.9000000000000008E-3</v>
      </c>
      <c r="H132" s="91">
        <f>VLOOKUP($A132,'Data Vlaue (Cr)'!$C:$FB,91)</f>
        <v>4292</v>
      </c>
      <c r="I132" s="91">
        <f>VLOOKUP($A132,'Data Vlaue (Cr)'!$C:$FB,93)</f>
        <v>-280</v>
      </c>
      <c r="J132" s="92">
        <f>VLOOKUP($A132,'Data Vlaue (Cr)'!$C:$FB,94)</f>
        <v>-6.13E-2</v>
      </c>
      <c r="K132" s="91">
        <f>VLOOKUP($A132,'Data Vlaue (Cr)'!$C:$FB,95)</f>
        <v>1559</v>
      </c>
      <c r="L132" s="91">
        <f>VLOOKUP($A132,'Data Vlaue (Cr)'!$C:$FB,97)</f>
        <v>-104</v>
      </c>
      <c r="M132" s="92">
        <f>VLOOKUP($A132,'Data Vlaue (Cr)'!$C:$FB,98)</f>
        <v>-6.2700000000000006E-2</v>
      </c>
      <c r="N132" s="91">
        <f>VLOOKUP($A132,'Data Vlaue (Cr)'!$C:$FB,79)</f>
        <v>1581</v>
      </c>
      <c r="O132" s="92">
        <f>VLOOKUP($A132,'Data Vlaue (Cr)'!$C:$FB,82)</f>
        <v>-0.47560000000000002</v>
      </c>
    </row>
    <row r="133" spans="1:15" x14ac:dyDescent="0.25">
      <c r="A133" s="97" t="str">
        <f>'Data Vlaue (Cr)'!C128</f>
        <v>MAXHEALTH</v>
      </c>
      <c r="B133" s="142">
        <f>VLOOKUP(A133,'Data Vlaue (Cr)'!C128:CW341,99,0)</f>
        <v>2540</v>
      </c>
      <c r="C133" s="90">
        <f>VLOOKUP(A133,'Data Vlaue (Cr)'!C128:CY341,101,0)</f>
        <v>-7</v>
      </c>
      <c r="D133" s="139">
        <f>VLOOKUP(A133,'Data Vlaue (Cr)'!C128:CZ341,102,0)</f>
        <v>-2.8E-3</v>
      </c>
      <c r="E133" s="91">
        <f>VLOOKUP($A133,'Data Vlaue (Cr)'!$C:$FB,75)</f>
        <v>1948</v>
      </c>
      <c r="F133" s="91">
        <f>VLOOKUP($A133,'Data Vlaue (Cr)'!$C:$FB,77)</f>
        <v>-6</v>
      </c>
      <c r="G133" s="92">
        <f>VLOOKUP(A133,'Data Vlaue (Cr)'!C128:CB341,78,0)</f>
        <v>-3.3E-3</v>
      </c>
      <c r="H133" s="91">
        <f>VLOOKUP($A133,'Data Vlaue (Cr)'!$C:$FB,91)</f>
        <v>360</v>
      </c>
      <c r="I133" s="91">
        <f>VLOOKUP($A133,'Data Vlaue (Cr)'!$C:$FB,93)</f>
        <v>14</v>
      </c>
      <c r="J133" s="92">
        <f>VLOOKUP($A133,'Data Vlaue (Cr)'!$C:$FB,94)</f>
        <v>4.1700000000000001E-2</v>
      </c>
      <c r="K133" s="91">
        <f>VLOOKUP($A133,'Data Vlaue (Cr)'!$C:$FB,95)</f>
        <v>231</v>
      </c>
      <c r="L133" s="91">
        <f>VLOOKUP($A133,'Data Vlaue (Cr)'!$C:$FB,97)</f>
        <v>-15</v>
      </c>
      <c r="M133" s="92">
        <f>VLOOKUP($A133,'Data Vlaue (Cr)'!$C:$FB,98)</f>
        <v>-6.0900000000000003E-2</v>
      </c>
      <c r="N133" s="91">
        <f>VLOOKUP($A133,'Data Vlaue (Cr)'!$C:$FB,79)</f>
        <v>766</v>
      </c>
      <c r="O133" s="92">
        <f>VLOOKUP($A133,'Data Vlaue (Cr)'!$C:$FB,82)</f>
        <v>-0.46410000000000001</v>
      </c>
    </row>
    <row r="134" spans="1:15" x14ac:dyDescent="0.25">
      <c r="A134" s="97" t="str">
        <f>'Data Vlaue (Cr)'!C129</f>
        <v>MAZDOCK</v>
      </c>
      <c r="B134" s="142">
        <f>VLOOKUP(A134,'Data Vlaue (Cr)'!C129:CW342,99,0)</f>
        <v>2816</v>
      </c>
      <c r="C134" s="90">
        <f>VLOOKUP(A134,'Data Vlaue (Cr)'!C129:CY342,101,0)</f>
        <v>-233</v>
      </c>
      <c r="D134" s="139">
        <f>VLOOKUP(A134,'Data Vlaue (Cr)'!C129:CZ342,102,0)</f>
        <v>-7.6399999999999996E-2</v>
      </c>
      <c r="E134" s="91">
        <f>VLOOKUP($A134,'Data Vlaue (Cr)'!$C:$FB,75)</f>
        <v>1239</v>
      </c>
      <c r="F134" s="91">
        <f>VLOOKUP($A134,'Data Vlaue (Cr)'!$C:$FB,77)</f>
        <v>-95</v>
      </c>
      <c r="G134" s="92">
        <f>VLOOKUP(A134,'Data Vlaue (Cr)'!C129:CB342,78,0)</f>
        <v>-7.1400000000000005E-2</v>
      </c>
      <c r="H134" s="91">
        <f>VLOOKUP($A134,'Data Vlaue (Cr)'!$C:$FB,91)</f>
        <v>1075</v>
      </c>
      <c r="I134" s="91">
        <f>VLOOKUP($A134,'Data Vlaue (Cr)'!$C:$FB,93)</f>
        <v>-124</v>
      </c>
      <c r="J134" s="92">
        <f>VLOOKUP($A134,'Data Vlaue (Cr)'!$C:$FB,94)</f>
        <v>-0.10340000000000001</v>
      </c>
      <c r="K134" s="91">
        <f>VLOOKUP($A134,'Data Vlaue (Cr)'!$C:$FB,95)</f>
        <v>501</v>
      </c>
      <c r="L134" s="91">
        <f>VLOOKUP($A134,'Data Vlaue (Cr)'!$C:$FB,97)</f>
        <v>-14</v>
      </c>
      <c r="M134" s="92">
        <f>VLOOKUP($A134,'Data Vlaue (Cr)'!$C:$FB,98)</f>
        <v>-2.6499999999999999E-2</v>
      </c>
      <c r="N134" s="91">
        <f>VLOOKUP($A134,'Data Vlaue (Cr)'!$C:$FB,79)</f>
        <v>708</v>
      </c>
      <c r="O134" s="92">
        <f>VLOOKUP($A134,'Data Vlaue (Cr)'!$C:$FB,82)</f>
        <v>-0.31780000000000003</v>
      </c>
    </row>
    <row r="135" spans="1:15" x14ac:dyDescent="0.25">
      <c r="A135" s="97" t="str">
        <f>'Data Vlaue (Cr)'!C130</f>
        <v>MCX</v>
      </c>
      <c r="B135" s="142">
        <f>VLOOKUP(A135,'Data Vlaue (Cr)'!C130:CW343,99,0)</f>
        <v>10161</v>
      </c>
      <c r="C135" s="90">
        <f>VLOOKUP(A135,'Data Vlaue (Cr)'!C130:CY343,101,0)</f>
        <v>568</v>
      </c>
      <c r="D135" s="139">
        <f>VLOOKUP(A135,'Data Vlaue (Cr)'!C130:CZ343,102,0)</f>
        <v>5.9200000000000003E-2</v>
      </c>
      <c r="E135" s="91">
        <f>VLOOKUP($A135,'Data Vlaue (Cr)'!$C:$FB,75)</f>
        <v>3725</v>
      </c>
      <c r="F135" s="91">
        <f>VLOOKUP($A135,'Data Vlaue (Cr)'!$C:$FB,77)</f>
        <v>95</v>
      </c>
      <c r="G135" s="92">
        <f>VLOOKUP(A135,'Data Vlaue (Cr)'!C130:CB343,78,0)</f>
        <v>2.6200000000000001E-2</v>
      </c>
      <c r="H135" s="91">
        <f>VLOOKUP($A135,'Data Vlaue (Cr)'!$C:$FB,91)</f>
        <v>4437</v>
      </c>
      <c r="I135" s="91">
        <f>VLOOKUP($A135,'Data Vlaue (Cr)'!$C:$FB,93)</f>
        <v>424</v>
      </c>
      <c r="J135" s="92">
        <f>VLOOKUP($A135,'Data Vlaue (Cr)'!$C:$FB,94)</f>
        <v>0.1056</v>
      </c>
      <c r="K135" s="91">
        <f>VLOOKUP($A135,'Data Vlaue (Cr)'!$C:$FB,95)</f>
        <v>1998</v>
      </c>
      <c r="L135" s="91">
        <f>VLOOKUP($A135,'Data Vlaue (Cr)'!$C:$FB,97)</f>
        <v>49</v>
      </c>
      <c r="M135" s="92">
        <f>VLOOKUP($A135,'Data Vlaue (Cr)'!$C:$FB,98)</f>
        <v>2.5000000000000001E-2</v>
      </c>
      <c r="N135" s="91">
        <f>VLOOKUP($A135,'Data Vlaue (Cr)'!$C:$FB,79)</f>
        <v>1268</v>
      </c>
      <c r="O135" s="92">
        <f>VLOOKUP($A135,'Data Vlaue (Cr)'!$C:$FB,82)</f>
        <v>-0.49830000000000002</v>
      </c>
    </row>
    <row r="136" spans="1:15" x14ac:dyDescent="0.25">
      <c r="A136" s="97" t="str">
        <f>'Data Vlaue (Cr)'!C131</f>
        <v>MFSL</v>
      </c>
      <c r="B136" s="142">
        <f>VLOOKUP(A136,'Data Vlaue (Cr)'!C131:CW344,99,0)</f>
        <v>1873</v>
      </c>
      <c r="C136" s="90">
        <f>VLOOKUP(A136,'Data Vlaue (Cr)'!C131:CY344,101,0)</f>
        <v>-64</v>
      </c>
      <c r="D136" s="139">
        <f>VLOOKUP(A136,'Data Vlaue (Cr)'!C131:CZ344,102,0)</f>
        <v>-3.32E-2</v>
      </c>
      <c r="E136" s="91">
        <f>VLOOKUP($A136,'Data Vlaue (Cr)'!$C:$FB,75)</f>
        <v>1479</v>
      </c>
      <c r="F136" s="91">
        <f>VLOOKUP($A136,'Data Vlaue (Cr)'!$C:$FB,77)</f>
        <v>-19</v>
      </c>
      <c r="G136" s="92">
        <f>VLOOKUP(A136,'Data Vlaue (Cr)'!C131:CB344,78,0)</f>
        <v>-1.29E-2</v>
      </c>
      <c r="H136" s="91">
        <f>VLOOKUP($A136,'Data Vlaue (Cr)'!$C:$FB,91)</f>
        <v>234</v>
      </c>
      <c r="I136" s="91">
        <f>VLOOKUP($A136,'Data Vlaue (Cr)'!$C:$FB,93)</f>
        <v>-27</v>
      </c>
      <c r="J136" s="92">
        <f>VLOOKUP($A136,'Data Vlaue (Cr)'!$C:$FB,94)</f>
        <v>-0.10390000000000001</v>
      </c>
      <c r="K136" s="91">
        <f>VLOOKUP($A136,'Data Vlaue (Cr)'!$C:$FB,95)</f>
        <v>160</v>
      </c>
      <c r="L136" s="91">
        <f>VLOOKUP($A136,'Data Vlaue (Cr)'!$C:$FB,97)</f>
        <v>-18</v>
      </c>
      <c r="M136" s="92">
        <f>VLOOKUP($A136,'Data Vlaue (Cr)'!$C:$FB,98)</f>
        <v>-9.98E-2</v>
      </c>
      <c r="N136" s="91">
        <f>VLOOKUP($A136,'Data Vlaue (Cr)'!$C:$FB,79)</f>
        <v>489</v>
      </c>
      <c r="O136" s="92">
        <f>VLOOKUP($A136,'Data Vlaue (Cr)'!$C:$FB,82)</f>
        <v>-0.53349999999999997</v>
      </c>
    </row>
    <row r="137" spans="1:15" x14ac:dyDescent="0.25">
      <c r="A137" s="97" t="str">
        <f>'Data Vlaue (Cr)'!C132</f>
        <v>MIDCPNIFTY</v>
      </c>
      <c r="B137" s="142">
        <f>VLOOKUP(A137,'Data Vlaue (Cr)'!C132:CW345,99,0)</f>
        <v>39888</v>
      </c>
      <c r="C137" s="90">
        <f>VLOOKUP(A137,'Data Vlaue (Cr)'!C132:CY345,101,0)</f>
        <v>1262</v>
      </c>
      <c r="D137" s="139">
        <f>VLOOKUP(A137,'Data Vlaue (Cr)'!C132:CZ345,102,0)</f>
        <v>3.27E-2</v>
      </c>
      <c r="E137" s="91">
        <f>VLOOKUP($A137,'Data Vlaue (Cr)'!$C:$FB,75)</f>
        <v>3504</v>
      </c>
      <c r="F137" s="91">
        <f>VLOOKUP($A137,'Data Vlaue (Cr)'!$C:$FB,77)</f>
        <v>-58</v>
      </c>
      <c r="G137" s="92">
        <f>VLOOKUP(A137,'Data Vlaue (Cr)'!C132:CB345,78,0)</f>
        <v>-1.6199999999999999E-2</v>
      </c>
      <c r="H137" s="91">
        <f>VLOOKUP($A137,'Data Vlaue (Cr)'!$C:$FB,91)</f>
        <v>20920</v>
      </c>
      <c r="I137" s="91">
        <f>VLOOKUP($A137,'Data Vlaue (Cr)'!$C:$FB,93)</f>
        <v>-18</v>
      </c>
      <c r="J137" s="92">
        <f>VLOOKUP($A137,'Data Vlaue (Cr)'!$C:$FB,94)</f>
        <v>-8.9999999999999998E-4</v>
      </c>
      <c r="K137" s="91">
        <f>VLOOKUP($A137,'Data Vlaue (Cr)'!$C:$FB,95)</f>
        <v>15464</v>
      </c>
      <c r="L137" s="91">
        <f>VLOOKUP($A137,'Data Vlaue (Cr)'!$C:$FB,97)</f>
        <v>1338</v>
      </c>
      <c r="M137" s="92">
        <f>VLOOKUP($A137,'Data Vlaue (Cr)'!$C:$FB,98)</f>
        <v>9.4700000000000006E-2</v>
      </c>
      <c r="N137" s="91">
        <f>VLOOKUP($A137,'Data Vlaue (Cr)'!$C:$FB,79)</f>
        <v>1697</v>
      </c>
      <c r="O137" s="92">
        <f>VLOOKUP($A137,'Data Vlaue (Cr)'!$C:$FB,82)</f>
        <v>-0.44529999999999997</v>
      </c>
    </row>
    <row r="138" spans="1:15" x14ac:dyDescent="0.25">
      <c r="A138" s="97" t="str">
        <f>'Data Vlaue (Cr)'!C133</f>
        <v>MOTHERSON</v>
      </c>
      <c r="B138" s="142">
        <f>VLOOKUP(A138,'Data Vlaue (Cr)'!C133:CW346,99,0)</f>
        <v>3182</v>
      </c>
      <c r="C138" s="90">
        <f>VLOOKUP(A138,'Data Vlaue (Cr)'!C133:CY346,101,0)</f>
        <v>-44</v>
      </c>
      <c r="D138" s="139">
        <f>VLOOKUP(A138,'Data Vlaue (Cr)'!C133:CZ346,102,0)</f>
        <v>-1.37E-2</v>
      </c>
      <c r="E138" s="91">
        <f>VLOOKUP($A138,'Data Vlaue (Cr)'!$C:$FB,75)</f>
        <v>1982</v>
      </c>
      <c r="F138" s="91">
        <f>VLOOKUP($A138,'Data Vlaue (Cr)'!$C:$FB,77)</f>
        <v>24</v>
      </c>
      <c r="G138" s="92">
        <f>VLOOKUP(A138,'Data Vlaue (Cr)'!C133:CB346,78,0)</f>
        <v>1.2E-2</v>
      </c>
      <c r="H138" s="91">
        <f>VLOOKUP($A138,'Data Vlaue (Cr)'!$C:$FB,91)</f>
        <v>780</v>
      </c>
      <c r="I138" s="91">
        <f>VLOOKUP($A138,'Data Vlaue (Cr)'!$C:$FB,93)</f>
        <v>-72</v>
      </c>
      <c r="J138" s="92">
        <f>VLOOKUP($A138,'Data Vlaue (Cr)'!$C:$FB,94)</f>
        <v>-8.48E-2</v>
      </c>
      <c r="K138" s="91">
        <f>VLOOKUP($A138,'Data Vlaue (Cr)'!$C:$FB,95)</f>
        <v>420</v>
      </c>
      <c r="L138" s="91">
        <f>VLOOKUP($A138,'Data Vlaue (Cr)'!$C:$FB,97)</f>
        <v>5</v>
      </c>
      <c r="M138" s="92">
        <f>VLOOKUP($A138,'Data Vlaue (Cr)'!$C:$FB,98)</f>
        <v>1.11E-2</v>
      </c>
      <c r="N138" s="91">
        <f>VLOOKUP($A138,'Data Vlaue (Cr)'!$C:$FB,79)</f>
        <v>835</v>
      </c>
      <c r="O138" s="92">
        <f>VLOOKUP($A138,'Data Vlaue (Cr)'!$C:$FB,82)</f>
        <v>-0.39079999999999998</v>
      </c>
    </row>
    <row r="139" spans="1:15" x14ac:dyDescent="0.25">
      <c r="A139" s="97" t="str">
        <f>'Data Vlaue (Cr)'!C134</f>
        <v>MPHASIS</v>
      </c>
      <c r="B139" s="142">
        <f>VLOOKUP(A139,'Data Vlaue (Cr)'!C134:CW347,99,0)</f>
        <v>1979</v>
      </c>
      <c r="C139" s="90">
        <f>VLOOKUP(A139,'Data Vlaue (Cr)'!C134:CY347,101,0)</f>
        <v>36</v>
      </c>
      <c r="D139" s="139">
        <f>VLOOKUP(A139,'Data Vlaue (Cr)'!C134:CZ347,102,0)</f>
        <v>1.8499999999999999E-2</v>
      </c>
      <c r="E139" s="91">
        <f>VLOOKUP($A139,'Data Vlaue (Cr)'!$C:$FB,75)</f>
        <v>1344</v>
      </c>
      <c r="F139" s="91">
        <f>VLOOKUP($A139,'Data Vlaue (Cr)'!$C:$FB,77)</f>
        <v>-9</v>
      </c>
      <c r="G139" s="92">
        <f>VLOOKUP(A139,'Data Vlaue (Cr)'!C134:CB347,78,0)</f>
        <v>-6.3E-3</v>
      </c>
      <c r="H139" s="91">
        <f>VLOOKUP($A139,'Data Vlaue (Cr)'!$C:$FB,91)</f>
        <v>363</v>
      </c>
      <c r="I139" s="91">
        <f>VLOOKUP($A139,'Data Vlaue (Cr)'!$C:$FB,93)</f>
        <v>37</v>
      </c>
      <c r="J139" s="92">
        <f>VLOOKUP($A139,'Data Vlaue (Cr)'!$C:$FB,94)</f>
        <v>0.11310000000000001</v>
      </c>
      <c r="K139" s="91">
        <f>VLOOKUP($A139,'Data Vlaue (Cr)'!$C:$FB,95)</f>
        <v>271</v>
      </c>
      <c r="L139" s="91">
        <f>VLOOKUP($A139,'Data Vlaue (Cr)'!$C:$FB,97)</f>
        <v>8</v>
      </c>
      <c r="M139" s="92">
        <f>VLOOKUP($A139,'Data Vlaue (Cr)'!$C:$FB,98)</f>
        <v>2.9000000000000001E-2</v>
      </c>
      <c r="N139" s="91">
        <f>VLOOKUP($A139,'Data Vlaue (Cr)'!$C:$FB,79)</f>
        <v>476</v>
      </c>
      <c r="O139" s="92">
        <f>VLOOKUP($A139,'Data Vlaue (Cr)'!$C:$FB,82)</f>
        <v>-0.46920000000000001</v>
      </c>
    </row>
    <row r="140" spans="1:15" x14ac:dyDescent="0.25">
      <c r="A140" s="97" t="str">
        <f>'Data Vlaue (Cr)'!C135</f>
        <v>MUTHOOTFIN</v>
      </c>
      <c r="B140" s="142">
        <f>VLOOKUP(A140,'Data Vlaue (Cr)'!C135:CW348,99,0)</f>
        <v>3110</v>
      </c>
      <c r="C140" s="90">
        <f>VLOOKUP(A140,'Data Vlaue (Cr)'!C135:CY348,101,0)</f>
        <v>64</v>
      </c>
      <c r="D140" s="139">
        <f>VLOOKUP(A140,'Data Vlaue (Cr)'!C135:CZ348,102,0)</f>
        <v>2.1000000000000001E-2</v>
      </c>
      <c r="E140" s="91">
        <f>VLOOKUP($A140,'Data Vlaue (Cr)'!$C:$FB,75)</f>
        <v>1600</v>
      </c>
      <c r="F140" s="91">
        <f>VLOOKUP($A140,'Data Vlaue (Cr)'!$C:$FB,77)</f>
        <v>22</v>
      </c>
      <c r="G140" s="92">
        <f>VLOOKUP(A140,'Data Vlaue (Cr)'!C135:CB348,78,0)</f>
        <v>1.37E-2</v>
      </c>
      <c r="H140" s="91">
        <f>VLOOKUP($A140,'Data Vlaue (Cr)'!$C:$FB,91)</f>
        <v>921</v>
      </c>
      <c r="I140" s="91">
        <f>VLOOKUP($A140,'Data Vlaue (Cr)'!$C:$FB,93)</f>
        <v>4</v>
      </c>
      <c r="J140" s="92">
        <f>VLOOKUP($A140,'Data Vlaue (Cr)'!$C:$FB,94)</f>
        <v>4.3E-3</v>
      </c>
      <c r="K140" s="91">
        <f>VLOOKUP($A140,'Data Vlaue (Cr)'!$C:$FB,95)</f>
        <v>589</v>
      </c>
      <c r="L140" s="91">
        <f>VLOOKUP($A140,'Data Vlaue (Cr)'!$C:$FB,97)</f>
        <v>38</v>
      </c>
      <c r="M140" s="92">
        <f>VLOOKUP($A140,'Data Vlaue (Cr)'!$C:$FB,98)</f>
        <v>6.9900000000000004E-2</v>
      </c>
      <c r="N140" s="91">
        <f>VLOOKUP($A140,'Data Vlaue (Cr)'!$C:$FB,79)</f>
        <v>525</v>
      </c>
      <c r="O140" s="92">
        <f>VLOOKUP($A140,'Data Vlaue (Cr)'!$C:$FB,82)</f>
        <v>-0.52410000000000001</v>
      </c>
    </row>
    <row r="141" spans="1:15" x14ac:dyDescent="0.25">
      <c r="A141" s="97" t="str">
        <f>'Data Vlaue (Cr)'!C136</f>
        <v>NATIONALUM</v>
      </c>
      <c r="B141" s="142">
        <f>VLOOKUP(A141,'Data Vlaue (Cr)'!C136:CW349,99,0)</f>
        <v>5067</v>
      </c>
      <c r="C141" s="90">
        <f>VLOOKUP(A141,'Data Vlaue (Cr)'!C136:CY349,101,0)</f>
        <v>-91</v>
      </c>
      <c r="D141" s="139">
        <f>VLOOKUP(A141,'Data Vlaue (Cr)'!C136:CZ349,102,0)</f>
        <v>-1.77E-2</v>
      </c>
      <c r="E141" s="91">
        <f>VLOOKUP($A141,'Data Vlaue (Cr)'!$C:$FB,75)</f>
        <v>1988</v>
      </c>
      <c r="F141" s="91">
        <f>VLOOKUP($A141,'Data Vlaue (Cr)'!$C:$FB,77)</f>
        <v>39</v>
      </c>
      <c r="G141" s="92">
        <f>VLOOKUP(A141,'Data Vlaue (Cr)'!C136:CB349,78,0)</f>
        <v>2.01E-2</v>
      </c>
      <c r="H141" s="91">
        <f>VLOOKUP($A141,'Data Vlaue (Cr)'!$C:$FB,91)</f>
        <v>1677</v>
      </c>
      <c r="I141" s="91">
        <f>VLOOKUP($A141,'Data Vlaue (Cr)'!$C:$FB,93)</f>
        <v>-118</v>
      </c>
      <c r="J141" s="92">
        <f>VLOOKUP($A141,'Data Vlaue (Cr)'!$C:$FB,94)</f>
        <v>-6.59E-2</v>
      </c>
      <c r="K141" s="91">
        <f>VLOOKUP($A141,'Data Vlaue (Cr)'!$C:$FB,95)</f>
        <v>1402</v>
      </c>
      <c r="L141" s="91">
        <f>VLOOKUP($A141,'Data Vlaue (Cr)'!$C:$FB,97)</f>
        <v>-12</v>
      </c>
      <c r="M141" s="92">
        <f>VLOOKUP($A141,'Data Vlaue (Cr)'!$C:$FB,98)</f>
        <v>-8.5000000000000006E-3</v>
      </c>
      <c r="N141" s="91">
        <f>VLOOKUP($A141,'Data Vlaue (Cr)'!$C:$FB,79)</f>
        <v>784</v>
      </c>
      <c r="O141" s="92">
        <f>VLOOKUP($A141,'Data Vlaue (Cr)'!$C:$FB,82)</f>
        <v>-0.40570000000000001</v>
      </c>
    </row>
    <row r="142" spans="1:15" x14ac:dyDescent="0.25">
      <c r="A142" s="97" t="str">
        <f>'Data Vlaue (Cr)'!C137</f>
        <v>NAUKRI</v>
      </c>
      <c r="B142" s="142">
        <f>VLOOKUP(A142,'Data Vlaue (Cr)'!C137:CW350,99,0)</f>
        <v>1746</v>
      </c>
      <c r="C142" s="90">
        <f>VLOOKUP(A142,'Data Vlaue (Cr)'!C137:CY350,101,0)</f>
        <v>-82</v>
      </c>
      <c r="D142" s="139">
        <f>VLOOKUP(A142,'Data Vlaue (Cr)'!C137:CZ350,102,0)</f>
        <v>-4.5100000000000001E-2</v>
      </c>
      <c r="E142" s="91">
        <f>VLOOKUP($A142,'Data Vlaue (Cr)'!$C:$FB,75)</f>
        <v>1101</v>
      </c>
      <c r="F142" s="91">
        <f>VLOOKUP($A142,'Data Vlaue (Cr)'!$C:$FB,77)</f>
        <v>-43</v>
      </c>
      <c r="G142" s="92">
        <f>VLOOKUP(A142,'Data Vlaue (Cr)'!C137:CB350,78,0)</f>
        <v>-3.7699999999999997E-2</v>
      </c>
      <c r="H142" s="91">
        <f>VLOOKUP($A142,'Data Vlaue (Cr)'!$C:$FB,91)</f>
        <v>409</v>
      </c>
      <c r="I142" s="91">
        <f>VLOOKUP($A142,'Data Vlaue (Cr)'!$C:$FB,93)</f>
        <v>-24</v>
      </c>
      <c r="J142" s="92">
        <f>VLOOKUP($A142,'Data Vlaue (Cr)'!$C:$FB,94)</f>
        <v>-5.5E-2</v>
      </c>
      <c r="K142" s="91">
        <f>VLOOKUP($A142,'Data Vlaue (Cr)'!$C:$FB,95)</f>
        <v>235</v>
      </c>
      <c r="L142" s="91">
        <f>VLOOKUP($A142,'Data Vlaue (Cr)'!$C:$FB,97)</f>
        <v>-16</v>
      </c>
      <c r="M142" s="92">
        <f>VLOOKUP($A142,'Data Vlaue (Cr)'!$C:$FB,98)</f>
        <v>-6.2E-2</v>
      </c>
      <c r="N142" s="91">
        <f>VLOOKUP($A142,'Data Vlaue (Cr)'!$C:$FB,79)</f>
        <v>291</v>
      </c>
      <c r="O142" s="92">
        <f>VLOOKUP($A142,'Data Vlaue (Cr)'!$C:$FB,82)</f>
        <v>-0.55049999999999999</v>
      </c>
    </row>
    <row r="143" spans="1:15" x14ac:dyDescent="0.25">
      <c r="A143" s="97" t="str">
        <f>'Data Vlaue (Cr)'!C138</f>
        <v>NBCC</v>
      </c>
      <c r="B143" s="142">
        <f>VLOOKUP(A143,'Data Vlaue (Cr)'!C138:CW351,99,0)</f>
        <v>1995</v>
      </c>
      <c r="C143" s="90">
        <f>VLOOKUP(A143,'Data Vlaue (Cr)'!C138:CY351,101,0)</f>
        <v>-34</v>
      </c>
      <c r="D143" s="139">
        <f>VLOOKUP(A143,'Data Vlaue (Cr)'!C138:CZ351,102,0)</f>
        <v>-1.6500000000000001E-2</v>
      </c>
      <c r="E143" s="91">
        <f>VLOOKUP($A143,'Data Vlaue (Cr)'!$C:$FB,75)</f>
        <v>921</v>
      </c>
      <c r="F143" s="91">
        <f>VLOOKUP($A143,'Data Vlaue (Cr)'!$C:$FB,77)</f>
        <v>23</v>
      </c>
      <c r="G143" s="92">
        <f>VLOOKUP(A143,'Data Vlaue (Cr)'!C138:CB351,78,0)</f>
        <v>2.6100000000000002E-2</v>
      </c>
      <c r="H143" s="91">
        <f>VLOOKUP($A143,'Data Vlaue (Cr)'!$C:$FB,91)</f>
        <v>770</v>
      </c>
      <c r="I143" s="91">
        <f>VLOOKUP($A143,'Data Vlaue (Cr)'!$C:$FB,93)</f>
        <v>-47</v>
      </c>
      <c r="J143" s="92">
        <f>VLOOKUP($A143,'Data Vlaue (Cr)'!$C:$FB,94)</f>
        <v>-5.7200000000000001E-2</v>
      </c>
      <c r="K143" s="91">
        <f>VLOOKUP($A143,'Data Vlaue (Cr)'!$C:$FB,95)</f>
        <v>304</v>
      </c>
      <c r="L143" s="91">
        <f>VLOOKUP($A143,'Data Vlaue (Cr)'!$C:$FB,97)</f>
        <v>-10</v>
      </c>
      <c r="M143" s="92">
        <f>VLOOKUP($A143,'Data Vlaue (Cr)'!$C:$FB,98)</f>
        <v>-3.27E-2</v>
      </c>
      <c r="N143" s="91">
        <f>VLOOKUP($A143,'Data Vlaue (Cr)'!$C:$FB,79)</f>
        <v>552</v>
      </c>
      <c r="O143" s="92">
        <f>VLOOKUP($A143,'Data Vlaue (Cr)'!$C:$FB,82)</f>
        <v>-0.15570000000000001</v>
      </c>
    </row>
    <row r="144" spans="1:15" x14ac:dyDescent="0.25">
      <c r="A144" s="97" t="str">
        <f>'Data Vlaue (Cr)'!C139</f>
        <v>NESTLEIND</v>
      </c>
      <c r="B144" s="142">
        <f>VLOOKUP(A144,'Data Vlaue (Cr)'!C139:CW352,99,0)</f>
        <v>2978</v>
      </c>
      <c r="C144" s="90">
        <f>VLOOKUP(A144,'Data Vlaue (Cr)'!C139:CY352,101,0)</f>
        <v>-70</v>
      </c>
      <c r="D144" s="139">
        <f>VLOOKUP(A144,'Data Vlaue (Cr)'!C139:CZ352,102,0)</f>
        <v>-2.3E-2</v>
      </c>
      <c r="E144" s="91">
        <f>VLOOKUP($A144,'Data Vlaue (Cr)'!$C:$FB,75)</f>
        <v>2284</v>
      </c>
      <c r="F144" s="91">
        <f>VLOOKUP($A144,'Data Vlaue (Cr)'!$C:$FB,77)</f>
        <v>-12</v>
      </c>
      <c r="G144" s="92">
        <f>VLOOKUP(A144,'Data Vlaue (Cr)'!C139:CB352,78,0)</f>
        <v>-5.3E-3</v>
      </c>
      <c r="H144" s="91">
        <f>VLOOKUP($A144,'Data Vlaue (Cr)'!$C:$FB,91)</f>
        <v>447</v>
      </c>
      <c r="I144" s="91">
        <f>VLOOKUP($A144,'Data Vlaue (Cr)'!$C:$FB,93)</f>
        <v>-60</v>
      </c>
      <c r="J144" s="92">
        <f>VLOOKUP($A144,'Data Vlaue (Cr)'!$C:$FB,94)</f>
        <v>-0.1191</v>
      </c>
      <c r="K144" s="91">
        <f>VLOOKUP($A144,'Data Vlaue (Cr)'!$C:$FB,95)</f>
        <v>248</v>
      </c>
      <c r="L144" s="91">
        <f>VLOOKUP($A144,'Data Vlaue (Cr)'!$C:$FB,97)</f>
        <v>2</v>
      </c>
      <c r="M144" s="92">
        <f>VLOOKUP($A144,'Data Vlaue (Cr)'!$C:$FB,98)</f>
        <v>9.7999999999999997E-3</v>
      </c>
      <c r="N144" s="91">
        <f>VLOOKUP($A144,'Data Vlaue (Cr)'!$C:$FB,79)</f>
        <v>930</v>
      </c>
      <c r="O144" s="92">
        <f>VLOOKUP($A144,'Data Vlaue (Cr)'!$C:$FB,82)</f>
        <v>-0.42949999999999999</v>
      </c>
    </row>
    <row r="145" spans="1:15" x14ac:dyDescent="0.25">
      <c r="A145" s="97" t="str">
        <f>'Data Vlaue (Cr)'!C140</f>
        <v>NHPC</v>
      </c>
      <c r="B145" s="142">
        <f>VLOOKUP(A145,'Data Vlaue (Cr)'!C140:CW353,99,0)</f>
        <v>1104</v>
      </c>
      <c r="C145" s="90">
        <f>VLOOKUP(A145,'Data Vlaue (Cr)'!C140:CY353,101,0)</f>
        <v>-69</v>
      </c>
      <c r="D145" s="139">
        <f>VLOOKUP(A145,'Data Vlaue (Cr)'!C140:CZ353,102,0)</f>
        <v>-5.91E-2</v>
      </c>
      <c r="E145" s="91">
        <f>VLOOKUP($A145,'Data Vlaue (Cr)'!$C:$FB,75)</f>
        <v>586</v>
      </c>
      <c r="F145" s="91">
        <f>VLOOKUP($A145,'Data Vlaue (Cr)'!$C:$FB,77)</f>
        <v>-29</v>
      </c>
      <c r="G145" s="92">
        <f>VLOOKUP(A145,'Data Vlaue (Cr)'!C140:CB353,78,0)</f>
        <v>-4.6899999999999997E-2</v>
      </c>
      <c r="H145" s="91">
        <f>VLOOKUP($A145,'Data Vlaue (Cr)'!$C:$FB,91)</f>
        <v>344</v>
      </c>
      <c r="I145" s="91">
        <f>VLOOKUP($A145,'Data Vlaue (Cr)'!$C:$FB,93)</f>
        <v>-36</v>
      </c>
      <c r="J145" s="92">
        <f>VLOOKUP($A145,'Data Vlaue (Cr)'!$C:$FB,94)</f>
        <v>-9.4299999999999995E-2</v>
      </c>
      <c r="K145" s="91">
        <f>VLOOKUP($A145,'Data Vlaue (Cr)'!$C:$FB,95)</f>
        <v>174</v>
      </c>
      <c r="L145" s="91">
        <f>VLOOKUP($A145,'Data Vlaue (Cr)'!$C:$FB,97)</f>
        <v>-5</v>
      </c>
      <c r="M145" s="92">
        <f>VLOOKUP($A145,'Data Vlaue (Cr)'!$C:$FB,98)</f>
        <v>-2.64E-2</v>
      </c>
      <c r="N145" s="91">
        <f>VLOOKUP($A145,'Data Vlaue (Cr)'!$C:$FB,79)</f>
        <v>258</v>
      </c>
      <c r="O145" s="92">
        <f>VLOOKUP($A145,'Data Vlaue (Cr)'!$C:$FB,82)</f>
        <v>-0.37909999999999999</v>
      </c>
    </row>
    <row r="146" spans="1:15" x14ac:dyDescent="0.25">
      <c r="A146" s="97" t="str">
        <f>'Data Vlaue (Cr)'!C141</f>
        <v>NIFTY</v>
      </c>
      <c r="B146" s="142">
        <f>VLOOKUP(A146,'Data Vlaue (Cr)'!C141:CW354,99,0)</f>
        <v>1238388</v>
      </c>
      <c r="C146" s="90">
        <f>VLOOKUP(A146,'Data Vlaue (Cr)'!C141:CY354,101,0)</f>
        <v>87665</v>
      </c>
      <c r="D146" s="139">
        <f>VLOOKUP(A146,'Data Vlaue (Cr)'!C141:CZ354,102,0)</f>
        <v>7.6200000000000004E-2</v>
      </c>
      <c r="E146" s="91">
        <f>VLOOKUP($A146,'Data Vlaue (Cr)'!$C:$FB,75)</f>
        <v>53174</v>
      </c>
      <c r="F146" s="91">
        <f>VLOOKUP($A146,'Data Vlaue (Cr)'!$C:$FB,77)</f>
        <v>2122</v>
      </c>
      <c r="G146" s="92">
        <f>VLOOKUP(A146,'Data Vlaue (Cr)'!C141:CB354,78,0)</f>
        <v>4.1599999999999998E-2</v>
      </c>
      <c r="H146" s="91">
        <f>VLOOKUP($A146,'Data Vlaue (Cr)'!$C:$FB,91)</f>
        <v>632290</v>
      </c>
      <c r="I146" s="91">
        <f>VLOOKUP($A146,'Data Vlaue (Cr)'!$C:$FB,93)</f>
        <v>15594</v>
      </c>
      <c r="J146" s="92">
        <f>VLOOKUP($A146,'Data Vlaue (Cr)'!$C:$FB,94)</f>
        <v>2.53E-2</v>
      </c>
      <c r="K146" s="91">
        <f>VLOOKUP($A146,'Data Vlaue (Cr)'!$C:$FB,95)</f>
        <v>552924</v>
      </c>
      <c r="L146" s="91">
        <f>VLOOKUP($A146,'Data Vlaue (Cr)'!$C:$FB,97)</f>
        <v>69949</v>
      </c>
      <c r="M146" s="92">
        <f>VLOOKUP($A146,'Data Vlaue (Cr)'!$C:$FB,98)</f>
        <v>0.14480000000000001</v>
      </c>
      <c r="N146" s="91">
        <f>VLOOKUP($A146,'Data Vlaue (Cr)'!$C:$FB,79)</f>
        <v>31110</v>
      </c>
      <c r="O146" s="92">
        <f>VLOOKUP($A146,'Data Vlaue (Cr)'!$C:$FB,82)</f>
        <v>-0.16889999999999999</v>
      </c>
    </row>
    <row r="147" spans="1:15" x14ac:dyDescent="0.25">
      <c r="A147" s="97" t="str">
        <f>'Data Vlaue (Cr)'!C142</f>
        <v>NIFTYNXT50</v>
      </c>
      <c r="B147" s="142">
        <f>VLOOKUP(A147,'Data Vlaue (Cr)'!C142:CW355,99,0)</f>
        <v>372</v>
      </c>
      <c r="C147" s="90">
        <f>VLOOKUP(A147,'Data Vlaue (Cr)'!C142:CY355,101,0)</f>
        <v>3</v>
      </c>
      <c r="D147" s="139">
        <f>VLOOKUP(A147,'Data Vlaue (Cr)'!C142:CZ355,102,0)</f>
        <v>6.8999999999999999E-3</v>
      </c>
      <c r="E147" s="91">
        <f>VLOOKUP($A147,'Data Vlaue (Cr)'!$C:$FB,75)</f>
        <v>167</v>
      </c>
      <c r="F147" s="91">
        <f>VLOOKUP($A147,'Data Vlaue (Cr)'!$C:$FB,77)</f>
        <v>1</v>
      </c>
      <c r="G147" s="92">
        <f>VLOOKUP(A147,'Data Vlaue (Cr)'!C142:CB355,78,0)</f>
        <v>4.1000000000000003E-3</v>
      </c>
      <c r="H147" s="91">
        <f>VLOOKUP($A147,'Data Vlaue (Cr)'!$C:$FB,91)</f>
        <v>158</v>
      </c>
      <c r="I147" s="91">
        <f>VLOOKUP($A147,'Data Vlaue (Cr)'!$C:$FB,93)</f>
        <v>2</v>
      </c>
      <c r="J147" s="92">
        <f>VLOOKUP($A147,'Data Vlaue (Cr)'!$C:$FB,94)</f>
        <v>1.5299999999999999E-2</v>
      </c>
      <c r="K147" s="91">
        <f>VLOOKUP($A147,'Data Vlaue (Cr)'!$C:$FB,95)</f>
        <v>47</v>
      </c>
      <c r="L147" s="91">
        <f>VLOOKUP($A147,'Data Vlaue (Cr)'!$C:$FB,97)</f>
        <v>-1</v>
      </c>
      <c r="M147" s="92">
        <f>VLOOKUP($A147,'Data Vlaue (Cr)'!$C:$FB,98)</f>
        <v>-1.0800000000000001E-2</v>
      </c>
      <c r="N147" s="91">
        <f>VLOOKUP($A147,'Data Vlaue (Cr)'!$C:$FB,79)</f>
        <v>116</v>
      </c>
      <c r="O147" s="92">
        <f>VLOOKUP($A147,'Data Vlaue (Cr)'!$C:$FB,82)</f>
        <v>-7.1599999999999997E-2</v>
      </c>
    </row>
    <row r="148" spans="1:15" x14ac:dyDescent="0.25">
      <c r="A148" s="97" t="str">
        <f>'Data Vlaue (Cr)'!C143</f>
        <v>NMDC</v>
      </c>
      <c r="B148" s="142">
        <f>VLOOKUP(A148,'Data Vlaue (Cr)'!C143:CW356,99,0)</f>
        <v>4396</v>
      </c>
      <c r="C148" s="90">
        <f>VLOOKUP(A148,'Data Vlaue (Cr)'!C143:CY356,101,0)</f>
        <v>-25</v>
      </c>
      <c r="D148" s="139">
        <f>VLOOKUP(A148,'Data Vlaue (Cr)'!C143:CZ356,102,0)</f>
        <v>-5.7000000000000002E-3</v>
      </c>
      <c r="E148" s="91">
        <f>VLOOKUP($A148,'Data Vlaue (Cr)'!$C:$FB,75)</f>
        <v>2775</v>
      </c>
      <c r="F148" s="91">
        <f>VLOOKUP($A148,'Data Vlaue (Cr)'!$C:$FB,77)</f>
        <v>8</v>
      </c>
      <c r="G148" s="92">
        <f>VLOOKUP(A148,'Data Vlaue (Cr)'!C143:CB356,78,0)</f>
        <v>2.8999999999999998E-3</v>
      </c>
      <c r="H148" s="91">
        <f>VLOOKUP($A148,'Data Vlaue (Cr)'!$C:$FB,91)</f>
        <v>1170</v>
      </c>
      <c r="I148" s="91">
        <f>VLOOKUP($A148,'Data Vlaue (Cr)'!$C:$FB,93)</f>
        <v>-21</v>
      </c>
      <c r="J148" s="92">
        <f>VLOOKUP($A148,'Data Vlaue (Cr)'!$C:$FB,94)</f>
        <v>-1.7299999999999999E-2</v>
      </c>
      <c r="K148" s="91">
        <f>VLOOKUP($A148,'Data Vlaue (Cr)'!$C:$FB,95)</f>
        <v>451</v>
      </c>
      <c r="L148" s="91">
        <f>VLOOKUP($A148,'Data Vlaue (Cr)'!$C:$FB,97)</f>
        <v>-13</v>
      </c>
      <c r="M148" s="92">
        <f>VLOOKUP($A148,'Data Vlaue (Cr)'!$C:$FB,98)</f>
        <v>-2.7300000000000001E-2</v>
      </c>
      <c r="N148" s="91">
        <f>VLOOKUP($A148,'Data Vlaue (Cr)'!$C:$FB,79)</f>
        <v>1612</v>
      </c>
      <c r="O148" s="92">
        <f>VLOOKUP($A148,'Data Vlaue (Cr)'!$C:$FB,82)</f>
        <v>-0.2147</v>
      </c>
    </row>
    <row r="149" spans="1:15" x14ac:dyDescent="0.25">
      <c r="A149" s="97" t="str">
        <f>'Data Vlaue (Cr)'!C144</f>
        <v>NTPC</v>
      </c>
      <c r="B149" s="142">
        <f>VLOOKUP(A149,'Data Vlaue (Cr)'!C144:CW357,99,0)</f>
        <v>6232</v>
      </c>
      <c r="C149" s="90">
        <f>VLOOKUP(A149,'Data Vlaue (Cr)'!C144:CY357,101,0)</f>
        <v>33</v>
      </c>
      <c r="D149" s="139">
        <f>VLOOKUP(A149,'Data Vlaue (Cr)'!C144:CZ357,102,0)</f>
        <v>5.4000000000000003E-3</v>
      </c>
      <c r="E149" s="91">
        <f>VLOOKUP($A149,'Data Vlaue (Cr)'!$C:$FB,75)</f>
        <v>2915</v>
      </c>
      <c r="F149" s="91">
        <f>VLOOKUP($A149,'Data Vlaue (Cr)'!$C:$FB,77)</f>
        <v>47</v>
      </c>
      <c r="G149" s="92">
        <f>VLOOKUP(A149,'Data Vlaue (Cr)'!C144:CB357,78,0)</f>
        <v>1.6400000000000001E-2</v>
      </c>
      <c r="H149" s="91">
        <f>VLOOKUP($A149,'Data Vlaue (Cr)'!$C:$FB,91)</f>
        <v>2319</v>
      </c>
      <c r="I149" s="91">
        <f>VLOOKUP($A149,'Data Vlaue (Cr)'!$C:$FB,93)</f>
        <v>-66</v>
      </c>
      <c r="J149" s="92">
        <f>VLOOKUP($A149,'Data Vlaue (Cr)'!$C:$FB,94)</f>
        <v>-2.7799999999999998E-2</v>
      </c>
      <c r="K149" s="91">
        <f>VLOOKUP($A149,'Data Vlaue (Cr)'!$C:$FB,95)</f>
        <v>997</v>
      </c>
      <c r="L149" s="91">
        <f>VLOOKUP($A149,'Data Vlaue (Cr)'!$C:$FB,97)</f>
        <v>52</v>
      </c>
      <c r="M149" s="92">
        <f>VLOOKUP($A149,'Data Vlaue (Cr)'!$C:$FB,98)</f>
        <v>5.5399999999999998E-2</v>
      </c>
      <c r="N149" s="91">
        <f>VLOOKUP($A149,'Data Vlaue (Cr)'!$C:$FB,79)</f>
        <v>1229</v>
      </c>
      <c r="O149" s="92">
        <f>VLOOKUP($A149,'Data Vlaue (Cr)'!$C:$FB,82)</f>
        <v>-0.36649999999999999</v>
      </c>
    </row>
    <row r="150" spans="1:15" x14ac:dyDescent="0.25">
      <c r="A150" s="97" t="str">
        <f>'Data Vlaue (Cr)'!C145</f>
        <v>NUVAMA</v>
      </c>
      <c r="B150" s="142">
        <f>VLOOKUP(A150,'Data Vlaue (Cr)'!C145:CW358,99,0)</f>
        <v>662</v>
      </c>
      <c r="C150" s="90">
        <f>VLOOKUP(A150,'Data Vlaue (Cr)'!C145:CY358,101,0)</f>
        <v>-12</v>
      </c>
      <c r="D150" s="139">
        <f>VLOOKUP(A150,'Data Vlaue (Cr)'!C145:CZ358,102,0)</f>
        <v>-1.83E-2</v>
      </c>
      <c r="E150" s="91">
        <f>VLOOKUP($A150,'Data Vlaue (Cr)'!$C:$FB,75)</f>
        <v>372</v>
      </c>
      <c r="F150" s="91">
        <f>VLOOKUP($A150,'Data Vlaue (Cr)'!$C:$FB,77)</f>
        <v>13</v>
      </c>
      <c r="G150" s="92">
        <f>VLOOKUP(A150,'Data Vlaue (Cr)'!C145:CB358,78,0)</f>
        <v>3.7100000000000001E-2</v>
      </c>
      <c r="H150" s="91">
        <f>VLOOKUP($A150,'Data Vlaue (Cr)'!$C:$FB,91)</f>
        <v>205</v>
      </c>
      <c r="I150" s="91">
        <f>VLOOKUP($A150,'Data Vlaue (Cr)'!$C:$FB,93)</f>
        <v>-22</v>
      </c>
      <c r="J150" s="92">
        <f>VLOOKUP($A150,'Data Vlaue (Cr)'!$C:$FB,94)</f>
        <v>-9.8199999999999996E-2</v>
      </c>
      <c r="K150" s="91">
        <f>VLOOKUP($A150,'Data Vlaue (Cr)'!$C:$FB,95)</f>
        <v>85</v>
      </c>
      <c r="L150" s="91">
        <f>VLOOKUP($A150,'Data Vlaue (Cr)'!$C:$FB,97)</f>
        <v>-3</v>
      </c>
      <c r="M150" s="92">
        <f>VLOOKUP($A150,'Data Vlaue (Cr)'!$C:$FB,98)</f>
        <v>-3.6900000000000002E-2</v>
      </c>
      <c r="N150" s="91">
        <f>VLOOKUP($A150,'Data Vlaue (Cr)'!$C:$FB,79)</f>
        <v>202</v>
      </c>
      <c r="O150" s="92">
        <f>VLOOKUP($A150,'Data Vlaue (Cr)'!$C:$FB,82)</f>
        <v>-0.27039999999999997</v>
      </c>
    </row>
    <row r="151" spans="1:15" x14ac:dyDescent="0.25">
      <c r="A151" s="97" t="str">
        <f>'Data Vlaue (Cr)'!C146</f>
        <v>NYKAA</v>
      </c>
      <c r="B151" s="142">
        <f>VLOOKUP(A151,'Data Vlaue (Cr)'!C146:CW359,99,0)</f>
        <v>1845</v>
      </c>
      <c r="C151" s="90">
        <f>VLOOKUP(A151,'Data Vlaue (Cr)'!C146:CY359,101,0)</f>
        <v>43</v>
      </c>
      <c r="D151" s="139">
        <f>VLOOKUP(A151,'Data Vlaue (Cr)'!C146:CZ359,102,0)</f>
        <v>2.3900000000000001E-2</v>
      </c>
      <c r="E151" s="91">
        <f>VLOOKUP($A151,'Data Vlaue (Cr)'!$C:$FB,75)</f>
        <v>1155</v>
      </c>
      <c r="F151" s="91">
        <f>VLOOKUP($A151,'Data Vlaue (Cr)'!$C:$FB,77)</f>
        <v>47</v>
      </c>
      <c r="G151" s="92">
        <f>VLOOKUP(A151,'Data Vlaue (Cr)'!C146:CB359,78,0)</f>
        <v>4.2299999999999997E-2</v>
      </c>
      <c r="H151" s="91">
        <f>VLOOKUP($A151,'Data Vlaue (Cr)'!$C:$FB,91)</f>
        <v>411</v>
      </c>
      <c r="I151" s="91">
        <f>VLOOKUP($A151,'Data Vlaue (Cr)'!$C:$FB,93)</f>
        <v>-13</v>
      </c>
      <c r="J151" s="92">
        <f>VLOOKUP($A151,'Data Vlaue (Cr)'!$C:$FB,94)</f>
        <v>-3.0300000000000001E-2</v>
      </c>
      <c r="K151" s="91">
        <f>VLOOKUP($A151,'Data Vlaue (Cr)'!$C:$FB,95)</f>
        <v>280</v>
      </c>
      <c r="L151" s="91">
        <f>VLOOKUP($A151,'Data Vlaue (Cr)'!$C:$FB,97)</f>
        <v>9</v>
      </c>
      <c r="M151" s="92">
        <f>VLOOKUP($A151,'Data Vlaue (Cr)'!$C:$FB,98)</f>
        <v>3.2899999999999999E-2</v>
      </c>
      <c r="N151" s="91">
        <f>VLOOKUP($A151,'Data Vlaue (Cr)'!$C:$FB,79)</f>
        <v>571</v>
      </c>
      <c r="O151" s="92">
        <f>VLOOKUP($A151,'Data Vlaue (Cr)'!$C:$FB,82)</f>
        <v>-0.34449999999999997</v>
      </c>
    </row>
    <row r="152" spans="1:15" x14ac:dyDescent="0.25">
      <c r="A152" s="97" t="str">
        <f>'Data Vlaue (Cr)'!C147</f>
        <v>OBEROIRLTY</v>
      </c>
      <c r="B152" s="142">
        <f>VLOOKUP(A152,'Data Vlaue (Cr)'!C147:CW360,99,0)</f>
        <v>1501</v>
      </c>
      <c r="C152" s="90">
        <f>VLOOKUP(A152,'Data Vlaue (Cr)'!C147:CY360,101,0)</f>
        <v>-122</v>
      </c>
      <c r="D152" s="139">
        <f>VLOOKUP(A152,'Data Vlaue (Cr)'!C147:CZ360,102,0)</f>
        <v>-7.51E-2</v>
      </c>
      <c r="E152" s="91">
        <f>VLOOKUP($A152,'Data Vlaue (Cr)'!$C:$FB,75)</f>
        <v>889</v>
      </c>
      <c r="F152" s="91">
        <f>VLOOKUP($A152,'Data Vlaue (Cr)'!$C:$FB,77)</f>
        <v>-58</v>
      </c>
      <c r="G152" s="92">
        <f>VLOOKUP(A152,'Data Vlaue (Cr)'!C147:CB360,78,0)</f>
        <v>-6.1400000000000003E-2</v>
      </c>
      <c r="H152" s="91">
        <f>VLOOKUP($A152,'Data Vlaue (Cr)'!$C:$FB,91)</f>
        <v>401</v>
      </c>
      <c r="I152" s="91">
        <f>VLOOKUP($A152,'Data Vlaue (Cr)'!$C:$FB,93)</f>
        <v>-46</v>
      </c>
      <c r="J152" s="92">
        <f>VLOOKUP($A152,'Data Vlaue (Cr)'!$C:$FB,94)</f>
        <v>-0.1028</v>
      </c>
      <c r="K152" s="91">
        <f>VLOOKUP($A152,'Data Vlaue (Cr)'!$C:$FB,95)</f>
        <v>211</v>
      </c>
      <c r="L152" s="91">
        <f>VLOOKUP($A152,'Data Vlaue (Cr)'!$C:$FB,97)</f>
        <v>-18</v>
      </c>
      <c r="M152" s="92">
        <f>VLOOKUP($A152,'Data Vlaue (Cr)'!$C:$FB,98)</f>
        <v>-7.8100000000000003E-2</v>
      </c>
      <c r="N152" s="91">
        <f>VLOOKUP($A152,'Data Vlaue (Cr)'!$C:$FB,79)</f>
        <v>337</v>
      </c>
      <c r="O152" s="92">
        <f>VLOOKUP($A152,'Data Vlaue (Cr)'!$C:$FB,82)</f>
        <v>-0.39069999999999999</v>
      </c>
    </row>
    <row r="153" spans="1:15" x14ac:dyDescent="0.25">
      <c r="A153" s="97" t="str">
        <f>'Data Vlaue (Cr)'!C148</f>
        <v>OFSS</v>
      </c>
      <c r="B153" s="142">
        <f>VLOOKUP(A153,'Data Vlaue (Cr)'!C148:CW361,99,0)</f>
        <v>1950</v>
      </c>
      <c r="C153" s="90">
        <f>VLOOKUP(A153,'Data Vlaue (Cr)'!C148:CY361,101,0)</f>
        <v>-404</v>
      </c>
      <c r="D153" s="139">
        <f>VLOOKUP(A153,'Data Vlaue (Cr)'!C148:CZ361,102,0)</f>
        <v>-0.17169999999999999</v>
      </c>
      <c r="E153" s="91">
        <f>VLOOKUP($A153,'Data Vlaue (Cr)'!$C:$FB,75)</f>
        <v>1170</v>
      </c>
      <c r="F153" s="91">
        <f>VLOOKUP($A153,'Data Vlaue (Cr)'!$C:$FB,77)</f>
        <v>-259</v>
      </c>
      <c r="G153" s="92">
        <f>VLOOKUP(A153,'Data Vlaue (Cr)'!C148:CB361,78,0)</f>
        <v>-0.18149999999999999</v>
      </c>
      <c r="H153" s="91">
        <f>VLOOKUP($A153,'Data Vlaue (Cr)'!$C:$FB,91)</f>
        <v>437</v>
      </c>
      <c r="I153" s="91">
        <f>VLOOKUP($A153,'Data Vlaue (Cr)'!$C:$FB,93)</f>
        <v>-77</v>
      </c>
      <c r="J153" s="92">
        <f>VLOOKUP($A153,'Data Vlaue (Cr)'!$C:$FB,94)</f>
        <v>-0.14929999999999999</v>
      </c>
      <c r="K153" s="91">
        <f>VLOOKUP($A153,'Data Vlaue (Cr)'!$C:$FB,95)</f>
        <v>343</v>
      </c>
      <c r="L153" s="91">
        <f>VLOOKUP($A153,'Data Vlaue (Cr)'!$C:$FB,97)</f>
        <v>-68</v>
      </c>
      <c r="M153" s="92">
        <f>VLOOKUP($A153,'Data Vlaue (Cr)'!$C:$FB,98)</f>
        <v>-0.16550000000000001</v>
      </c>
      <c r="N153" s="91">
        <f>VLOOKUP($A153,'Data Vlaue (Cr)'!$C:$FB,79)</f>
        <v>453</v>
      </c>
      <c r="O153" s="92">
        <f>VLOOKUP($A153,'Data Vlaue (Cr)'!$C:$FB,82)</f>
        <v>-0.4516</v>
      </c>
    </row>
    <row r="154" spans="1:15" x14ac:dyDescent="0.25">
      <c r="A154" s="97" t="str">
        <f>'Data Vlaue (Cr)'!C149</f>
        <v>OIL</v>
      </c>
      <c r="B154" s="142">
        <f>VLOOKUP(A154,'Data Vlaue (Cr)'!C149:CW362,99,0)</f>
        <v>1234</v>
      </c>
      <c r="C154" s="90">
        <f>VLOOKUP(A154,'Data Vlaue (Cr)'!C149:CY362,101,0)</f>
        <v>-65</v>
      </c>
      <c r="D154" s="139">
        <f>VLOOKUP(A154,'Data Vlaue (Cr)'!C149:CZ362,102,0)</f>
        <v>-5.0299999999999997E-2</v>
      </c>
      <c r="E154" s="91">
        <f>VLOOKUP($A154,'Data Vlaue (Cr)'!$C:$FB,75)</f>
        <v>622</v>
      </c>
      <c r="F154" s="91">
        <f>VLOOKUP($A154,'Data Vlaue (Cr)'!$C:$FB,77)</f>
        <v>-42</v>
      </c>
      <c r="G154" s="92">
        <f>VLOOKUP(A154,'Data Vlaue (Cr)'!C149:CB362,78,0)</f>
        <v>-6.3899999999999998E-2</v>
      </c>
      <c r="H154" s="91">
        <f>VLOOKUP($A154,'Data Vlaue (Cr)'!$C:$FB,91)</f>
        <v>373</v>
      </c>
      <c r="I154" s="91">
        <f>VLOOKUP($A154,'Data Vlaue (Cr)'!$C:$FB,93)</f>
        <v>-21</v>
      </c>
      <c r="J154" s="92">
        <f>VLOOKUP($A154,'Data Vlaue (Cr)'!$C:$FB,94)</f>
        <v>-5.3600000000000002E-2</v>
      </c>
      <c r="K154" s="91">
        <f>VLOOKUP($A154,'Data Vlaue (Cr)'!$C:$FB,95)</f>
        <v>239</v>
      </c>
      <c r="L154" s="91">
        <f>VLOOKUP($A154,'Data Vlaue (Cr)'!$C:$FB,97)</f>
        <v>-2</v>
      </c>
      <c r="M154" s="92">
        <f>VLOOKUP($A154,'Data Vlaue (Cr)'!$C:$FB,98)</f>
        <v>-7.4000000000000003E-3</v>
      </c>
      <c r="N154" s="91">
        <f>VLOOKUP($A154,'Data Vlaue (Cr)'!$C:$FB,79)</f>
        <v>144</v>
      </c>
      <c r="O154" s="92">
        <f>VLOOKUP($A154,'Data Vlaue (Cr)'!$C:$FB,82)</f>
        <v>-0.63360000000000005</v>
      </c>
    </row>
    <row r="155" spans="1:15" x14ac:dyDescent="0.25">
      <c r="A155" s="97" t="str">
        <f>'Data Vlaue (Cr)'!C150</f>
        <v>ONGC</v>
      </c>
      <c r="B155" s="142">
        <f>VLOOKUP(A155,'Data Vlaue (Cr)'!C150:CW363,99,0)</f>
        <v>6368</v>
      </c>
      <c r="C155" s="90">
        <f>VLOOKUP(A155,'Data Vlaue (Cr)'!C150:CY363,101,0)</f>
        <v>36</v>
      </c>
      <c r="D155" s="139">
        <f>VLOOKUP(A155,'Data Vlaue (Cr)'!C150:CZ363,102,0)</f>
        <v>5.7000000000000002E-3</v>
      </c>
      <c r="E155" s="91">
        <f>VLOOKUP($A155,'Data Vlaue (Cr)'!$C:$FB,75)</f>
        <v>2800</v>
      </c>
      <c r="F155" s="91">
        <f>VLOOKUP($A155,'Data Vlaue (Cr)'!$C:$FB,77)</f>
        <v>69</v>
      </c>
      <c r="G155" s="92">
        <f>VLOOKUP(A155,'Data Vlaue (Cr)'!C150:CB363,78,0)</f>
        <v>2.5399999999999999E-2</v>
      </c>
      <c r="H155" s="91">
        <f>VLOOKUP($A155,'Data Vlaue (Cr)'!$C:$FB,91)</f>
        <v>2460</v>
      </c>
      <c r="I155" s="91">
        <f>VLOOKUP($A155,'Data Vlaue (Cr)'!$C:$FB,93)</f>
        <v>-47</v>
      </c>
      <c r="J155" s="92">
        <f>VLOOKUP($A155,'Data Vlaue (Cr)'!$C:$FB,94)</f>
        <v>-1.8800000000000001E-2</v>
      </c>
      <c r="K155" s="91">
        <f>VLOOKUP($A155,'Data Vlaue (Cr)'!$C:$FB,95)</f>
        <v>1109</v>
      </c>
      <c r="L155" s="91">
        <f>VLOOKUP($A155,'Data Vlaue (Cr)'!$C:$FB,97)</f>
        <v>14</v>
      </c>
      <c r="M155" s="92">
        <f>VLOOKUP($A155,'Data Vlaue (Cr)'!$C:$FB,98)</f>
        <v>1.29E-2</v>
      </c>
      <c r="N155" s="91">
        <f>VLOOKUP($A155,'Data Vlaue (Cr)'!$C:$FB,79)</f>
        <v>1868</v>
      </c>
      <c r="O155" s="92">
        <f>VLOOKUP($A155,'Data Vlaue (Cr)'!$C:$FB,82)</f>
        <v>-0.17119999999999999</v>
      </c>
    </row>
    <row r="156" spans="1:15" x14ac:dyDescent="0.25">
      <c r="A156" s="97" t="str">
        <f>'Data Vlaue (Cr)'!C151</f>
        <v>PAGEIND</v>
      </c>
      <c r="B156" s="142">
        <f>VLOOKUP(A156,'Data Vlaue (Cr)'!C151:CW364,99,0)</f>
        <v>1556</v>
      </c>
      <c r="C156" s="90">
        <f>VLOOKUP(A156,'Data Vlaue (Cr)'!C151:CY364,101,0)</f>
        <v>68</v>
      </c>
      <c r="D156" s="139">
        <f>VLOOKUP(A156,'Data Vlaue (Cr)'!C151:CZ364,102,0)</f>
        <v>4.5499999999999999E-2</v>
      </c>
      <c r="E156" s="91">
        <f>VLOOKUP($A156,'Data Vlaue (Cr)'!$C:$FB,75)</f>
        <v>973</v>
      </c>
      <c r="F156" s="91">
        <f>VLOOKUP($A156,'Data Vlaue (Cr)'!$C:$FB,77)</f>
        <v>48</v>
      </c>
      <c r="G156" s="92">
        <f>VLOOKUP(A156,'Data Vlaue (Cr)'!C151:CB364,78,0)</f>
        <v>5.1900000000000002E-2</v>
      </c>
      <c r="H156" s="91">
        <f>VLOOKUP($A156,'Data Vlaue (Cr)'!$C:$FB,91)</f>
        <v>397</v>
      </c>
      <c r="I156" s="91">
        <f>VLOOKUP($A156,'Data Vlaue (Cr)'!$C:$FB,93)</f>
        <v>20</v>
      </c>
      <c r="J156" s="92">
        <f>VLOOKUP($A156,'Data Vlaue (Cr)'!$C:$FB,94)</f>
        <v>5.33E-2</v>
      </c>
      <c r="K156" s="91">
        <f>VLOOKUP($A156,'Data Vlaue (Cr)'!$C:$FB,95)</f>
        <v>186</v>
      </c>
      <c r="L156" s="91">
        <f>VLOOKUP($A156,'Data Vlaue (Cr)'!$C:$FB,97)</f>
        <v>0</v>
      </c>
      <c r="M156" s="92">
        <f>VLOOKUP($A156,'Data Vlaue (Cr)'!$C:$FB,98)</f>
        <v>-2.0999999999999999E-3</v>
      </c>
      <c r="N156" s="91">
        <f>VLOOKUP($A156,'Data Vlaue (Cr)'!$C:$FB,79)</f>
        <v>269</v>
      </c>
      <c r="O156" s="92">
        <f>VLOOKUP($A156,'Data Vlaue (Cr)'!$C:$FB,82)</f>
        <v>-0.499</v>
      </c>
    </row>
    <row r="157" spans="1:15" x14ac:dyDescent="0.25">
      <c r="A157" s="97" t="str">
        <f>'Data Vlaue (Cr)'!C152</f>
        <v>PATANJALI</v>
      </c>
      <c r="B157" s="142">
        <f>VLOOKUP(A157,'Data Vlaue (Cr)'!C152:CW365,99,0)</f>
        <v>2479</v>
      </c>
      <c r="C157" s="90">
        <f>VLOOKUP(A157,'Data Vlaue (Cr)'!C152:CY365,101,0)</f>
        <v>-71</v>
      </c>
      <c r="D157" s="139">
        <f>VLOOKUP(A157,'Data Vlaue (Cr)'!C152:CZ365,102,0)</f>
        <v>-2.8000000000000001E-2</v>
      </c>
      <c r="E157" s="91">
        <f>VLOOKUP($A157,'Data Vlaue (Cr)'!$C:$FB,75)</f>
        <v>1974</v>
      </c>
      <c r="F157" s="91">
        <f>VLOOKUP($A157,'Data Vlaue (Cr)'!$C:$FB,77)</f>
        <v>-9</v>
      </c>
      <c r="G157" s="92">
        <f>VLOOKUP(A157,'Data Vlaue (Cr)'!C152:CB365,78,0)</f>
        <v>-4.5999999999999999E-3</v>
      </c>
      <c r="H157" s="91">
        <f>VLOOKUP($A157,'Data Vlaue (Cr)'!$C:$FB,91)</f>
        <v>344</v>
      </c>
      <c r="I157" s="91">
        <f>VLOOKUP($A157,'Data Vlaue (Cr)'!$C:$FB,93)</f>
        <v>-47</v>
      </c>
      <c r="J157" s="92">
        <f>VLOOKUP($A157,'Data Vlaue (Cr)'!$C:$FB,94)</f>
        <v>-0.1203</v>
      </c>
      <c r="K157" s="91">
        <f>VLOOKUP($A157,'Data Vlaue (Cr)'!$C:$FB,95)</f>
        <v>162</v>
      </c>
      <c r="L157" s="91">
        <f>VLOOKUP($A157,'Data Vlaue (Cr)'!$C:$FB,97)</f>
        <v>-15</v>
      </c>
      <c r="M157" s="92">
        <f>VLOOKUP($A157,'Data Vlaue (Cr)'!$C:$FB,98)</f>
        <v>-8.5999999999999993E-2</v>
      </c>
      <c r="N157" s="91">
        <f>VLOOKUP($A157,'Data Vlaue (Cr)'!$C:$FB,79)</f>
        <v>423</v>
      </c>
      <c r="O157" s="92">
        <f>VLOOKUP($A157,'Data Vlaue (Cr)'!$C:$FB,82)</f>
        <v>-0.49530000000000002</v>
      </c>
    </row>
    <row r="158" spans="1:15" x14ac:dyDescent="0.25">
      <c r="A158" s="97" t="str">
        <f>'Data Vlaue (Cr)'!C153</f>
        <v>PAYTM</v>
      </c>
      <c r="B158" s="142">
        <f>VLOOKUP(A158,'Data Vlaue (Cr)'!C153:CW366,99,0)</f>
        <v>3429</v>
      </c>
      <c r="C158" s="90">
        <f>VLOOKUP(A158,'Data Vlaue (Cr)'!C153:CY366,101,0)</f>
        <v>-152</v>
      </c>
      <c r="D158" s="139">
        <f>VLOOKUP(A158,'Data Vlaue (Cr)'!C153:CZ366,102,0)</f>
        <v>-4.2599999999999999E-2</v>
      </c>
      <c r="E158" s="91">
        <f>VLOOKUP($A158,'Data Vlaue (Cr)'!$C:$FB,75)</f>
        <v>2139</v>
      </c>
      <c r="F158" s="91">
        <f>VLOOKUP($A158,'Data Vlaue (Cr)'!$C:$FB,77)</f>
        <v>-61</v>
      </c>
      <c r="G158" s="92">
        <f>VLOOKUP(A158,'Data Vlaue (Cr)'!C153:CB366,78,0)</f>
        <v>-2.75E-2</v>
      </c>
      <c r="H158" s="91">
        <f>VLOOKUP($A158,'Data Vlaue (Cr)'!$C:$FB,91)</f>
        <v>743</v>
      </c>
      <c r="I158" s="91">
        <f>VLOOKUP($A158,'Data Vlaue (Cr)'!$C:$FB,93)</f>
        <v>-111</v>
      </c>
      <c r="J158" s="92">
        <f>VLOOKUP($A158,'Data Vlaue (Cr)'!$C:$FB,94)</f>
        <v>-0.12989999999999999</v>
      </c>
      <c r="K158" s="91">
        <f>VLOOKUP($A158,'Data Vlaue (Cr)'!$C:$FB,95)</f>
        <v>547</v>
      </c>
      <c r="L158" s="91">
        <f>VLOOKUP($A158,'Data Vlaue (Cr)'!$C:$FB,97)</f>
        <v>19</v>
      </c>
      <c r="M158" s="92">
        <f>VLOOKUP($A158,'Data Vlaue (Cr)'!$C:$FB,98)</f>
        <v>3.5999999999999997E-2</v>
      </c>
      <c r="N158" s="91">
        <f>VLOOKUP($A158,'Data Vlaue (Cr)'!$C:$FB,79)</f>
        <v>1135</v>
      </c>
      <c r="O158" s="92">
        <f>VLOOKUP($A158,'Data Vlaue (Cr)'!$C:$FB,82)</f>
        <v>-0.34399999999999997</v>
      </c>
    </row>
    <row r="159" spans="1:15" x14ac:dyDescent="0.25">
      <c r="A159" s="97" t="str">
        <f>'Data Vlaue (Cr)'!C154</f>
        <v>PERSISTENT</v>
      </c>
      <c r="B159" s="142">
        <f>VLOOKUP(A159,'Data Vlaue (Cr)'!C154:CW367,99,0)</f>
        <v>3051</v>
      </c>
      <c r="C159" s="90">
        <f>VLOOKUP(A159,'Data Vlaue (Cr)'!C154:CY367,101,0)</f>
        <v>-508</v>
      </c>
      <c r="D159" s="139">
        <f>VLOOKUP(A159,'Data Vlaue (Cr)'!C154:CZ367,102,0)</f>
        <v>-0.14280000000000001</v>
      </c>
      <c r="E159" s="91">
        <f>VLOOKUP($A159,'Data Vlaue (Cr)'!$C:$FB,75)</f>
        <v>1755</v>
      </c>
      <c r="F159" s="91">
        <f>VLOOKUP($A159,'Data Vlaue (Cr)'!$C:$FB,77)</f>
        <v>-124</v>
      </c>
      <c r="G159" s="92">
        <f>VLOOKUP(A159,'Data Vlaue (Cr)'!C154:CB367,78,0)</f>
        <v>-6.6000000000000003E-2</v>
      </c>
      <c r="H159" s="91">
        <f>VLOOKUP($A159,'Data Vlaue (Cr)'!$C:$FB,91)</f>
        <v>708</v>
      </c>
      <c r="I159" s="91">
        <f>VLOOKUP($A159,'Data Vlaue (Cr)'!$C:$FB,93)</f>
        <v>-255</v>
      </c>
      <c r="J159" s="92">
        <f>VLOOKUP($A159,'Data Vlaue (Cr)'!$C:$FB,94)</f>
        <v>-0.2646</v>
      </c>
      <c r="K159" s="91">
        <f>VLOOKUP($A159,'Data Vlaue (Cr)'!$C:$FB,95)</f>
        <v>588</v>
      </c>
      <c r="L159" s="91">
        <f>VLOOKUP($A159,'Data Vlaue (Cr)'!$C:$FB,97)</f>
        <v>-129</v>
      </c>
      <c r="M159" s="92">
        <f>VLOOKUP($A159,'Data Vlaue (Cr)'!$C:$FB,98)</f>
        <v>-0.18049999999999999</v>
      </c>
      <c r="N159" s="91">
        <f>VLOOKUP($A159,'Data Vlaue (Cr)'!$C:$FB,79)</f>
        <v>933</v>
      </c>
      <c r="O159" s="92">
        <f>VLOOKUP($A159,'Data Vlaue (Cr)'!$C:$FB,82)</f>
        <v>-0.29120000000000001</v>
      </c>
    </row>
    <row r="160" spans="1:15" x14ac:dyDescent="0.25">
      <c r="A160" s="97" t="str">
        <f>'Data Vlaue (Cr)'!C155</f>
        <v>PETRONET</v>
      </c>
      <c r="B160" s="142">
        <f>VLOOKUP(A160,'Data Vlaue (Cr)'!C155:CW368,99,0)</f>
        <v>1993</v>
      </c>
      <c r="C160" s="90">
        <f>VLOOKUP(A160,'Data Vlaue (Cr)'!C155:CY368,101,0)</f>
        <v>-11</v>
      </c>
      <c r="D160" s="139">
        <f>VLOOKUP(A160,'Data Vlaue (Cr)'!C155:CZ368,102,0)</f>
        <v>-5.4999999999999997E-3</v>
      </c>
      <c r="E160" s="91">
        <f>VLOOKUP($A160,'Data Vlaue (Cr)'!$C:$FB,75)</f>
        <v>1142</v>
      </c>
      <c r="F160" s="91">
        <f>VLOOKUP($A160,'Data Vlaue (Cr)'!$C:$FB,77)</f>
        <v>5</v>
      </c>
      <c r="G160" s="92">
        <f>VLOOKUP(A160,'Data Vlaue (Cr)'!C155:CB368,78,0)</f>
        <v>4.0000000000000001E-3</v>
      </c>
      <c r="H160" s="91">
        <f>VLOOKUP($A160,'Data Vlaue (Cr)'!$C:$FB,91)</f>
        <v>356</v>
      </c>
      <c r="I160" s="91">
        <f>VLOOKUP($A160,'Data Vlaue (Cr)'!$C:$FB,93)</f>
        <v>-16</v>
      </c>
      <c r="J160" s="92">
        <f>VLOOKUP($A160,'Data Vlaue (Cr)'!$C:$FB,94)</f>
        <v>-4.2799999999999998E-2</v>
      </c>
      <c r="K160" s="91">
        <f>VLOOKUP($A160,'Data Vlaue (Cr)'!$C:$FB,95)</f>
        <v>495</v>
      </c>
      <c r="L160" s="91">
        <f>VLOOKUP($A160,'Data Vlaue (Cr)'!$C:$FB,97)</f>
        <v>0</v>
      </c>
      <c r="M160" s="92">
        <f>VLOOKUP($A160,'Data Vlaue (Cr)'!$C:$FB,98)</f>
        <v>8.0000000000000004E-4</v>
      </c>
      <c r="N160" s="91">
        <f>VLOOKUP($A160,'Data Vlaue (Cr)'!$C:$FB,79)</f>
        <v>450</v>
      </c>
      <c r="O160" s="92">
        <f>VLOOKUP($A160,'Data Vlaue (Cr)'!$C:$FB,82)</f>
        <v>-0.38600000000000001</v>
      </c>
    </row>
    <row r="161" spans="1:15" x14ac:dyDescent="0.25">
      <c r="A161" s="97" t="str">
        <f>'Data Vlaue (Cr)'!C156</f>
        <v>PFC</v>
      </c>
      <c r="B161" s="142">
        <f>VLOOKUP(A161,'Data Vlaue (Cr)'!C156:CW369,99,0)</f>
        <v>4935</v>
      </c>
      <c r="C161" s="90">
        <f>VLOOKUP(A161,'Data Vlaue (Cr)'!C156:CY369,101,0)</f>
        <v>-151</v>
      </c>
      <c r="D161" s="139">
        <f>VLOOKUP(A161,'Data Vlaue (Cr)'!C156:CZ369,102,0)</f>
        <v>-2.9600000000000001E-2</v>
      </c>
      <c r="E161" s="91">
        <f>VLOOKUP($A161,'Data Vlaue (Cr)'!$C:$FB,75)</f>
        <v>2849</v>
      </c>
      <c r="F161" s="91">
        <f>VLOOKUP($A161,'Data Vlaue (Cr)'!$C:$FB,77)</f>
        <v>-38</v>
      </c>
      <c r="G161" s="92">
        <f>VLOOKUP(A161,'Data Vlaue (Cr)'!C156:CB369,78,0)</f>
        <v>-1.2999999999999999E-2</v>
      </c>
      <c r="H161" s="91">
        <f>VLOOKUP($A161,'Data Vlaue (Cr)'!$C:$FB,91)</f>
        <v>1191</v>
      </c>
      <c r="I161" s="91">
        <f>VLOOKUP($A161,'Data Vlaue (Cr)'!$C:$FB,93)</f>
        <v>-85</v>
      </c>
      <c r="J161" s="92">
        <f>VLOOKUP($A161,'Data Vlaue (Cr)'!$C:$FB,94)</f>
        <v>-6.6400000000000001E-2</v>
      </c>
      <c r="K161" s="91">
        <f>VLOOKUP($A161,'Data Vlaue (Cr)'!$C:$FB,95)</f>
        <v>895</v>
      </c>
      <c r="L161" s="91">
        <f>VLOOKUP($A161,'Data Vlaue (Cr)'!$C:$FB,97)</f>
        <v>-28</v>
      </c>
      <c r="M161" s="92">
        <f>VLOOKUP($A161,'Data Vlaue (Cr)'!$C:$FB,98)</f>
        <v>-3.09E-2</v>
      </c>
      <c r="N161" s="91">
        <f>VLOOKUP($A161,'Data Vlaue (Cr)'!$C:$FB,79)</f>
        <v>1503</v>
      </c>
      <c r="O161" s="92">
        <f>VLOOKUP($A161,'Data Vlaue (Cr)'!$C:$FB,82)</f>
        <v>-0.24940000000000001</v>
      </c>
    </row>
    <row r="162" spans="1:15" x14ac:dyDescent="0.25">
      <c r="A162" s="97" t="str">
        <f>'Data Vlaue (Cr)'!C157</f>
        <v>PGEL</v>
      </c>
      <c r="B162" s="142">
        <f>VLOOKUP(A162,'Data Vlaue (Cr)'!C157:CW370,99,0)</f>
        <v>1303</v>
      </c>
      <c r="C162" s="90">
        <f>VLOOKUP(A162,'Data Vlaue (Cr)'!C157:CY370,101,0)</f>
        <v>-116</v>
      </c>
      <c r="D162" s="139">
        <f>VLOOKUP(A162,'Data Vlaue (Cr)'!C157:CZ370,102,0)</f>
        <v>-8.1600000000000006E-2</v>
      </c>
      <c r="E162" s="91">
        <f>VLOOKUP($A162,'Data Vlaue (Cr)'!$C:$FB,75)</f>
        <v>672</v>
      </c>
      <c r="F162" s="91">
        <f>VLOOKUP($A162,'Data Vlaue (Cr)'!$C:$FB,77)</f>
        <v>-12</v>
      </c>
      <c r="G162" s="92">
        <f>VLOOKUP(A162,'Data Vlaue (Cr)'!C157:CB370,78,0)</f>
        <v>-1.8200000000000001E-2</v>
      </c>
      <c r="H162" s="91">
        <f>VLOOKUP($A162,'Data Vlaue (Cr)'!$C:$FB,91)</f>
        <v>415</v>
      </c>
      <c r="I162" s="91">
        <f>VLOOKUP($A162,'Data Vlaue (Cr)'!$C:$FB,93)</f>
        <v>-58</v>
      </c>
      <c r="J162" s="92">
        <f>VLOOKUP($A162,'Data Vlaue (Cr)'!$C:$FB,94)</f>
        <v>-0.12189999999999999</v>
      </c>
      <c r="K162" s="91">
        <f>VLOOKUP($A162,'Data Vlaue (Cr)'!$C:$FB,95)</f>
        <v>216</v>
      </c>
      <c r="L162" s="91">
        <f>VLOOKUP($A162,'Data Vlaue (Cr)'!$C:$FB,97)</f>
        <v>-46</v>
      </c>
      <c r="M162" s="92">
        <f>VLOOKUP($A162,'Data Vlaue (Cr)'!$C:$FB,98)</f>
        <v>-0.17430000000000001</v>
      </c>
      <c r="N162" s="91">
        <f>VLOOKUP($A162,'Data Vlaue (Cr)'!$C:$FB,79)</f>
        <v>312</v>
      </c>
      <c r="O162" s="92">
        <f>VLOOKUP($A162,'Data Vlaue (Cr)'!$C:$FB,82)</f>
        <v>-0.34189999999999998</v>
      </c>
    </row>
    <row r="163" spans="1:15" x14ac:dyDescent="0.25">
      <c r="A163" s="97" t="str">
        <f>'Data Vlaue (Cr)'!C158</f>
        <v>PHOENIXLTD</v>
      </c>
      <c r="B163" s="142">
        <f>VLOOKUP(A163,'Data Vlaue (Cr)'!C158:CW371,99,0)</f>
        <v>1052</v>
      </c>
      <c r="C163" s="90">
        <f>VLOOKUP(A163,'Data Vlaue (Cr)'!C158:CY371,101,0)</f>
        <v>-9</v>
      </c>
      <c r="D163" s="139">
        <f>VLOOKUP(A163,'Data Vlaue (Cr)'!C158:CZ371,102,0)</f>
        <v>-8.6999999999999994E-3</v>
      </c>
      <c r="E163" s="91">
        <f>VLOOKUP($A163,'Data Vlaue (Cr)'!$C:$FB,75)</f>
        <v>696</v>
      </c>
      <c r="F163" s="91">
        <f>VLOOKUP($A163,'Data Vlaue (Cr)'!$C:$FB,77)</f>
        <v>7</v>
      </c>
      <c r="G163" s="92">
        <f>VLOOKUP(A163,'Data Vlaue (Cr)'!C158:CB371,78,0)</f>
        <v>9.5999999999999992E-3</v>
      </c>
      <c r="H163" s="91">
        <f>VLOOKUP($A163,'Data Vlaue (Cr)'!$C:$FB,91)</f>
        <v>214</v>
      </c>
      <c r="I163" s="91">
        <f>VLOOKUP($A163,'Data Vlaue (Cr)'!$C:$FB,93)</f>
        <v>-10</v>
      </c>
      <c r="J163" s="92">
        <f>VLOOKUP($A163,'Data Vlaue (Cr)'!$C:$FB,94)</f>
        <v>-4.6399999999999997E-2</v>
      </c>
      <c r="K163" s="91">
        <f>VLOOKUP($A163,'Data Vlaue (Cr)'!$C:$FB,95)</f>
        <v>142</v>
      </c>
      <c r="L163" s="91">
        <f>VLOOKUP($A163,'Data Vlaue (Cr)'!$C:$FB,97)</f>
        <v>-5</v>
      </c>
      <c r="M163" s="92">
        <f>VLOOKUP($A163,'Data Vlaue (Cr)'!$C:$FB,98)</f>
        <v>-3.7100000000000001E-2</v>
      </c>
      <c r="N163" s="91">
        <f>VLOOKUP($A163,'Data Vlaue (Cr)'!$C:$FB,79)</f>
        <v>312</v>
      </c>
      <c r="O163" s="92">
        <f>VLOOKUP($A163,'Data Vlaue (Cr)'!$C:$FB,82)</f>
        <v>-0.35410000000000003</v>
      </c>
    </row>
    <row r="164" spans="1:15" x14ac:dyDescent="0.25">
      <c r="A164" s="97" t="str">
        <f>'Data Vlaue (Cr)'!C159</f>
        <v>PIDILITIND</v>
      </c>
      <c r="B164" s="142">
        <f>VLOOKUP(A164,'Data Vlaue (Cr)'!C159:CW372,99,0)</f>
        <v>1566</v>
      </c>
      <c r="C164" s="90">
        <f>VLOOKUP(A164,'Data Vlaue (Cr)'!C159:CY372,101,0)</f>
        <v>-13</v>
      </c>
      <c r="D164" s="139">
        <f>VLOOKUP(A164,'Data Vlaue (Cr)'!C159:CZ372,102,0)</f>
        <v>-8.5000000000000006E-3</v>
      </c>
      <c r="E164" s="91">
        <f>VLOOKUP($A164,'Data Vlaue (Cr)'!$C:$FB,75)</f>
        <v>1227</v>
      </c>
      <c r="F164" s="91">
        <f>VLOOKUP($A164,'Data Vlaue (Cr)'!$C:$FB,77)</f>
        <v>21</v>
      </c>
      <c r="G164" s="92">
        <f>VLOOKUP(A164,'Data Vlaue (Cr)'!C159:CB372,78,0)</f>
        <v>1.7399999999999999E-2</v>
      </c>
      <c r="H164" s="91">
        <f>VLOOKUP($A164,'Data Vlaue (Cr)'!$C:$FB,91)</f>
        <v>172</v>
      </c>
      <c r="I164" s="91">
        <f>VLOOKUP($A164,'Data Vlaue (Cr)'!$C:$FB,93)</f>
        <v>-21</v>
      </c>
      <c r="J164" s="92">
        <f>VLOOKUP($A164,'Data Vlaue (Cr)'!$C:$FB,94)</f>
        <v>-0.11020000000000001</v>
      </c>
      <c r="K164" s="91">
        <f>VLOOKUP($A164,'Data Vlaue (Cr)'!$C:$FB,95)</f>
        <v>167</v>
      </c>
      <c r="L164" s="91">
        <f>VLOOKUP($A164,'Data Vlaue (Cr)'!$C:$FB,97)</f>
        <v>-13</v>
      </c>
      <c r="M164" s="92">
        <f>VLOOKUP($A164,'Data Vlaue (Cr)'!$C:$FB,98)</f>
        <v>-7.2900000000000006E-2</v>
      </c>
      <c r="N164" s="91">
        <f>VLOOKUP($A164,'Data Vlaue (Cr)'!$C:$FB,79)</f>
        <v>465</v>
      </c>
      <c r="O164" s="92">
        <f>VLOOKUP($A164,'Data Vlaue (Cr)'!$C:$FB,82)</f>
        <v>-0.4718</v>
      </c>
    </row>
    <row r="165" spans="1:15" x14ac:dyDescent="0.25">
      <c r="A165" s="97" t="str">
        <f>'Data Vlaue (Cr)'!C160</f>
        <v>PIIND</v>
      </c>
      <c r="B165" s="142">
        <f>VLOOKUP(A165,'Data Vlaue (Cr)'!C160:CW373,99,0)</f>
        <v>1324</v>
      </c>
      <c r="C165" s="90">
        <f>VLOOKUP(A165,'Data Vlaue (Cr)'!C160:CY373,101,0)</f>
        <v>-62</v>
      </c>
      <c r="D165" s="139">
        <f>VLOOKUP(A165,'Data Vlaue (Cr)'!C160:CZ373,102,0)</f>
        <v>-4.48E-2</v>
      </c>
      <c r="E165" s="91">
        <f>VLOOKUP($A165,'Data Vlaue (Cr)'!$C:$FB,75)</f>
        <v>904</v>
      </c>
      <c r="F165" s="91">
        <f>VLOOKUP($A165,'Data Vlaue (Cr)'!$C:$FB,77)</f>
        <v>-22</v>
      </c>
      <c r="G165" s="92">
        <f>VLOOKUP(A165,'Data Vlaue (Cr)'!C160:CB373,78,0)</f>
        <v>-2.3800000000000002E-2</v>
      </c>
      <c r="H165" s="91">
        <f>VLOOKUP($A165,'Data Vlaue (Cr)'!$C:$FB,91)</f>
        <v>269</v>
      </c>
      <c r="I165" s="91">
        <f>VLOOKUP($A165,'Data Vlaue (Cr)'!$C:$FB,93)</f>
        <v>-26</v>
      </c>
      <c r="J165" s="92">
        <f>VLOOKUP($A165,'Data Vlaue (Cr)'!$C:$FB,94)</f>
        <v>-8.8900000000000007E-2</v>
      </c>
      <c r="K165" s="91">
        <f>VLOOKUP($A165,'Data Vlaue (Cr)'!$C:$FB,95)</f>
        <v>151</v>
      </c>
      <c r="L165" s="91">
        <f>VLOOKUP($A165,'Data Vlaue (Cr)'!$C:$FB,97)</f>
        <v>-14</v>
      </c>
      <c r="M165" s="92">
        <f>VLOOKUP($A165,'Data Vlaue (Cr)'!$C:$FB,98)</f>
        <v>-8.3299999999999999E-2</v>
      </c>
      <c r="N165" s="91">
        <f>VLOOKUP($A165,'Data Vlaue (Cr)'!$C:$FB,79)</f>
        <v>290</v>
      </c>
      <c r="O165" s="92">
        <f>VLOOKUP($A165,'Data Vlaue (Cr)'!$C:$FB,82)</f>
        <v>-0.49370000000000003</v>
      </c>
    </row>
    <row r="166" spans="1:15" x14ac:dyDescent="0.25">
      <c r="A166" s="97" t="str">
        <f>'Data Vlaue (Cr)'!C161</f>
        <v>PNB</v>
      </c>
      <c r="B166" s="142">
        <f>VLOOKUP(A166,'Data Vlaue (Cr)'!C161:CW374,99,0)</f>
        <v>6011</v>
      </c>
      <c r="C166" s="90">
        <f>VLOOKUP(A166,'Data Vlaue (Cr)'!C161:CY374,101,0)</f>
        <v>-173</v>
      </c>
      <c r="D166" s="139">
        <f>VLOOKUP(A166,'Data Vlaue (Cr)'!C161:CZ374,102,0)</f>
        <v>-2.7900000000000001E-2</v>
      </c>
      <c r="E166" s="91">
        <f>VLOOKUP($A166,'Data Vlaue (Cr)'!$C:$FB,75)</f>
        <v>3039</v>
      </c>
      <c r="F166" s="91">
        <f>VLOOKUP($A166,'Data Vlaue (Cr)'!$C:$FB,77)</f>
        <v>20</v>
      </c>
      <c r="G166" s="92">
        <f>VLOOKUP(A166,'Data Vlaue (Cr)'!C161:CB374,78,0)</f>
        <v>6.6E-3</v>
      </c>
      <c r="H166" s="91">
        <f>VLOOKUP($A166,'Data Vlaue (Cr)'!$C:$FB,91)</f>
        <v>1827</v>
      </c>
      <c r="I166" s="91">
        <f>VLOOKUP($A166,'Data Vlaue (Cr)'!$C:$FB,93)</f>
        <v>-169</v>
      </c>
      <c r="J166" s="92">
        <f>VLOOKUP($A166,'Data Vlaue (Cr)'!$C:$FB,94)</f>
        <v>-8.4599999999999995E-2</v>
      </c>
      <c r="K166" s="91">
        <f>VLOOKUP($A166,'Data Vlaue (Cr)'!$C:$FB,95)</f>
        <v>1145</v>
      </c>
      <c r="L166" s="91">
        <f>VLOOKUP($A166,'Data Vlaue (Cr)'!$C:$FB,97)</f>
        <v>-24</v>
      </c>
      <c r="M166" s="92">
        <f>VLOOKUP($A166,'Data Vlaue (Cr)'!$C:$FB,98)</f>
        <v>-2.0500000000000001E-2</v>
      </c>
      <c r="N166" s="91">
        <f>VLOOKUP($A166,'Data Vlaue (Cr)'!$C:$FB,79)</f>
        <v>1366</v>
      </c>
      <c r="O166" s="92">
        <f>VLOOKUP($A166,'Data Vlaue (Cr)'!$C:$FB,82)</f>
        <v>-0.30590000000000001</v>
      </c>
    </row>
    <row r="167" spans="1:15" x14ac:dyDescent="0.25">
      <c r="A167" s="97" t="str">
        <f>'Data Vlaue (Cr)'!C162</f>
        <v>PNBHOUSING</v>
      </c>
      <c r="B167" s="142">
        <f>VLOOKUP(A167,'Data Vlaue (Cr)'!C162:CW375,99,0)</f>
        <v>2129</v>
      </c>
      <c r="C167" s="90">
        <f>VLOOKUP(A167,'Data Vlaue (Cr)'!C162:CY375,101,0)</f>
        <v>489</v>
      </c>
      <c r="D167" s="139">
        <f>VLOOKUP(A167,'Data Vlaue (Cr)'!C162:CZ375,102,0)</f>
        <v>0.2979</v>
      </c>
      <c r="E167" s="91">
        <f>VLOOKUP($A167,'Data Vlaue (Cr)'!$C:$FB,75)</f>
        <v>1306</v>
      </c>
      <c r="F167" s="91">
        <f>VLOOKUP($A167,'Data Vlaue (Cr)'!$C:$FB,77)</f>
        <v>138</v>
      </c>
      <c r="G167" s="92">
        <f>VLOOKUP(A167,'Data Vlaue (Cr)'!C162:CB375,78,0)</f>
        <v>0.1179</v>
      </c>
      <c r="H167" s="91">
        <f>VLOOKUP($A167,'Data Vlaue (Cr)'!$C:$FB,91)</f>
        <v>484</v>
      </c>
      <c r="I167" s="91">
        <f>VLOOKUP($A167,'Data Vlaue (Cr)'!$C:$FB,93)</f>
        <v>214</v>
      </c>
      <c r="J167" s="92">
        <f>VLOOKUP($A167,'Data Vlaue (Cr)'!$C:$FB,94)</f>
        <v>0.79269999999999996</v>
      </c>
      <c r="K167" s="91">
        <f>VLOOKUP($A167,'Data Vlaue (Cr)'!$C:$FB,95)</f>
        <v>339</v>
      </c>
      <c r="L167" s="91">
        <f>VLOOKUP($A167,'Data Vlaue (Cr)'!$C:$FB,97)</f>
        <v>137</v>
      </c>
      <c r="M167" s="92">
        <f>VLOOKUP($A167,'Data Vlaue (Cr)'!$C:$FB,98)</f>
        <v>0.67859999999999998</v>
      </c>
      <c r="N167" s="91">
        <f>VLOOKUP($A167,'Data Vlaue (Cr)'!$C:$FB,79)</f>
        <v>640</v>
      </c>
      <c r="O167" s="92">
        <f>VLOOKUP($A167,'Data Vlaue (Cr)'!$C:$FB,82)</f>
        <v>-0.3367</v>
      </c>
    </row>
    <row r="168" spans="1:15" x14ac:dyDescent="0.25">
      <c r="A168" s="97" t="str">
        <f>'Data Vlaue (Cr)'!C163</f>
        <v>POLICYBZR</v>
      </c>
      <c r="B168" s="142">
        <f>VLOOKUP(A168,'Data Vlaue (Cr)'!C163:CW376,99,0)</f>
        <v>1872</v>
      </c>
      <c r="C168" s="90">
        <f>VLOOKUP(A168,'Data Vlaue (Cr)'!C163:CY376,101,0)</f>
        <v>-106</v>
      </c>
      <c r="D168" s="139">
        <f>VLOOKUP(A168,'Data Vlaue (Cr)'!C163:CZ376,102,0)</f>
        <v>-5.3499999999999999E-2</v>
      </c>
      <c r="E168" s="91">
        <f>VLOOKUP($A168,'Data Vlaue (Cr)'!$C:$FB,75)</f>
        <v>1276</v>
      </c>
      <c r="F168" s="91">
        <f>VLOOKUP($A168,'Data Vlaue (Cr)'!$C:$FB,77)</f>
        <v>24</v>
      </c>
      <c r="G168" s="92">
        <f>VLOOKUP(A168,'Data Vlaue (Cr)'!C163:CB376,78,0)</f>
        <v>1.89E-2</v>
      </c>
      <c r="H168" s="91">
        <f>VLOOKUP($A168,'Data Vlaue (Cr)'!$C:$FB,91)</f>
        <v>369</v>
      </c>
      <c r="I168" s="91">
        <f>VLOOKUP($A168,'Data Vlaue (Cr)'!$C:$FB,93)</f>
        <v>-101</v>
      </c>
      <c r="J168" s="92">
        <f>VLOOKUP($A168,'Data Vlaue (Cr)'!$C:$FB,94)</f>
        <v>-0.2147</v>
      </c>
      <c r="K168" s="91">
        <f>VLOOKUP($A168,'Data Vlaue (Cr)'!$C:$FB,95)</f>
        <v>227</v>
      </c>
      <c r="L168" s="91">
        <f>VLOOKUP($A168,'Data Vlaue (Cr)'!$C:$FB,97)</f>
        <v>-29</v>
      </c>
      <c r="M168" s="92">
        <f>VLOOKUP($A168,'Data Vlaue (Cr)'!$C:$FB,98)</f>
        <v>-0.1119</v>
      </c>
      <c r="N168" s="91">
        <f>VLOOKUP($A168,'Data Vlaue (Cr)'!$C:$FB,79)</f>
        <v>646</v>
      </c>
      <c r="O168" s="92">
        <f>VLOOKUP($A168,'Data Vlaue (Cr)'!$C:$FB,82)</f>
        <v>-0.34010000000000001</v>
      </c>
    </row>
    <row r="169" spans="1:15" x14ac:dyDescent="0.25">
      <c r="A169" s="97" t="str">
        <f>'Data Vlaue (Cr)'!C164</f>
        <v>POLYCAB</v>
      </c>
      <c r="B169" s="142">
        <f>VLOOKUP(A169,'Data Vlaue (Cr)'!C164:CW377,99,0)</f>
        <v>5295</v>
      </c>
      <c r="C169" s="90">
        <f>VLOOKUP(A169,'Data Vlaue (Cr)'!C164:CY377,101,0)</f>
        <v>-150</v>
      </c>
      <c r="D169" s="139">
        <f>VLOOKUP(A169,'Data Vlaue (Cr)'!C164:CZ377,102,0)</f>
        <v>-2.75E-2</v>
      </c>
      <c r="E169" s="91">
        <f>VLOOKUP($A169,'Data Vlaue (Cr)'!$C:$FB,75)</f>
        <v>2718</v>
      </c>
      <c r="F169" s="91">
        <f>VLOOKUP($A169,'Data Vlaue (Cr)'!$C:$FB,77)</f>
        <v>-62</v>
      </c>
      <c r="G169" s="92">
        <f>VLOOKUP(A169,'Data Vlaue (Cr)'!C164:CB377,78,0)</f>
        <v>-2.2200000000000001E-2</v>
      </c>
      <c r="H169" s="91">
        <f>VLOOKUP($A169,'Data Vlaue (Cr)'!$C:$FB,91)</f>
        <v>1806</v>
      </c>
      <c r="I169" s="91">
        <f>VLOOKUP($A169,'Data Vlaue (Cr)'!$C:$FB,93)</f>
        <v>-67</v>
      </c>
      <c r="J169" s="92">
        <f>VLOOKUP($A169,'Data Vlaue (Cr)'!$C:$FB,94)</f>
        <v>-3.56E-2</v>
      </c>
      <c r="K169" s="91">
        <f>VLOOKUP($A169,'Data Vlaue (Cr)'!$C:$FB,95)</f>
        <v>771</v>
      </c>
      <c r="L169" s="91">
        <f>VLOOKUP($A169,'Data Vlaue (Cr)'!$C:$FB,97)</f>
        <v>-21</v>
      </c>
      <c r="M169" s="92">
        <f>VLOOKUP($A169,'Data Vlaue (Cr)'!$C:$FB,98)</f>
        <v>-2.7099999999999999E-2</v>
      </c>
      <c r="N169" s="91">
        <f>VLOOKUP($A169,'Data Vlaue (Cr)'!$C:$FB,79)</f>
        <v>1180</v>
      </c>
      <c r="O169" s="92">
        <f>VLOOKUP($A169,'Data Vlaue (Cr)'!$C:$FB,82)</f>
        <v>-0.41930000000000001</v>
      </c>
    </row>
    <row r="170" spans="1:15" x14ac:dyDescent="0.25">
      <c r="A170" s="97" t="str">
        <f>'Data Vlaue (Cr)'!C165</f>
        <v>POWERGRID</v>
      </c>
      <c r="B170" s="142">
        <f>VLOOKUP(A170,'Data Vlaue (Cr)'!C165:CW378,99,0)</f>
        <v>4432</v>
      </c>
      <c r="C170" s="90">
        <f>VLOOKUP(A170,'Data Vlaue (Cr)'!C165:CY378,101,0)</f>
        <v>-39</v>
      </c>
      <c r="D170" s="139">
        <f>VLOOKUP(A170,'Data Vlaue (Cr)'!C165:CZ378,102,0)</f>
        <v>-8.8000000000000005E-3</v>
      </c>
      <c r="E170" s="91">
        <f>VLOOKUP($A170,'Data Vlaue (Cr)'!$C:$FB,75)</f>
        <v>2714</v>
      </c>
      <c r="F170" s="91">
        <f>VLOOKUP($A170,'Data Vlaue (Cr)'!$C:$FB,77)</f>
        <v>-15</v>
      </c>
      <c r="G170" s="92">
        <f>VLOOKUP(A170,'Data Vlaue (Cr)'!C165:CB378,78,0)</f>
        <v>-5.5999999999999999E-3</v>
      </c>
      <c r="H170" s="91">
        <f>VLOOKUP($A170,'Data Vlaue (Cr)'!$C:$FB,91)</f>
        <v>1059</v>
      </c>
      <c r="I170" s="91">
        <f>VLOOKUP($A170,'Data Vlaue (Cr)'!$C:$FB,93)</f>
        <v>-30</v>
      </c>
      <c r="J170" s="92">
        <f>VLOOKUP($A170,'Data Vlaue (Cr)'!$C:$FB,94)</f>
        <v>-2.8000000000000001E-2</v>
      </c>
      <c r="K170" s="91">
        <f>VLOOKUP($A170,'Data Vlaue (Cr)'!$C:$FB,95)</f>
        <v>659</v>
      </c>
      <c r="L170" s="91">
        <f>VLOOKUP($A170,'Data Vlaue (Cr)'!$C:$FB,97)</f>
        <v>6</v>
      </c>
      <c r="M170" s="92">
        <f>VLOOKUP($A170,'Data Vlaue (Cr)'!$C:$FB,98)</f>
        <v>9.7999999999999997E-3</v>
      </c>
      <c r="N170" s="91">
        <f>VLOOKUP($A170,'Data Vlaue (Cr)'!$C:$FB,79)</f>
        <v>1621</v>
      </c>
      <c r="O170" s="92">
        <f>VLOOKUP($A170,'Data Vlaue (Cr)'!$C:$FB,82)</f>
        <v>-0.1898</v>
      </c>
    </row>
    <row r="171" spans="1:15" x14ac:dyDescent="0.25">
      <c r="A171" s="97" t="str">
        <f>'Data Vlaue (Cr)'!C166</f>
        <v>POWERINDIA</v>
      </c>
      <c r="B171" s="142">
        <f>VLOOKUP(A171,'Data Vlaue (Cr)'!C166:CW379,99,0)</f>
        <v>1428</v>
      </c>
      <c r="C171" s="90">
        <f>VLOOKUP(A171,'Data Vlaue (Cr)'!C166:CY379,101,0)</f>
        <v>-115</v>
      </c>
      <c r="D171" s="139">
        <f>VLOOKUP(A171,'Data Vlaue (Cr)'!C166:CZ379,102,0)</f>
        <v>-7.4399999999999994E-2</v>
      </c>
      <c r="E171" s="91">
        <f>VLOOKUP($A171,'Data Vlaue (Cr)'!$C:$FB,75)</f>
        <v>644</v>
      </c>
      <c r="F171" s="91">
        <f>VLOOKUP($A171,'Data Vlaue (Cr)'!$C:$FB,77)</f>
        <v>-28</v>
      </c>
      <c r="G171" s="92">
        <f>VLOOKUP(A171,'Data Vlaue (Cr)'!C166:CB379,78,0)</f>
        <v>-4.1500000000000002E-2</v>
      </c>
      <c r="H171" s="91">
        <f>VLOOKUP($A171,'Data Vlaue (Cr)'!$C:$FB,91)</f>
        <v>494</v>
      </c>
      <c r="I171" s="91">
        <f>VLOOKUP($A171,'Data Vlaue (Cr)'!$C:$FB,93)</f>
        <v>-74</v>
      </c>
      <c r="J171" s="92">
        <f>VLOOKUP($A171,'Data Vlaue (Cr)'!$C:$FB,94)</f>
        <v>-0.13</v>
      </c>
      <c r="K171" s="91">
        <f>VLOOKUP($A171,'Data Vlaue (Cr)'!$C:$FB,95)</f>
        <v>290</v>
      </c>
      <c r="L171" s="91">
        <f>VLOOKUP($A171,'Data Vlaue (Cr)'!$C:$FB,97)</f>
        <v>-13</v>
      </c>
      <c r="M171" s="92">
        <f>VLOOKUP($A171,'Data Vlaue (Cr)'!$C:$FB,98)</f>
        <v>-4.3400000000000001E-2</v>
      </c>
      <c r="N171" s="91">
        <f>VLOOKUP($A171,'Data Vlaue (Cr)'!$C:$FB,79)</f>
        <v>358</v>
      </c>
      <c r="O171" s="92">
        <f>VLOOKUP($A171,'Data Vlaue (Cr)'!$C:$FB,82)</f>
        <v>-0.30030000000000001</v>
      </c>
    </row>
    <row r="172" spans="1:15" x14ac:dyDescent="0.25">
      <c r="A172" s="97" t="str">
        <f>'Data Vlaue (Cr)'!C167</f>
        <v>PPLPHARMA</v>
      </c>
      <c r="B172" s="142">
        <f>VLOOKUP(A172,'Data Vlaue (Cr)'!C167:CW380,99,0)</f>
        <v>760</v>
      </c>
      <c r="C172" s="90">
        <f>VLOOKUP(A172,'Data Vlaue (Cr)'!C167:CY380,101,0)</f>
        <v>-36</v>
      </c>
      <c r="D172" s="139">
        <f>VLOOKUP(A172,'Data Vlaue (Cr)'!C167:CZ380,102,0)</f>
        <v>-4.5400000000000003E-2</v>
      </c>
      <c r="E172" s="91">
        <f>VLOOKUP($A172,'Data Vlaue (Cr)'!$C:$FB,75)</f>
        <v>390</v>
      </c>
      <c r="F172" s="91">
        <f>VLOOKUP($A172,'Data Vlaue (Cr)'!$C:$FB,77)</f>
        <v>-18</v>
      </c>
      <c r="G172" s="92">
        <f>VLOOKUP(A172,'Data Vlaue (Cr)'!C167:CB380,78,0)</f>
        <v>-4.3999999999999997E-2</v>
      </c>
      <c r="H172" s="91">
        <f>VLOOKUP($A172,'Data Vlaue (Cr)'!$C:$FB,91)</f>
        <v>259</v>
      </c>
      <c r="I172" s="91">
        <f>VLOOKUP($A172,'Data Vlaue (Cr)'!$C:$FB,93)</f>
        <v>-18</v>
      </c>
      <c r="J172" s="92">
        <f>VLOOKUP($A172,'Data Vlaue (Cr)'!$C:$FB,94)</f>
        <v>-6.54E-2</v>
      </c>
      <c r="K172" s="91">
        <f>VLOOKUP($A172,'Data Vlaue (Cr)'!$C:$FB,95)</f>
        <v>111</v>
      </c>
      <c r="L172" s="91">
        <f>VLOOKUP($A172,'Data Vlaue (Cr)'!$C:$FB,97)</f>
        <v>0</v>
      </c>
      <c r="M172" s="92">
        <f>VLOOKUP($A172,'Data Vlaue (Cr)'!$C:$FB,98)</f>
        <v>-4.0000000000000002E-4</v>
      </c>
      <c r="N172" s="91">
        <f>VLOOKUP($A172,'Data Vlaue (Cr)'!$C:$FB,79)</f>
        <v>190</v>
      </c>
      <c r="O172" s="92">
        <f>VLOOKUP($A172,'Data Vlaue (Cr)'!$C:$FB,82)</f>
        <v>-0.3271</v>
      </c>
    </row>
    <row r="173" spans="1:15" x14ac:dyDescent="0.25">
      <c r="A173" s="97" t="str">
        <f>'Data Vlaue (Cr)'!C168</f>
        <v>PREMIERENE</v>
      </c>
      <c r="B173" s="142">
        <f>VLOOKUP(A173,'Data Vlaue (Cr)'!C168:CW381,99,0)</f>
        <v>1021</v>
      </c>
      <c r="C173" s="90">
        <f>VLOOKUP(A173,'Data Vlaue (Cr)'!C168:CY381,101,0)</f>
        <v>79</v>
      </c>
      <c r="D173" s="139">
        <f>VLOOKUP(A173,'Data Vlaue (Cr)'!C168:CZ381,102,0)</f>
        <v>8.4400000000000003E-2</v>
      </c>
      <c r="E173" s="91">
        <f>VLOOKUP($A173,'Data Vlaue (Cr)'!$C:$FB,75)</f>
        <v>466</v>
      </c>
      <c r="F173" s="91">
        <f>VLOOKUP($A173,'Data Vlaue (Cr)'!$C:$FB,77)</f>
        <v>21</v>
      </c>
      <c r="G173" s="92">
        <f>VLOOKUP(A173,'Data Vlaue (Cr)'!C168:CB381,78,0)</f>
        <v>4.7600000000000003E-2</v>
      </c>
      <c r="H173" s="91">
        <f>VLOOKUP($A173,'Data Vlaue (Cr)'!$C:$FB,91)</f>
        <v>364</v>
      </c>
      <c r="I173" s="91">
        <f>VLOOKUP($A173,'Data Vlaue (Cr)'!$C:$FB,93)</f>
        <v>55</v>
      </c>
      <c r="J173" s="92">
        <f>VLOOKUP($A173,'Data Vlaue (Cr)'!$C:$FB,94)</f>
        <v>0.1762</v>
      </c>
      <c r="K173" s="91">
        <f>VLOOKUP($A173,'Data Vlaue (Cr)'!$C:$FB,95)</f>
        <v>192</v>
      </c>
      <c r="L173" s="91">
        <f>VLOOKUP($A173,'Data Vlaue (Cr)'!$C:$FB,97)</f>
        <v>4</v>
      </c>
      <c r="M173" s="92">
        <f>VLOOKUP($A173,'Data Vlaue (Cr)'!$C:$FB,98)</f>
        <v>0.02</v>
      </c>
      <c r="N173" s="91">
        <f>VLOOKUP($A173,'Data Vlaue (Cr)'!$C:$FB,79)</f>
        <v>248</v>
      </c>
      <c r="O173" s="92">
        <f>VLOOKUP($A173,'Data Vlaue (Cr)'!$C:$FB,82)</f>
        <v>-0.2235</v>
      </c>
    </row>
    <row r="174" spans="1:15" x14ac:dyDescent="0.25">
      <c r="A174" s="97" t="str">
        <f>'Data Vlaue (Cr)'!C169</f>
        <v>PRESTIGE</v>
      </c>
      <c r="B174" s="142">
        <f>VLOOKUP(A174,'Data Vlaue (Cr)'!C169:CW382,99,0)</f>
        <v>1181</v>
      </c>
      <c r="C174" s="90">
        <f>VLOOKUP(A174,'Data Vlaue (Cr)'!C169:CY382,101,0)</f>
        <v>-22</v>
      </c>
      <c r="D174" s="139">
        <f>VLOOKUP(A174,'Data Vlaue (Cr)'!C169:CZ382,102,0)</f>
        <v>-1.8200000000000001E-2</v>
      </c>
      <c r="E174" s="91">
        <f>VLOOKUP($A174,'Data Vlaue (Cr)'!$C:$FB,75)</f>
        <v>618</v>
      </c>
      <c r="F174" s="91">
        <f>VLOOKUP($A174,'Data Vlaue (Cr)'!$C:$FB,77)</f>
        <v>-7</v>
      </c>
      <c r="G174" s="92">
        <f>VLOOKUP(A174,'Data Vlaue (Cr)'!C169:CB382,78,0)</f>
        <v>-1.14E-2</v>
      </c>
      <c r="H174" s="91">
        <f>VLOOKUP($A174,'Data Vlaue (Cr)'!$C:$FB,91)</f>
        <v>388</v>
      </c>
      <c r="I174" s="91">
        <f>VLOOKUP($A174,'Data Vlaue (Cr)'!$C:$FB,93)</f>
        <v>-6</v>
      </c>
      <c r="J174" s="92">
        <f>VLOOKUP($A174,'Data Vlaue (Cr)'!$C:$FB,94)</f>
        <v>-1.5800000000000002E-2</v>
      </c>
      <c r="K174" s="91">
        <f>VLOOKUP($A174,'Data Vlaue (Cr)'!$C:$FB,95)</f>
        <v>175</v>
      </c>
      <c r="L174" s="91">
        <f>VLOOKUP($A174,'Data Vlaue (Cr)'!$C:$FB,97)</f>
        <v>-9</v>
      </c>
      <c r="M174" s="92">
        <f>VLOOKUP($A174,'Data Vlaue (Cr)'!$C:$FB,98)</f>
        <v>-4.6699999999999998E-2</v>
      </c>
      <c r="N174" s="91">
        <f>VLOOKUP($A174,'Data Vlaue (Cr)'!$C:$FB,79)</f>
        <v>316</v>
      </c>
      <c r="O174" s="92">
        <f>VLOOKUP($A174,'Data Vlaue (Cr)'!$C:$FB,82)</f>
        <v>-0.33700000000000002</v>
      </c>
    </row>
    <row r="175" spans="1:15" x14ac:dyDescent="0.25">
      <c r="A175" s="97" t="str">
        <f>'Data Vlaue (Cr)'!C170</f>
        <v>RBLBANK</v>
      </c>
      <c r="B175" s="142">
        <f>VLOOKUP(A175,'Data Vlaue (Cr)'!C170:CW383,99,0)</f>
        <v>4167</v>
      </c>
      <c r="C175" s="90">
        <f>VLOOKUP(A175,'Data Vlaue (Cr)'!C170:CY383,101,0)</f>
        <v>-120</v>
      </c>
      <c r="D175" s="139">
        <f>VLOOKUP(A175,'Data Vlaue (Cr)'!C170:CZ383,102,0)</f>
        <v>-2.8000000000000001E-2</v>
      </c>
      <c r="E175" s="91">
        <f>VLOOKUP($A175,'Data Vlaue (Cr)'!$C:$FB,75)</f>
        <v>2407</v>
      </c>
      <c r="F175" s="91">
        <f>VLOOKUP($A175,'Data Vlaue (Cr)'!$C:$FB,77)</f>
        <v>-31</v>
      </c>
      <c r="G175" s="92">
        <f>VLOOKUP(A175,'Data Vlaue (Cr)'!C170:CB383,78,0)</f>
        <v>-1.2699999999999999E-2</v>
      </c>
      <c r="H175" s="91">
        <f>VLOOKUP($A175,'Data Vlaue (Cr)'!$C:$FB,91)</f>
        <v>1094</v>
      </c>
      <c r="I175" s="91">
        <f>VLOOKUP($A175,'Data Vlaue (Cr)'!$C:$FB,93)</f>
        <v>-54</v>
      </c>
      <c r="J175" s="92">
        <f>VLOOKUP($A175,'Data Vlaue (Cr)'!$C:$FB,94)</f>
        <v>-4.7100000000000003E-2</v>
      </c>
      <c r="K175" s="91">
        <f>VLOOKUP($A175,'Data Vlaue (Cr)'!$C:$FB,95)</f>
        <v>665</v>
      </c>
      <c r="L175" s="91">
        <f>VLOOKUP($A175,'Data Vlaue (Cr)'!$C:$FB,97)</f>
        <v>-35</v>
      </c>
      <c r="M175" s="92">
        <f>VLOOKUP($A175,'Data Vlaue (Cr)'!$C:$FB,98)</f>
        <v>-4.9700000000000001E-2</v>
      </c>
      <c r="N175" s="91">
        <f>VLOOKUP($A175,'Data Vlaue (Cr)'!$C:$FB,79)</f>
        <v>1257</v>
      </c>
      <c r="O175" s="92">
        <f>VLOOKUP($A175,'Data Vlaue (Cr)'!$C:$FB,82)</f>
        <v>-0.2364</v>
      </c>
    </row>
    <row r="176" spans="1:15" x14ac:dyDescent="0.25">
      <c r="A176" s="97" t="str">
        <f>'Data Vlaue (Cr)'!C171</f>
        <v>RECLTD</v>
      </c>
      <c r="B176" s="142">
        <f>VLOOKUP(A176,'Data Vlaue (Cr)'!C171:CW384,99,0)</f>
        <v>5843</v>
      </c>
      <c r="C176" s="90">
        <f>VLOOKUP(A176,'Data Vlaue (Cr)'!C171:CY384,101,0)</f>
        <v>-330</v>
      </c>
      <c r="D176" s="139">
        <f>VLOOKUP(A176,'Data Vlaue (Cr)'!C171:CZ384,102,0)</f>
        <v>-5.3499999999999999E-2</v>
      </c>
      <c r="E176" s="91">
        <f>VLOOKUP($A176,'Data Vlaue (Cr)'!$C:$FB,75)</f>
        <v>3264</v>
      </c>
      <c r="F176" s="91">
        <f>VLOOKUP($A176,'Data Vlaue (Cr)'!$C:$FB,77)</f>
        <v>-131</v>
      </c>
      <c r="G176" s="92">
        <f>VLOOKUP(A176,'Data Vlaue (Cr)'!C171:CB384,78,0)</f>
        <v>-3.8600000000000002E-2</v>
      </c>
      <c r="H176" s="91">
        <f>VLOOKUP($A176,'Data Vlaue (Cr)'!$C:$FB,91)</f>
        <v>1486</v>
      </c>
      <c r="I176" s="91">
        <f>VLOOKUP($A176,'Data Vlaue (Cr)'!$C:$FB,93)</f>
        <v>-113</v>
      </c>
      <c r="J176" s="92">
        <f>VLOOKUP($A176,'Data Vlaue (Cr)'!$C:$FB,94)</f>
        <v>-7.0699999999999999E-2</v>
      </c>
      <c r="K176" s="91">
        <f>VLOOKUP($A176,'Data Vlaue (Cr)'!$C:$FB,95)</f>
        <v>1093</v>
      </c>
      <c r="L176" s="91">
        <f>VLOOKUP($A176,'Data Vlaue (Cr)'!$C:$FB,97)</f>
        <v>-86</v>
      </c>
      <c r="M176" s="92">
        <f>VLOOKUP($A176,'Data Vlaue (Cr)'!$C:$FB,98)</f>
        <v>-7.3099999999999998E-2</v>
      </c>
      <c r="N176" s="91">
        <f>VLOOKUP($A176,'Data Vlaue (Cr)'!$C:$FB,79)</f>
        <v>1695</v>
      </c>
      <c r="O176" s="92">
        <f>VLOOKUP($A176,'Data Vlaue (Cr)'!$C:$FB,82)</f>
        <v>-0.22939999999999999</v>
      </c>
    </row>
    <row r="177" spans="1:15" x14ac:dyDescent="0.25">
      <c r="A177" s="97" t="str">
        <f>'Data Vlaue (Cr)'!C172</f>
        <v>RELIANCE</v>
      </c>
      <c r="B177" s="142">
        <f>VLOOKUP(A177,'Data Vlaue (Cr)'!C172:CW385,99,0)</f>
        <v>38537</v>
      </c>
      <c r="C177" s="90">
        <f>VLOOKUP(A177,'Data Vlaue (Cr)'!C172:CY385,101,0)</f>
        <v>-508</v>
      </c>
      <c r="D177" s="139">
        <f>VLOOKUP(A177,'Data Vlaue (Cr)'!C172:CZ385,102,0)</f>
        <v>-1.2999999999999999E-2</v>
      </c>
      <c r="E177" s="91">
        <f>VLOOKUP($A177,'Data Vlaue (Cr)'!$C:$FB,75)</f>
        <v>16869</v>
      </c>
      <c r="F177" s="91">
        <f>VLOOKUP($A177,'Data Vlaue (Cr)'!$C:$FB,77)</f>
        <v>122</v>
      </c>
      <c r="G177" s="92">
        <f>VLOOKUP(A177,'Data Vlaue (Cr)'!C172:CB385,78,0)</f>
        <v>7.3000000000000001E-3</v>
      </c>
      <c r="H177" s="91">
        <f>VLOOKUP($A177,'Data Vlaue (Cr)'!$C:$FB,91)</f>
        <v>15217</v>
      </c>
      <c r="I177" s="91">
        <f>VLOOKUP($A177,'Data Vlaue (Cr)'!$C:$FB,93)</f>
        <v>-541</v>
      </c>
      <c r="J177" s="92">
        <f>VLOOKUP($A177,'Data Vlaue (Cr)'!$C:$FB,94)</f>
        <v>-3.44E-2</v>
      </c>
      <c r="K177" s="91">
        <f>VLOOKUP($A177,'Data Vlaue (Cr)'!$C:$FB,95)</f>
        <v>6451</v>
      </c>
      <c r="L177" s="91">
        <f>VLOOKUP($A177,'Data Vlaue (Cr)'!$C:$FB,97)</f>
        <v>-89</v>
      </c>
      <c r="M177" s="92">
        <f>VLOOKUP($A177,'Data Vlaue (Cr)'!$C:$FB,98)</f>
        <v>-1.35E-2</v>
      </c>
      <c r="N177" s="91">
        <f>VLOOKUP($A177,'Data Vlaue (Cr)'!$C:$FB,79)</f>
        <v>7486</v>
      </c>
      <c r="O177" s="92">
        <f>VLOOKUP($A177,'Data Vlaue (Cr)'!$C:$FB,82)</f>
        <v>-0.31840000000000002</v>
      </c>
    </row>
    <row r="178" spans="1:15" x14ac:dyDescent="0.25">
      <c r="A178" s="97" t="str">
        <f>'Data Vlaue (Cr)'!C173</f>
        <v>RVNL</v>
      </c>
      <c r="B178" s="142">
        <f>VLOOKUP(A178,'Data Vlaue (Cr)'!C173:CW386,99,0)</f>
        <v>4137</v>
      </c>
      <c r="C178" s="90">
        <f>VLOOKUP(A178,'Data Vlaue (Cr)'!C173:CY386,101,0)</f>
        <v>-132</v>
      </c>
      <c r="D178" s="139">
        <f>VLOOKUP(A178,'Data Vlaue (Cr)'!C173:CZ386,102,0)</f>
        <v>-3.1E-2</v>
      </c>
      <c r="E178" s="91">
        <f>VLOOKUP($A178,'Data Vlaue (Cr)'!$C:$FB,75)</f>
        <v>1698</v>
      </c>
      <c r="F178" s="91">
        <f>VLOOKUP($A178,'Data Vlaue (Cr)'!$C:$FB,77)</f>
        <v>-63</v>
      </c>
      <c r="G178" s="92">
        <f>VLOOKUP(A178,'Data Vlaue (Cr)'!C173:CB386,78,0)</f>
        <v>-3.5499999999999997E-2</v>
      </c>
      <c r="H178" s="91">
        <f>VLOOKUP($A178,'Data Vlaue (Cr)'!$C:$FB,91)</f>
        <v>1853</v>
      </c>
      <c r="I178" s="91">
        <f>VLOOKUP($A178,'Data Vlaue (Cr)'!$C:$FB,93)</f>
        <v>-81</v>
      </c>
      <c r="J178" s="92">
        <f>VLOOKUP($A178,'Data Vlaue (Cr)'!$C:$FB,94)</f>
        <v>-4.2000000000000003E-2</v>
      </c>
      <c r="K178" s="91">
        <f>VLOOKUP($A178,'Data Vlaue (Cr)'!$C:$FB,95)</f>
        <v>585</v>
      </c>
      <c r="L178" s="91">
        <f>VLOOKUP($A178,'Data Vlaue (Cr)'!$C:$FB,97)</f>
        <v>12</v>
      </c>
      <c r="M178" s="92">
        <f>VLOOKUP($A178,'Data Vlaue (Cr)'!$C:$FB,98)</f>
        <v>2.0199999999999999E-2</v>
      </c>
      <c r="N178" s="91">
        <f>VLOOKUP($A178,'Data Vlaue (Cr)'!$C:$FB,79)</f>
        <v>416</v>
      </c>
      <c r="O178" s="92">
        <f>VLOOKUP($A178,'Data Vlaue (Cr)'!$C:$FB,82)</f>
        <v>-0.57789999999999997</v>
      </c>
    </row>
    <row r="179" spans="1:15" x14ac:dyDescent="0.25">
      <c r="A179" s="97" t="str">
        <f>'Data Vlaue (Cr)'!C174</f>
        <v>SAIL</v>
      </c>
      <c r="B179" s="142">
        <f>VLOOKUP(A179,'Data Vlaue (Cr)'!C174:CW387,99,0)</f>
        <v>3976</v>
      </c>
      <c r="C179" s="90">
        <f>VLOOKUP(A179,'Data Vlaue (Cr)'!C174:CY387,101,0)</f>
        <v>183</v>
      </c>
      <c r="D179" s="139">
        <f>VLOOKUP(A179,'Data Vlaue (Cr)'!C174:CZ387,102,0)</f>
        <v>4.8399999999999999E-2</v>
      </c>
      <c r="E179" s="91">
        <f>VLOOKUP($A179,'Data Vlaue (Cr)'!$C:$FB,75)</f>
        <v>2946</v>
      </c>
      <c r="F179" s="91">
        <f>VLOOKUP($A179,'Data Vlaue (Cr)'!$C:$FB,77)</f>
        <v>279</v>
      </c>
      <c r="G179" s="92">
        <f>VLOOKUP(A179,'Data Vlaue (Cr)'!C174:CB387,78,0)</f>
        <v>0.1045</v>
      </c>
      <c r="H179" s="91">
        <f>VLOOKUP($A179,'Data Vlaue (Cr)'!$C:$FB,91)</f>
        <v>578</v>
      </c>
      <c r="I179" s="91">
        <f>VLOOKUP($A179,'Data Vlaue (Cr)'!$C:$FB,93)</f>
        <v>-50</v>
      </c>
      <c r="J179" s="92">
        <f>VLOOKUP($A179,'Data Vlaue (Cr)'!$C:$FB,94)</f>
        <v>-7.9399999999999998E-2</v>
      </c>
      <c r="K179" s="91">
        <f>VLOOKUP($A179,'Data Vlaue (Cr)'!$C:$FB,95)</f>
        <v>451</v>
      </c>
      <c r="L179" s="91">
        <f>VLOOKUP($A179,'Data Vlaue (Cr)'!$C:$FB,97)</f>
        <v>-45</v>
      </c>
      <c r="M179" s="92">
        <f>VLOOKUP($A179,'Data Vlaue (Cr)'!$C:$FB,98)</f>
        <v>-9.1499999999999998E-2</v>
      </c>
      <c r="N179" s="91">
        <f>VLOOKUP($A179,'Data Vlaue (Cr)'!$C:$FB,79)</f>
        <v>805</v>
      </c>
      <c r="O179" s="92">
        <f>VLOOKUP($A179,'Data Vlaue (Cr)'!$C:$FB,82)</f>
        <v>-0.68020000000000003</v>
      </c>
    </row>
    <row r="180" spans="1:15" x14ac:dyDescent="0.25">
      <c r="A180" s="97" t="str">
        <f>'Data Vlaue (Cr)'!C175</f>
        <v>SAMMAANCAP</v>
      </c>
      <c r="B180" s="142">
        <f>VLOOKUP(A180,'Data Vlaue (Cr)'!C175:CW388,99,0)</f>
        <v>2253</v>
      </c>
      <c r="C180" s="90">
        <f>VLOOKUP(A180,'Data Vlaue (Cr)'!C175:CY388,101,0)</f>
        <v>-50</v>
      </c>
      <c r="D180" s="139">
        <f>VLOOKUP(A180,'Data Vlaue (Cr)'!C175:CZ388,102,0)</f>
        <v>-2.18E-2</v>
      </c>
      <c r="E180" s="91">
        <f>VLOOKUP($A180,'Data Vlaue (Cr)'!$C:$FB,75)</f>
        <v>1516</v>
      </c>
      <c r="F180" s="91">
        <f>VLOOKUP($A180,'Data Vlaue (Cr)'!$C:$FB,77)</f>
        <v>-46</v>
      </c>
      <c r="G180" s="92">
        <f>VLOOKUP(A180,'Data Vlaue (Cr)'!C175:CB388,78,0)</f>
        <v>-2.93E-2</v>
      </c>
      <c r="H180" s="91">
        <f>VLOOKUP($A180,'Data Vlaue (Cr)'!$C:$FB,91)</f>
        <v>418</v>
      </c>
      <c r="I180" s="91">
        <f>VLOOKUP($A180,'Data Vlaue (Cr)'!$C:$FB,93)</f>
        <v>-3</v>
      </c>
      <c r="J180" s="92">
        <f>VLOOKUP($A180,'Data Vlaue (Cr)'!$C:$FB,94)</f>
        <v>-7.7999999999999996E-3</v>
      </c>
      <c r="K180" s="91">
        <f>VLOOKUP($A180,'Data Vlaue (Cr)'!$C:$FB,95)</f>
        <v>318</v>
      </c>
      <c r="L180" s="91">
        <f>VLOOKUP($A180,'Data Vlaue (Cr)'!$C:$FB,97)</f>
        <v>-1</v>
      </c>
      <c r="M180" s="92">
        <f>VLOOKUP($A180,'Data Vlaue (Cr)'!$C:$FB,98)</f>
        <v>-3.8E-3</v>
      </c>
      <c r="N180" s="91">
        <f>VLOOKUP($A180,'Data Vlaue (Cr)'!$C:$FB,79)</f>
        <v>1373</v>
      </c>
      <c r="O180" s="92">
        <f>VLOOKUP($A180,'Data Vlaue (Cr)'!$C:$FB,82)</f>
        <v>-5.1799999999999999E-2</v>
      </c>
    </row>
    <row r="181" spans="1:15" x14ac:dyDescent="0.25">
      <c r="A181" s="97" t="str">
        <f>'Data Vlaue (Cr)'!C176</f>
        <v>SBICARD</v>
      </c>
      <c r="B181" s="142">
        <f>VLOOKUP(A181,'Data Vlaue (Cr)'!C176:CW389,99,0)</f>
        <v>2454</v>
      </c>
      <c r="C181" s="90">
        <f>VLOOKUP(A181,'Data Vlaue (Cr)'!C176:CY389,101,0)</f>
        <v>-83</v>
      </c>
      <c r="D181" s="139">
        <f>VLOOKUP(A181,'Data Vlaue (Cr)'!C176:CZ389,102,0)</f>
        <v>-3.2599999999999997E-2</v>
      </c>
      <c r="E181" s="91">
        <f>VLOOKUP($A181,'Data Vlaue (Cr)'!$C:$FB,75)</f>
        <v>1448</v>
      </c>
      <c r="F181" s="91">
        <f>VLOOKUP($A181,'Data Vlaue (Cr)'!$C:$FB,77)</f>
        <v>-27</v>
      </c>
      <c r="G181" s="92">
        <f>VLOOKUP(A181,'Data Vlaue (Cr)'!C176:CB389,78,0)</f>
        <v>-1.8499999999999999E-2</v>
      </c>
      <c r="H181" s="91">
        <f>VLOOKUP($A181,'Data Vlaue (Cr)'!$C:$FB,91)</f>
        <v>591</v>
      </c>
      <c r="I181" s="91">
        <f>VLOOKUP($A181,'Data Vlaue (Cr)'!$C:$FB,93)</f>
        <v>-62</v>
      </c>
      <c r="J181" s="92">
        <f>VLOOKUP($A181,'Data Vlaue (Cr)'!$C:$FB,94)</f>
        <v>-9.4700000000000006E-2</v>
      </c>
      <c r="K181" s="91">
        <f>VLOOKUP($A181,'Data Vlaue (Cr)'!$C:$FB,95)</f>
        <v>415</v>
      </c>
      <c r="L181" s="91">
        <f>VLOOKUP($A181,'Data Vlaue (Cr)'!$C:$FB,97)</f>
        <v>6</v>
      </c>
      <c r="M181" s="92">
        <f>VLOOKUP($A181,'Data Vlaue (Cr)'!$C:$FB,98)</f>
        <v>1.5699999999999999E-2</v>
      </c>
      <c r="N181" s="91">
        <f>VLOOKUP($A181,'Data Vlaue (Cr)'!$C:$FB,79)</f>
        <v>549</v>
      </c>
      <c r="O181" s="92">
        <f>VLOOKUP($A181,'Data Vlaue (Cr)'!$C:$FB,82)</f>
        <v>-0.4657</v>
      </c>
    </row>
    <row r="182" spans="1:15" x14ac:dyDescent="0.25">
      <c r="A182" s="97" t="str">
        <f>'Data Vlaue (Cr)'!C177</f>
        <v>SBILIFE</v>
      </c>
      <c r="B182" s="142">
        <f>VLOOKUP(A182,'Data Vlaue (Cr)'!C177:CW390,99,0)</f>
        <v>4112</v>
      </c>
      <c r="C182" s="90">
        <f>VLOOKUP(A182,'Data Vlaue (Cr)'!C177:CY390,101,0)</f>
        <v>136</v>
      </c>
      <c r="D182" s="139">
        <f>VLOOKUP(A182,'Data Vlaue (Cr)'!C177:CZ390,102,0)</f>
        <v>3.4299999999999997E-2</v>
      </c>
      <c r="E182" s="91">
        <f>VLOOKUP($A182,'Data Vlaue (Cr)'!$C:$FB,75)</f>
        <v>2072</v>
      </c>
      <c r="F182" s="91">
        <f>VLOOKUP($A182,'Data Vlaue (Cr)'!$C:$FB,77)</f>
        <v>107</v>
      </c>
      <c r="G182" s="92">
        <f>VLOOKUP(A182,'Data Vlaue (Cr)'!C177:CB390,78,0)</f>
        <v>5.4300000000000001E-2</v>
      </c>
      <c r="H182" s="91">
        <f>VLOOKUP($A182,'Data Vlaue (Cr)'!$C:$FB,91)</f>
        <v>1563</v>
      </c>
      <c r="I182" s="91">
        <f>VLOOKUP($A182,'Data Vlaue (Cr)'!$C:$FB,93)</f>
        <v>-3</v>
      </c>
      <c r="J182" s="92">
        <f>VLOOKUP($A182,'Data Vlaue (Cr)'!$C:$FB,94)</f>
        <v>-1.6999999999999999E-3</v>
      </c>
      <c r="K182" s="91">
        <f>VLOOKUP($A182,'Data Vlaue (Cr)'!$C:$FB,95)</f>
        <v>477</v>
      </c>
      <c r="L182" s="91">
        <f>VLOOKUP($A182,'Data Vlaue (Cr)'!$C:$FB,97)</f>
        <v>32</v>
      </c>
      <c r="M182" s="92">
        <f>VLOOKUP($A182,'Data Vlaue (Cr)'!$C:$FB,98)</f>
        <v>7.1900000000000006E-2</v>
      </c>
      <c r="N182" s="91">
        <f>VLOOKUP($A182,'Data Vlaue (Cr)'!$C:$FB,79)</f>
        <v>795</v>
      </c>
      <c r="O182" s="92">
        <f>VLOOKUP($A182,'Data Vlaue (Cr)'!$C:$FB,82)</f>
        <v>-0.45750000000000002</v>
      </c>
    </row>
    <row r="183" spans="1:15" x14ac:dyDescent="0.25">
      <c r="A183" s="97" t="str">
        <f>'Data Vlaue (Cr)'!C178</f>
        <v>SBIN</v>
      </c>
      <c r="B183" s="142">
        <f>VLOOKUP(A183,'Data Vlaue (Cr)'!C178:CW391,99,0)</f>
        <v>16960</v>
      </c>
      <c r="C183" s="90">
        <f>VLOOKUP(A183,'Data Vlaue (Cr)'!C178:CY391,101,0)</f>
        <v>-20</v>
      </c>
      <c r="D183" s="139">
        <f>VLOOKUP(A183,'Data Vlaue (Cr)'!C178:CZ391,102,0)</f>
        <v>-1.1999999999999999E-3</v>
      </c>
      <c r="E183" s="91">
        <f>VLOOKUP($A183,'Data Vlaue (Cr)'!$C:$FB,75)</f>
        <v>7797</v>
      </c>
      <c r="F183" s="91">
        <f>VLOOKUP($A183,'Data Vlaue (Cr)'!$C:$FB,77)</f>
        <v>78</v>
      </c>
      <c r="G183" s="92">
        <f>VLOOKUP(A183,'Data Vlaue (Cr)'!C178:CB391,78,0)</f>
        <v>1.01E-2</v>
      </c>
      <c r="H183" s="91">
        <f>VLOOKUP($A183,'Data Vlaue (Cr)'!$C:$FB,91)</f>
        <v>4682</v>
      </c>
      <c r="I183" s="91">
        <f>VLOOKUP($A183,'Data Vlaue (Cr)'!$C:$FB,93)</f>
        <v>-260</v>
      </c>
      <c r="J183" s="92">
        <f>VLOOKUP($A183,'Data Vlaue (Cr)'!$C:$FB,94)</f>
        <v>-5.2600000000000001E-2</v>
      </c>
      <c r="K183" s="91">
        <f>VLOOKUP($A183,'Data Vlaue (Cr)'!$C:$FB,95)</f>
        <v>4481</v>
      </c>
      <c r="L183" s="91">
        <f>VLOOKUP($A183,'Data Vlaue (Cr)'!$C:$FB,97)</f>
        <v>162</v>
      </c>
      <c r="M183" s="92">
        <f>VLOOKUP($A183,'Data Vlaue (Cr)'!$C:$FB,98)</f>
        <v>3.7499999999999999E-2</v>
      </c>
      <c r="N183" s="91">
        <f>VLOOKUP($A183,'Data Vlaue (Cr)'!$C:$FB,79)</f>
        <v>3041</v>
      </c>
      <c r="O183" s="92">
        <f>VLOOKUP($A183,'Data Vlaue (Cr)'!$C:$FB,82)</f>
        <v>-0.38969999999999999</v>
      </c>
    </row>
    <row r="184" spans="1:15" x14ac:dyDescent="0.25">
      <c r="A184" s="97" t="str">
        <f>'Data Vlaue (Cr)'!C179</f>
        <v>SHREECEM</v>
      </c>
      <c r="B184" s="142">
        <f>VLOOKUP(A184,'Data Vlaue (Cr)'!C179:CW392,99,0)</f>
        <v>1033</v>
      </c>
      <c r="C184" s="90">
        <f>VLOOKUP(A184,'Data Vlaue (Cr)'!C179:CY392,101,0)</f>
        <v>-45</v>
      </c>
      <c r="D184" s="139">
        <f>VLOOKUP(A184,'Data Vlaue (Cr)'!C179:CZ392,102,0)</f>
        <v>-4.1399999999999999E-2</v>
      </c>
      <c r="E184" s="91">
        <f>VLOOKUP($A184,'Data Vlaue (Cr)'!$C:$FB,75)</f>
        <v>717</v>
      </c>
      <c r="F184" s="91">
        <f>VLOOKUP($A184,'Data Vlaue (Cr)'!$C:$FB,77)</f>
        <v>8</v>
      </c>
      <c r="G184" s="92">
        <f>VLOOKUP(A184,'Data Vlaue (Cr)'!C179:CB392,78,0)</f>
        <v>1.15E-2</v>
      </c>
      <c r="H184" s="91">
        <f>VLOOKUP($A184,'Data Vlaue (Cr)'!$C:$FB,91)</f>
        <v>182</v>
      </c>
      <c r="I184" s="91">
        <f>VLOOKUP($A184,'Data Vlaue (Cr)'!$C:$FB,93)</f>
        <v>-28</v>
      </c>
      <c r="J184" s="92">
        <f>VLOOKUP($A184,'Data Vlaue (Cr)'!$C:$FB,94)</f>
        <v>-0.1323</v>
      </c>
      <c r="K184" s="91">
        <f>VLOOKUP($A184,'Data Vlaue (Cr)'!$C:$FB,95)</f>
        <v>134</v>
      </c>
      <c r="L184" s="91">
        <f>VLOOKUP($A184,'Data Vlaue (Cr)'!$C:$FB,97)</f>
        <v>-25</v>
      </c>
      <c r="M184" s="92">
        <f>VLOOKUP($A184,'Data Vlaue (Cr)'!$C:$FB,98)</f>
        <v>-0.1578</v>
      </c>
      <c r="N184" s="91">
        <f>VLOOKUP($A184,'Data Vlaue (Cr)'!$C:$FB,79)</f>
        <v>289</v>
      </c>
      <c r="O184" s="92">
        <f>VLOOKUP($A184,'Data Vlaue (Cr)'!$C:$FB,82)</f>
        <v>-0.44819999999999999</v>
      </c>
    </row>
    <row r="185" spans="1:15" x14ac:dyDescent="0.25">
      <c r="A185" s="97" t="str">
        <f>'Data Vlaue (Cr)'!C180</f>
        <v>SHRIRAMFIN</v>
      </c>
      <c r="B185" s="142">
        <f>VLOOKUP(A185,'Data Vlaue (Cr)'!C180:CW393,99,0)</f>
        <v>7344</v>
      </c>
      <c r="C185" s="90">
        <f>VLOOKUP(A185,'Data Vlaue (Cr)'!C180:CY393,101,0)</f>
        <v>-98</v>
      </c>
      <c r="D185" s="139">
        <f>VLOOKUP(A185,'Data Vlaue (Cr)'!C180:CZ393,102,0)</f>
        <v>-1.3100000000000001E-2</v>
      </c>
      <c r="E185" s="91">
        <f>VLOOKUP($A185,'Data Vlaue (Cr)'!$C:$FB,75)</f>
        <v>4674</v>
      </c>
      <c r="F185" s="91">
        <f>VLOOKUP($A185,'Data Vlaue (Cr)'!$C:$FB,77)</f>
        <v>-51</v>
      </c>
      <c r="G185" s="92">
        <f>VLOOKUP(A185,'Data Vlaue (Cr)'!C180:CB393,78,0)</f>
        <v>-1.0800000000000001E-2</v>
      </c>
      <c r="H185" s="91">
        <f>VLOOKUP($A185,'Data Vlaue (Cr)'!$C:$FB,91)</f>
        <v>1471</v>
      </c>
      <c r="I185" s="91">
        <f>VLOOKUP($A185,'Data Vlaue (Cr)'!$C:$FB,93)</f>
        <v>-97</v>
      </c>
      <c r="J185" s="92">
        <f>VLOOKUP($A185,'Data Vlaue (Cr)'!$C:$FB,94)</f>
        <v>-6.1800000000000001E-2</v>
      </c>
      <c r="K185" s="91">
        <f>VLOOKUP($A185,'Data Vlaue (Cr)'!$C:$FB,95)</f>
        <v>1199</v>
      </c>
      <c r="L185" s="91">
        <f>VLOOKUP($A185,'Data Vlaue (Cr)'!$C:$FB,97)</f>
        <v>50</v>
      </c>
      <c r="M185" s="92">
        <f>VLOOKUP($A185,'Data Vlaue (Cr)'!$C:$FB,98)</f>
        <v>4.3700000000000003E-2</v>
      </c>
      <c r="N185" s="91">
        <f>VLOOKUP($A185,'Data Vlaue (Cr)'!$C:$FB,79)</f>
        <v>1898</v>
      </c>
      <c r="O185" s="92">
        <f>VLOOKUP($A185,'Data Vlaue (Cr)'!$C:$FB,82)</f>
        <v>-0.42499999999999999</v>
      </c>
    </row>
    <row r="186" spans="1:15" x14ac:dyDescent="0.25">
      <c r="A186" s="97" t="str">
        <f>'Data Vlaue (Cr)'!C181</f>
        <v>SIEMENS</v>
      </c>
      <c r="B186" s="142">
        <f>VLOOKUP(A186,'Data Vlaue (Cr)'!C181:CW394,99,0)</f>
        <v>1342</v>
      </c>
      <c r="C186" s="90">
        <f>VLOOKUP(A186,'Data Vlaue (Cr)'!C181:CY394,101,0)</f>
        <v>-76</v>
      </c>
      <c r="D186" s="139">
        <f>VLOOKUP(A186,'Data Vlaue (Cr)'!C181:CZ394,102,0)</f>
        <v>-5.3400000000000003E-2</v>
      </c>
      <c r="E186" s="91">
        <f>VLOOKUP($A186,'Data Vlaue (Cr)'!$C:$FB,75)</f>
        <v>734</v>
      </c>
      <c r="F186" s="91">
        <f>VLOOKUP($A186,'Data Vlaue (Cr)'!$C:$FB,77)</f>
        <v>-17</v>
      </c>
      <c r="G186" s="92">
        <f>VLOOKUP(A186,'Data Vlaue (Cr)'!C181:CB394,78,0)</f>
        <v>-2.2100000000000002E-2</v>
      </c>
      <c r="H186" s="91">
        <f>VLOOKUP($A186,'Data Vlaue (Cr)'!$C:$FB,91)</f>
        <v>391</v>
      </c>
      <c r="I186" s="91">
        <f>VLOOKUP($A186,'Data Vlaue (Cr)'!$C:$FB,93)</f>
        <v>-33</v>
      </c>
      <c r="J186" s="92">
        <f>VLOOKUP($A186,'Data Vlaue (Cr)'!$C:$FB,94)</f>
        <v>-7.7499999999999999E-2</v>
      </c>
      <c r="K186" s="91">
        <f>VLOOKUP($A186,'Data Vlaue (Cr)'!$C:$FB,95)</f>
        <v>217</v>
      </c>
      <c r="L186" s="91">
        <f>VLOOKUP($A186,'Data Vlaue (Cr)'!$C:$FB,97)</f>
        <v>-26</v>
      </c>
      <c r="M186" s="92">
        <f>VLOOKUP($A186,'Data Vlaue (Cr)'!$C:$FB,98)</f>
        <v>-0.10780000000000001</v>
      </c>
      <c r="N186" s="91">
        <f>VLOOKUP($A186,'Data Vlaue (Cr)'!$C:$FB,79)</f>
        <v>380</v>
      </c>
      <c r="O186" s="92">
        <f>VLOOKUP($A186,'Data Vlaue (Cr)'!$C:$FB,82)</f>
        <v>-0.24729999999999999</v>
      </c>
    </row>
    <row r="187" spans="1:15" x14ac:dyDescent="0.25">
      <c r="A187" s="97" t="str">
        <f>'Data Vlaue (Cr)'!C182</f>
        <v>SOLARINDS</v>
      </c>
      <c r="B187" s="142">
        <f>VLOOKUP(A187,'Data Vlaue (Cr)'!C182:CW395,99,0)</f>
        <v>2334</v>
      </c>
      <c r="C187" s="90">
        <f>VLOOKUP(A187,'Data Vlaue (Cr)'!C182:CY395,101,0)</f>
        <v>-159</v>
      </c>
      <c r="D187" s="139">
        <f>VLOOKUP(A187,'Data Vlaue (Cr)'!C182:CZ395,102,0)</f>
        <v>-6.3799999999999996E-2</v>
      </c>
      <c r="E187" s="91">
        <f>VLOOKUP($A187,'Data Vlaue (Cr)'!$C:$FB,75)</f>
        <v>1356</v>
      </c>
      <c r="F187" s="91">
        <f>VLOOKUP($A187,'Data Vlaue (Cr)'!$C:$FB,77)</f>
        <v>-55</v>
      </c>
      <c r="G187" s="92">
        <f>VLOOKUP(A187,'Data Vlaue (Cr)'!C182:CB395,78,0)</f>
        <v>-3.9100000000000003E-2</v>
      </c>
      <c r="H187" s="91">
        <f>VLOOKUP($A187,'Data Vlaue (Cr)'!$C:$FB,91)</f>
        <v>577</v>
      </c>
      <c r="I187" s="91">
        <f>VLOOKUP($A187,'Data Vlaue (Cr)'!$C:$FB,93)</f>
        <v>-85</v>
      </c>
      <c r="J187" s="92">
        <f>VLOOKUP($A187,'Data Vlaue (Cr)'!$C:$FB,94)</f>
        <v>-0.12909999999999999</v>
      </c>
      <c r="K187" s="91">
        <f>VLOOKUP($A187,'Data Vlaue (Cr)'!$C:$FB,95)</f>
        <v>401</v>
      </c>
      <c r="L187" s="91">
        <f>VLOOKUP($A187,'Data Vlaue (Cr)'!$C:$FB,97)</f>
        <v>-18</v>
      </c>
      <c r="M187" s="92">
        <f>VLOOKUP($A187,'Data Vlaue (Cr)'!$C:$FB,98)</f>
        <v>-4.3799999999999999E-2</v>
      </c>
      <c r="N187" s="91">
        <f>VLOOKUP($A187,'Data Vlaue (Cr)'!$C:$FB,79)</f>
        <v>771</v>
      </c>
      <c r="O187" s="92">
        <f>VLOOKUP($A187,'Data Vlaue (Cr)'!$C:$FB,82)</f>
        <v>-0.28420000000000001</v>
      </c>
    </row>
    <row r="188" spans="1:15" x14ac:dyDescent="0.25">
      <c r="A188" s="97" t="str">
        <f>'Data Vlaue (Cr)'!C183</f>
        <v>SONACOMS</v>
      </c>
      <c r="B188" s="142">
        <f>VLOOKUP(A188,'Data Vlaue (Cr)'!C183:CW396,99,0)</f>
        <v>1235</v>
      </c>
      <c r="C188" s="90">
        <f>VLOOKUP(A188,'Data Vlaue (Cr)'!C183:CY396,101,0)</f>
        <v>-9</v>
      </c>
      <c r="D188" s="139">
        <f>VLOOKUP(A188,'Data Vlaue (Cr)'!C183:CZ396,102,0)</f>
        <v>-7.4000000000000003E-3</v>
      </c>
      <c r="E188" s="91">
        <f>VLOOKUP($A188,'Data Vlaue (Cr)'!$C:$FB,75)</f>
        <v>765</v>
      </c>
      <c r="F188" s="91">
        <f>VLOOKUP($A188,'Data Vlaue (Cr)'!$C:$FB,77)</f>
        <v>34</v>
      </c>
      <c r="G188" s="92">
        <f>VLOOKUP(A188,'Data Vlaue (Cr)'!C183:CB396,78,0)</f>
        <v>4.5999999999999999E-2</v>
      </c>
      <c r="H188" s="91">
        <f>VLOOKUP($A188,'Data Vlaue (Cr)'!$C:$FB,91)</f>
        <v>280</v>
      </c>
      <c r="I188" s="91">
        <f>VLOOKUP($A188,'Data Vlaue (Cr)'!$C:$FB,93)</f>
        <v>-45</v>
      </c>
      <c r="J188" s="92">
        <f>VLOOKUP($A188,'Data Vlaue (Cr)'!$C:$FB,94)</f>
        <v>-0.13900000000000001</v>
      </c>
      <c r="K188" s="91">
        <f>VLOOKUP($A188,'Data Vlaue (Cr)'!$C:$FB,95)</f>
        <v>191</v>
      </c>
      <c r="L188" s="91">
        <f>VLOOKUP($A188,'Data Vlaue (Cr)'!$C:$FB,97)</f>
        <v>2</v>
      </c>
      <c r="M188" s="92">
        <f>VLOOKUP($A188,'Data Vlaue (Cr)'!$C:$FB,98)</f>
        <v>1.2800000000000001E-2</v>
      </c>
      <c r="N188" s="91">
        <f>VLOOKUP($A188,'Data Vlaue (Cr)'!$C:$FB,79)</f>
        <v>330</v>
      </c>
      <c r="O188" s="92">
        <f>VLOOKUP($A188,'Data Vlaue (Cr)'!$C:$FB,82)</f>
        <v>-0.38390000000000002</v>
      </c>
    </row>
    <row r="189" spans="1:15" x14ac:dyDescent="0.25">
      <c r="A189" s="97" t="str">
        <f>'Data Vlaue (Cr)'!C184</f>
        <v>SRF</v>
      </c>
      <c r="B189" s="142">
        <f>VLOOKUP(A189,'Data Vlaue (Cr)'!C184:CW397,99,0)</f>
        <v>2211</v>
      </c>
      <c r="C189" s="90">
        <f>VLOOKUP(A189,'Data Vlaue (Cr)'!C184:CY397,101,0)</f>
        <v>-356</v>
      </c>
      <c r="D189" s="139">
        <f>VLOOKUP(A189,'Data Vlaue (Cr)'!C184:CZ397,102,0)</f>
        <v>-0.1386</v>
      </c>
      <c r="E189" s="91">
        <f>VLOOKUP($A189,'Data Vlaue (Cr)'!$C:$FB,75)</f>
        <v>1002</v>
      </c>
      <c r="F189" s="91">
        <f>VLOOKUP($A189,'Data Vlaue (Cr)'!$C:$FB,77)</f>
        <v>-29</v>
      </c>
      <c r="G189" s="92">
        <f>VLOOKUP(A189,'Data Vlaue (Cr)'!C184:CB397,78,0)</f>
        <v>-2.8000000000000001E-2</v>
      </c>
      <c r="H189" s="91">
        <f>VLOOKUP($A189,'Data Vlaue (Cr)'!$C:$FB,91)</f>
        <v>804</v>
      </c>
      <c r="I189" s="91">
        <f>VLOOKUP($A189,'Data Vlaue (Cr)'!$C:$FB,93)</f>
        <v>-253</v>
      </c>
      <c r="J189" s="92">
        <f>VLOOKUP($A189,'Data Vlaue (Cr)'!$C:$FB,94)</f>
        <v>-0.2397</v>
      </c>
      <c r="K189" s="91">
        <f>VLOOKUP($A189,'Data Vlaue (Cr)'!$C:$FB,95)</f>
        <v>405</v>
      </c>
      <c r="L189" s="91">
        <f>VLOOKUP($A189,'Data Vlaue (Cr)'!$C:$FB,97)</f>
        <v>-74</v>
      </c>
      <c r="M189" s="92">
        <f>VLOOKUP($A189,'Data Vlaue (Cr)'!$C:$FB,98)</f>
        <v>-0.15359999999999999</v>
      </c>
      <c r="N189" s="91">
        <f>VLOOKUP($A189,'Data Vlaue (Cr)'!$C:$FB,79)</f>
        <v>534</v>
      </c>
      <c r="O189" s="92">
        <f>VLOOKUP($A189,'Data Vlaue (Cr)'!$C:$FB,82)</f>
        <v>-0.27050000000000002</v>
      </c>
    </row>
    <row r="190" spans="1:15" x14ac:dyDescent="0.25">
      <c r="A190" s="97" t="str">
        <f>'Data Vlaue (Cr)'!C185</f>
        <v>SUNPHARMA</v>
      </c>
      <c r="B190" s="142">
        <f>VLOOKUP(A190,'Data Vlaue (Cr)'!C185:CW398,99,0)</f>
        <v>6181</v>
      </c>
      <c r="C190" s="90">
        <f>VLOOKUP(A190,'Data Vlaue (Cr)'!C185:CY398,101,0)</f>
        <v>-85</v>
      </c>
      <c r="D190" s="139">
        <f>VLOOKUP(A190,'Data Vlaue (Cr)'!C185:CZ398,102,0)</f>
        <v>-1.3599999999999999E-2</v>
      </c>
      <c r="E190" s="91">
        <f>VLOOKUP($A190,'Data Vlaue (Cr)'!$C:$FB,75)</f>
        <v>3484</v>
      </c>
      <c r="F190" s="91">
        <f>VLOOKUP($A190,'Data Vlaue (Cr)'!$C:$FB,77)</f>
        <v>34</v>
      </c>
      <c r="G190" s="92">
        <f>VLOOKUP(A190,'Data Vlaue (Cr)'!C185:CB398,78,0)</f>
        <v>9.7000000000000003E-3</v>
      </c>
      <c r="H190" s="91">
        <f>VLOOKUP($A190,'Data Vlaue (Cr)'!$C:$FB,91)</f>
        <v>1927</v>
      </c>
      <c r="I190" s="91">
        <f>VLOOKUP($A190,'Data Vlaue (Cr)'!$C:$FB,93)</f>
        <v>-47</v>
      </c>
      <c r="J190" s="92">
        <f>VLOOKUP($A190,'Data Vlaue (Cr)'!$C:$FB,94)</f>
        <v>-2.4E-2</v>
      </c>
      <c r="K190" s="91">
        <f>VLOOKUP($A190,'Data Vlaue (Cr)'!$C:$FB,95)</f>
        <v>771</v>
      </c>
      <c r="L190" s="91">
        <f>VLOOKUP($A190,'Data Vlaue (Cr)'!$C:$FB,97)</f>
        <v>-71</v>
      </c>
      <c r="M190" s="92">
        <f>VLOOKUP($A190,'Data Vlaue (Cr)'!$C:$FB,98)</f>
        <v>-8.48E-2</v>
      </c>
      <c r="N190" s="91">
        <f>VLOOKUP($A190,'Data Vlaue (Cr)'!$C:$FB,79)</f>
        <v>1681</v>
      </c>
      <c r="O190" s="92">
        <f>VLOOKUP($A190,'Data Vlaue (Cr)'!$C:$FB,82)</f>
        <v>-0.35470000000000002</v>
      </c>
    </row>
    <row r="191" spans="1:15" x14ac:dyDescent="0.25">
      <c r="A191" s="97" t="str">
        <f>'Data Vlaue (Cr)'!C186</f>
        <v>SUPREMEIND</v>
      </c>
      <c r="B191" s="142">
        <f>VLOOKUP(A191,'Data Vlaue (Cr)'!C186:CW399,99,0)</f>
        <v>1308</v>
      </c>
      <c r="C191" s="90">
        <f>VLOOKUP(A191,'Data Vlaue (Cr)'!C186:CY399,101,0)</f>
        <v>-154</v>
      </c>
      <c r="D191" s="139">
        <f>VLOOKUP(A191,'Data Vlaue (Cr)'!C186:CZ399,102,0)</f>
        <v>-0.1052</v>
      </c>
      <c r="E191" s="91">
        <f>VLOOKUP($A191,'Data Vlaue (Cr)'!$C:$FB,75)</f>
        <v>796</v>
      </c>
      <c r="F191" s="91">
        <f>VLOOKUP($A191,'Data Vlaue (Cr)'!$C:$FB,77)</f>
        <v>-43</v>
      </c>
      <c r="G191" s="92">
        <f>VLOOKUP(A191,'Data Vlaue (Cr)'!C186:CB399,78,0)</f>
        <v>-5.0900000000000001E-2</v>
      </c>
      <c r="H191" s="91">
        <f>VLOOKUP($A191,'Data Vlaue (Cr)'!$C:$FB,91)</f>
        <v>258</v>
      </c>
      <c r="I191" s="91">
        <f>VLOOKUP($A191,'Data Vlaue (Cr)'!$C:$FB,93)</f>
        <v>-63</v>
      </c>
      <c r="J191" s="92">
        <f>VLOOKUP($A191,'Data Vlaue (Cr)'!$C:$FB,94)</f>
        <v>-0.1961</v>
      </c>
      <c r="K191" s="91">
        <f>VLOOKUP($A191,'Data Vlaue (Cr)'!$C:$FB,95)</f>
        <v>254</v>
      </c>
      <c r="L191" s="91">
        <f>VLOOKUP($A191,'Data Vlaue (Cr)'!$C:$FB,97)</f>
        <v>-48</v>
      </c>
      <c r="M191" s="92">
        <f>VLOOKUP($A191,'Data Vlaue (Cr)'!$C:$FB,98)</f>
        <v>-0.1593</v>
      </c>
      <c r="N191" s="91">
        <f>VLOOKUP($A191,'Data Vlaue (Cr)'!$C:$FB,79)</f>
        <v>387</v>
      </c>
      <c r="O191" s="92">
        <f>VLOOKUP($A191,'Data Vlaue (Cr)'!$C:$FB,82)</f>
        <v>-0.35389999999999999</v>
      </c>
    </row>
    <row r="192" spans="1:15" x14ac:dyDescent="0.25">
      <c r="A192" s="97" t="str">
        <f>'Data Vlaue (Cr)'!C187</f>
        <v>SUZLON</v>
      </c>
      <c r="B192" s="142">
        <f>VLOOKUP(A192,'Data Vlaue (Cr)'!C187:CW400,99,0)</f>
        <v>3128</v>
      </c>
      <c r="C192" s="90">
        <f>VLOOKUP(A192,'Data Vlaue (Cr)'!C187:CY400,101,0)</f>
        <v>-99</v>
      </c>
      <c r="D192" s="139">
        <f>VLOOKUP(A192,'Data Vlaue (Cr)'!C187:CZ400,102,0)</f>
        <v>-3.0499999999999999E-2</v>
      </c>
      <c r="E192" s="91">
        <f>VLOOKUP($A192,'Data Vlaue (Cr)'!$C:$FB,75)</f>
        <v>1650</v>
      </c>
      <c r="F192" s="91">
        <f>VLOOKUP($A192,'Data Vlaue (Cr)'!$C:$FB,77)</f>
        <v>-44</v>
      </c>
      <c r="G192" s="92">
        <f>VLOOKUP(A192,'Data Vlaue (Cr)'!C187:CB400,78,0)</f>
        <v>-2.6200000000000001E-2</v>
      </c>
      <c r="H192" s="91">
        <f>VLOOKUP($A192,'Data Vlaue (Cr)'!$C:$FB,91)</f>
        <v>1022</v>
      </c>
      <c r="I192" s="91">
        <f>VLOOKUP($A192,'Data Vlaue (Cr)'!$C:$FB,93)</f>
        <v>-65</v>
      </c>
      <c r="J192" s="92">
        <f>VLOOKUP($A192,'Data Vlaue (Cr)'!$C:$FB,94)</f>
        <v>-5.9700000000000003E-2</v>
      </c>
      <c r="K192" s="91">
        <f>VLOOKUP($A192,'Data Vlaue (Cr)'!$C:$FB,95)</f>
        <v>456</v>
      </c>
      <c r="L192" s="91">
        <f>VLOOKUP($A192,'Data Vlaue (Cr)'!$C:$FB,97)</f>
        <v>11</v>
      </c>
      <c r="M192" s="92">
        <f>VLOOKUP($A192,'Data Vlaue (Cr)'!$C:$FB,98)</f>
        <v>2.41E-2</v>
      </c>
      <c r="N192" s="91">
        <f>VLOOKUP($A192,'Data Vlaue (Cr)'!$C:$FB,79)</f>
        <v>906</v>
      </c>
      <c r="O192" s="92">
        <f>VLOOKUP($A192,'Data Vlaue (Cr)'!$C:$FB,82)</f>
        <v>-0.2145</v>
      </c>
    </row>
    <row r="193" spans="1:15" x14ac:dyDescent="0.25">
      <c r="A193" s="97" t="str">
        <f>'Data Vlaue (Cr)'!C188</f>
        <v>SWIGGY</v>
      </c>
      <c r="B193" s="142">
        <f>VLOOKUP(A193,'Data Vlaue (Cr)'!C188:CW401,99,0)</f>
        <v>1558</v>
      </c>
      <c r="C193" s="90">
        <f>VLOOKUP(A193,'Data Vlaue (Cr)'!C188:CY401,101,0)</f>
        <v>-18</v>
      </c>
      <c r="D193" s="139">
        <f>VLOOKUP(A193,'Data Vlaue (Cr)'!C188:CZ401,102,0)</f>
        <v>-1.17E-2</v>
      </c>
      <c r="E193" s="91">
        <f>VLOOKUP($A193,'Data Vlaue (Cr)'!$C:$FB,75)</f>
        <v>1094</v>
      </c>
      <c r="F193" s="91">
        <f>VLOOKUP($A193,'Data Vlaue (Cr)'!$C:$FB,77)</f>
        <v>-60</v>
      </c>
      <c r="G193" s="92">
        <f>VLOOKUP(A193,'Data Vlaue (Cr)'!C188:CB401,78,0)</f>
        <v>-5.1700000000000003E-2</v>
      </c>
      <c r="H193" s="91">
        <f>VLOOKUP($A193,'Data Vlaue (Cr)'!$C:$FB,91)</f>
        <v>285</v>
      </c>
      <c r="I193" s="91">
        <f>VLOOKUP($A193,'Data Vlaue (Cr)'!$C:$FB,93)</f>
        <v>21</v>
      </c>
      <c r="J193" s="92">
        <f>VLOOKUP($A193,'Data Vlaue (Cr)'!$C:$FB,94)</f>
        <v>7.7600000000000002E-2</v>
      </c>
      <c r="K193" s="91">
        <f>VLOOKUP($A193,'Data Vlaue (Cr)'!$C:$FB,95)</f>
        <v>179</v>
      </c>
      <c r="L193" s="91">
        <f>VLOOKUP($A193,'Data Vlaue (Cr)'!$C:$FB,97)</f>
        <v>21</v>
      </c>
      <c r="M193" s="92">
        <f>VLOOKUP($A193,'Data Vlaue (Cr)'!$C:$FB,98)</f>
        <v>0.13150000000000001</v>
      </c>
      <c r="N193" s="91">
        <f>VLOOKUP($A193,'Data Vlaue (Cr)'!$C:$FB,79)</f>
        <v>453</v>
      </c>
      <c r="O193" s="92">
        <f>VLOOKUP($A193,'Data Vlaue (Cr)'!$C:$FB,82)</f>
        <v>-0.44829999999999998</v>
      </c>
    </row>
    <row r="194" spans="1:15" x14ac:dyDescent="0.25">
      <c r="A194" s="97" t="str">
        <f>'Data Vlaue (Cr)'!C189</f>
        <v>SYNGENE</v>
      </c>
      <c r="B194" s="142">
        <f>VLOOKUP(A194,'Data Vlaue (Cr)'!C189:CW402,99,0)</f>
        <v>1092</v>
      </c>
      <c r="C194" s="90">
        <f>VLOOKUP(A194,'Data Vlaue (Cr)'!C189:CY402,101,0)</f>
        <v>32</v>
      </c>
      <c r="D194" s="139">
        <f>VLOOKUP(A194,'Data Vlaue (Cr)'!C189:CZ402,102,0)</f>
        <v>2.9899999999999999E-2</v>
      </c>
      <c r="E194" s="91">
        <f>VLOOKUP($A194,'Data Vlaue (Cr)'!$C:$FB,75)</f>
        <v>512</v>
      </c>
      <c r="F194" s="91">
        <f>VLOOKUP($A194,'Data Vlaue (Cr)'!$C:$FB,77)</f>
        <v>26</v>
      </c>
      <c r="G194" s="92">
        <f>VLOOKUP(A194,'Data Vlaue (Cr)'!C189:CB402,78,0)</f>
        <v>5.2699999999999997E-2</v>
      </c>
      <c r="H194" s="91">
        <f>VLOOKUP($A194,'Data Vlaue (Cr)'!$C:$FB,91)</f>
        <v>348</v>
      </c>
      <c r="I194" s="91">
        <f>VLOOKUP($A194,'Data Vlaue (Cr)'!$C:$FB,93)</f>
        <v>-19</v>
      </c>
      <c r="J194" s="92">
        <f>VLOOKUP($A194,'Data Vlaue (Cr)'!$C:$FB,94)</f>
        <v>-5.1999999999999998E-2</v>
      </c>
      <c r="K194" s="91">
        <f>VLOOKUP($A194,'Data Vlaue (Cr)'!$C:$FB,95)</f>
        <v>231</v>
      </c>
      <c r="L194" s="91">
        <f>VLOOKUP($A194,'Data Vlaue (Cr)'!$C:$FB,97)</f>
        <v>25</v>
      </c>
      <c r="M194" s="92">
        <f>VLOOKUP($A194,'Data Vlaue (Cr)'!$C:$FB,98)</f>
        <v>0.1221</v>
      </c>
      <c r="N194" s="91">
        <f>VLOOKUP($A194,'Data Vlaue (Cr)'!$C:$FB,79)</f>
        <v>202</v>
      </c>
      <c r="O194" s="92">
        <f>VLOOKUP($A194,'Data Vlaue (Cr)'!$C:$FB,82)</f>
        <v>-0.44259999999999999</v>
      </c>
    </row>
    <row r="195" spans="1:15" x14ac:dyDescent="0.25">
      <c r="A195" s="97" t="str">
        <f>'Data Vlaue (Cr)'!C190</f>
        <v>TATACONSUM</v>
      </c>
      <c r="B195" s="142">
        <f>VLOOKUP(A195,'Data Vlaue (Cr)'!C190:CW403,99,0)</f>
        <v>2178</v>
      </c>
      <c r="C195" s="90">
        <f>VLOOKUP(A195,'Data Vlaue (Cr)'!C190:CY403,101,0)</f>
        <v>-80</v>
      </c>
      <c r="D195" s="139">
        <f>VLOOKUP(A195,'Data Vlaue (Cr)'!C190:CZ403,102,0)</f>
        <v>-3.5299999999999998E-2</v>
      </c>
      <c r="E195" s="91">
        <f>VLOOKUP($A195,'Data Vlaue (Cr)'!$C:$FB,75)</f>
        <v>1363</v>
      </c>
      <c r="F195" s="91">
        <f>VLOOKUP($A195,'Data Vlaue (Cr)'!$C:$FB,77)</f>
        <v>-5</v>
      </c>
      <c r="G195" s="92">
        <f>VLOOKUP(A195,'Data Vlaue (Cr)'!C190:CB403,78,0)</f>
        <v>-3.7000000000000002E-3</v>
      </c>
      <c r="H195" s="91">
        <f>VLOOKUP($A195,'Data Vlaue (Cr)'!$C:$FB,91)</f>
        <v>474</v>
      </c>
      <c r="I195" s="91">
        <f>VLOOKUP($A195,'Data Vlaue (Cr)'!$C:$FB,93)</f>
        <v>-54</v>
      </c>
      <c r="J195" s="92">
        <f>VLOOKUP($A195,'Data Vlaue (Cr)'!$C:$FB,94)</f>
        <v>-0.1024</v>
      </c>
      <c r="K195" s="91">
        <f>VLOOKUP($A195,'Data Vlaue (Cr)'!$C:$FB,95)</f>
        <v>341</v>
      </c>
      <c r="L195" s="91">
        <f>VLOOKUP($A195,'Data Vlaue (Cr)'!$C:$FB,97)</f>
        <v>-21</v>
      </c>
      <c r="M195" s="92">
        <f>VLOOKUP($A195,'Data Vlaue (Cr)'!$C:$FB,98)</f>
        <v>-5.6899999999999999E-2</v>
      </c>
      <c r="N195" s="91">
        <f>VLOOKUP($A195,'Data Vlaue (Cr)'!$C:$FB,79)</f>
        <v>453</v>
      </c>
      <c r="O195" s="92">
        <f>VLOOKUP($A195,'Data Vlaue (Cr)'!$C:$FB,82)</f>
        <v>-0.50639999999999996</v>
      </c>
    </row>
    <row r="196" spans="1:15" x14ac:dyDescent="0.25">
      <c r="A196" s="97" t="str">
        <f>'Data Vlaue (Cr)'!C191</f>
        <v>TATAELXSI</v>
      </c>
      <c r="B196" s="142">
        <f>VLOOKUP(A196,'Data Vlaue (Cr)'!C191:CW404,99,0)</f>
        <v>2330</v>
      </c>
      <c r="C196" s="90">
        <f>VLOOKUP(A196,'Data Vlaue (Cr)'!C191:CY404,101,0)</f>
        <v>-218</v>
      </c>
      <c r="D196" s="139">
        <f>VLOOKUP(A196,'Data Vlaue (Cr)'!C191:CZ404,102,0)</f>
        <v>-8.5599999999999996E-2</v>
      </c>
      <c r="E196" s="91">
        <f>VLOOKUP($A196,'Data Vlaue (Cr)'!$C:$FB,75)</f>
        <v>779</v>
      </c>
      <c r="F196" s="91">
        <f>VLOOKUP($A196,'Data Vlaue (Cr)'!$C:$FB,77)</f>
        <v>-37</v>
      </c>
      <c r="G196" s="92">
        <f>VLOOKUP(A196,'Data Vlaue (Cr)'!C191:CB404,78,0)</f>
        <v>-4.48E-2</v>
      </c>
      <c r="H196" s="91">
        <f>VLOOKUP($A196,'Data Vlaue (Cr)'!$C:$FB,91)</f>
        <v>1012</v>
      </c>
      <c r="I196" s="91">
        <f>VLOOKUP($A196,'Data Vlaue (Cr)'!$C:$FB,93)</f>
        <v>-112</v>
      </c>
      <c r="J196" s="92">
        <f>VLOOKUP($A196,'Data Vlaue (Cr)'!$C:$FB,94)</f>
        <v>-9.9599999999999994E-2</v>
      </c>
      <c r="K196" s="91">
        <f>VLOOKUP($A196,'Data Vlaue (Cr)'!$C:$FB,95)</f>
        <v>539</v>
      </c>
      <c r="L196" s="91">
        <f>VLOOKUP($A196,'Data Vlaue (Cr)'!$C:$FB,97)</f>
        <v>-69</v>
      </c>
      <c r="M196" s="92">
        <f>VLOOKUP($A196,'Data Vlaue (Cr)'!$C:$FB,98)</f>
        <v>-0.1142</v>
      </c>
      <c r="N196" s="91">
        <f>VLOOKUP($A196,'Data Vlaue (Cr)'!$C:$FB,79)</f>
        <v>328</v>
      </c>
      <c r="O196" s="92">
        <f>VLOOKUP($A196,'Data Vlaue (Cr)'!$C:$FB,82)</f>
        <v>-0.43419999999999997</v>
      </c>
    </row>
    <row r="197" spans="1:15" x14ac:dyDescent="0.25">
      <c r="A197" s="97" t="str">
        <f>'Data Vlaue (Cr)'!C192</f>
        <v>TATAPOWER</v>
      </c>
      <c r="B197" s="142">
        <f>VLOOKUP(A197,'Data Vlaue (Cr)'!C192:CW405,99,0)</f>
        <v>4742</v>
      </c>
      <c r="C197" s="90">
        <f>VLOOKUP(A197,'Data Vlaue (Cr)'!C192:CY405,101,0)</f>
        <v>138</v>
      </c>
      <c r="D197" s="139">
        <f>VLOOKUP(A197,'Data Vlaue (Cr)'!C192:CZ405,102,0)</f>
        <v>2.9899999999999999E-2</v>
      </c>
      <c r="E197" s="91">
        <f>VLOOKUP($A197,'Data Vlaue (Cr)'!$C:$FB,75)</f>
        <v>2168</v>
      </c>
      <c r="F197" s="91">
        <f>VLOOKUP($A197,'Data Vlaue (Cr)'!$C:$FB,77)</f>
        <v>81</v>
      </c>
      <c r="G197" s="92">
        <f>VLOOKUP(A197,'Data Vlaue (Cr)'!C192:CB405,78,0)</f>
        <v>3.8800000000000001E-2</v>
      </c>
      <c r="H197" s="91">
        <f>VLOOKUP($A197,'Data Vlaue (Cr)'!$C:$FB,91)</f>
        <v>1427</v>
      </c>
      <c r="I197" s="91">
        <f>VLOOKUP($A197,'Data Vlaue (Cr)'!$C:$FB,93)</f>
        <v>-4</v>
      </c>
      <c r="J197" s="92">
        <f>VLOOKUP($A197,'Data Vlaue (Cr)'!$C:$FB,94)</f>
        <v>-3.0999999999999999E-3</v>
      </c>
      <c r="K197" s="91">
        <f>VLOOKUP($A197,'Data Vlaue (Cr)'!$C:$FB,95)</f>
        <v>1147</v>
      </c>
      <c r="L197" s="91">
        <f>VLOOKUP($A197,'Data Vlaue (Cr)'!$C:$FB,97)</f>
        <v>61</v>
      </c>
      <c r="M197" s="92">
        <f>VLOOKUP($A197,'Data Vlaue (Cr)'!$C:$FB,98)</f>
        <v>5.6399999999999999E-2</v>
      </c>
      <c r="N197" s="91">
        <f>VLOOKUP($A197,'Data Vlaue (Cr)'!$C:$FB,79)</f>
        <v>1161</v>
      </c>
      <c r="O197" s="92">
        <f>VLOOKUP($A197,'Data Vlaue (Cr)'!$C:$FB,82)</f>
        <v>-0.2298</v>
      </c>
    </row>
    <row r="198" spans="1:15" x14ac:dyDescent="0.25">
      <c r="A198" s="97" t="str">
        <f>'Data Vlaue (Cr)'!C193</f>
        <v>TATASTEEL</v>
      </c>
      <c r="B198" s="142">
        <f>VLOOKUP(A198,'Data Vlaue (Cr)'!C193:CW406,99,0)</f>
        <v>9767</v>
      </c>
      <c r="C198" s="90">
        <f>VLOOKUP(A198,'Data Vlaue (Cr)'!C193:CY406,101,0)</f>
        <v>153</v>
      </c>
      <c r="D198" s="139">
        <f>VLOOKUP(A198,'Data Vlaue (Cr)'!C193:CZ406,102,0)</f>
        <v>1.5900000000000001E-2</v>
      </c>
      <c r="E198" s="91">
        <f>VLOOKUP($A198,'Data Vlaue (Cr)'!$C:$FB,75)</f>
        <v>5079</v>
      </c>
      <c r="F198" s="91">
        <f>VLOOKUP($A198,'Data Vlaue (Cr)'!$C:$FB,77)</f>
        <v>133</v>
      </c>
      <c r="G198" s="92">
        <f>VLOOKUP(A198,'Data Vlaue (Cr)'!C193:CB406,78,0)</f>
        <v>2.69E-2</v>
      </c>
      <c r="H198" s="91">
        <f>VLOOKUP($A198,'Data Vlaue (Cr)'!$C:$FB,91)</f>
        <v>2571</v>
      </c>
      <c r="I198" s="91">
        <f>VLOOKUP($A198,'Data Vlaue (Cr)'!$C:$FB,93)</f>
        <v>-177</v>
      </c>
      <c r="J198" s="92">
        <f>VLOOKUP($A198,'Data Vlaue (Cr)'!$C:$FB,94)</f>
        <v>-6.4299999999999996E-2</v>
      </c>
      <c r="K198" s="91">
        <f>VLOOKUP($A198,'Data Vlaue (Cr)'!$C:$FB,95)</f>
        <v>2118</v>
      </c>
      <c r="L198" s="91">
        <f>VLOOKUP($A198,'Data Vlaue (Cr)'!$C:$FB,97)</f>
        <v>196</v>
      </c>
      <c r="M198" s="92">
        <f>VLOOKUP($A198,'Data Vlaue (Cr)'!$C:$FB,98)</f>
        <v>0.1022</v>
      </c>
      <c r="N198" s="91">
        <f>VLOOKUP($A198,'Data Vlaue (Cr)'!$C:$FB,79)</f>
        <v>2114</v>
      </c>
      <c r="O198" s="92">
        <f>VLOOKUP($A198,'Data Vlaue (Cr)'!$C:$FB,82)</f>
        <v>-0.37090000000000001</v>
      </c>
    </row>
    <row r="199" spans="1:15" x14ac:dyDescent="0.25">
      <c r="A199" s="97" t="str">
        <f>'Data Vlaue (Cr)'!C194</f>
        <v>TATATECH</v>
      </c>
      <c r="B199" s="142">
        <f>VLOOKUP(A199,'Data Vlaue (Cr)'!C194:CW407,99,0)</f>
        <v>1577</v>
      </c>
      <c r="C199" s="90">
        <f>VLOOKUP(A199,'Data Vlaue (Cr)'!C194:CY407,101,0)</f>
        <v>-28</v>
      </c>
      <c r="D199" s="139">
        <f>VLOOKUP(A199,'Data Vlaue (Cr)'!C194:CZ407,102,0)</f>
        <v>-1.7500000000000002E-2</v>
      </c>
      <c r="E199" s="91">
        <f>VLOOKUP($A199,'Data Vlaue (Cr)'!$C:$FB,75)</f>
        <v>751</v>
      </c>
      <c r="F199" s="91">
        <f>VLOOKUP($A199,'Data Vlaue (Cr)'!$C:$FB,77)</f>
        <v>-15</v>
      </c>
      <c r="G199" s="92">
        <f>VLOOKUP(A199,'Data Vlaue (Cr)'!C194:CB407,78,0)</f>
        <v>-1.9599999999999999E-2</v>
      </c>
      <c r="H199" s="91">
        <f>VLOOKUP($A199,'Data Vlaue (Cr)'!$C:$FB,91)</f>
        <v>511</v>
      </c>
      <c r="I199" s="91">
        <f>VLOOKUP($A199,'Data Vlaue (Cr)'!$C:$FB,93)</f>
        <v>1</v>
      </c>
      <c r="J199" s="92">
        <f>VLOOKUP($A199,'Data Vlaue (Cr)'!$C:$FB,94)</f>
        <v>1.1000000000000001E-3</v>
      </c>
      <c r="K199" s="91">
        <f>VLOOKUP($A199,'Data Vlaue (Cr)'!$C:$FB,95)</f>
        <v>315</v>
      </c>
      <c r="L199" s="91">
        <f>VLOOKUP($A199,'Data Vlaue (Cr)'!$C:$FB,97)</f>
        <v>-14</v>
      </c>
      <c r="M199" s="92">
        <f>VLOOKUP($A199,'Data Vlaue (Cr)'!$C:$FB,98)</f>
        <v>-4.1700000000000001E-2</v>
      </c>
      <c r="N199" s="91">
        <f>VLOOKUP($A199,'Data Vlaue (Cr)'!$C:$FB,79)</f>
        <v>351</v>
      </c>
      <c r="O199" s="92">
        <f>VLOOKUP($A199,'Data Vlaue (Cr)'!$C:$FB,82)</f>
        <v>-0.34029999999999999</v>
      </c>
    </row>
    <row r="200" spans="1:15" x14ac:dyDescent="0.25">
      <c r="A200" s="97" t="str">
        <f>'Data Vlaue (Cr)'!C195</f>
        <v>TCS</v>
      </c>
      <c r="B200" s="142">
        <f>VLOOKUP(A200,'Data Vlaue (Cr)'!C195:CW408,99,0)</f>
        <v>13763</v>
      </c>
      <c r="C200" s="90">
        <f>VLOOKUP(A200,'Data Vlaue (Cr)'!C195:CY408,101,0)</f>
        <v>-462</v>
      </c>
      <c r="D200" s="139">
        <f>VLOOKUP(A200,'Data Vlaue (Cr)'!C195:CZ408,102,0)</f>
        <v>-3.2500000000000001E-2</v>
      </c>
      <c r="E200" s="91">
        <f>VLOOKUP($A200,'Data Vlaue (Cr)'!$C:$FB,75)</f>
        <v>6909</v>
      </c>
      <c r="F200" s="91">
        <f>VLOOKUP($A200,'Data Vlaue (Cr)'!$C:$FB,77)</f>
        <v>-140</v>
      </c>
      <c r="G200" s="92">
        <f>VLOOKUP(A200,'Data Vlaue (Cr)'!C195:CB408,78,0)</f>
        <v>-1.9800000000000002E-2</v>
      </c>
      <c r="H200" s="91">
        <f>VLOOKUP($A200,'Data Vlaue (Cr)'!$C:$FB,91)</f>
        <v>4514</v>
      </c>
      <c r="I200" s="91">
        <f>VLOOKUP($A200,'Data Vlaue (Cr)'!$C:$FB,93)</f>
        <v>-273</v>
      </c>
      <c r="J200" s="92">
        <f>VLOOKUP($A200,'Data Vlaue (Cr)'!$C:$FB,94)</f>
        <v>-5.7000000000000002E-2</v>
      </c>
      <c r="K200" s="91">
        <f>VLOOKUP($A200,'Data Vlaue (Cr)'!$C:$FB,95)</f>
        <v>2340</v>
      </c>
      <c r="L200" s="91">
        <f>VLOOKUP($A200,'Data Vlaue (Cr)'!$C:$FB,97)</f>
        <v>-50</v>
      </c>
      <c r="M200" s="92">
        <f>VLOOKUP($A200,'Data Vlaue (Cr)'!$C:$FB,98)</f>
        <v>-2.0899999999999998E-2</v>
      </c>
      <c r="N200" s="91">
        <f>VLOOKUP($A200,'Data Vlaue (Cr)'!$C:$FB,79)</f>
        <v>2138</v>
      </c>
      <c r="O200" s="92">
        <f>VLOOKUP($A200,'Data Vlaue (Cr)'!$C:$FB,82)</f>
        <v>-0.37819999999999998</v>
      </c>
    </row>
    <row r="201" spans="1:15" x14ac:dyDescent="0.25">
      <c r="A201" s="97" t="str">
        <f>'Data Vlaue (Cr)'!C196</f>
        <v>TECHM</v>
      </c>
      <c r="B201" s="142">
        <f>VLOOKUP(A201,'Data Vlaue (Cr)'!C196:CW409,99,0)</f>
        <v>5379</v>
      </c>
      <c r="C201" s="90">
        <f>VLOOKUP(A201,'Data Vlaue (Cr)'!C196:CY409,101,0)</f>
        <v>7</v>
      </c>
      <c r="D201" s="139">
        <f>VLOOKUP(A201,'Data Vlaue (Cr)'!C196:CZ409,102,0)</f>
        <v>1.2999999999999999E-3</v>
      </c>
      <c r="E201" s="91">
        <f>VLOOKUP($A201,'Data Vlaue (Cr)'!$C:$FB,75)</f>
        <v>3523</v>
      </c>
      <c r="F201" s="91">
        <f>VLOOKUP($A201,'Data Vlaue (Cr)'!$C:$FB,77)</f>
        <v>106</v>
      </c>
      <c r="G201" s="92">
        <f>VLOOKUP(A201,'Data Vlaue (Cr)'!C196:CB409,78,0)</f>
        <v>3.09E-2</v>
      </c>
      <c r="H201" s="91">
        <f>VLOOKUP($A201,'Data Vlaue (Cr)'!$C:$FB,91)</f>
        <v>1072</v>
      </c>
      <c r="I201" s="91">
        <f>VLOOKUP($A201,'Data Vlaue (Cr)'!$C:$FB,93)</f>
        <v>-40</v>
      </c>
      <c r="J201" s="92">
        <f>VLOOKUP($A201,'Data Vlaue (Cr)'!$C:$FB,94)</f>
        <v>-3.5900000000000001E-2</v>
      </c>
      <c r="K201" s="91">
        <f>VLOOKUP($A201,'Data Vlaue (Cr)'!$C:$FB,95)</f>
        <v>785</v>
      </c>
      <c r="L201" s="91">
        <f>VLOOKUP($A201,'Data Vlaue (Cr)'!$C:$FB,97)</f>
        <v>-59</v>
      </c>
      <c r="M201" s="92">
        <f>VLOOKUP($A201,'Data Vlaue (Cr)'!$C:$FB,98)</f>
        <v>-6.9599999999999995E-2</v>
      </c>
      <c r="N201" s="91">
        <f>VLOOKUP($A201,'Data Vlaue (Cr)'!$C:$FB,79)</f>
        <v>1458</v>
      </c>
      <c r="O201" s="92">
        <f>VLOOKUP($A201,'Data Vlaue (Cr)'!$C:$FB,82)</f>
        <v>-0.43740000000000001</v>
      </c>
    </row>
    <row r="202" spans="1:15" x14ac:dyDescent="0.25">
      <c r="A202" s="97" t="str">
        <f>'Data Vlaue (Cr)'!C197</f>
        <v>TIINDIA</v>
      </c>
      <c r="B202" s="142">
        <f>VLOOKUP(A202,'Data Vlaue (Cr)'!C197:CW410,99,0)</f>
        <v>1326</v>
      </c>
      <c r="C202" s="90">
        <f>VLOOKUP(A202,'Data Vlaue (Cr)'!C197:CY410,101,0)</f>
        <v>-22</v>
      </c>
      <c r="D202" s="139">
        <f>VLOOKUP(A202,'Data Vlaue (Cr)'!C197:CZ410,102,0)</f>
        <v>-1.66E-2</v>
      </c>
      <c r="E202" s="91">
        <f>VLOOKUP($A202,'Data Vlaue (Cr)'!$C:$FB,75)</f>
        <v>886</v>
      </c>
      <c r="F202" s="91">
        <f>VLOOKUP($A202,'Data Vlaue (Cr)'!$C:$FB,77)</f>
        <v>11</v>
      </c>
      <c r="G202" s="92">
        <f>VLOOKUP(A202,'Data Vlaue (Cr)'!C197:CB410,78,0)</f>
        <v>1.23E-2</v>
      </c>
      <c r="H202" s="91">
        <f>VLOOKUP($A202,'Data Vlaue (Cr)'!$C:$FB,91)</f>
        <v>241</v>
      </c>
      <c r="I202" s="91">
        <f>VLOOKUP($A202,'Data Vlaue (Cr)'!$C:$FB,93)</f>
        <v>-24</v>
      </c>
      <c r="J202" s="92">
        <f>VLOOKUP($A202,'Data Vlaue (Cr)'!$C:$FB,94)</f>
        <v>-9.1300000000000006E-2</v>
      </c>
      <c r="K202" s="91">
        <f>VLOOKUP($A202,'Data Vlaue (Cr)'!$C:$FB,95)</f>
        <v>200</v>
      </c>
      <c r="L202" s="91">
        <f>VLOOKUP($A202,'Data Vlaue (Cr)'!$C:$FB,97)</f>
        <v>-9</v>
      </c>
      <c r="M202" s="92">
        <f>VLOOKUP($A202,'Data Vlaue (Cr)'!$C:$FB,98)</f>
        <v>-4.3200000000000002E-2</v>
      </c>
      <c r="N202" s="91">
        <f>VLOOKUP($A202,'Data Vlaue (Cr)'!$C:$FB,79)</f>
        <v>406</v>
      </c>
      <c r="O202" s="92">
        <f>VLOOKUP($A202,'Data Vlaue (Cr)'!$C:$FB,82)</f>
        <v>-0.38400000000000001</v>
      </c>
    </row>
    <row r="203" spans="1:15" x14ac:dyDescent="0.25">
      <c r="A203" s="97" t="str">
        <f>'Data Vlaue (Cr)'!C198</f>
        <v>TITAN</v>
      </c>
      <c r="B203" s="142">
        <f>VLOOKUP(A203,'Data Vlaue (Cr)'!C198:CW411,99,0)</f>
        <v>7263</v>
      </c>
      <c r="C203" s="90">
        <f>VLOOKUP(A203,'Data Vlaue (Cr)'!C198:CY411,101,0)</f>
        <v>180</v>
      </c>
      <c r="D203" s="139">
        <f>VLOOKUP(A203,'Data Vlaue (Cr)'!C198:CZ411,102,0)</f>
        <v>2.5399999999999999E-2</v>
      </c>
      <c r="E203" s="91">
        <f>VLOOKUP($A203,'Data Vlaue (Cr)'!$C:$FB,75)</f>
        <v>3621</v>
      </c>
      <c r="F203" s="91">
        <f>VLOOKUP($A203,'Data Vlaue (Cr)'!$C:$FB,77)</f>
        <v>-50</v>
      </c>
      <c r="G203" s="92">
        <f>VLOOKUP(A203,'Data Vlaue (Cr)'!C198:CB411,78,0)</f>
        <v>-1.35E-2</v>
      </c>
      <c r="H203" s="91">
        <f>VLOOKUP($A203,'Data Vlaue (Cr)'!$C:$FB,91)</f>
        <v>2325</v>
      </c>
      <c r="I203" s="91">
        <f>VLOOKUP($A203,'Data Vlaue (Cr)'!$C:$FB,93)</f>
        <v>229</v>
      </c>
      <c r="J203" s="92">
        <f>VLOOKUP($A203,'Data Vlaue (Cr)'!$C:$FB,94)</f>
        <v>0.109</v>
      </c>
      <c r="K203" s="91">
        <f>VLOOKUP($A203,'Data Vlaue (Cr)'!$C:$FB,95)</f>
        <v>1317</v>
      </c>
      <c r="L203" s="91">
        <f>VLOOKUP($A203,'Data Vlaue (Cr)'!$C:$FB,97)</f>
        <v>1</v>
      </c>
      <c r="M203" s="92">
        <f>VLOOKUP($A203,'Data Vlaue (Cr)'!$C:$FB,98)</f>
        <v>6.9999999999999999E-4</v>
      </c>
      <c r="N203" s="91">
        <f>VLOOKUP($A203,'Data Vlaue (Cr)'!$C:$FB,79)</f>
        <v>1520</v>
      </c>
      <c r="O203" s="92">
        <f>VLOOKUP($A203,'Data Vlaue (Cr)'!$C:$FB,82)</f>
        <v>-0.39860000000000001</v>
      </c>
    </row>
    <row r="204" spans="1:15" x14ac:dyDescent="0.25">
      <c r="A204" s="97" t="str">
        <f>'Data Vlaue (Cr)'!C199</f>
        <v>TMPV</v>
      </c>
      <c r="B204" s="142">
        <f>VLOOKUP(A204,'Data Vlaue (Cr)'!C199:CW412,99,0)</f>
        <v>5895</v>
      </c>
      <c r="C204" s="90">
        <f>VLOOKUP(A204,'Data Vlaue (Cr)'!C199:CY412,101,0)</f>
        <v>-149</v>
      </c>
      <c r="D204" s="139">
        <f>VLOOKUP(A204,'Data Vlaue (Cr)'!C199:CZ412,102,0)</f>
        <v>-2.47E-2</v>
      </c>
      <c r="E204" s="91">
        <f>VLOOKUP($A204,'Data Vlaue (Cr)'!$C:$FB,75)</f>
        <v>2985</v>
      </c>
      <c r="F204" s="91">
        <f>VLOOKUP($A204,'Data Vlaue (Cr)'!$C:$FB,77)</f>
        <v>-97</v>
      </c>
      <c r="G204" s="92">
        <f>VLOOKUP(A204,'Data Vlaue (Cr)'!C199:CB412,78,0)</f>
        <v>-3.15E-2</v>
      </c>
      <c r="H204" s="91">
        <f>VLOOKUP($A204,'Data Vlaue (Cr)'!$C:$FB,91)</f>
        <v>1863</v>
      </c>
      <c r="I204" s="91">
        <f>VLOOKUP($A204,'Data Vlaue (Cr)'!$C:$FB,93)</f>
        <v>-93</v>
      </c>
      <c r="J204" s="92">
        <f>VLOOKUP($A204,'Data Vlaue (Cr)'!$C:$FB,94)</f>
        <v>-4.7300000000000002E-2</v>
      </c>
      <c r="K204" s="91">
        <f>VLOOKUP($A204,'Data Vlaue (Cr)'!$C:$FB,95)</f>
        <v>1047</v>
      </c>
      <c r="L204" s="91">
        <f>VLOOKUP($A204,'Data Vlaue (Cr)'!$C:$FB,97)</f>
        <v>40</v>
      </c>
      <c r="M204" s="92">
        <f>VLOOKUP($A204,'Data Vlaue (Cr)'!$C:$FB,98)</f>
        <v>4.02E-2</v>
      </c>
      <c r="N204" s="91">
        <f>VLOOKUP($A204,'Data Vlaue (Cr)'!$C:$FB,79)</f>
        <v>1048</v>
      </c>
      <c r="O204" s="92">
        <f>VLOOKUP($A204,'Data Vlaue (Cr)'!$C:$FB,82)</f>
        <v>-0.46250000000000002</v>
      </c>
    </row>
    <row r="205" spans="1:15" x14ac:dyDescent="0.25">
      <c r="A205" s="97" t="str">
        <f>'Data Vlaue (Cr)'!C200</f>
        <v>TORNTPHARM</v>
      </c>
      <c r="B205" s="142">
        <f>VLOOKUP(A205,'Data Vlaue (Cr)'!C200:CW413,99,0)</f>
        <v>1423</v>
      </c>
      <c r="C205" s="90">
        <f>VLOOKUP(A205,'Data Vlaue (Cr)'!C200:CY413,101,0)</f>
        <v>27</v>
      </c>
      <c r="D205" s="139">
        <f>VLOOKUP(A205,'Data Vlaue (Cr)'!C200:CZ413,102,0)</f>
        <v>1.9400000000000001E-2</v>
      </c>
      <c r="E205" s="91">
        <f>VLOOKUP($A205,'Data Vlaue (Cr)'!$C:$FB,75)</f>
        <v>1026</v>
      </c>
      <c r="F205" s="91">
        <f>VLOOKUP($A205,'Data Vlaue (Cr)'!$C:$FB,77)</f>
        <v>48</v>
      </c>
      <c r="G205" s="92">
        <f>VLOOKUP(A205,'Data Vlaue (Cr)'!C200:CB413,78,0)</f>
        <v>4.87E-2</v>
      </c>
      <c r="H205" s="91">
        <f>VLOOKUP($A205,'Data Vlaue (Cr)'!$C:$FB,91)</f>
        <v>216</v>
      </c>
      <c r="I205" s="91">
        <f>VLOOKUP($A205,'Data Vlaue (Cr)'!$C:$FB,93)</f>
        <v>-22</v>
      </c>
      <c r="J205" s="92">
        <f>VLOOKUP($A205,'Data Vlaue (Cr)'!$C:$FB,94)</f>
        <v>-9.1399999999999995E-2</v>
      </c>
      <c r="K205" s="91">
        <f>VLOOKUP($A205,'Data Vlaue (Cr)'!$C:$FB,95)</f>
        <v>181</v>
      </c>
      <c r="L205" s="91">
        <f>VLOOKUP($A205,'Data Vlaue (Cr)'!$C:$FB,97)</f>
        <v>1</v>
      </c>
      <c r="M205" s="92">
        <f>VLOOKUP($A205,'Data Vlaue (Cr)'!$C:$FB,98)</f>
        <v>6.7000000000000002E-3</v>
      </c>
      <c r="N205" s="91">
        <f>VLOOKUP($A205,'Data Vlaue (Cr)'!$C:$FB,79)</f>
        <v>445</v>
      </c>
      <c r="O205" s="92">
        <f>VLOOKUP($A205,'Data Vlaue (Cr)'!$C:$FB,82)</f>
        <v>-0.31040000000000001</v>
      </c>
    </row>
    <row r="206" spans="1:15" x14ac:dyDescent="0.25">
      <c r="A206" s="97" t="str">
        <f>'Data Vlaue (Cr)'!C201</f>
        <v>TORNTPOWER</v>
      </c>
      <c r="B206" s="142">
        <f>VLOOKUP(A206,'Data Vlaue (Cr)'!C201:CW414,99,0)</f>
        <v>748</v>
      </c>
      <c r="C206" s="90">
        <f>VLOOKUP(A206,'Data Vlaue (Cr)'!C201:CY414,101,0)</f>
        <v>-23</v>
      </c>
      <c r="D206" s="139">
        <f>VLOOKUP(A206,'Data Vlaue (Cr)'!C201:CZ414,102,0)</f>
        <v>-0.03</v>
      </c>
      <c r="E206" s="91">
        <f>VLOOKUP($A206,'Data Vlaue (Cr)'!$C:$FB,75)</f>
        <v>409</v>
      </c>
      <c r="F206" s="91">
        <f>VLOOKUP($A206,'Data Vlaue (Cr)'!$C:$FB,77)</f>
        <v>4</v>
      </c>
      <c r="G206" s="92">
        <f>VLOOKUP(A206,'Data Vlaue (Cr)'!C201:CB414,78,0)</f>
        <v>1.0500000000000001E-2</v>
      </c>
      <c r="H206" s="91">
        <f>VLOOKUP($A206,'Data Vlaue (Cr)'!$C:$FB,91)</f>
        <v>195</v>
      </c>
      <c r="I206" s="91">
        <f>VLOOKUP($A206,'Data Vlaue (Cr)'!$C:$FB,93)</f>
        <v>-21</v>
      </c>
      <c r="J206" s="92">
        <f>VLOOKUP($A206,'Data Vlaue (Cr)'!$C:$FB,94)</f>
        <v>-9.7000000000000003E-2</v>
      </c>
      <c r="K206" s="91">
        <f>VLOOKUP($A206,'Data Vlaue (Cr)'!$C:$FB,95)</f>
        <v>143</v>
      </c>
      <c r="L206" s="91">
        <f>VLOOKUP($A206,'Data Vlaue (Cr)'!$C:$FB,97)</f>
        <v>-6</v>
      </c>
      <c r="M206" s="92">
        <f>VLOOKUP($A206,'Data Vlaue (Cr)'!$C:$FB,98)</f>
        <v>-4.2799999999999998E-2</v>
      </c>
      <c r="N206" s="91">
        <f>VLOOKUP($A206,'Data Vlaue (Cr)'!$C:$FB,79)</f>
        <v>152</v>
      </c>
      <c r="O206" s="92">
        <f>VLOOKUP($A206,'Data Vlaue (Cr)'!$C:$FB,82)</f>
        <v>-0.44030000000000002</v>
      </c>
    </row>
    <row r="207" spans="1:15" x14ac:dyDescent="0.25">
      <c r="A207" s="97" t="str">
        <f>'Data Vlaue (Cr)'!C202</f>
        <v>TRENT</v>
      </c>
      <c r="B207" s="142">
        <f>VLOOKUP(A207,'Data Vlaue (Cr)'!C202:CW415,99,0)</f>
        <v>7429</v>
      </c>
      <c r="C207" s="90">
        <f>VLOOKUP(A207,'Data Vlaue (Cr)'!C202:CY415,101,0)</f>
        <v>-43</v>
      </c>
      <c r="D207" s="139">
        <f>VLOOKUP(A207,'Data Vlaue (Cr)'!C202:CZ415,102,0)</f>
        <v>-5.7999999999999996E-3</v>
      </c>
      <c r="E207" s="91">
        <f>VLOOKUP($A207,'Data Vlaue (Cr)'!$C:$FB,75)</f>
        <v>3420</v>
      </c>
      <c r="F207" s="91">
        <f>VLOOKUP($A207,'Data Vlaue (Cr)'!$C:$FB,77)</f>
        <v>24</v>
      </c>
      <c r="G207" s="92">
        <f>VLOOKUP(A207,'Data Vlaue (Cr)'!C202:CB415,78,0)</f>
        <v>7.0000000000000001E-3</v>
      </c>
      <c r="H207" s="91">
        <f>VLOOKUP($A207,'Data Vlaue (Cr)'!$C:$FB,91)</f>
        <v>2580</v>
      </c>
      <c r="I207" s="91">
        <f>VLOOKUP($A207,'Data Vlaue (Cr)'!$C:$FB,93)</f>
        <v>-54</v>
      </c>
      <c r="J207" s="92">
        <f>VLOOKUP($A207,'Data Vlaue (Cr)'!$C:$FB,94)</f>
        <v>-2.07E-2</v>
      </c>
      <c r="K207" s="91">
        <f>VLOOKUP($A207,'Data Vlaue (Cr)'!$C:$FB,95)</f>
        <v>1429</v>
      </c>
      <c r="L207" s="91">
        <f>VLOOKUP($A207,'Data Vlaue (Cr)'!$C:$FB,97)</f>
        <v>-12</v>
      </c>
      <c r="M207" s="92">
        <f>VLOOKUP($A207,'Data Vlaue (Cr)'!$C:$FB,98)</f>
        <v>-8.5000000000000006E-3</v>
      </c>
      <c r="N207" s="91">
        <f>VLOOKUP($A207,'Data Vlaue (Cr)'!$C:$FB,79)</f>
        <v>1609</v>
      </c>
      <c r="O207" s="92">
        <f>VLOOKUP($A207,'Data Vlaue (Cr)'!$C:$FB,82)</f>
        <v>-0.32779999999999998</v>
      </c>
    </row>
    <row r="208" spans="1:15" x14ac:dyDescent="0.25">
      <c r="A208" s="97" t="str">
        <f>'Data Vlaue (Cr)'!C203</f>
        <v>TVSMOTOR</v>
      </c>
      <c r="B208" s="142">
        <f>VLOOKUP(A208,'Data Vlaue (Cr)'!C203:CW416,99,0)</f>
        <v>4332</v>
      </c>
      <c r="C208" s="90">
        <f>VLOOKUP(A208,'Data Vlaue (Cr)'!C203:CY416,101,0)</f>
        <v>-81</v>
      </c>
      <c r="D208" s="139">
        <f>VLOOKUP(A208,'Data Vlaue (Cr)'!C203:CZ416,102,0)</f>
        <v>-1.83E-2</v>
      </c>
      <c r="E208" s="91">
        <f>VLOOKUP($A208,'Data Vlaue (Cr)'!$C:$FB,75)</f>
        <v>3120</v>
      </c>
      <c r="F208" s="91">
        <f>VLOOKUP($A208,'Data Vlaue (Cr)'!$C:$FB,77)</f>
        <v>-20</v>
      </c>
      <c r="G208" s="92">
        <f>VLOOKUP(A208,'Data Vlaue (Cr)'!C203:CB416,78,0)</f>
        <v>-6.4000000000000003E-3</v>
      </c>
      <c r="H208" s="91">
        <f>VLOOKUP($A208,'Data Vlaue (Cr)'!$C:$FB,91)</f>
        <v>731</v>
      </c>
      <c r="I208" s="91">
        <f>VLOOKUP($A208,'Data Vlaue (Cr)'!$C:$FB,93)</f>
        <v>-61</v>
      </c>
      <c r="J208" s="92">
        <f>VLOOKUP($A208,'Data Vlaue (Cr)'!$C:$FB,94)</f>
        <v>-7.6700000000000004E-2</v>
      </c>
      <c r="K208" s="91">
        <f>VLOOKUP($A208,'Data Vlaue (Cr)'!$C:$FB,95)</f>
        <v>480</v>
      </c>
      <c r="L208" s="91">
        <f>VLOOKUP($A208,'Data Vlaue (Cr)'!$C:$FB,97)</f>
        <v>0</v>
      </c>
      <c r="M208" s="92">
        <f>VLOOKUP($A208,'Data Vlaue (Cr)'!$C:$FB,98)</f>
        <v>1E-4</v>
      </c>
      <c r="N208" s="91">
        <f>VLOOKUP($A208,'Data Vlaue (Cr)'!$C:$FB,79)</f>
        <v>1250</v>
      </c>
      <c r="O208" s="92">
        <f>VLOOKUP($A208,'Data Vlaue (Cr)'!$C:$FB,82)</f>
        <v>-0.44059999999999999</v>
      </c>
    </row>
    <row r="209" spans="1:15" x14ac:dyDescent="0.25">
      <c r="A209" s="97" t="str">
        <f>'Data Vlaue (Cr)'!C204</f>
        <v>ULTRACEMCO</v>
      </c>
      <c r="B209" s="142">
        <f>VLOOKUP(A209,'Data Vlaue (Cr)'!C204:CW417,99,0)</f>
        <v>4934</v>
      </c>
      <c r="C209" s="90">
        <f>VLOOKUP(A209,'Data Vlaue (Cr)'!C204:CY417,101,0)</f>
        <v>80</v>
      </c>
      <c r="D209" s="139">
        <f>VLOOKUP(A209,'Data Vlaue (Cr)'!C204:CZ417,102,0)</f>
        <v>1.66E-2</v>
      </c>
      <c r="E209" s="91">
        <f>VLOOKUP($A209,'Data Vlaue (Cr)'!$C:$FB,75)</f>
        <v>3602</v>
      </c>
      <c r="F209" s="91">
        <f>VLOOKUP($A209,'Data Vlaue (Cr)'!$C:$FB,77)</f>
        <v>106</v>
      </c>
      <c r="G209" s="92">
        <f>VLOOKUP(A209,'Data Vlaue (Cr)'!C204:CB417,78,0)</f>
        <v>3.0300000000000001E-2</v>
      </c>
      <c r="H209" s="91">
        <f>VLOOKUP($A209,'Data Vlaue (Cr)'!$C:$FB,91)</f>
        <v>729</v>
      </c>
      <c r="I209" s="91">
        <f>VLOOKUP($A209,'Data Vlaue (Cr)'!$C:$FB,93)</f>
        <v>-54</v>
      </c>
      <c r="J209" s="92">
        <f>VLOOKUP($A209,'Data Vlaue (Cr)'!$C:$FB,94)</f>
        <v>-6.9000000000000006E-2</v>
      </c>
      <c r="K209" s="91">
        <f>VLOOKUP($A209,'Data Vlaue (Cr)'!$C:$FB,95)</f>
        <v>603</v>
      </c>
      <c r="L209" s="91">
        <f>VLOOKUP($A209,'Data Vlaue (Cr)'!$C:$FB,97)</f>
        <v>29</v>
      </c>
      <c r="M209" s="92">
        <f>VLOOKUP($A209,'Data Vlaue (Cr)'!$C:$FB,98)</f>
        <v>0.05</v>
      </c>
      <c r="N209" s="91">
        <f>VLOOKUP($A209,'Data Vlaue (Cr)'!$C:$FB,79)</f>
        <v>1286</v>
      </c>
      <c r="O209" s="92">
        <f>VLOOKUP($A209,'Data Vlaue (Cr)'!$C:$FB,82)</f>
        <v>-0.4572</v>
      </c>
    </row>
    <row r="210" spans="1:15" s="88" customFormat="1" ht="15.75" customHeight="1" x14ac:dyDescent="0.2">
      <c r="A210" s="97" t="str">
        <f>'Data Vlaue (Cr)'!C205</f>
        <v>UNIONBANK</v>
      </c>
      <c r="B210" s="142">
        <f>VLOOKUP(A210,'Data Vlaue (Cr)'!C205:CW418,99,0)</f>
        <v>3051</v>
      </c>
      <c r="C210" s="90">
        <f>VLOOKUP(A210,'Data Vlaue (Cr)'!C205:CY418,101,0)</f>
        <v>-31</v>
      </c>
      <c r="D210" s="139">
        <f>VLOOKUP(A210,'Data Vlaue (Cr)'!C205:CZ418,102,0)</f>
        <v>-9.9000000000000008E-3</v>
      </c>
      <c r="E210" s="91">
        <f>VLOOKUP($A210,'Data Vlaue (Cr)'!$C:$FB,75)</f>
        <v>1461</v>
      </c>
      <c r="F210" s="91">
        <f>VLOOKUP($A210,'Data Vlaue (Cr)'!$C:$FB,77)</f>
        <v>-11</v>
      </c>
      <c r="G210" s="92">
        <f>VLOOKUP(A210,'Data Vlaue (Cr)'!C205:CB418,78,0)</f>
        <v>-7.1999999999999998E-3</v>
      </c>
      <c r="H210" s="91">
        <f>VLOOKUP($A210,'Data Vlaue (Cr)'!$C:$FB,91)</f>
        <v>884</v>
      </c>
      <c r="I210" s="91">
        <f>VLOOKUP($A210,'Data Vlaue (Cr)'!$C:$FB,93)</f>
        <v>-14</v>
      </c>
      <c r="J210" s="92">
        <f>VLOOKUP($A210,'Data Vlaue (Cr)'!$C:$FB,94)</f>
        <v>-1.54E-2</v>
      </c>
      <c r="K210" s="91">
        <f>VLOOKUP($A210,'Data Vlaue (Cr)'!$C:$FB,95)</f>
        <v>706</v>
      </c>
      <c r="L210" s="91">
        <f>VLOOKUP($A210,'Data Vlaue (Cr)'!$C:$FB,97)</f>
        <v>-6</v>
      </c>
      <c r="M210" s="92">
        <f>VLOOKUP($A210,'Data Vlaue (Cr)'!$C:$FB,98)</f>
        <v>-8.8000000000000005E-3</v>
      </c>
      <c r="N210" s="91">
        <f>VLOOKUP($A210,'Data Vlaue (Cr)'!$C:$FB,79)</f>
        <v>634</v>
      </c>
      <c r="O210" s="92">
        <f>VLOOKUP($A210,'Data Vlaue (Cr)'!$C:$FB,82)</f>
        <v>-0.37019999999999997</v>
      </c>
    </row>
    <row r="211" spans="1:15" x14ac:dyDescent="0.25">
      <c r="A211" s="97" t="str">
        <f>'Data Vlaue (Cr)'!C206</f>
        <v>UNITDSPR</v>
      </c>
      <c r="B211" s="142">
        <f>VLOOKUP(A211,'Data Vlaue (Cr)'!C206:CW419,99,0)</f>
        <v>2778</v>
      </c>
      <c r="C211" s="90">
        <f>VLOOKUP(A211,'Data Vlaue (Cr)'!C206:CY419,101,0)</f>
        <v>-133</v>
      </c>
      <c r="D211" s="139">
        <f>VLOOKUP(A211,'Data Vlaue (Cr)'!C206:CZ419,102,0)</f>
        <v>-4.58E-2</v>
      </c>
      <c r="E211" s="91">
        <f>VLOOKUP($A211,'Data Vlaue (Cr)'!$C:$FB,75)</f>
        <v>1646</v>
      </c>
      <c r="F211" s="91">
        <f>VLOOKUP($A211,'Data Vlaue (Cr)'!$C:$FB,77)</f>
        <v>-58</v>
      </c>
      <c r="G211" s="92">
        <f>VLOOKUP(A211,'Data Vlaue (Cr)'!C206:CB419,78,0)</f>
        <v>-3.4099999999999998E-2</v>
      </c>
      <c r="H211" s="91">
        <f>VLOOKUP($A211,'Data Vlaue (Cr)'!$C:$FB,91)</f>
        <v>643</v>
      </c>
      <c r="I211" s="91">
        <f>VLOOKUP($A211,'Data Vlaue (Cr)'!$C:$FB,93)</f>
        <v>-66</v>
      </c>
      <c r="J211" s="92">
        <f>VLOOKUP($A211,'Data Vlaue (Cr)'!$C:$FB,94)</f>
        <v>-9.35E-2</v>
      </c>
      <c r="K211" s="91">
        <f>VLOOKUP($A211,'Data Vlaue (Cr)'!$C:$FB,95)</f>
        <v>488</v>
      </c>
      <c r="L211" s="91">
        <f>VLOOKUP($A211,'Data Vlaue (Cr)'!$C:$FB,97)</f>
        <v>-9</v>
      </c>
      <c r="M211" s="92">
        <f>VLOOKUP($A211,'Data Vlaue (Cr)'!$C:$FB,98)</f>
        <v>-1.77E-2</v>
      </c>
      <c r="N211" s="91">
        <f>VLOOKUP($A211,'Data Vlaue (Cr)'!$C:$FB,79)</f>
        <v>915</v>
      </c>
      <c r="O211" s="92">
        <f>VLOOKUP($A211,'Data Vlaue (Cr)'!$C:$FB,82)</f>
        <v>-0.31659999999999999</v>
      </c>
    </row>
    <row r="212" spans="1:15" x14ac:dyDescent="0.25">
      <c r="A212" s="97" t="str">
        <f>'Data Vlaue (Cr)'!C207</f>
        <v>UNOMINDA</v>
      </c>
      <c r="B212" s="142">
        <f>VLOOKUP(A212,'Data Vlaue (Cr)'!C207:CW420,99,0)</f>
        <v>1021</v>
      </c>
      <c r="C212" s="90">
        <f>VLOOKUP(A212,'Data Vlaue (Cr)'!C207:CY420,101,0)</f>
        <v>46</v>
      </c>
      <c r="D212" s="139">
        <f>VLOOKUP(A212,'Data Vlaue (Cr)'!C207:CZ420,102,0)</f>
        <v>4.7E-2</v>
      </c>
      <c r="E212" s="91">
        <f>VLOOKUP($A212,'Data Vlaue (Cr)'!$C:$FB,75)</f>
        <v>643</v>
      </c>
      <c r="F212" s="91">
        <f>VLOOKUP($A212,'Data Vlaue (Cr)'!$C:$FB,77)</f>
        <v>22</v>
      </c>
      <c r="G212" s="92">
        <f>VLOOKUP(A212,'Data Vlaue (Cr)'!C207:CB420,78,0)</f>
        <v>3.5200000000000002E-2</v>
      </c>
      <c r="H212" s="91">
        <f>VLOOKUP($A212,'Data Vlaue (Cr)'!$C:$FB,91)</f>
        <v>228</v>
      </c>
      <c r="I212" s="91">
        <f>VLOOKUP($A212,'Data Vlaue (Cr)'!$C:$FB,93)</f>
        <v>10</v>
      </c>
      <c r="J212" s="92">
        <f>VLOOKUP($A212,'Data Vlaue (Cr)'!$C:$FB,94)</f>
        <v>4.6600000000000003E-2</v>
      </c>
      <c r="K212" s="91">
        <f>VLOOKUP($A212,'Data Vlaue (Cr)'!$C:$FB,95)</f>
        <v>150</v>
      </c>
      <c r="L212" s="91">
        <f>VLOOKUP($A212,'Data Vlaue (Cr)'!$C:$FB,97)</f>
        <v>14</v>
      </c>
      <c r="M212" s="92">
        <f>VLOOKUP($A212,'Data Vlaue (Cr)'!$C:$FB,98)</f>
        <v>0.1011</v>
      </c>
      <c r="N212" s="91">
        <f>VLOOKUP($A212,'Data Vlaue (Cr)'!$C:$FB,79)</f>
        <v>210</v>
      </c>
      <c r="O212" s="92">
        <f>VLOOKUP($A212,'Data Vlaue (Cr)'!$C:$FB,82)</f>
        <v>-0.52949999999999997</v>
      </c>
    </row>
    <row r="213" spans="1:15" x14ac:dyDescent="0.25">
      <c r="A213" s="97" t="str">
        <f>'Data Vlaue (Cr)'!C208</f>
        <v>UPL</v>
      </c>
      <c r="B213" s="142">
        <f>VLOOKUP(A213,'Data Vlaue (Cr)'!C208:CW421,99,0)</f>
        <v>5153</v>
      </c>
      <c r="C213" s="90">
        <f>VLOOKUP(A213,'Data Vlaue (Cr)'!C208:CY421,101,0)</f>
        <v>-76</v>
      </c>
      <c r="D213" s="139">
        <f>VLOOKUP(A213,'Data Vlaue (Cr)'!C208:CZ421,102,0)</f>
        <v>-1.44E-2</v>
      </c>
      <c r="E213" s="91">
        <f>VLOOKUP($A213,'Data Vlaue (Cr)'!$C:$FB,75)</f>
        <v>2758</v>
      </c>
      <c r="F213" s="91">
        <f>VLOOKUP($A213,'Data Vlaue (Cr)'!$C:$FB,77)</f>
        <v>4</v>
      </c>
      <c r="G213" s="92">
        <f>VLOOKUP(A213,'Data Vlaue (Cr)'!C208:CB421,78,0)</f>
        <v>1.5E-3</v>
      </c>
      <c r="H213" s="91">
        <f>VLOOKUP($A213,'Data Vlaue (Cr)'!$C:$FB,91)</f>
        <v>1535</v>
      </c>
      <c r="I213" s="91">
        <f>VLOOKUP($A213,'Data Vlaue (Cr)'!$C:$FB,93)</f>
        <v>-3</v>
      </c>
      <c r="J213" s="92">
        <f>VLOOKUP($A213,'Data Vlaue (Cr)'!$C:$FB,94)</f>
        <v>-2E-3</v>
      </c>
      <c r="K213" s="91">
        <f>VLOOKUP($A213,'Data Vlaue (Cr)'!$C:$FB,95)</f>
        <v>860</v>
      </c>
      <c r="L213" s="91">
        <f>VLOOKUP($A213,'Data Vlaue (Cr)'!$C:$FB,97)</f>
        <v>-77</v>
      </c>
      <c r="M213" s="92">
        <f>VLOOKUP($A213,'Data Vlaue (Cr)'!$C:$FB,98)</f>
        <v>-8.1799999999999998E-2</v>
      </c>
      <c r="N213" s="91">
        <f>VLOOKUP($A213,'Data Vlaue (Cr)'!$C:$FB,79)</f>
        <v>1613</v>
      </c>
      <c r="O213" s="92">
        <f>VLOOKUP($A213,'Data Vlaue (Cr)'!$C:$FB,82)</f>
        <v>-0.23880000000000001</v>
      </c>
    </row>
    <row r="214" spans="1:15" x14ac:dyDescent="0.25">
      <c r="A214" s="97" t="str">
        <f>'Data Vlaue (Cr)'!C209</f>
        <v>VBL</v>
      </c>
      <c r="B214" s="142">
        <f>VLOOKUP(A214,'Data Vlaue (Cr)'!C209:CW422,99,0)</f>
        <v>3299</v>
      </c>
      <c r="C214" s="90">
        <f>VLOOKUP(A214,'Data Vlaue (Cr)'!C209:CY422,101,0)</f>
        <v>-23</v>
      </c>
      <c r="D214" s="139">
        <f>VLOOKUP(A214,'Data Vlaue (Cr)'!C209:CZ422,102,0)</f>
        <v>-6.7999999999999996E-3</v>
      </c>
      <c r="E214" s="91">
        <f>VLOOKUP($A214,'Data Vlaue (Cr)'!$C:$FB,75)</f>
        <v>2360</v>
      </c>
      <c r="F214" s="91">
        <f>VLOOKUP($A214,'Data Vlaue (Cr)'!$C:$FB,77)</f>
        <v>-9</v>
      </c>
      <c r="G214" s="92">
        <f>VLOOKUP(A214,'Data Vlaue (Cr)'!C209:CB422,78,0)</f>
        <v>-3.8999999999999998E-3</v>
      </c>
      <c r="H214" s="91">
        <f>VLOOKUP($A214,'Data Vlaue (Cr)'!$C:$FB,91)</f>
        <v>535</v>
      </c>
      <c r="I214" s="91">
        <f>VLOOKUP($A214,'Data Vlaue (Cr)'!$C:$FB,93)</f>
        <v>-22</v>
      </c>
      <c r="J214" s="92">
        <f>VLOOKUP($A214,'Data Vlaue (Cr)'!$C:$FB,94)</f>
        <v>-3.9300000000000002E-2</v>
      </c>
      <c r="K214" s="91">
        <f>VLOOKUP($A214,'Data Vlaue (Cr)'!$C:$FB,95)</f>
        <v>404</v>
      </c>
      <c r="L214" s="91">
        <f>VLOOKUP($A214,'Data Vlaue (Cr)'!$C:$FB,97)</f>
        <v>8</v>
      </c>
      <c r="M214" s="92">
        <f>VLOOKUP($A214,'Data Vlaue (Cr)'!$C:$FB,98)</f>
        <v>2.1299999999999999E-2</v>
      </c>
      <c r="N214" s="91">
        <f>VLOOKUP($A214,'Data Vlaue (Cr)'!$C:$FB,79)</f>
        <v>938</v>
      </c>
      <c r="O214" s="92">
        <f>VLOOKUP($A214,'Data Vlaue (Cr)'!$C:$FB,82)</f>
        <v>-0.45300000000000001</v>
      </c>
    </row>
    <row r="215" spans="1:15" x14ac:dyDescent="0.25">
      <c r="A215" s="97" t="str">
        <f>'Data Vlaue (Cr)'!C210</f>
        <v>VEDL</v>
      </c>
      <c r="B215" s="142">
        <f>VLOOKUP(A215,'Data Vlaue (Cr)'!C210:CW423,99,0)</f>
        <v>12250</v>
      </c>
      <c r="C215" s="90">
        <f>VLOOKUP(A215,'Data Vlaue (Cr)'!C210:CY423,101,0)</f>
        <v>-317</v>
      </c>
      <c r="D215" s="139">
        <f>VLOOKUP(A215,'Data Vlaue (Cr)'!C210:CZ423,102,0)</f>
        <v>-2.52E-2</v>
      </c>
      <c r="E215" s="91">
        <f>VLOOKUP($A215,'Data Vlaue (Cr)'!$C:$FB,75)</f>
        <v>5670</v>
      </c>
      <c r="F215" s="91">
        <f>VLOOKUP($A215,'Data Vlaue (Cr)'!$C:$FB,77)</f>
        <v>-188</v>
      </c>
      <c r="G215" s="92">
        <f>VLOOKUP(A215,'Data Vlaue (Cr)'!C210:CB423,78,0)</f>
        <v>-3.2199999999999999E-2</v>
      </c>
      <c r="H215" s="91">
        <f>VLOOKUP($A215,'Data Vlaue (Cr)'!$C:$FB,91)</f>
        <v>3999</v>
      </c>
      <c r="I215" s="91">
        <f>VLOOKUP($A215,'Data Vlaue (Cr)'!$C:$FB,93)</f>
        <v>-61</v>
      </c>
      <c r="J215" s="92">
        <f>VLOOKUP($A215,'Data Vlaue (Cr)'!$C:$FB,94)</f>
        <v>-1.5100000000000001E-2</v>
      </c>
      <c r="K215" s="91">
        <f>VLOOKUP($A215,'Data Vlaue (Cr)'!$C:$FB,95)</f>
        <v>2581</v>
      </c>
      <c r="L215" s="91">
        <f>VLOOKUP($A215,'Data Vlaue (Cr)'!$C:$FB,97)</f>
        <v>-67</v>
      </c>
      <c r="M215" s="92">
        <f>VLOOKUP($A215,'Data Vlaue (Cr)'!$C:$FB,98)</f>
        <v>-2.53E-2</v>
      </c>
      <c r="N215" s="91">
        <f>VLOOKUP($A215,'Data Vlaue (Cr)'!$C:$FB,79)</f>
        <v>2476</v>
      </c>
      <c r="O215" s="92">
        <f>VLOOKUP($A215,'Data Vlaue (Cr)'!$C:$FB,82)</f>
        <v>-0.33379999999999999</v>
      </c>
    </row>
    <row r="216" spans="1:15" x14ac:dyDescent="0.25">
      <c r="A216" s="97" t="str">
        <f>'Data Vlaue (Cr)'!C211</f>
        <v>VOLTAS</v>
      </c>
      <c r="B216" s="142">
        <f>VLOOKUP(A216,'Data Vlaue (Cr)'!C211:CW424,99,0)</f>
        <v>2641</v>
      </c>
      <c r="C216" s="90">
        <f>VLOOKUP(A216,'Data Vlaue (Cr)'!C211:CY424,101,0)</f>
        <v>14</v>
      </c>
      <c r="D216" s="139">
        <f>VLOOKUP(A216,'Data Vlaue (Cr)'!C211:CZ424,102,0)</f>
        <v>5.4999999999999997E-3</v>
      </c>
      <c r="E216" s="91">
        <f>VLOOKUP($A216,'Data Vlaue (Cr)'!$C:$FB,75)</f>
        <v>1628</v>
      </c>
      <c r="F216" s="91">
        <f>VLOOKUP($A216,'Data Vlaue (Cr)'!$C:$FB,77)</f>
        <v>51</v>
      </c>
      <c r="G216" s="92">
        <f>VLOOKUP(A216,'Data Vlaue (Cr)'!C211:CB424,78,0)</f>
        <v>3.2399999999999998E-2</v>
      </c>
      <c r="H216" s="91">
        <f>VLOOKUP($A216,'Data Vlaue (Cr)'!$C:$FB,91)</f>
        <v>571</v>
      </c>
      <c r="I216" s="91">
        <f>VLOOKUP($A216,'Data Vlaue (Cr)'!$C:$FB,93)</f>
        <v>-40</v>
      </c>
      <c r="J216" s="92">
        <f>VLOOKUP($A216,'Data Vlaue (Cr)'!$C:$FB,94)</f>
        <v>-6.54E-2</v>
      </c>
      <c r="K216" s="91">
        <f>VLOOKUP($A216,'Data Vlaue (Cr)'!$C:$FB,95)</f>
        <v>441</v>
      </c>
      <c r="L216" s="91">
        <f>VLOOKUP($A216,'Data Vlaue (Cr)'!$C:$FB,97)</f>
        <v>3</v>
      </c>
      <c r="M216" s="92">
        <f>VLOOKUP($A216,'Data Vlaue (Cr)'!$C:$FB,98)</f>
        <v>7.4999999999999997E-3</v>
      </c>
      <c r="N216" s="91">
        <f>VLOOKUP($A216,'Data Vlaue (Cr)'!$C:$FB,79)</f>
        <v>567</v>
      </c>
      <c r="O216" s="92">
        <f>VLOOKUP($A216,'Data Vlaue (Cr)'!$C:$FB,82)</f>
        <v>-0.4178</v>
      </c>
    </row>
    <row r="217" spans="1:15" x14ac:dyDescent="0.25">
      <c r="A217" s="97" t="str">
        <f>'Data Vlaue (Cr)'!C212</f>
        <v>WAAREEENER</v>
      </c>
      <c r="B217" s="142">
        <f>VLOOKUP(A217,'Data Vlaue (Cr)'!C212:CW425,99,0)</f>
        <v>1957</v>
      </c>
      <c r="C217" s="90">
        <f>VLOOKUP(A217,'Data Vlaue (Cr)'!C212:CY425,101,0)</f>
        <v>51</v>
      </c>
      <c r="D217" s="139">
        <f>VLOOKUP(A217,'Data Vlaue (Cr)'!C212:CZ425,102,0)</f>
        <v>2.6800000000000001E-2</v>
      </c>
      <c r="E217" s="91">
        <f>VLOOKUP($A217,'Data Vlaue (Cr)'!$C:$FB,75)</f>
        <v>737</v>
      </c>
      <c r="F217" s="91">
        <f>VLOOKUP($A217,'Data Vlaue (Cr)'!$C:$FB,77)</f>
        <v>-66</v>
      </c>
      <c r="G217" s="92">
        <f>VLOOKUP(A217,'Data Vlaue (Cr)'!C212:CB425,78,0)</f>
        <v>-8.1900000000000001E-2</v>
      </c>
      <c r="H217" s="91">
        <f>VLOOKUP($A217,'Data Vlaue (Cr)'!$C:$FB,91)</f>
        <v>772</v>
      </c>
      <c r="I217" s="91">
        <f>VLOOKUP($A217,'Data Vlaue (Cr)'!$C:$FB,93)</f>
        <v>38</v>
      </c>
      <c r="J217" s="92">
        <f>VLOOKUP($A217,'Data Vlaue (Cr)'!$C:$FB,94)</f>
        <v>5.1900000000000002E-2</v>
      </c>
      <c r="K217" s="91">
        <f>VLOOKUP($A217,'Data Vlaue (Cr)'!$C:$FB,95)</f>
        <v>448</v>
      </c>
      <c r="L217" s="91">
        <f>VLOOKUP($A217,'Data Vlaue (Cr)'!$C:$FB,97)</f>
        <v>79</v>
      </c>
      <c r="M217" s="92">
        <f>VLOOKUP($A217,'Data Vlaue (Cr)'!$C:$FB,98)</f>
        <v>0.2127</v>
      </c>
      <c r="N217" s="91">
        <f>VLOOKUP($A217,'Data Vlaue (Cr)'!$C:$FB,79)</f>
        <v>290</v>
      </c>
      <c r="O217" s="92">
        <f>VLOOKUP($A217,'Data Vlaue (Cr)'!$C:$FB,82)</f>
        <v>-0.42120000000000002</v>
      </c>
    </row>
    <row r="218" spans="1:15" x14ac:dyDescent="0.25">
      <c r="A218" s="97" t="str">
        <f>'Data Vlaue (Cr)'!C213</f>
        <v>WIPRO</v>
      </c>
      <c r="B218" s="142">
        <f>VLOOKUP(A218,'Data Vlaue (Cr)'!C213:CW426,99,0)</f>
        <v>7160</v>
      </c>
      <c r="C218" s="90">
        <f>VLOOKUP(A218,'Data Vlaue (Cr)'!C213:CY426,101,0)</f>
        <v>-133</v>
      </c>
      <c r="D218" s="139">
        <f>VLOOKUP(A218,'Data Vlaue (Cr)'!C213:CZ426,102,0)</f>
        <v>-1.83E-2</v>
      </c>
      <c r="E218" s="91">
        <f>VLOOKUP($A218,'Data Vlaue (Cr)'!$C:$FB,75)</f>
        <v>4102</v>
      </c>
      <c r="F218" s="91">
        <f>VLOOKUP($A218,'Data Vlaue (Cr)'!$C:$FB,77)</f>
        <v>9</v>
      </c>
      <c r="G218" s="92">
        <f>VLOOKUP(A218,'Data Vlaue (Cr)'!C213:CB426,78,0)</f>
        <v>2.0999999999999999E-3</v>
      </c>
      <c r="H218" s="91">
        <f>VLOOKUP($A218,'Data Vlaue (Cr)'!$C:$FB,91)</f>
        <v>2004</v>
      </c>
      <c r="I218" s="91">
        <f>VLOOKUP($A218,'Data Vlaue (Cr)'!$C:$FB,93)</f>
        <v>-98</v>
      </c>
      <c r="J218" s="92">
        <f>VLOOKUP($A218,'Data Vlaue (Cr)'!$C:$FB,94)</f>
        <v>-4.6699999999999998E-2</v>
      </c>
      <c r="K218" s="91">
        <f>VLOOKUP($A218,'Data Vlaue (Cr)'!$C:$FB,95)</f>
        <v>1054</v>
      </c>
      <c r="L218" s="91">
        <f>VLOOKUP($A218,'Data Vlaue (Cr)'!$C:$FB,97)</f>
        <v>-44</v>
      </c>
      <c r="M218" s="92">
        <f>VLOOKUP($A218,'Data Vlaue (Cr)'!$C:$FB,98)</f>
        <v>-3.9899999999999998E-2</v>
      </c>
      <c r="N218" s="91">
        <f>VLOOKUP($A218,'Data Vlaue (Cr)'!$C:$FB,79)</f>
        <v>1435</v>
      </c>
      <c r="O218" s="92">
        <f>VLOOKUP($A218,'Data Vlaue (Cr)'!$C:$FB,82)</f>
        <v>-0.3387</v>
      </c>
    </row>
    <row r="219" spans="1:15" x14ac:dyDescent="0.25">
      <c r="A219" s="97" t="str">
        <f>'Data Vlaue (Cr)'!C214</f>
        <v>YESBANK</v>
      </c>
      <c r="B219" s="142">
        <f>VLOOKUP(A219,'Data Vlaue (Cr)'!C214:CW427,99,0)</f>
        <v>4348</v>
      </c>
      <c r="C219" s="90">
        <f>VLOOKUP(A219,'Data Vlaue (Cr)'!C214:CY427,101,0)</f>
        <v>53</v>
      </c>
      <c r="D219" s="139">
        <f>VLOOKUP(A219,'Data Vlaue (Cr)'!C214:CZ427,102,0)</f>
        <v>1.24E-2</v>
      </c>
      <c r="E219" s="91">
        <f>VLOOKUP($A219,'Data Vlaue (Cr)'!$C:$FB,75)</f>
        <v>2431</v>
      </c>
      <c r="F219" s="91">
        <f>VLOOKUP($A219,'Data Vlaue (Cr)'!$C:$FB,77)</f>
        <v>11</v>
      </c>
      <c r="G219" s="92">
        <f>VLOOKUP(A219,'Data Vlaue (Cr)'!C214:CB427,78,0)</f>
        <v>4.4999999999999997E-3</v>
      </c>
      <c r="H219" s="91">
        <f>VLOOKUP($A219,'Data Vlaue (Cr)'!$C:$FB,91)</f>
        <v>1285</v>
      </c>
      <c r="I219" s="91">
        <f>VLOOKUP($A219,'Data Vlaue (Cr)'!$C:$FB,93)</f>
        <v>46</v>
      </c>
      <c r="J219" s="92">
        <f>VLOOKUP($A219,'Data Vlaue (Cr)'!$C:$FB,94)</f>
        <v>3.6999999999999998E-2</v>
      </c>
      <c r="K219" s="91">
        <f>VLOOKUP($A219,'Data Vlaue (Cr)'!$C:$FB,95)</f>
        <v>632</v>
      </c>
      <c r="L219" s="91">
        <f>VLOOKUP($A219,'Data Vlaue (Cr)'!$C:$FB,97)</f>
        <v>-3</v>
      </c>
      <c r="M219" s="92">
        <f>VLOOKUP($A219,'Data Vlaue (Cr)'!$C:$FB,98)</f>
        <v>-5.4999999999999997E-3</v>
      </c>
      <c r="N219" s="91">
        <f>VLOOKUP($A219,'Data Vlaue (Cr)'!$C:$FB,79)</f>
        <v>1125</v>
      </c>
      <c r="O219" s="92">
        <f>VLOOKUP($A219,'Data Vlaue (Cr)'!$C:$FB,82)</f>
        <v>-0.2717</v>
      </c>
    </row>
    <row r="220" spans="1:15" x14ac:dyDescent="0.25">
      <c r="A220" s="97" t="str">
        <f>'Data Vlaue (Cr)'!C215</f>
        <v>ZYDUSLIFE</v>
      </c>
      <c r="B220" s="142">
        <f>VLOOKUP(A220,'Data Vlaue (Cr)'!C215:CW428,99,0)</f>
        <v>1569</v>
      </c>
      <c r="C220" s="90">
        <f>VLOOKUP(A220,'Data Vlaue (Cr)'!C215:CY428,101,0)</f>
        <v>-21</v>
      </c>
      <c r="D220" s="139">
        <f>VLOOKUP(A220,'Data Vlaue (Cr)'!C215:CZ428,102,0)</f>
        <v>-1.3100000000000001E-2</v>
      </c>
      <c r="E220" s="91">
        <f>VLOOKUP($A220,'Data Vlaue (Cr)'!$C:$FB,75)</f>
        <v>914</v>
      </c>
      <c r="F220" s="91">
        <f>VLOOKUP($A220,'Data Vlaue (Cr)'!$C:$FB,77)</f>
        <v>3</v>
      </c>
      <c r="G220" s="92">
        <f>VLOOKUP(A220,'Data Vlaue (Cr)'!C215:CB428,78,0)</f>
        <v>3.5000000000000001E-3</v>
      </c>
      <c r="H220" s="91">
        <f>VLOOKUP($A220,'Data Vlaue (Cr)'!$C:$FB,91)</f>
        <v>383</v>
      </c>
      <c r="I220" s="91">
        <f>VLOOKUP($A220,'Data Vlaue (Cr)'!$C:$FB,93)</f>
        <v>-16</v>
      </c>
      <c r="J220" s="92">
        <f>VLOOKUP($A220,'Data Vlaue (Cr)'!$C:$FB,94)</f>
        <v>-3.9100000000000003E-2</v>
      </c>
      <c r="K220" s="91">
        <f>VLOOKUP($A220,'Data Vlaue (Cr)'!$C:$FB,95)</f>
        <v>273</v>
      </c>
      <c r="L220" s="91">
        <f>VLOOKUP($A220,'Data Vlaue (Cr)'!$C:$FB,97)</f>
        <v>-8</v>
      </c>
      <c r="M220" s="92">
        <f>VLOOKUP($A220,'Data Vlaue (Cr)'!$C:$FB,98)</f>
        <v>-3.0099999999999998E-2</v>
      </c>
      <c r="N220" s="91">
        <f>VLOOKUP($A220,'Data Vlaue (Cr)'!$C:$FB,79)</f>
        <v>379</v>
      </c>
      <c r="O220" s="92">
        <f>VLOOKUP($A220,'Data Vlaue (Cr)'!$C:$FB,82)</f>
        <v>-0.3216</v>
      </c>
    </row>
    <row r="221" spans="1:15" x14ac:dyDescent="0.25">
      <c r="A221" s="97"/>
      <c r="B221" s="142"/>
      <c r="C221" s="90"/>
      <c r="D221" s="139"/>
      <c r="E221" s="91"/>
      <c r="F221" s="91"/>
      <c r="G221" s="92"/>
      <c r="H221" s="91"/>
      <c r="I221" s="91"/>
      <c r="J221" s="92"/>
      <c r="K221" s="91"/>
      <c r="L221" s="91"/>
      <c r="M221" s="92"/>
      <c r="N221" s="91"/>
      <c r="O221" s="92"/>
    </row>
    <row r="222" spans="1:15" x14ac:dyDescent="0.25">
      <c r="A222" s="97"/>
      <c r="B222" s="142"/>
      <c r="C222" s="90"/>
      <c r="D222" s="139"/>
      <c r="E222" s="91"/>
      <c r="F222" s="91"/>
      <c r="G222" s="92"/>
      <c r="H222" s="91"/>
      <c r="I222" s="91"/>
      <c r="J222" s="92"/>
      <c r="K222" s="91"/>
      <c r="L222" s="91"/>
      <c r="M222" s="92"/>
      <c r="N222" s="91"/>
      <c r="O222" s="92"/>
    </row>
    <row r="223" spans="1:15" x14ac:dyDescent="0.25">
      <c r="A223" s="97"/>
      <c r="B223" s="142"/>
      <c r="C223" s="90"/>
      <c r="D223" s="139"/>
      <c r="E223" s="91"/>
      <c r="F223" s="91"/>
      <c r="G223" s="92"/>
      <c r="H223" s="91"/>
      <c r="I223" s="91"/>
      <c r="J223" s="92"/>
      <c r="K223" s="91"/>
      <c r="L223" s="91"/>
      <c r="M223" s="92"/>
      <c r="N223" s="91"/>
      <c r="O223" s="92"/>
    </row>
    <row r="224" spans="1:15" x14ac:dyDescent="0.25">
      <c r="A224" s="97"/>
      <c r="B224" s="142"/>
      <c r="C224" s="90"/>
      <c r="D224" s="139"/>
      <c r="E224" s="91"/>
      <c r="F224" s="91"/>
      <c r="G224" s="92"/>
      <c r="H224" s="91"/>
      <c r="I224" s="91"/>
      <c r="J224" s="92"/>
      <c r="K224" s="91"/>
      <c r="L224" s="91"/>
      <c r="M224" s="92"/>
      <c r="N224" s="91"/>
      <c r="O224" s="92"/>
    </row>
    <row r="225" spans="1:15" x14ac:dyDescent="0.25">
      <c r="A225" s="97"/>
      <c r="B225" s="142"/>
      <c r="C225" s="90"/>
      <c r="D225" s="139"/>
      <c r="E225" s="91"/>
      <c r="F225" s="91"/>
      <c r="G225" s="92"/>
      <c r="H225" s="91"/>
      <c r="I225" s="91"/>
      <c r="J225" s="92"/>
      <c r="K225" s="91"/>
      <c r="L225" s="91"/>
      <c r="M225" s="92"/>
      <c r="N225" s="91"/>
      <c r="O225" s="92"/>
    </row>
    <row r="226" spans="1:15" x14ac:dyDescent="0.25">
      <c r="A226" s="102"/>
      <c r="B226" s="142"/>
      <c r="C226" s="90"/>
      <c r="D226" s="139"/>
      <c r="E226" s="91"/>
      <c r="F226" s="91"/>
      <c r="G226" s="92"/>
      <c r="H226" s="91"/>
      <c r="I226" s="91"/>
      <c r="J226" s="92"/>
      <c r="K226" s="91"/>
      <c r="L226" s="91"/>
      <c r="M226" s="92"/>
      <c r="N226" s="91"/>
      <c r="O226" s="92"/>
    </row>
    <row r="227" spans="1:15" x14ac:dyDescent="0.25">
      <c r="A227" s="122" t="s">
        <v>391</v>
      </c>
      <c r="B227" s="123">
        <f>SUM(B7:B221)</f>
        <v>2489099</v>
      </c>
      <c r="C227" s="123">
        <f>SUM(C7:C224)</f>
        <v>85322</v>
      </c>
      <c r="D227" s="124">
        <f>'Snapshot (Value)'!K228</f>
        <v>3.5527209163982651E-2</v>
      </c>
      <c r="E227" s="123">
        <f>SUM(E7:E222)</f>
        <v>600490</v>
      </c>
      <c r="F227" s="123">
        <f>SUM(F7:F222)</f>
        <v>3428</v>
      </c>
      <c r="G227" s="149">
        <f>F227*100/(E227-F227)</f>
        <v>0.57414472868814292</v>
      </c>
      <c r="H227" s="123">
        <f>SUM(H7:H222)</f>
        <v>1057309</v>
      </c>
      <c r="I227" s="123">
        <f>SUM(I7:I222)</f>
        <v>2964</v>
      </c>
      <c r="J227" s="149">
        <f>I227/(H227-I227)</f>
        <v>2.8112240300850293E-3</v>
      </c>
      <c r="K227" s="123">
        <f>SUM(K7:K222)</f>
        <v>831286</v>
      </c>
      <c r="L227" s="123">
        <f>SUM(L7:L222)</f>
        <v>78923</v>
      </c>
      <c r="M227" s="149">
        <f>L227/(K227-L227)</f>
        <v>0.10490016122536595</v>
      </c>
      <c r="N227" s="123">
        <f>SUM(N7:N222)</f>
        <v>265672</v>
      </c>
      <c r="O227" s="149">
        <f>(N227-FII!V2)/N227</f>
        <v>-0.51733340359541091</v>
      </c>
    </row>
    <row r="232" spans="1:15" x14ac:dyDescent="0.25">
      <c r="A232" s="273" t="s">
        <v>408</v>
      </c>
      <c r="B232" s="273"/>
      <c r="C232" s="273"/>
      <c r="D232" s="273"/>
    </row>
    <row r="233" spans="1:15" x14ac:dyDescent="0.25">
      <c r="A233" s="35" t="s">
        <v>401</v>
      </c>
      <c r="B233" s="35" t="s">
        <v>402</v>
      </c>
      <c r="C233" s="35" t="s">
        <v>369</v>
      </c>
      <c r="D233" s="35" t="s">
        <v>407</v>
      </c>
    </row>
    <row r="234" spans="1:15" x14ac:dyDescent="0.25">
      <c r="A234" s="36" t="s">
        <v>403</v>
      </c>
      <c r="B234" s="37">
        <f>E227</f>
        <v>600490</v>
      </c>
      <c r="C234" s="37">
        <f>F227</f>
        <v>3428</v>
      </c>
      <c r="D234" s="39">
        <f>C234/B234</f>
        <v>5.7086712518110211E-3</v>
      </c>
    </row>
    <row r="235" spans="1:15" x14ac:dyDescent="0.25">
      <c r="A235" s="36" t="s">
        <v>404</v>
      </c>
      <c r="B235" s="37">
        <f>H227</f>
        <v>1057309</v>
      </c>
      <c r="C235" s="37">
        <f>I227</f>
        <v>2964</v>
      </c>
      <c r="D235" s="150">
        <f>C235/B235</f>
        <v>2.8033432043045128E-3</v>
      </c>
    </row>
    <row r="236" spans="1:15" x14ac:dyDescent="0.25">
      <c r="A236" s="36" t="s">
        <v>405</v>
      </c>
      <c r="B236" s="37">
        <f>K227</f>
        <v>831286</v>
      </c>
      <c r="C236" s="37">
        <f>L227</f>
        <v>78923</v>
      </c>
      <c r="D236" s="150">
        <f>C236/B236</f>
        <v>9.494085068195543E-2</v>
      </c>
    </row>
    <row r="237" spans="1:15" x14ac:dyDescent="0.25">
      <c r="A237" s="36" t="s">
        <v>406</v>
      </c>
      <c r="B237" s="37">
        <f>B234+B235+B236</f>
        <v>2489085</v>
      </c>
      <c r="C237" s="37">
        <f>C234+C235+C236</f>
        <v>85315</v>
      </c>
      <c r="D237" s="150">
        <f>C237/B237</f>
        <v>3.4275647476884073E-2</v>
      </c>
    </row>
  </sheetData>
  <autoFilter ref="A6:O6">
    <sortState ref="A7:O154">
      <sortCondition ref="A6"/>
    </sortState>
  </autoFilter>
  <mergeCells count="9">
    <mergeCell ref="A232:D232"/>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workbookViewId="0">
      <pane ySplit="6" topLeftCell="A40" activePane="bottomLeft" state="frozen"/>
      <selection pane="bottomLeft" activeCell="I60" sqref="I60"/>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1" t="s">
        <v>343</v>
      </c>
      <c r="B3" s="292"/>
      <c r="C3" s="292"/>
      <c r="D3" s="292"/>
      <c r="E3" s="292"/>
      <c r="F3" s="292"/>
      <c r="G3" s="293"/>
      <c r="H3" s="293"/>
      <c r="I3" s="293"/>
      <c r="J3" s="294"/>
    </row>
    <row r="4" spans="1:10" s="93" customFormat="1" x14ac:dyDescent="0.25">
      <c r="A4" s="295" t="s">
        <v>330</v>
      </c>
      <c r="B4" s="295" t="s">
        <v>308</v>
      </c>
      <c r="C4" s="295"/>
      <c r="D4" s="295"/>
      <c r="E4" s="295" t="s">
        <v>340</v>
      </c>
      <c r="F4" s="295"/>
      <c r="G4" s="295"/>
      <c r="H4" s="295" t="s">
        <v>458</v>
      </c>
      <c r="I4" s="295"/>
      <c r="J4" s="295"/>
    </row>
    <row r="5" spans="1:10" s="93" customFormat="1" x14ac:dyDescent="0.25">
      <c r="A5" s="296"/>
      <c r="B5" s="94" t="s">
        <v>312</v>
      </c>
      <c r="C5" s="94" t="s">
        <v>313</v>
      </c>
      <c r="D5" s="94"/>
      <c r="E5" s="296" t="s">
        <v>314</v>
      </c>
      <c r="F5" s="296"/>
      <c r="G5" s="296"/>
      <c r="H5" s="296" t="s">
        <v>314</v>
      </c>
      <c r="I5" s="296"/>
      <c r="J5" s="296"/>
    </row>
    <row r="6" spans="1:10" s="93" customFormat="1" x14ac:dyDescent="0.25">
      <c r="A6" s="94" t="s">
        <v>318</v>
      </c>
      <c r="B6" s="3">
        <f>'OI(Volume)'!B6</f>
        <v>46044</v>
      </c>
      <c r="C6" s="3">
        <f>B6</f>
        <v>46044</v>
      </c>
      <c r="D6" s="94" t="s">
        <v>328</v>
      </c>
      <c r="E6" s="3">
        <f>B6</f>
        <v>46044</v>
      </c>
      <c r="F6" s="94" t="s">
        <v>322</v>
      </c>
      <c r="G6" s="94" t="s">
        <v>328</v>
      </c>
      <c r="H6" s="3">
        <f>E6</f>
        <v>46044</v>
      </c>
      <c r="I6" s="94" t="s">
        <v>322</v>
      </c>
      <c r="J6" s="94" t="s">
        <v>328</v>
      </c>
    </row>
    <row r="7" spans="1:10" x14ac:dyDescent="0.25">
      <c r="A7" s="101" t="str">
        <f>'NIFTY GRP'!C2</f>
        <v>ADANIENT</v>
      </c>
      <c r="B7" s="140">
        <f>VLOOKUP($A7,'Data shares'!$C:$FA,7)</f>
        <v>2086.4</v>
      </c>
      <c r="C7" s="140">
        <f>VLOOKUP($A7,'Data shares'!$C:$FA,3)</f>
        <v>2087.1999999999998</v>
      </c>
      <c r="D7" s="50">
        <f>VLOOKUP($A7,'Data shares'!$C:$FA,6)*100</f>
        <v>2.56</v>
      </c>
      <c r="E7" s="51">
        <f>VLOOKUP($A7,'Data shares'!$C:$FA,98)</f>
        <v>38374710</v>
      </c>
      <c r="F7" s="51">
        <f>VLOOKUP($A7,'Data shares'!$C:$FA,99)</f>
        <v>39088500</v>
      </c>
      <c r="G7" s="50">
        <f>VLOOKUP($A7,'Data shares'!$C:$FA,101)*100</f>
        <v>-1.83</v>
      </c>
      <c r="H7" s="49">
        <f>VLOOKUP($A7,'Data Vlaue (Cr)'!$C:$FB,99)</f>
        <v>8010</v>
      </c>
      <c r="I7" s="49">
        <f>VLOOKUP($A7,'Data Vlaue (Cr)'!$C:$FB,100)</f>
        <v>8159</v>
      </c>
      <c r="J7" s="49">
        <f>VLOOKUP($A7,'Data Vlaue (Cr)'!$C:$FB,102)*100</f>
        <v>-1.83</v>
      </c>
    </row>
    <row r="8" spans="1:10" x14ac:dyDescent="0.25">
      <c r="A8" s="101" t="str">
        <f>'NIFTY GRP'!C3</f>
        <v>ADANIPORTS</v>
      </c>
      <c r="B8" s="140">
        <f>VLOOKUP($A8,'Data shares'!$C:$FA,7)</f>
        <v>1414.2</v>
      </c>
      <c r="C8" s="140">
        <f>VLOOKUP($A8,'Data shares'!$C:$FA,3)</f>
        <v>1416</v>
      </c>
      <c r="D8" s="50">
        <f>VLOOKUP($A8,'Data shares'!$C:$FA,6)*100</f>
        <v>2.8000000000000003</v>
      </c>
      <c r="E8" s="51">
        <f>VLOOKUP($A8,'Data shares'!$C:$FA,98)</f>
        <v>41581975</v>
      </c>
      <c r="F8" s="51">
        <f>VLOOKUP($A8,'Data shares'!$C:$FA,99)</f>
        <v>41518800</v>
      </c>
      <c r="G8" s="50">
        <f>VLOOKUP($A8,'Data shares'!$C:$FA,101)*100</f>
        <v>0.15</v>
      </c>
      <c r="H8" s="49">
        <f>VLOOKUP($A8,'Data Vlaue (Cr)'!$C:$FB,99)</f>
        <v>5888</v>
      </c>
      <c r="I8" s="49">
        <f>VLOOKUP($A8,'Data Vlaue (Cr)'!$C:$FB,100)</f>
        <v>5879</v>
      </c>
      <c r="J8" s="49">
        <f>VLOOKUP($A8,'Data Vlaue (Cr)'!$C:$FB,102)*100</f>
        <v>0.15</v>
      </c>
    </row>
    <row r="9" spans="1:10" x14ac:dyDescent="0.25">
      <c r="A9" s="101" t="str">
        <f>'NIFTY GRP'!C4</f>
        <v>APOLLOHOSP</v>
      </c>
      <c r="B9" s="140">
        <f>VLOOKUP($A9,'Data shares'!$C:$FA,7)</f>
        <v>6797</v>
      </c>
      <c r="C9" s="140">
        <f>VLOOKUP($A9,'Data shares'!$C:$FA,3)</f>
        <v>6812.5</v>
      </c>
      <c r="D9" s="50">
        <f>VLOOKUP($A9,'Data shares'!$C:$FA,6)*100</f>
        <v>-0.33</v>
      </c>
      <c r="E9" s="51">
        <f>VLOOKUP($A9,'Data shares'!$C:$FA,98)</f>
        <v>7087750</v>
      </c>
      <c r="F9" s="51">
        <f>VLOOKUP($A9,'Data shares'!$C:$FA,99)</f>
        <v>6494375</v>
      </c>
      <c r="G9" s="50">
        <f>VLOOKUP($A9,'Data shares'!$C:$FA,101)*100</f>
        <v>9.1399999999999988</v>
      </c>
      <c r="H9" s="49">
        <f>VLOOKUP($A9,'Data Vlaue (Cr)'!$C:$FB,99)</f>
        <v>4829</v>
      </c>
      <c r="I9" s="49">
        <f>VLOOKUP($A9,'Data Vlaue (Cr)'!$C:$FB,100)</f>
        <v>4424</v>
      </c>
      <c r="J9" s="49">
        <f>VLOOKUP($A9,'Data Vlaue (Cr)'!$C:$FB,102)*100</f>
        <v>9.1399999999999988</v>
      </c>
    </row>
    <row r="10" spans="1:10" x14ac:dyDescent="0.25">
      <c r="A10" s="101" t="str">
        <f>'NIFTY GRP'!C5</f>
        <v>ASIANPAINT</v>
      </c>
      <c r="B10" s="140">
        <f>VLOOKUP($A10,'Data shares'!$C:$FA,7)</f>
        <v>2703.8</v>
      </c>
      <c r="C10" s="140">
        <f>VLOOKUP($A10,'Data shares'!$C:$FA,3)</f>
        <v>2705.2</v>
      </c>
      <c r="D10" s="50">
        <f>VLOOKUP($A10,'Data shares'!$C:$FA,6)*100</f>
        <v>1.53</v>
      </c>
      <c r="E10" s="51">
        <f>VLOOKUP($A10,'Data shares'!$C:$FA,98)</f>
        <v>21619500</v>
      </c>
      <c r="F10" s="51">
        <f>VLOOKUP($A10,'Data shares'!$C:$FA,99)</f>
        <v>21522750</v>
      </c>
      <c r="G10" s="50">
        <f>VLOOKUP($A10,'Data shares'!$C:$FA,101)*100</f>
        <v>0.44999999999999996</v>
      </c>
      <c r="H10" s="49">
        <f>VLOOKUP($A10,'Data Vlaue (Cr)'!$C:$FB,99)</f>
        <v>5849</v>
      </c>
      <c r="I10" s="49">
        <f>VLOOKUP($A10,'Data Vlaue (Cr)'!$C:$FB,100)</f>
        <v>5822</v>
      </c>
      <c r="J10" s="49">
        <f>VLOOKUP($A10,'Data Vlaue (Cr)'!$C:$FB,102)*100</f>
        <v>0.44999999999999996</v>
      </c>
    </row>
    <row r="11" spans="1:10" x14ac:dyDescent="0.25">
      <c r="A11" s="101" t="str">
        <f>'NIFTY GRP'!C6</f>
        <v>AXISBANK</v>
      </c>
      <c r="B11" s="140">
        <f>VLOOKUP($A11,'Data shares'!$C:$FA,7)</f>
        <v>1294.8</v>
      </c>
      <c r="C11" s="140">
        <f>VLOOKUP($A11,'Data shares'!$C:$FA,3)</f>
        <v>1297</v>
      </c>
      <c r="D11" s="50">
        <f>VLOOKUP($A11,'Data shares'!$C:$FA,6)*100</f>
        <v>1.05</v>
      </c>
      <c r="E11" s="51">
        <f>VLOOKUP($A11,'Data shares'!$C:$FA,98)</f>
        <v>133595000</v>
      </c>
      <c r="F11" s="51">
        <f>VLOOKUP($A11,'Data shares'!$C:$FA,99)</f>
        <v>131694375</v>
      </c>
      <c r="G11" s="50">
        <f>VLOOKUP($A11,'Data shares'!$C:$FA,101)*100</f>
        <v>1.44</v>
      </c>
      <c r="H11" s="49">
        <f>VLOOKUP($A11,'Data Vlaue (Cr)'!$C:$FB,99)</f>
        <v>17327</v>
      </c>
      <c r="I11" s="49">
        <f>VLOOKUP($A11,'Data Vlaue (Cr)'!$C:$FB,100)</f>
        <v>17081</v>
      </c>
      <c r="J11" s="49">
        <f>VLOOKUP($A11,'Data Vlaue (Cr)'!$C:$FB,102)*100</f>
        <v>1.44</v>
      </c>
    </row>
    <row r="12" spans="1:10" x14ac:dyDescent="0.25">
      <c r="A12" s="101" t="str">
        <f>'NIFTY GRP'!C7</f>
        <v>BAJAJ-AUTO</v>
      </c>
      <c r="B12" s="140">
        <f>VLOOKUP($A12,'Data shares'!$C:$FA,7)</f>
        <v>9370</v>
      </c>
      <c r="C12" s="140">
        <f>VLOOKUP($A12,'Data shares'!$C:$FA,3)</f>
        <v>9383</v>
      </c>
      <c r="D12" s="50">
        <f>VLOOKUP($A12,'Data shares'!$C:$FA,6)*100</f>
        <v>2.0699999999999998</v>
      </c>
      <c r="E12" s="51">
        <f>VLOOKUP($A12,'Data shares'!$C:$FA,98)</f>
        <v>6053025</v>
      </c>
      <c r="F12" s="51">
        <f>VLOOKUP($A12,'Data shares'!$C:$FA,99)</f>
        <v>6585600</v>
      </c>
      <c r="G12" s="50">
        <f>VLOOKUP($A12,'Data shares'!$C:$FA,101)*100</f>
        <v>-8.09</v>
      </c>
      <c r="H12" s="49">
        <f>VLOOKUP($A12,'Data Vlaue (Cr)'!$C:$FB,99)</f>
        <v>5680</v>
      </c>
      <c r="I12" s="49">
        <f>VLOOKUP($A12,'Data Vlaue (Cr)'!$C:$FB,100)</f>
        <v>6179</v>
      </c>
      <c r="J12" s="49">
        <f>VLOOKUP($A12,'Data Vlaue (Cr)'!$C:$FB,102)*100</f>
        <v>-8.09</v>
      </c>
    </row>
    <row r="13" spans="1:10" x14ac:dyDescent="0.25">
      <c r="A13" s="101" t="str">
        <f>'NIFTY GRP'!C8</f>
        <v>BAJAJFINSV</v>
      </c>
      <c r="B13" s="140">
        <f>VLOOKUP($A13,'Data shares'!$C:$FA,7)</f>
        <v>1993.1</v>
      </c>
      <c r="C13" s="140">
        <f>VLOOKUP($A13,'Data shares'!$C:$FA,3)</f>
        <v>1991.3</v>
      </c>
      <c r="D13" s="50">
        <f>VLOOKUP($A13,'Data shares'!$C:$FA,6)*100</f>
        <v>1.68</v>
      </c>
      <c r="E13" s="51">
        <f>VLOOKUP($A13,'Data shares'!$C:$FA,98)</f>
        <v>25105500</v>
      </c>
      <c r="F13" s="51">
        <f>VLOOKUP($A13,'Data shares'!$C:$FA,99)</f>
        <v>25590750</v>
      </c>
      <c r="G13" s="50">
        <f>VLOOKUP($A13,'Data shares'!$C:$FA,101)*100</f>
        <v>-1.9</v>
      </c>
      <c r="H13" s="49">
        <f>VLOOKUP($A13,'Data Vlaue (Cr)'!$C:$FB,99)</f>
        <v>4999</v>
      </c>
      <c r="I13" s="49">
        <f>VLOOKUP($A13,'Data Vlaue (Cr)'!$C:$FB,100)</f>
        <v>5096</v>
      </c>
      <c r="J13" s="49">
        <f>VLOOKUP($A13,'Data Vlaue (Cr)'!$C:$FB,102)*100</f>
        <v>-1.9</v>
      </c>
    </row>
    <row r="14" spans="1:10" x14ac:dyDescent="0.25">
      <c r="A14" s="101" t="str">
        <f>'NIFTY GRP'!C9</f>
        <v>BAJFINANCE</v>
      </c>
      <c r="B14" s="140">
        <f>VLOOKUP($A14,'Data shares'!$C:$FA,7)</f>
        <v>942.85</v>
      </c>
      <c r="C14" s="140">
        <f>VLOOKUP($A14,'Data shares'!$C:$FA,3)</f>
        <v>943.15</v>
      </c>
      <c r="D14" s="50">
        <f>VLOOKUP($A14,'Data shares'!$C:$FA,6)*100</f>
        <v>0.69</v>
      </c>
      <c r="E14" s="51">
        <f>VLOOKUP($A14,'Data shares'!$C:$FA,98)</f>
        <v>144366750</v>
      </c>
      <c r="F14" s="51">
        <f>VLOOKUP($A14,'Data shares'!$C:$FA,99)</f>
        <v>145896750</v>
      </c>
      <c r="G14" s="50">
        <f>VLOOKUP($A14,'Data shares'!$C:$FA,101)*100</f>
        <v>-1.05</v>
      </c>
      <c r="H14" s="49">
        <f>VLOOKUP($A14,'Data Vlaue (Cr)'!$C:$FB,99)</f>
        <v>13616</v>
      </c>
      <c r="I14" s="49">
        <f>VLOOKUP($A14,'Data Vlaue (Cr)'!$C:$FB,100)</f>
        <v>13760</v>
      </c>
      <c r="J14" s="49">
        <f>VLOOKUP($A14,'Data Vlaue (Cr)'!$C:$FB,102)*100</f>
        <v>-1.05</v>
      </c>
    </row>
    <row r="15" spans="1:10" x14ac:dyDescent="0.25">
      <c r="A15" s="101" t="str">
        <f>'NIFTY GRP'!C10</f>
        <v>BEL</v>
      </c>
      <c r="B15" s="140">
        <f>VLOOKUP($A15,'Data shares'!$C:$FA,7)</f>
        <v>417.3</v>
      </c>
      <c r="C15" s="140">
        <f>VLOOKUP($A15,'Data shares'!$C:$FA,3)</f>
        <v>417.15</v>
      </c>
      <c r="D15" s="50">
        <f>VLOOKUP($A15,'Data shares'!$C:$FA,6)*100</f>
        <v>3.64</v>
      </c>
      <c r="E15" s="51">
        <f>VLOOKUP($A15,'Data shares'!$C:$FA,98)</f>
        <v>215261925</v>
      </c>
      <c r="F15" s="51">
        <f>VLOOKUP($A15,'Data shares'!$C:$FA,99)</f>
        <v>223264725</v>
      </c>
      <c r="G15" s="50">
        <f>VLOOKUP($A15,'Data shares'!$C:$FA,101)*100</f>
        <v>-3.58</v>
      </c>
      <c r="H15" s="49">
        <f>VLOOKUP($A15,'Data Vlaue (Cr)'!$C:$FB,99)</f>
        <v>8980</v>
      </c>
      <c r="I15" s="49">
        <f>VLOOKUP($A15,'Data Vlaue (Cr)'!$C:$FB,100)</f>
        <v>9313</v>
      </c>
      <c r="J15" s="49">
        <f>VLOOKUP($A15,'Data Vlaue (Cr)'!$C:$FB,102)*100</f>
        <v>-3.58</v>
      </c>
    </row>
    <row r="16" spans="1:10" x14ac:dyDescent="0.25">
      <c r="A16" s="101" t="str">
        <f>'NIFTY GRP'!C11</f>
        <v>BHARTIARTL</v>
      </c>
      <c r="B16" s="140">
        <f>VLOOKUP($A16,'Data shares'!$C:$FA,7)</f>
        <v>2002.2</v>
      </c>
      <c r="C16" s="140">
        <f>VLOOKUP($A16,'Data shares'!$C:$FA,3)</f>
        <v>2006</v>
      </c>
      <c r="D16" s="50">
        <f>VLOOKUP($A16,'Data shares'!$C:$FA,6)*100</f>
        <v>0.53</v>
      </c>
      <c r="E16" s="51">
        <f>VLOOKUP($A16,'Data shares'!$C:$FA,98)</f>
        <v>76419425</v>
      </c>
      <c r="F16" s="51">
        <f>VLOOKUP($A16,'Data shares'!$C:$FA,99)</f>
        <v>77139050</v>
      </c>
      <c r="G16" s="50">
        <f>VLOOKUP($A16,'Data shares'!$C:$FA,101)*100</f>
        <v>-0.92999999999999994</v>
      </c>
      <c r="H16" s="49">
        <f>VLOOKUP($A16,'Data Vlaue (Cr)'!$C:$FB,99)</f>
        <v>15330</v>
      </c>
      <c r="I16" s="49">
        <f>VLOOKUP($A16,'Data Vlaue (Cr)'!$C:$FB,100)</f>
        <v>15474</v>
      </c>
      <c r="J16" s="49">
        <f>VLOOKUP($A16,'Data Vlaue (Cr)'!$C:$FB,102)*100</f>
        <v>-0.92999999999999994</v>
      </c>
    </row>
    <row r="17" spans="1:10" x14ac:dyDescent="0.25">
      <c r="A17" s="101" t="str">
        <f>'NIFTY GRP'!C12</f>
        <v>CIPLA</v>
      </c>
      <c r="B17" s="140">
        <f>VLOOKUP($A17,'Data shares'!$C:$FA,7)</f>
        <v>1370.4</v>
      </c>
      <c r="C17" s="140">
        <f>VLOOKUP($A17,'Data shares'!$C:$FA,3)</f>
        <v>1373.3</v>
      </c>
      <c r="D17" s="50">
        <f>VLOOKUP($A17,'Data shares'!$C:$FA,6)*100</f>
        <v>0.37</v>
      </c>
      <c r="E17" s="51">
        <f>VLOOKUP($A17,'Data shares'!$C:$FA,98)</f>
        <v>28593750</v>
      </c>
      <c r="F17" s="51">
        <f>VLOOKUP($A17,'Data shares'!$C:$FA,99)</f>
        <v>28501500</v>
      </c>
      <c r="G17" s="50">
        <f>VLOOKUP($A17,'Data shares'!$C:$FA,101)*100</f>
        <v>0.32</v>
      </c>
      <c r="H17" s="49">
        <f>VLOOKUP($A17,'Data Vlaue (Cr)'!$C:$FB,99)</f>
        <v>3927</v>
      </c>
      <c r="I17" s="49">
        <f>VLOOKUP($A17,'Data Vlaue (Cr)'!$C:$FB,100)</f>
        <v>3914</v>
      </c>
      <c r="J17" s="49">
        <f>VLOOKUP($A17,'Data Vlaue (Cr)'!$C:$FB,102)*100</f>
        <v>0.32</v>
      </c>
    </row>
    <row r="18" spans="1:10" x14ac:dyDescent="0.25">
      <c r="A18" s="101" t="str">
        <f>'NIFTY GRP'!C13</f>
        <v>COALINDIA</v>
      </c>
      <c r="B18" s="140">
        <f>VLOOKUP($A18,'Data shares'!$C:$FA,7)</f>
        <v>423.2</v>
      </c>
      <c r="C18" s="140">
        <f>VLOOKUP($A18,'Data shares'!$C:$FA,3)</f>
        <v>422.95</v>
      </c>
      <c r="D18" s="50">
        <f>VLOOKUP($A18,'Data shares'!$C:$FA,6)*100</f>
        <v>2.1399999999999997</v>
      </c>
      <c r="E18" s="51">
        <f>VLOOKUP($A18,'Data shares'!$C:$FA,98)</f>
        <v>135715500</v>
      </c>
      <c r="F18" s="51">
        <f>VLOOKUP($A18,'Data shares'!$C:$FA,99)</f>
        <v>139676400</v>
      </c>
      <c r="G18" s="50">
        <f>VLOOKUP($A18,'Data shares'!$C:$FA,101)*100</f>
        <v>-2.8400000000000003</v>
      </c>
      <c r="H18" s="49">
        <f>VLOOKUP($A18,'Data Vlaue (Cr)'!$C:$FB,99)</f>
        <v>5740</v>
      </c>
      <c r="I18" s="49">
        <f>VLOOKUP($A18,'Data Vlaue (Cr)'!$C:$FB,100)</f>
        <v>5908</v>
      </c>
      <c r="J18" s="49">
        <f>VLOOKUP($A18,'Data Vlaue (Cr)'!$C:$FB,102)*100</f>
        <v>-2.8400000000000003</v>
      </c>
    </row>
    <row r="19" spans="1:10" x14ac:dyDescent="0.25">
      <c r="A19" s="101" t="str">
        <f>'NIFTY GRP'!C14</f>
        <v>DRREDDY</v>
      </c>
      <c r="B19" s="140">
        <f>VLOOKUP($A19,'Data shares'!$C:$FA,7)</f>
        <v>1217.5</v>
      </c>
      <c r="C19" s="140">
        <f>VLOOKUP($A19,'Data shares'!$C:$FA,3)</f>
        <v>1221.3</v>
      </c>
      <c r="D19" s="50">
        <f>VLOOKUP($A19,'Data shares'!$C:$FA,6)*100</f>
        <v>5.27</v>
      </c>
      <c r="E19" s="51">
        <f>VLOOKUP($A19,'Data shares'!$C:$FA,98)</f>
        <v>33220000</v>
      </c>
      <c r="F19" s="51">
        <f>VLOOKUP($A19,'Data shares'!$C:$FA,99)</f>
        <v>33981875</v>
      </c>
      <c r="G19" s="50">
        <f>VLOOKUP($A19,'Data shares'!$C:$FA,101)*100</f>
        <v>-2.2399999999999998</v>
      </c>
      <c r="H19" s="49">
        <f>VLOOKUP($A19,'Data Vlaue (Cr)'!$C:$FB,99)</f>
        <v>4057</v>
      </c>
      <c r="I19" s="49">
        <f>VLOOKUP($A19,'Data Vlaue (Cr)'!$C:$FB,100)</f>
        <v>4150</v>
      </c>
      <c r="J19" s="49">
        <f>VLOOKUP($A19,'Data Vlaue (Cr)'!$C:$FB,102)*100</f>
        <v>-2.2399999999999998</v>
      </c>
    </row>
    <row r="20" spans="1:10" x14ac:dyDescent="0.25">
      <c r="A20" s="101" t="str">
        <f>'NIFTY GRP'!C15</f>
        <v>EICHERMOT</v>
      </c>
      <c r="B20" s="140">
        <f>VLOOKUP($A20,'Data shares'!$C:$FA,7)</f>
        <v>7049</v>
      </c>
      <c r="C20" s="140">
        <f>VLOOKUP($A20,'Data shares'!$C:$FA,3)</f>
        <v>7040</v>
      </c>
      <c r="D20" s="50">
        <f>VLOOKUP($A20,'Data shares'!$C:$FA,6)*100</f>
        <v>-1.3599999999999999</v>
      </c>
      <c r="E20" s="51">
        <f>VLOOKUP($A20,'Data shares'!$C:$FA,98)</f>
        <v>5925600</v>
      </c>
      <c r="F20" s="51">
        <f>VLOOKUP($A20,'Data shares'!$C:$FA,99)</f>
        <v>5822900</v>
      </c>
      <c r="G20" s="50">
        <f>VLOOKUP($A20,'Data shares'!$C:$FA,101)*100</f>
        <v>1.76</v>
      </c>
      <c r="H20" s="49">
        <f>VLOOKUP($A20,'Data Vlaue (Cr)'!$C:$FB,99)</f>
        <v>4172</v>
      </c>
      <c r="I20" s="49">
        <f>VLOOKUP($A20,'Data Vlaue (Cr)'!$C:$FB,100)</f>
        <v>4099</v>
      </c>
      <c r="J20" s="49">
        <f>VLOOKUP($A20,'Data Vlaue (Cr)'!$C:$FB,102)*100</f>
        <v>1.76</v>
      </c>
    </row>
    <row r="21" spans="1:10" x14ac:dyDescent="0.25">
      <c r="A21" s="101" t="str">
        <f>'NIFTY GRP'!C16</f>
        <v>ETERNAL</v>
      </c>
      <c r="B21" s="140">
        <f>VLOOKUP($A21,'Data shares'!$C:$FA,7)</f>
        <v>275.89999999999998</v>
      </c>
      <c r="C21" s="140">
        <f>VLOOKUP($A21,'Data shares'!$C:$FA,3)</f>
        <v>276.39999999999998</v>
      </c>
      <c r="D21" s="50">
        <f>VLOOKUP($A21,'Data shares'!$C:$FA,6)*100</f>
        <v>-2.62</v>
      </c>
      <c r="E21" s="51">
        <f>VLOOKUP($A21,'Data shares'!$C:$FA,98)</f>
        <v>514594700</v>
      </c>
      <c r="F21" s="51">
        <f>VLOOKUP($A21,'Data shares'!$C:$FA,99)</f>
        <v>513256100</v>
      </c>
      <c r="G21" s="50">
        <f>VLOOKUP($A21,'Data shares'!$C:$FA,101)*100</f>
        <v>0.26</v>
      </c>
      <c r="H21" s="49">
        <f>VLOOKUP($A21,'Data Vlaue (Cr)'!$C:$FB,99)</f>
        <v>14223</v>
      </c>
      <c r="I21" s="49">
        <f>VLOOKUP($A21,'Data Vlaue (Cr)'!$C:$FB,100)</f>
        <v>14186</v>
      </c>
      <c r="J21" s="49">
        <f>VLOOKUP($A21,'Data Vlaue (Cr)'!$C:$FB,102)*100</f>
        <v>0.26</v>
      </c>
    </row>
    <row r="22" spans="1:10" x14ac:dyDescent="0.25">
      <c r="A22" s="101" t="str">
        <f>'NIFTY GRP'!C17</f>
        <v>GRASIM</v>
      </c>
      <c r="B22" s="140">
        <f>VLOOKUP($A22,'Data shares'!$C:$FA,7)</f>
        <v>2787.6</v>
      </c>
      <c r="C22" s="140">
        <f>VLOOKUP($A22,'Data shares'!$C:$FA,3)</f>
        <v>2793</v>
      </c>
      <c r="D22" s="50">
        <f>VLOOKUP($A22,'Data shares'!$C:$FA,6)*100</f>
        <v>2.02</v>
      </c>
      <c r="E22" s="51">
        <f>VLOOKUP($A22,'Data shares'!$C:$FA,98)</f>
        <v>19878500</v>
      </c>
      <c r="F22" s="51">
        <f>VLOOKUP($A22,'Data shares'!$C:$FA,99)</f>
        <v>20167500</v>
      </c>
      <c r="G22" s="50">
        <f>VLOOKUP($A22,'Data shares'!$C:$FA,101)*100</f>
        <v>-1.43</v>
      </c>
      <c r="H22" s="49">
        <f>VLOOKUP($A22,'Data Vlaue (Cr)'!$C:$FB,99)</f>
        <v>5552</v>
      </c>
      <c r="I22" s="49">
        <f>VLOOKUP($A22,'Data Vlaue (Cr)'!$C:$FB,100)</f>
        <v>5633</v>
      </c>
      <c r="J22" s="49">
        <f>VLOOKUP($A22,'Data Vlaue (Cr)'!$C:$FB,102)*100</f>
        <v>-1.43</v>
      </c>
    </row>
    <row r="23" spans="1:10" x14ac:dyDescent="0.25">
      <c r="A23" s="101" t="str">
        <f>'NIFTY GRP'!C18</f>
        <v>HCLTECH</v>
      </c>
      <c r="B23" s="140">
        <f>VLOOKUP($A23,'Data shares'!$C:$FA,7)</f>
        <v>1703.1</v>
      </c>
      <c r="C23" s="140">
        <f>VLOOKUP($A23,'Data shares'!$C:$FA,3)</f>
        <v>1702.6</v>
      </c>
      <c r="D23" s="50">
        <f>VLOOKUP($A23,'Data shares'!$C:$FA,6)*100</f>
        <v>1.1299999999999999</v>
      </c>
      <c r="E23" s="51">
        <f>VLOOKUP($A23,'Data shares'!$C:$FA,98)</f>
        <v>30254700</v>
      </c>
      <c r="F23" s="51">
        <f>VLOOKUP($A23,'Data shares'!$C:$FA,99)</f>
        <v>30284450</v>
      </c>
      <c r="G23" s="50">
        <f>VLOOKUP($A23,'Data shares'!$C:$FA,101)*100</f>
        <v>-0.1</v>
      </c>
      <c r="H23" s="49">
        <f>VLOOKUP($A23,'Data Vlaue (Cr)'!$C:$FB,99)</f>
        <v>5151</v>
      </c>
      <c r="I23" s="49">
        <f>VLOOKUP($A23,'Data Vlaue (Cr)'!$C:$FB,100)</f>
        <v>5156</v>
      </c>
      <c r="J23" s="49">
        <f>VLOOKUP($A23,'Data Vlaue (Cr)'!$C:$FB,102)*100</f>
        <v>-0.1</v>
      </c>
    </row>
    <row r="24" spans="1:10" x14ac:dyDescent="0.25">
      <c r="A24" s="101" t="str">
        <f>'NIFTY GRP'!C19</f>
        <v>HDFCBANK</v>
      </c>
      <c r="B24" s="140">
        <f>VLOOKUP($A24,'Data shares'!$C:$FA,7)</f>
        <v>918.7</v>
      </c>
      <c r="C24" s="140">
        <f>VLOOKUP($A24,'Data shares'!$C:$FA,3)</f>
        <v>921.55</v>
      </c>
      <c r="D24" s="50">
        <f>VLOOKUP($A24,'Data shares'!$C:$FA,6)*100</f>
        <v>-0.1</v>
      </c>
      <c r="E24" s="51">
        <f>VLOOKUP($A24,'Data shares'!$C:$FA,98)</f>
        <v>408159400</v>
      </c>
      <c r="F24" s="51">
        <f>VLOOKUP($A24,'Data shares'!$C:$FA,99)</f>
        <v>399782350</v>
      </c>
      <c r="G24" s="50">
        <f>VLOOKUP($A24,'Data shares'!$C:$FA,101)*100</f>
        <v>2.1</v>
      </c>
      <c r="H24" s="49">
        <f>VLOOKUP($A24,'Data Vlaue (Cr)'!$C:$FB,99)</f>
        <v>37614</v>
      </c>
      <c r="I24" s="49">
        <f>VLOOKUP($A24,'Data Vlaue (Cr)'!$C:$FB,100)</f>
        <v>36842</v>
      </c>
      <c r="J24" s="49">
        <f>VLOOKUP($A24,'Data Vlaue (Cr)'!$C:$FB,102)*100</f>
        <v>2.1</v>
      </c>
    </row>
    <row r="25" spans="1:10" x14ac:dyDescent="0.25">
      <c r="A25" s="101" t="str">
        <f>'NIFTY GRP'!C20</f>
        <v>HDFCLIFE</v>
      </c>
      <c r="B25" s="140">
        <f>VLOOKUP($A25,'Data shares'!$C:$FA,7)</f>
        <v>725.1</v>
      </c>
      <c r="C25" s="140">
        <f>VLOOKUP($A25,'Data shares'!$C:$FA,3)</f>
        <v>725.4</v>
      </c>
      <c r="D25" s="50">
        <f>VLOOKUP($A25,'Data shares'!$C:$FA,6)*100</f>
        <v>-0.03</v>
      </c>
      <c r="E25" s="51">
        <f>VLOOKUP($A25,'Data shares'!$C:$FA,98)</f>
        <v>61250200</v>
      </c>
      <c r="F25" s="51">
        <f>VLOOKUP($A25,'Data shares'!$C:$FA,99)</f>
        <v>61154500</v>
      </c>
      <c r="G25" s="50">
        <f>VLOOKUP($A25,'Data shares'!$C:$FA,101)*100</f>
        <v>0.16</v>
      </c>
      <c r="H25" s="49">
        <f>VLOOKUP($A25,'Data Vlaue (Cr)'!$C:$FB,99)</f>
        <v>4443</v>
      </c>
      <c r="I25" s="49">
        <f>VLOOKUP($A25,'Data Vlaue (Cr)'!$C:$FB,100)</f>
        <v>4436</v>
      </c>
      <c r="J25" s="49">
        <f>VLOOKUP($A25,'Data Vlaue (Cr)'!$C:$FB,102)*100</f>
        <v>0.16</v>
      </c>
    </row>
    <row r="26" spans="1:10" x14ac:dyDescent="0.25">
      <c r="A26" s="101" t="str">
        <f>'NIFTY GRP'!C21</f>
        <v>HINDALCO</v>
      </c>
      <c r="B26" s="140">
        <f>VLOOKUP($A26,'Data shares'!$C:$FA,7)</f>
        <v>944.45</v>
      </c>
      <c r="C26" s="140">
        <f>VLOOKUP($A26,'Data shares'!$C:$FA,3)</f>
        <v>941.15</v>
      </c>
      <c r="D26" s="50">
        <f>VLOOKUP($A26,'Data shares'!$C:$FA,6)*100</f>
        <v>0.38</v>
      </c>
      <c r="E26" s="51">
        <f>VLOOKUP($A26,'Data shares'!$C:$FA,98)</f>
        <v>80038700</v>
      </c>
      <c r="F26" s="51">
        <f>VLOOKUP($A26,'Data shares'!$C:$FA,99)</f>
        <v>82918500</v>
      </c>
      <c r="G26" s="50">
        <f>VLOOKUP($A26,'Data shares'!$C:$FA,101)*100</f>
        <v>-3.47</v>
      </c>
      <c r="H26" s="49">
        <f>VLOOKUP($A26,'Data Vlaue (Cr)'!$C:$FB,99)</f>
        <v>7533</v>
      </c>
      <c r="I26" s="49">
        <f>VLOOKUP($A26,'Data Vlaue (Cr)'!$C:$FB,100)</f>
        <v>7804</v>
      </c>
      <c r="J26" s="49">
        <f>VLOOKUP($A26,'Data Vlaue (Cr)'!$C:$FB,102)*100</f>
        <v>-3.47</v>
      </c>
    </row>
    <row r="27" spans="1:10" x14ac:dyDescent="0.25">
      <c r="A27" s="101" t="str">
        <f>'NIFTY GRP'!C22</f>
        <v>HINDUNILVR</v>
      </c>
      <c r="B27" s="140">
        <f>VLOOKUP($A27,'Data shares'!$C:$FA,7)</f>
        <v>2390.6</v>
      </c>
      <c r="C27" s="140">
        <f>VLOOKUP($A27,'Data shares'!$C:$FA,3)</f>
        <v>2395.6</v>
      </c>
      <c r="D27" s="50">
        <f>VLOOKUP($A27,'Data shares'!$C:$FA,6)*100</f>
        <v>1.1499999999999999</v>
      </c>
      <c r="E27" s="51">
        <f>VLOOKUP($A27,'Data shares'!$C:$FA,98)</f>
        <v>24432300</v>
      </c>
      <c r="F27" s="51">
        <f>VLOOKUP($A27,'Data shares'!$C:$FA,99)</f>
        <v>25269600</v>
      </c>
      <c r="G27" s="50">
        <f>VLOOKUP($A27,'Data shares'!$C:$FA,101)*100</f>
        <v>-3.3099999999999996</v>
      </c>
      <c r="H27" s="49">
        <f>VLOOKUP($A27,'Data Vlaue (Cr)'!$C:$FB,99)</f>
        <v>5853</v>
      </c>
      <c r="I27" s="49">
        <f>VLOOKUP($A27,'Data Vlaue (Cr)'!$C:$FB,100)</f>
        <v>6054</v>
      </c>
      <c r="J27" s="49">
        <f>VLOOKUP($A27,'Data Vlaue (Cr)'!$C:$FB,102)*100</f>
        <v>-3.3099999999999996</v>
      </c>
    </row>
    <row r="28" spans="1:10" x14ac:dyDescent="0.25">
      <c r="A28" s="101" t="str">
        <f>'NIFTY GRP'!C23</f>
        <v>ICICIBANK</v>
      </c>
      <c r="B28" s="140">
        <f>VLOOKUP($A28,'Data shares'!$C:$FA,7)</f>
        <v>1345.5</v>
      </c>
      <c r="C28" s="140">
        <f>VLOOKUP($A28,'Data shares'!$C:$FA,3)</f>
        <v>1348.6</v>
      </c>
      <c r="D28" s="50">
        <f>VLOOKUP($A28,'Data shares'!$C:$FA,6)*100</f>
        <v>0.1</v>
      </c>
      <c r="E28" s="51">
        <f>VLOOKUP($A28,'Data shares'!$C:$FA,98)</f>
        <v>209731200</v>
      </c>
      <c r="F28" s="51">
        <f>VLOOKUP($A28,'Data shares'!$C:$FA,99)</f>
        <v>211096900</v>
      </c>
      <c r="G28" s="50">
        <f>VLOOKUP($A28,'Data shares'!$C:$FA,101)*100</f>
        <v>-0.65</v>
      </c>
      <c r="H28" s="49">
        <f>VLOOKUP($A28,'Data Vlaue (Cr)'!$C:$FB,99)</f>
        <v>28284</v>
      </c>
      <c r="I28" s="49">
        <f>VLOOKUP($A28,'Data Vlaue (Cr)'!$C:$FB,100)</f>
        <v>28469</v>
      </c>
      <c r="J28" s="49">
        <f>VLOOKUP($A28,'Data Vlaue (Cr)'!$C:$FB,102)*100</f>
        <v>-0.65</v>
      </c>
    </row>
    <row r="29" spans="1:10" x14ac:dyDescent="0.25">
      <c r="A29" s="101" t="str">
        <f>'NIFTY GRP'!C24</f>
        <v>INDIGO</v>
      </c>
      <c r="B29" s="140">
        <f>VLOOKUP($A29,'Data shares'!$C:$FA,7)</f>
        <v>4909</v>
      </c>
      <c r="C29" s="140">
        <f>VLOOKUP($A29,'Data shares'!$C:$FA,3)</f>
        <v>4916.5</v>
      </c>
      <c r="D29" s="50">
        <f>VLOOKUP($A29,'Data shares'!$C:$FA,6)*100</f>
        <v>0.88</v>
      </c>
      <c r="E29" s="51">
        <f>VLOOKUP($A29,'Data shares'!$C:$FA,98)</f>
        <v>18997500</v>
      </c>
      <c r="F29" s="51">
        <f>VLOOKUP($A29,'Data shares'!$C:$FA,99)</f>
        <v>18479250</v>
      </c>
      <c r="G29" s="50">
        <f>VLOOKUP($A29,'Data shares'!$C:$FA,101)*100</f>
        <v>2.8000000000000003</v>
      </c>
      <c r="H29" s="49">
        <f>VLOOKUP($A29,'Data Vlaue (Cr)'!$C:$FB,99)</f>
        <v>9340</v>
      </c>
      <c r="I29" s="49">
        <f>VLOOKUP($A29,'Data Vlaue (Cr)'!$C:$FB,100)</f>
        <v>9085</v>
      </c>
      <c r="J29" s="49">
        <f>VLOOKUP($A29,'Data Vlaue (Cr)'!$C:$FB,102)*100</f>
        <v>2.8000000000000003</v>
      </c>
    </row>
    <row r="30" spans="1:10" x14ac:dyDescent="0.25">
      <c r="A30" s="101" t="str">
        <f>'NIFTY GRP'!C25</f>
        <v>INFY</v>
      </c>
      <c r="B30" s="140">
        <f>VLOOKUP($A30,'Data shares'!$C:$FA,7)</f>
        <v>1663.5</v>
      </c>
      <c r="C30" s="140">
        <f>VLOOKUP($A30,'Data shares'!$C:$FA,3)</f>
        <v>1667.4</v>
      </c>
      <c r="D30" s="50">
        <f>VLOOKUP($A30,'Data shares'!$C:$FA,6)*100</f>
        <v>0.66</v>
      </c>
      <c r="E30" s="51">
        <f>VLOOKUP($A30,'Data shares'!$C:$FA,98)</f>
        <v>120017200</v>
      </c>
      <c r="F30" s="51">
        <f>VLOOKUP($A30,'Data shares'!$C:$FA,99)</f>
        <v>120832400</v>
      </c>
      <c r="G30" s="50">
        <f>VLOOKUP($A30,'Data shares'!$C:$FA,101)*100</f>
        <v>-0.67</v>
      </c>
      <c r="H30" s="49">
        <f>VLOOKUP($A30,'Data Vlaue (Cr)'!$C:$FB,99)</f>
        <v>20012</v>
      </c>
      <c r="I30" s="49">
        <f>VLOOKUP($A30,'Data Vlaue (Cr)'!$C:$FB,100)</f>
        <v>20148</v>
      </c>
      <c r="J30" s="49">
        <f>VLOOKUP($A30,'Data Vlaue (Cr)'!$C:$FB,102)*100</f>
        <v>-0.67</v>
      </c>
    </row>
    <row r="31" spans="1:10" x14ac:dyDescent="0.25">
      <c r="A31" s="101" t="str">
        <f>'NIFTY GRP'!C26</f>
        <v>ITC</v>
      </c>
      <c r="B31" s="140">
        <f>VLOOKUP($A31,'Data shares'!$C:$FA,7)</f>
        <v>324.85000000000002</v>
      </c>
      <c r="C31" s="140">
        <f>VLOOKUP($A31,'Data shares'!$C:$FA,3)</f>
        <v>325.25</v>
      </c>
      <c r="D31" s="50">
        <f>VLOOKUP($A31,'Data shares'!$C:$FA,6)*100</f>
        <v>0.12</v>
      </c>
      <c r="E31" s="51">
        <f>VLOOKUP($A31,'Data shares'!$C:$FA,98)</f>
        <v>649211200</v>
      </c>
      <c r="F31" s="51">
        <f>VLOOKUP($A31,'Data shares'!$C:$FA,99)</f>
        <v>677686400</v>
      </c>
      <c r="G31" s="50">
        <f>VLOOKUP($A31,'Data shares'!$C:$FA,101)*100</f>
        <v>-4.2</v>
      </c>
      <c r="H31" s="49">
        <f>VLOOKUP($A31,'Data Vlaue (Cr)'!$C:$FB,99)</f>
        <v>21116</v>
      </c>
      <c r="I31" s="49">
        <f>VLOOKUP($A31,'Data Vlaue (Cr)'!$C:$FB,100)</f>
        <v>22042</v>
      </c>
      <c r="J31" s="49">
        <f>VLOOKUP($A31,'Data Vlaue (Cr)'!$C:$FB,102)*100</f>
        <v>-4.2</v>
      </c>
    </row>
    <row r="32" spans="1:10" x14ac:dyDescent="0.25">
      <c r="A32" s="101" t="str">
        <f>'NIFTY GRP'!C27</f>
        <v>JIOFIN</v>
      </c>
      <c r="B32" s="140">
        <f>VLOOKUP($A32,'Data shares'!$C:$FA,7)</f>
        <v>262.60000000000002</v>
      </c>
      <c r="C32" s="140">
        <f>VLOOKUP($A32,'Data shares'!$C:$FA,3)</f>
        <v>263.35000000000002</v>
      </c>
      <c r="D32" s="50">
        <f>VLOOKUP($A32,'Data shares'!$C:$FA,6)*100</f>
        <v>-0.13</v>
      </c>
      <c r="E32" s="51">
        <f>VLOOKUP($A32,'Data shares'!$C:$FA,98)</f>
        <v>322469350</v>
      </c>
      <c r="F32" s="51">
        <f>VLOOKUP($A32,'Data shares'!$C:$FA,99)</f>
        <v>321512900</v>
      </c>
      <c r="G32" s="50">
        <f>VLOOKUP($A32,'Data shares'!$C:$FA,101)*100</f>
        <v>0.3</v>
      </c>
      <c r="H32" s="49">
        <f>VLOOKUP($A32,'Data Vlaue (Cr)'!$C:$FB,99)</f>
        <v>8492</v>
      </c>
      <c r="I32" s="49">
        <f>VLOOKUP($A32,'Data Vlaue (Cr)'!$C:$FB,100)</f>
        <v>8467</v>
      </c>
      <c r="J32" s="49">
        <f>VLOOKUP($A32,'Data Vlaue (Cr)'!$C:$FB,102)*100</f>
        <v>0.3</v>
      </c>
    </row>
    <row r="33" spans="1:10" x14ac:dyDescent="0.25">
      <c r="A33" s="101" t="str">
        <f>'NIFTY GRP'!C28</f>
        <v>JSWSTEEL</v>
      </c>
      <c r="B33" s="140">
        <f>VLOOKUP($A33,'Data shares'!$C:$FA,7)</f>
        <v>1184.4000000000001</v>
      </c>
      <c r="C33" s="140">
        <f>VLOOKUP($A33,'Data shares'!$C:$FA,3)</f>
        <v>1187</v>
      </c>
      <c r="D33" s="50">
        <f>VLOOKUP($A33,'Data shares'!$C:$FA,6)*100</f>
        <v>1.1199999999999999</v>
      </c>
      <c r="E33" s="51">
        <f>VLOOKUP($A33,'Data shares'!$C:$FA,98)</f>
        <v>63620775</v>
      </c>
      <c r="F33" s="51">
        <f>VLOOKUP($A33,'Data shares'!$C:$FA,99)</f>
        <v>63433800</v>
      </c>
      <c r="G33" s="50">
        <f>VLOOKUP($A33,'Data shares'!$C:$FA,101)*100</f>
        <v>0.28999999999999998</v>
      </c>
      <c r="H33" s="49">
        <f>VLOOKUP($A33,'Data Vlaue (Cr)'!$C:$FB,99)</f>
        <v>7552</v>
      </c>
      <c r="I33" s="49">
        <f>VLOOKUP($A33,'Data Vlaue (Cr)'!$C:$FB,100)</f>
        <v>7530</v>
      </c>
      <c r="J33" s="49">
        <f>VLOOKUP($A33,'Data Vlaue (Cr)'!$C:$FB,102)*100</f>
        <v>0.28999999999999998</v>
      </c>
    </row>
    <row r="34" spans="1:10" x14ac:dyDescent="0.25">
      <c r="A34" s="101" t="str">
        <f>'NIFTY GRP'!C29</f>
        <v>KOTAKBANK</v>
      </c>
      <c r="B34" s="140">
        <f>VLOOKUP($A34,'Data shares'!$C:$FA,7)</f>
        <v>426</v>
      </c>
      <c r="C34" s="140">
        <f>VLOOKUP($A34,'Data shares'!$C:$FA,3)</f>
        <v>426.2</v>
      </c>
      <c r="D34" s="50">
        <f>VLOOKUP($A34,'Data shares'!$C:$FA,6)*100</f>
        <v>0.97</v>
      </c>
      <c r="E34" s="51">
        <f>VLOOKUP($A34,'Data shares'!$C:$FA,98)</f>
        <v>267124000</v>
      </c>
      <c r="F34" s="51">
        <f>VLOOKUP($A34,'Data shares'!$C:$FA,99)</f>
        <v>268996000</v>
      </c>
      <c r="G34" s="50">
        <f>VLOOKUP($A34,'Data shares'!$C:$FA,101)*100</f>
        <v>-0.70000000000000007</v>
      </c>
      <c r="H34" s="49">
        <f>VLOOKUP($A34,'Data Vlaue (Cr)'!$C:$FB,99)</f>
        <v>11385</v>
      </c>
      <c r="I34" s="49">
        <f>VLOOKUP($A34,'Data Vlaue (Cr)'!$C:$FB,100)</f>
        <v>11465</v>
      </c>
      <c r="J34" s="49">
        <f>VLOOKUP($A34,'Data Vlaue (Cr)'!$C:$FB,102)*100</f>
        <v>-0.70000000000000007</v>
      </c>
    </row>
    <row r="35" spans="1:10" x14ac:dyDescent="0.25">
      <c r="A35" s="101" t="str">
        <f>'NIFTY GRP'!C30</f>
        <v>LT</v>
      </c>
      <c r="B35" s="140">
        <f>VLOOKUP($A35,'Data shares'!$C:$FA,7)</f>
        <v>3793.8</v>
      </c>
      <c r="C35" s="140">
        <f>VLOOKUP($A35,'Data shares'!$C:$FA,3)</f>
        <v>3800.6</v>
      </c>
      <c r="D35" s="50">
        <f>VLOOKUP($A35,'Data shares'!$C:$FA,6)*100</f>
        <v>0.92999999999999994</v>
      </c>
      <c r="E35" s="51">
        <f>VLOOKUP($A35,'Data shares'!$C:$FA,98)</f>
        <v>25759475</v>
      </c>
      <c r="F35" s="51">
        <f>VLOOKUP($A35,'Data shares'!$C:$FA,99)</f>
        <v>25696650</v>
      </c>
      <c r="G35" s="50">
        <f>VLOOKUP($A35,'Data shares'!$C:$FA,101)*100</f>
        <v>0.24</v>
      </c>
      <c r="H35" s="49">
        <f>VLOOKUP($A35,'Data Vlaue (Cr)'!$C:$FB,99)</f>
        <v>9790</v>
      </c>
      <c r="I35" s="49">
        <f>VLOOKUP($A35,'Data Vlaue (Cr)'!$C:$FB,100)</f>
        <v>9766</v>
      </c>
      <c r="J35" s="49">
        <f>VLOOKUP($A35,'Data Vlaue (Cr)'!$C:$FB,102)*100</f>
        <v>0.24</v>
      </c>
    </row>
    <row r="36" spans="1:10" x14ac:dyDescent="0.25">
      <c r="A36" s="101" t="str">
        <f>'NIFTY GRP'!C31</f>
        <v>M&amp;M</v>
      </c>
      <c r="B36" s="140">
        <f>VLOOKUP($A36,'Data shares'!$C:$FA,7)</f>
        <v>3573.7</v>
      </c>
      <c r="C36" s="140">
        <f>VLOOKUP($A36,'Data shares'!$C:$FA,3)</f>
        <v>3579.7</v>
      </c>
      <c r="D36" s="50">
        <f>VLOOKUP($A36,'Data shares'!$C:$FA,6)*100</f>
        <v>0.79</v>
      </c>
      <c r="E36" s="51">
        <f>VLOOKUP($A36,'Data shares'!$C:$FA,98)</f>
        <v>24416000</v>
      </c>
      <c r="F36" s="51">
        <f>VLOOKUP($A36,'Data shares'!$C:$FA,99)</f>
        <v>24625800</v>
      </c>
      <c r="G36" s="50">
        <f>VLOOKUP($A36,'Data shares'!$C:$FA,101)*100</f>
        <v>-0.85000000000000009</v>
      </c>
      <c r="H36" s="49">
        <f>VLOOKUP($A36,'Data Vlaue (Cr)'!$C:$FB,99)</f>
        <v>8740</v>
      </c>
      <c r="I36" s="49">
        <f>VLOOKUP($A36,'Data Vlaue (Cr)'!$C:$FB,100)</f>
        <v>8815</v>
      </c>
      <c r="J36" s="49">
        <f>VLOOKUP($A36,'Data Vlaue (Cr)'!$C:$FB,102)*100</f>
        <v>-0.85000000000000009</v>
      </c>
    </row>
    <row r="37" spans="1:10" x14ac:dyDescent="0.25">
      <c r="A37" s="101" t="str">
        <f>'NIFTY GRP'!C32</f>
        <v>MARUTI</v>
      </c>
      <c r="B37" s="140">
        <f>VLOOKUP($A37,'Data shares'!$C:$FA,7)</f>
        <v>15765</v>
      </c>
      <c r="C37" s="140">
        <f>VLOOKUP($A37,'Data shares'!$C:$FA,3)</f>
        <v>15752</v>
      </c>
      <c r="D37" s="50">
        <f>VLOOKUP($A37,'Data shares'!$C:$FA,6)*100</f>
        <v>-0.26</v>
      </c>
      <c r="E37" s="51">
        <f>VLOOKUP($A37,'Data shares'!$C:$FA,98)</f>
        <v>6778000</v>
      </c>
      <c r="F37" s="51">
        <f>VLOOKUP($A37,'Data shares'!$C:$FA,99)</f>
        <v>7046550</v>
      </c>
      <c r="G37" s="50">
        <f>VLOOKUP($A37,'Data shares'!$C:$FA,101)*100</f>
        <v>-3.81</v>
      </c>
      <c r="H37" s="49">
        <f>VLOOKUP($A37,'Data Vlaue (Cr)'!$C:$FB,99)</f>
        <v>10677</v>
      </c>
      <c r="I37" s="49">
        <f>VLOOKUP($A37,'Data Vlaue (Cr)'!$C:$FB,100)</f>
        <v>11100</v>
      </c>
      <c r="J37" s="49">
        <f>VLOOKUP($A37,'Data Vlaue (Cr)'!$C:$FB,102)*100</f>
        <v>-3.81</v>
      </c>
    </row>
    <row r="38" spans="1:10" x14ac:dyDescent="0.25">
      <c r="A38" s="101" t="str">
        <f>'NIFTY GRP'!C33</f>
        <v>MAXHEALTH</v>
      </c>
      <c r="B38" s="140">
        <f>VLOOKUP($A38,'Data shares'!$C:$FA,7)</f>
        <v>998.8</v>
      </c>
      <c r="C38" s="140">
        <f>VLOOKUP($A38,'Data shares'!$C:$FA,3)</f>
        <v>998.4</v>
      </c>
      <c r="D38" s="50">
        <f>VLOOKUP($A38,'Data shares'!$C:$FA,6)*100</f>
        <v>-0.51</v>
      </c>
      <c r="E38" s="51">
        <f>VLOOKUP($A38,'Data shares'!$C:$FA,98)</f>
        <v>25438350</v>
      </c>
      <c r="F38" s="51">
        <f>VLOOKUP($A38,'Data shares'!$C:$FA,99)</f>
        <v>25509225</v>
      </c>
      <c r="G38" s="50">
        <f>VLOOKUP($A38,'Data shares'!$C:$FA,101)*100</f>
        <v>-0.27999999999999997</v>
      </c>
      <c r="H38" s="49">
        <f>VLOOKUP($A38,'Data Vlaue (Cr)'!$C:$FB,99)</f>
        <v>2540</v>
      </c>
      <c r="I38" s="49">
        <f>VLOOKUP($A38,'Data Vlaue (Cr)'!$C:$FB,100)</f>
        <v>2547</v>
      </c>
      <c r="J38" s="49">
        <f>VLOOKUP($A38,'Data Vlaue (Cr)'!$C:$FB,102)*100</f>
        <v>-0.27999999999999997</v>
      </c>
    </row>
    <row r="39" spans="1:10" x14ac:dyDescent="0.25">
      <c r="A39" s="101" t="str">
        <f>'NIFTY GRP'!C34</f>
        <v>NESTLEIND</v>
      </c>
      <c r="B39" s="140">
        <f>VLOOKUP($A39,'Data shares'!$C:$FA,7)</f>
        <v>1306</v>
      </c>
      <c r="C39" s="140">
        <f>VLOOKUP($A39,'Data shares'!$C:$FA,3)</f>
        <v>1306.5</v>
      </c>
      <c r="D39" s="50">
        <f>VLOOKUP($A39,'Data shares'!$C:$FA,6)*100</f>
        <v>1.78</v>
      </c>
      <c r="E39" s="51">
        <f>VLOOKUP($A39,'Data shares'!$C:$FA,98)</f>
        <v>22797000</v>
      </c>
      <c r="F39" s="51">
        <f>VLOOKUP($A39,'Data shares'!$C:$FA,99)</f>
        <v>23334000</v>
      </c>
      <c r="G39" s="50">
        <f>VLOOKUP($A39,'Data shares'!$C:$FA,101)*100</f>
        <v>-2.2999999999999998</v>
      </c>
      <c r="H39" s="49">
        <f>VLOOKUP($A39,'Data Vlaue (Cr)'!$C:$FB,99)</f>
        <v>2978</v>
      </c>
      <c r="I39" s="49">
        <f>VLOOKUP($A39,'Data Vlaue (Cr)'!$C:$FB,100)</f>
        <v>3049</v>
      </c>
      <c r="J39" s="49">
        <f>VLOOKUP($A39,'Data Vlaue (Cr)'!$C:$FB,102)*100</f>
        <v>-2.2999999999999998</v>
      </c>
    </row>
    <row r="40" spans="1:10" x14ac:dyDescent="0.25">
      <c r="A40" s="101" t="str">
        <f>'NIFTY GRP'!C35</f>
        <v>NTPC</v>
      </c>
      <c r="B40" s="140">
        <f>VLOOKUP($A40,'Data shares'!$C:$FA,7)</f>
        <v>342.45</v>
      </c>
      <c r="C40" s="140">
        <f>VLOOKUP($A40,'Data shares'!$C:$FA,3)</f>
        <v>342.8</v>
      </c>
      <c r="D40" s="50">
        <f>VLOOKUP($A40,'Data shares'!$C:$FA,6)*100</f>
        <v>1.26</v>
      </c>
      <c r="E40" s="51">
        <f>VLOOKUP($A40,'Data shares'!$C:$FA,98)</f>
        <v>181783500</v>
      </c>
      <c r="F40" s="51">
        <f>VLOOKUP($A40,'Data shares'!$C:$FA,99)</f>
        <v>180816000</v>
      </c>
      <c r="G40" s="50">
        <f>VLOOKUP($A40,'Data shares'!$C:$FA,101)*100</f>
        <v>0.54</v>
      </c>
      <c r="H40" s="49">
        <f>VLOOKUP($A40,'Data Vlaue (Cr)'!$C:$FB,99)</f>
        <v>6232</v>
      </c>
      <c r="I40" s="49">
        <f>VLOOKUP($A40,'Data Vlaue (Cr)'!$C:$FB,100)</f>
        <v>6198</v>
      </c>
      <c r="J40" s="49">
        <f>VLOOKUP($A40,'Data Vlaue (Cr)'!$C:$FB,102)*100</f>
        <v>0.54</v>
      </c>
    </row>
    <row r="41" spans="1:10" x14ac:dyDescent="0.25">
      <c r="A41" s="101" t="str">
        <f>'NIFTY GRP'!C36</f>
        <v>ONGC</v>
      </c>
      <c r="B41" s="140">
        <f>VLOOKUP($A41,'Data shares'!$C:$FA,7)</f>
        <v>244.01</v>
      </c>
      <c r="C41" s="140">
        <f>VLOOKUP($A41,'Data shares'!$C:$FA,3)</f>
        <v>243.78</v>
      </c>
      <c r="D41" s="50">
        <f>VLOOKUP($A41,'Data shares'!$C:$FA,6)*100</f>
        <v>0.67999999999999994</v>
      </c>
      <c r="E41" s="51">
        <f>VLOOKUP($A41,'Data shares'!$C:$FA,98)</f>
        <v>261234000</v>
      </c>
      <c r="F41" s="51">
        <f>VLOOKUP($A41,'Data shares'!$C:$FA,99)</f>
        <v>259746750</v>
      </c>
      <c r="G41" s="50">
        <f>VLOOKUP($A41,'Data shares'!$C:$FA,101)*100</f>
        <v>0.57000000000000006</v>
      </c>
      <c r="H41" s="49">
        <f>VLOOKUP($A41,'Data Vlaue (Cr)'!$C:$FB,99)</f>
        <v>6368</v>
      </c>
      <c r="I41" s="49">
        <f>VLOOKUP($A41,'Data Vlaue (Cr)'!$C:$FB,100)</f>
        <v>6332</v>
      </c>
      <c r="J41" s="49">
        <f>VLOOKUP($A41,'Data Vlaue (Cr)'!$C:$FB,102)*100</f>
        <v>0.57000000000000006</v>
      </c>
    </row>
    <row r="42" spans="1:10" x14ac:dyDescent="0.25">
      <c r="A42" s="101" t="str">
        <f>'NIFTY GRP'!C37</f>
        <v>POWERGRID</v>
      </c>
      <c r="B42" s="140">
        <f>VLOOKUP($A42,'Data shares'!$C:$FA,7)</f>
        <v>259.25</v>
      </c>
      <c r="C42" s="140">
        <f>VLOOKUP($A42,'Data shares'!$C:$FA,3)</f>
        <v>259.14999999999998</v>
      </c>
      <c r="D42" s="50">
        <f>VLOOKUP($A42,'Data shares'!$C:$FA,6)*100</f>
        <v>1.37</v>
      </c>
      <c r="E42" s="51">
        <f>VLOOKUP($A42,'Data shares'!$C:$FA,98)</f>
        <v>171038000</v>
      </c>
      <c r="F42" s="51">
        <f>VLOOKUP($A42,'Data shares'!$C:$FA,99)</f>
        <v>172556100</v>
      </c>
      <c r="G42" s="50">
        <f>VLOOKUP($A42,'Data shares'!$C:$FA,101)*100</f>
        <v>-0.88</v>
      </c>
      <c r="H42" s="49">
        <f>VLOOKUP($A42,'Data Vlaue (Cr)'!$C:$FB,99)</f>
        <v>4432</v>
      </c>
      <c r="I42" s="49">
        <f>VLOOKUP($A42,'Data Vlaue (Cr)'!$C:$FB,100)</f>
        <v>4472</v>
      </c>
      <c r="J42" s="49">
        <f>VLOOKUP($A42,'Data Vlaue (Cr)'!$C:$FB,102)*100</f>
        <v>-0.88</v>
      </c>
    </row>
    <row r="43" spans="1:10" x14ac:dyDescent="0.25">
      <c r="A43" s="101" t="str">
        <f>'NIFTY GRP'!C38</f>
        <v>RELIANCE</v>
      </c>
      <c r="B43" s="140">
        <f>VLOOKUP($A43,'Data shares'!$C:$FA,7)</f>
        <v>1402.5</v>
      </c>
      <c r="C43" s="140">
        <f>VLOOKUP($A43,'Data shares'!$C:$FA,3)</f>
        <v>1405.4</v>
      </c>
      <c r="D43" s="50">
        <f>VLOOKUP($A43,'Data shares'!$C:$FA,6)*100</f>
        <v>0.01</v>
      </c>
      <c r="E43" s="51">
        <f>VLOOKUP($A43,'Data shares'!$C:$FA,98)</f>
        <v>274206000</v>
      </c>
      <c r="F43" s="51">
        <f>VLOOKUP($A43,'Data shares'!$C:$FA,99)</f>
        <v>277820500</v>
      </c>
      <c r="G43" s="50">
        <f>VLOOKUP($A43,'Data shares'!$C:$FA,101)*100</f>
        <v>-1.3</v>
      </c>
      <c r="H43" s="49">
        <f>VLOOKUP($A43,'Data Vlaue (Cr)'!$C:$FB,99)</f>
        <v>38537</v>
      </c>
      <c r="I43" s="49">
        <f>VLOOKUP($A43,'Data Vlaue (Cr)'!$C:$FB,100)</f>
        <v>39045</v>
      </c>
      <c r="J43" s="49">
        <f>VLOOKUP($A43,'Data Vlaue (Cr)'!$C:$FB,102)*100</f>
        <v>-1.3</v>
      </c>
    </row>
    <row r="44" spans="1:10" x14ac:dyDescent="0.25">
      <c r="A44" s="101" t="str">
        <f>'NIFTY GRP'!C39</f>
        <v>SBILIFE</v>
      </c>
      <c r="B44" s="140">
        <f>VLOOKUP($A44,'Data shares'!$C:$FA,7)</f>
        <v>2022</v>
      </c>
      <c r="C44" s="140">
        <f>VLOOKUP($A44,'Data shares'!$C:$FA,3)</f>
        <v>2027.2</v>
      </c>
      <c r="D44" s="50">
        <f>VLOOKUP($A44,'Data shares'!$C:$FA,6)*100</f>
        <v>-1.26</v>
      </c>
      <c r="E44" s="51">
        <f>VLOOKUP($A44,'Data shares'!$C:$FA,98)</f>
        <v>20282250</v>
      </c>
      <c r="F44" s="51">
        <f>VLOOKUP($A44,'Data shares'!$C:$FA,99)</f>
        <v>19610250</v>
      </c>
      <c r="G44" s="50">
        <f>VLOOKUP($A44,'Data shares'!$C:$FA,101)*100</f>
        <v>3.4299999999999997</v>
      </c>
      <c r="H44" s="49">
        <f>VLOOKUP($A44,'Data Vlaue (Cr)'!$C:$FB,99)</f>
        <v>4112</v>
      </c>
      <c r="I44" s="49">
        <f>VLOOKUP($A44,'Data Vlaue (Cr)'!$C:$FB,100)</f>
        <v>3975</v>
      </c>
      <c r="J44" s="49">
        <f>VLOOKUP($A44,'Data Vlaue (Cr)'!$C:$FB,102)*100</f>
        <v>3.4299999999999997</v>
      </c>
    </row>
    <row r="45" spans="1:10" x14ac:dyDescent="0.25">
      <c r="A45" s="101" t="str">
        <f>'NIFTY GRP'!C40</f>
        <v>SBIN</v>
      </c>
      <c r="B45" s="140">
        <f>VLOOKUP($A45,'Data shares'!$C:$FA,7)</f>
        <v>1048.3499999999999</v>
      </c>
      <c r="C45" s="140">
        <f>VLOOKUP($A45,'Data shares'!$C:$FA,3)</f>
        <v>1047.25</v>
      </c>
      <c r="D45" s="50">
        <f>VLOOKUP($A45,'Data shares'!$C:$FA,6)*100</f>
        <v>1.6500000000000001</v>
      </c>
      <c r="E45" s="51">
        <f>VLOOKUP($A45,'Data shares'!$C:$FA,98)</f>
        <v>161948250</v>
      </c>
      <c r="F45" s="51">
        <f>VLOOKUP($A45,'Data shares'!$C:$FA,99)</f>
        <v>162140250</v>
      </c>
      <c r="G45" s="50">
        <f>VLOOKUP($A45,'Data shares'!$C:$FA,101)*100</f>
        <v>-0.12</v>
      </c>
      <c r="H45" s="49">
        <f>VLOOKUP($A45,'Data Vlaue (Cr)'!$C:$FB,99)</f>
        <v>16960</v>
      </c>
      <c r="I45" s="49">
        <f>VLOOKUP($A45,'Data Vlaue (Cr)'!$C:$FB,100)</f>
        <v>16980</v>
      </c>
      <c r="J45" s="49">
        <f>VLOOKUP($A45,'Data Vlaue (Cr)'!$C:$FB,102)*100</f>
        <v>-0.12</v>
      </c>
    </row>
    <row r="46" spans="1:10" x14ac:dyDescent="0.25">
      <c r="A46" s="101" t="str">
        <f>'NIFTY GRP'!C41</f>
        <v>SHRIRAMFIN</v>
      </c>
      <c r="B46" s="140">
        <f>VLOOKUP($A46,'Data shares'!$C:$FA,7)</f>
        <v>1005.5</v>
      </c>
      <c r="C46" s="140">
        <f>VLOOKUP($A46,'Data shares'!$C:$FA,3)</f>
        <v>1005.15</v>
      </c>
      <c r="D46" s="50">
        <f>VLOOKUP($A46,'Data shares'!$C:$FA,6)*100</f>
        <v>1.97</v>
      </c>
      <c r="E46" s="51">
        <f>VLOOKUP($A46,'Data shares'!$C:$FA,98)</f>
        <v>73063650</v>
      </c>
      <c r="F46" s="51">
        <f>VLOOKUP($A46,'Data shares'!$C:$FA,99)</f>
        <v>74035500</v>
      </c>
      <c r="G46" s="50">
        <f>VLOOKUP($A46,'Data shares'!$C:$FA,101)*100</f>
        <v>-1.31</v>
      </c>
      <c r="H46" s="49">
        <f>VLOOKUP($A46,'Data Vlaue (Cr)'!$C:$FB,99)</f>
        <v>7344</v>
      </c>
      <c r="I46" s="49">
        <f>VLOOKUP($A46,'Data Vlaue (Cr)'!$C:$FB,100)</f>
        <v>7442</v>
      </c>
      <c r="J46" s="49">
        <f>VLOOKUP($A46,'Data Vlaue (Cr)'!$C:$FB,102)*100</f>
        <v>-1.31</v>
      </c>
    </row>
    <row r="47" spans="1:10" x14ac:dyDescent="0.25">
      <c r="A47" s="101" t="str">
        <f>'NIFTY GRP'!C42</f>
        <v>SUNPHARMA</v>
      </c>
      <c r="B47" s="140">
        <f>VLOOKUP($A47,'Data shares'!$C:$FA,7)</f>
        <v>1634.2</v>
      </c>
      <c r="C47" s="140">
        <f>VLOOKUP($A47,'Data shares'!$C:$FA,3)</f>
        <v>1635.4</v>
      </c>
      <c r="D47" s="50">
        <f>VLOOKUP($A47,'Data shares'!$C:$FA,6)*100</f>
        <v>1.18</v>
      </c>
      <c r="E47" s="51">
        <f>VLOOKUP($A47,'Data shares'!$C:$FA,98)</f>
        <v>37797550</v>
      </c>
      <c r="F47" s="51">
        <f>VLOOKUP($A47,'Data shares'!$C:$FA,99)</f>
        <v>38319050</v>
      </c>
      <c r="G47" s="50">
        <f>VLOOKUP($A47,'Data shares'!$C:$FA,101)*100</f>
        <v>-1.3599999999999999</v>
      </c>
      <c r="H47" s="49">
        <f>VLOOKUP($A47,'Data Vlaue (Cr)'!$C:$FB,99)</f>
        <v>6181</v>
      </c>
      <c r="I47" s="49">
        <f>VLOOKUP($A47,'Data Vlaue (Cr)'!$C:$FB,100)</f>
        <v>6267</v>
      </c>
      <c r="J47" s="49">
        <f>VLOOKUP($A47,'Data Vlaue (Cr)'!$C:$FB,102)*100</f>
        <v>-1.3599999999999999</v>
      </c>
    </row>
    <row r="48" spans="1:10" x14ac:dyDescent="0.25">
      <c r="A48" s="101" t="str">
        <f>'NIFTY GRP'!C43</f>
        <v>TATACONSUM</v>
      </c>
      <c r="B48" s="140">
        <f>VLOOKUP($A48,'Data shares'!$C:$FA,7)</f>
        <v>1175.2</v>
      </c>
      <c r="C48" s="140">
        <f>VLOOKUP($A48,'Data shares'!$C:$FA,3)</f>
        <v>1177.8</v>
      </c>
      <c r="D48" s="50">
        <f>VLOOKUP($A48,'Data shares'!$C:$FA,6)*100</f>
        <v>1.1299999999999999</v>
      </c>
      <c r="E48" s="51">
        <f>VLOOKUP($A48,'Data shares'!$C:$FA,98)</f>
        <v>18491550</v>
      </c>
      <c r="F48" s="51">
        <f>VLOOKUP($A48,'Data shares'!$C:$FA,99)</f>
        <v>19168600</v>
      </c>
      <c r="G48" s="50">
        <f>VLOOKUP($A48,'Data shares'!$C:$FA,101)*100</f>
        <v>-3.53</v>
      </c>
      <c r="H48" s="49">
        <f>VLOOKUP($A48,'Data Vlaue (Cr)'!$C:$FB,99)</f>
        <v>2178</v>
      </c>
      <c r="I48" s="49">
        <f>VLOOKUP($A48,'Data Vlaue (Cr)'!$C:$FB,100)</f>
        <v>2258</v>
      </c>
      <c r="J48" s="49">
        <f>VLOOKUP($A48,'Data Vlaue (Cr)'!$C:$FB,102)*100</f>
        <v>-3.53</v>
      </c>
    </row>
    <row r="49" spans="1:10" x14ac:dyDescent="0.25">
      <c r="A49" s="101" t="str">
        <f>'NIFTY GRP'!C44</f>
        <v>TATASTEEL</v>
      </c>
      <c r="B49" s="140">
        <f>VLOOKUP($A49,'Data shares'!$C:$FA,7)</f>
        <v>189.1</v>
      </c>
      <c r="C49" s="140">
        <f>VLOOKUP($A49,'Data shares'!$C:$FA,3)</f>
        <v>189.15</v>
      </c>
      <c r="D49" s="50">
        <f>VLOOKUP($A49,'Data shares'!$C:$FA,6)*100</f>
        <v>2.4899999999999998</v>
      </c>
      <c r="E49" s="51">
        <f>VLOOKUP($A49,'Data shares'!$C:$FA,98)</f>
        <v>516378500</v>
      </c>
      <c r="F49" s="51">
        <f>VLOOKUP($A49,'Data shares'!$C:$FA,99)</f>
        <v>508282500</v>
      </c>
      <c r="G49" s="50">
        <f>VLOOKUP($A49,'Data shares'!$C:$FA,101)*100</f>
        <v>1.59</v>
      </c>
      <c r="H49" s="49">
        <f>VLOOKUP($A49,'Data Vlaue (Cr)'!$C:$FB,99)</f>
        <v>9767</v>
      </c>
      <c r="I49" s="49">
        <f>VLOOKUP($A49,'Data Vlaue (Cr)'!$C:$FB,100)</f>
        <v>9614</v>
      </c>
      <c r="J49" s="49">
        <f>VLOOKUP($A49,'Data Vlaue (Cr)'!$C:$FB,102)*100</f>
        <v>1.59</v>
      </c>
    </row>
    <row r="50" spans="1:10" x14ac:dyDescent="0.25">
      <c r="A50" s="101" t="str">
        <f>'NIFTY GRP'!C45</f>
        <v>TCS</v>
      </c>
      <c r="B50" s="140">
        <f>VLOOKUP($A50,'Data shares'!$C:$FA,7)</f>
        <v>3150.4</v>
      </c>
      <c r="C50" s="140">
        <f>VLOOKUP($A50,'Data shares'!$C:$FA,3)</f>
        <v>3152.7</v>
      </c>
      <c r="D50" s="50">
        <f>VLOOKUP($A50,'Data shares'!$C:$FA,6)*100</f>
        <v>0.88</v>
      </c>
      <c r="E50" s="51">
        <f>VLOOKUP($A50,'Data shares'!$C:$FA,98)</f>
        <v>43653400</v>
      </c>
      <c r="F50" s="51">
        <f>VLOOKUP($A50,'Data shares'!$C:$FA,99)</f>
        <v>45120250</v>
      </c>
      <c r="G50" s="50">
        <f>VLOOKUP($A50,'Data shares'!$C:$FA,101)*100</f>
        <v>-3.25</v>
      </c>
      <c r="H50" s="49">
        <f>VLOOKUP($A50,'Data Vlaue (Cr)'!$C:$FB,99)</f>
        <v>13763</v>
      </c>
      <c r="I50" s="49">
        <f>VLOOKUP($A50,'Data Vlaue (Cr)'!$C:$FB,100)</f>
        <v>14225</v>
      </c>
      <c r="J50" s="49">
        <f>VLOOKUP($A50,'Data Vlaue (Cr)'!$C:$FB,102)*100</f>
        <v>-3.25</v>
      </c>
    </row>
    <row r="51" spans="1:10" x14ac:dyDescent="0.25">
      <c r="A51" s="101" t="str">
        <f>'NIFTY GRP'!C46</f>
        <v>TECHM</v>
      </c>
      <c r="B51" s="140">
        <f>VLOOKUP($A51,'Data shares'!$C:$FA,7)</f>
        <v>1687.4</v>
      </c>
      <c r="C51" s="140">
        <f>VLOOKUP($A51,'Data shares'!$C:$FA,3)</f>
        <v>1690.4</v>
      </c>
      <c r="D51" s="50">
        <f>VLOOKUP($A51,'Data shares'!$C:$FA,6)*100</f>
        <v>0.16</v>
      </c>
      <c r="E51" s="51">
        <f>VLOOKUP($A51,'Data shares'!$C:$FA,98)</f>
        <v>31823400</v>
      </c>
      <c r="F51" s="51">
        <f>VLOOKUP($A51,'Data shares'!$C:$FA,99)</f>
        <v>31782600</v>
      </c>
      <c r="G51" s="50">
        <f>VLOOKUP($A51,'Data shares'!$C:$FA,101)*100</f>
        <v>0.13</v>
      </c>
      <c r="H51" s="49">
        <f>VLOOKUP($A51,'Data Vlaue (Cr)'!$C:$FB,99)</f>
        <v>5379</v>
      </c>
      <c r="I51" s="49">
        <f>VLOOKUP($A51,'Data Vlaue (Cr)'!$C:$FB,100)</f>
        <v>5373</v>
      </c>
      <c r="J51" s="49">
        <f>VLOOKUP($A51,'Data Vlaue (Cr)'!$C:$FB,102)*100</f>
        <v>0.13</v>
      </c>
    </row>
    <row r="52" spans="1:10" x14ac:dyDescent="0.25">
      <c r="A52" s="101" t="str">
        <f>'NIFTY GRP'!C47</f>
        <v>TITAN</v>
      </c>
      <c r="B52" s="140">
        <f>VLOOKUP($A52,'Data shares'!$C:$FA,7)</f>
        <v>4018.6</v>
      </c>
      <c r="C52" s="140">
        <f>VLOOKUP($A52,'Data shares'!$C:$FA,3)</f>
        <v>4015.9</v>
      </c>
      <c r="D52" s="50">
        <f>VLOOKUP($A52,'Data shares'!$C:$FA,6)*100</f>
        <v>-1.47</v>
      </c>
      <c r="E52" s="51">
        <f>VLOOKUP($A52,'Data shares'!$C:$FA,98)</f>
        <v>18085550</v>
      </c>
      <c r="F52" s="51">
        <f>VLOOKUP($A52,'Data shares'!$C:$FA,99)</f>
        <v>17637200</v>
      </c>
      <c r="G52" s="50">
        <f>VLOOKUP($A52,'Data shares'!$C:$FA,101)*100</f>
        <v>2.54</v>
      </c>
      <c r="H52" s="49">
        <f>VLOOKUP($A52,'Data Vlaue (Cr)'!$C:$FB,99)</f>
        <v>7263</v>
      </c>
      <c r="I52" s="49">
        <f>VLOOKUP($A52,'Data Vlaue (Cr)'!$C:$FB,100)</f>
        <v>7083</v>
      </c>
      <c r="J52" s="49">
        <f>VLOOKUP($A52,'Data Vlaue (Cr)'!$C:$FB,102)*100</f>
        <v>2.54</v>
      </c>
    </row>
    <row r="53" spans="1:10" x14ac:dyDescent="0.25">
      <c r="A53" s="101" t="str">
        <f>'NIFTY GRP'!C48</f>
        <v>TMPV</v>
      </c>
      <c r="B53" s="140">
        <f>VLOOKUP($A53,'Data shares'!$C:$FA,7)</f>
        <v>347.3</v>
      </c>
      <c r="C53" s="140">
        <f>VLOOKUP($A53,'Data shares'!$C:$FA,3)</f>
        <v>348.3</v>
      </c>
      <c r="D53" s="50">
        <f>VLOOKUP($A53,'Data shares'!$C:$FA,6)*100</f>
        <v>2.71</v>
      </c>
      <c r="E53" s="51">
        <f>VLOOKUP($A53,'Data shares'!$C:$FA,98)</f>
        <v>169262400</v>
      </c>
      <c r="F53" s="51">
        <f>VLOOKUP($A53,'Data shares'!$C:$FA,99)</f>
        <v>173548000</v>
      </c>
      <c r="G53" s="50">
        <f>VLOOKUP($A53,'Data shares'!$C:$FA,101)*100</f>
        <v>-2.4699999999999998</v>
      </c>
      <c r="H53" s="49">
        <f>VLOOKUP($A53,'Data Vlaue (Cr)'!$C:$FB,99)</f>
        <v>5895</v>
      </c>
      <c r="I53" s="49">
        <f>VLOOKUP($A53,'Data Vlaue (Cr)'!$C:$FB,100)</f>
        <v>6045</v>
      </c>
      <c r="J53" s="49">
        <f>VLOOKUP($A53,'Data Vlaue (Cr)'!$C:$FB,102)*100</f>
        <v>-2.4699999999999998</v>
      </c>
    </row>
    <row r="54" spans="1:10" x14ac:dyDescent="0.25">
      <c r="A54" s="101" t="str">
        <f>'NIFTY GRP'!C49</f>
        <v>TRENT</v>
      </c>
      <c r="B54" s="140">
        <f>VLOOKUP($A54,'Data shares'!$C:$FA,7)</f>
        <v>3803.8</v>
      </c>
      <c r="C54" s="140">
        <f>VLOOKUP($A54,'Data shares'!$C:$FA,3)</f>
        <v>3810.1</v>
      </c>
      <c r="D54" s="50">
        <f>VLOOKUP($A54,'Data shares'!$C:$FA,6)*100</f>
        <v>1.0999999999999999</v>
      </c>
      <c r="E54" s="51">
        <f>VLOOKUP($A54,'Data shares'!$C:$FA,98)</f>
        <v>19497500</v>
      </c>
      <c r="F54" s="51">
        <f>VLOOKUP($A54,'Data shares'!$C:$FA,99)</f>
        <v>19610300</v>
      </c>
      <c r="G54" s="50">
        <f>VLOOKUP($A54,'Data shares'!$C:$FA,101)*100</f>
        <v>-0.57999999999999996</v>
      </c>
      <c r="H54" s="49">
        <f>VLOOKUP($A54,'Data Vlaue (Cr)'!$C:$FB,99)</f>
        <v>7429</v>
      </c>
      <c r="I54" s="49">
        <f>VLOOKUP($A54,'Data Vlaue (Cr)'!$C:$FB,100)</f>
        <v>7472</v>
      </c>
      <c r="J54" s="49">
        <f>VLOOKUP($A54,'Data Vlaue (Cr)'!$C:$FB,102)*100</f>
        <v>-0.57999999999999996</v>
      </c>
    </row>
    <row r="55" spans="1:10" x14ac:dyDescent="0.25">
      <c r="A55" s="101" t="str">
        <f>'NIFTY GRP'!C50</f>
        <v>ULTRACEMCO</v>
      </c>
      <c r="B55" s="140">
        <f>VLOOKUP($A55,'Data shares'!$C:$FA,7)</f>
        <v>12364</v>
      </c>
      <c r="C55" s="140">
        <f>VLOOKUP($A55,'Data shares'!$C:$FA,3)</f>
        <v>12379</v>
      </c>
      <c r="D55" s="50">
        <f>VLOOKUP($A55,'Data shares'!$C:$FA,6)*100</f>
        <v>1.27</v>
      </c>
      <c r="E55" s="51">
        <f>VLOOKUP($A55,'Data shares'!$C:$FA,98)</f>
        <v>3985650</v>
      </c>
      <c r="F55" s="51">
        <f>VLOOKUP($A55,'Data shares'!$C:$FA,99)</f>
        <v>3920650</v>
      </c>
      <c r="G55" s="50">
        <f>VLOOKUP($A55,'Data shares'!$C:$FA,101)*100</f>
        <v>1.66</v>
      </c>
      <c r="H55" s="49">
        <f>VLOOKUP($A55,'Data Vlaue (Cr)'!$C:$FB,99)</f>
        <v>4934</v>
      </c>
      <c r="I55" s="49">
        <f>VLOOKUP($A55,'Data Vlaue (Cr)'!$C:$FB,100)</f>
        <v>4853</v>
      </c>
      <c r="J55" s="49">
        <f>VLOOKUP($A55,'Data Vlaue (Cr)'!$C:$FB,102)*100</f>
        <v>1.66</v>
      </c>
    </row>
    <row r="56" spans="1:10" x14ac:dyDescent="0.25">
      <c r="A56" s="101" t="str">
        <f>'NIFTY GRP'!C51</f>
        <v>WIPRO</v>
      </c>
      <c r="B56" s="140">
        <f>VLOOKUP($A56,'Data shares'!$C:$FA,7)</f>
        <v>240.65</v>
      </c>
      <c r="C56" s="140">
        <f>VLOOKUP($A56,'Data shares'!$C:$FA,3)</f>
        <v>240.95</v>
      </c>
      <c r="D56" s="50">
        <f>VLOOKUP($A56,'Data shares'!$C:$FA,6)*100</f>
        <v>0.33</v>
      </c>
      <c r="E56" s="51">
        <f>VLOOKUP($A56,'Data shares'!$C:$FA,98)</f>
        <v>297153000</v>
      </c>
      <c r="F56" s="51">
        <f>VLOOKUP($A56,'Data shares'!$C:$FA,99)</f>
        <v>302685000</v>
      </c>
      <c r="G56" s="50">
        <f>VLOOKUP($A56,'Data shares'!$C:$FA,101)*100</f>
        <v>-1.83</v>
      </c>
      <c r="H56" s="49">
        <f>VLOOKUP($A56,'Data Vlaue (Cr)'!$C:$FB,99)</f>
        <v>7160</v>
      </c>
      <c r="I56" s="49">
        <f>VLOOKUP($A56,'Data Vlaue (Cr)'!$C:$FB,100)</f>
        <v>7293</v>
      </c>
      <c r="J56" s="49">
        <f>VLOOKUP($A56,'Data Vlaue (Cr)'!$C:$FB,102)*100</f>
        <v>-1.83</v>
      </c>
    </row>
    <row r="57" spans="1:10" x14ac:dyDescent="0.25">
      <c r="A57" s="101"/>
      <c r="B57" s="140"/>
      <c r="C57" s="140"/>
      <c r="D57" s="50"/>
      <c r="E57" s="51"/>
      <c r="F57" s="51"/>
      <c r="G57" s="50"/>
      <c r="H57" s="49"/>
      <c r="I57" s="49"/>
      <c r="J57" s="49"/>
    </row>
    <row r="58" spans="1:10" x14ac:dyDescent="0.25">
      <c r="A58" s="102"/>
      <c r="B58" s="17"/>
      <c r="C58" s="17"/>
      <c r="D58" s="17"/>
      <c r="E58" s="17"/>
      <c r="F58" s="17"/>
      <c r="G58" s="17"/>
      <c r="H58" s="17"/>
      <c r="I58" s="17"/>
      <c r="J58" s="17"/>
    </row>
    <row r="59" spans="1:10" x14ac:dyDescent="0.25">
      <c r="A59" s="102"/>
      <c r="B59" s="17"/>
      <c r="C59" s="17"/>
      <c r="D59" s="17"/>
      <c r="E59" s="17"/>
      <c r="F59" s="17"/>
      <c r="G59" s="17"/>
      <c r="H59" s="17"/>
      <c r="I59" s="17"/>
      <c r="J59" s="17"/>
    </row>
    <row r="60" spans="1:10" x14ac:dyDescent="0.25">
      <c r="A60" s="126" t="s">
        <v>391</v>
      </c>
      <c r="B60" s="122"/>
      <c r="C60" s="122"/>
      <c r="D60" s="122"/>
      <c r="E60" s="127">
        <f>SUM(E7:E58)</f>
        <v>6107573110</v>
      </c>
      <c r="F60" s="127">
        <f>SUM(F7:F58)</f>
        <v>6154660725</v>
      </c>
      <c r="G60" s="128">
        <f>(E60-F60)/F60</f>
        <v>-7.6507247278037411E-3</v>
      </c>
      <c r="H60" s="127">
        <f>SUM(H7:H58)</f>
        <v>483613</v>
      </c>
      <c r="I60" s="127">
        <f>SUM(I7:I58)</f>
        <v>486779</v>
      </c>
      <c r="J60" s="128">
        <f>(H60-I60)/I60</f>
        <v>-6.5039781913352876E-3</v>
      </c>
    </row>
    <row r="61" spans="1:10" x14ac:dyDescent="0.25">
      <c r="A61" s="126" t="s">
        <v>398</v>
      </c>
      <c r="B61" s="122"/>
      <c r="C61" s="122"/>
      <c r="D61" s="122"/>
      <c r="E61" s="125">
        <f>E60/10000000</f>
        <v>610.75731099999996</v>
      </c>
      <c r="F61" s="125">
        <f>F60/10000000</f>
        <v>615.4660725</v>
      </c>
      <c r="G61" s="128">
        <f>(E61-F61)/F61</f>
        <v>-7.650724727803801E-3</v>
      </c>
      <c r="H61" s="129">
        <f>H60/10000000</f>
        <v>4.8361300000000003E-2</v>
      </c>
      <c r="I61" s="129">
        <f>I60/10000000</f>
        <v>4.8677900000000003E-2</v>
      </c>
      <c r="J61" s="128">
        <f>(H61-I61)/I61</f>
        <v>-6.5039781913352919E-3</v>
      </c>
    </row>
    <row r="66" spans="1:3" x14ac:dyDescent="0.25">
      <c r="A66" s="43"/>
      <c r="B66" s="43"/>
      <c r="C66" s="44"/>
    </row>
    <row r="67" spans="1:3" ht="34.5" x14ac:dyDescent="0.25">
      <c r="A67" s="95" t="s">
        <v>411</v>
      </c>
      <c r="B67" s="45"/>
      <c r="C67" s="45" t="s">
        <v>385</v>
      </c>
    </row>
    <row r="68" spans="1:3" x14ac:dyDescent="0.25">
      <c r="A68" s="22" t="s">
        <v>412</v>
      </c>
      <c r="B68" s="22" t="s">
        <v>413</v>
      </c>
      <c r="C68" s="22" t="s">
        <v>414</v>
      </c>
    </row>
    <row r="69" spans="1:3" x14ac:dyDescent="0.25">
      <c r="A69" s="38">
        <f>H60</f>
        <v>483613</v>
      </c>
      <c r="B69" s="38">
        <f>I60</f>
        <v>486779</v>
      </c>
      <c r="C69" s="42">
        <f>J60</f>
        <v>-6.5039781913352876E-3</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2"/>
  <sheetViews>
    <sheetView workbookViewId="0">
      <pane ySplit="6" topLeftCell="A198" activePane="bottomLeft" state="frozen"/>
      <selection pane="bottomLeft" activeCell="R215" sqref="R215"/>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7" t="s">
        <v>356</v>
      </c>
      <c r="B3" s="298"/>
      <c r="C3" s="298"/>
      <c r="D3" s="298"/>
      <c r="E3" s="298"/>
      <c r="F3" s="298"/>
      <c r="G3" s="298"/>
      <c r="H3" s="298"/>
      <c r="I3" s="298"/>
      <c r="J3" s="298"/>
      <c r="K3" s="298"/>
      <c r="L3" s="298"/>
      <c r="M3" s="298"/>
      <c r="N3" s="298"/>
      <c r="O3" s="299"/>
    </row>
    <row r="4" spans="1:15" s="93" customFormat="1" x14ac:dyDescent="0.25">
      <c r="A4" s="284" t="s">
        <v>330</v>
      </c>
      <c r="B4" s="286" t="s">
        <v>308</v>
      </c>
      <c r="C4" s="288"/>
      <c r="D4" s="286" t="s">
        <v>357</v>
      </c>
      <c r="E4" s="287"/>
      <c r="F4" s="287"/>
      <c r="G4" s="287"/>
      <c r="H4" s="287"/>
      <c r="I4" s="287"/>
      <c r="J4" s="287"/>
      <c r="K4" s="287"/>
      <c r="L4" s="287"/>
      <c r="M4" s="287"/>
      <c r="N4" s="287"/>
      <c r="O4" s="288"/>
    </row>
    <row r="5" spans="1:15" s="93" customFormat="1" x14ac:dyDescent="0.25">
      <c r="A5" s="285"/>
      <c r="B5" s="300" t="s">
        <v>312</v>
      </c>
      <c r="C5" s="290"/>
      <c r="D5" s="300" t="s">
        <v>357</v>
      </c>
      <c r="E5" s="289"/>
      <c r="F5" s="290"/>
      <c r="G5" s="300" t="s">
        <v>358</v>
      </c>
      <c r="H5" s="289"/>
      <c r="I5" s="290"/>
      <c r="J5" s="300" t="s">
        <v>359</v>
      </c>
      <c r="K5" s="289"/>
      <c r="L5" s="290"/>
      <c r="M5" s="300" t="s">
        <v>360</v>
      </c>
      <c r="N5" s="289"/>
      <c r="O5" s="290"/>
    </row>
    <row r="6" spans="1:15" s="93" customFormat="1" x14ac:dyDescent="0.25">
      <c r="A6" s="76" t="s">
        <v>318</v>
      </c>
      <c r="B6" s="3">
        <f>'Nifty Baskets'!B6</f>
        <v>46044</v>
      </c>
      <c r="C6" s="76" t="s">
        <v>328</v>
      </c>
      <c r="D6" s="3">
        <f>B6</f>
        <v>46044</v>
      </c>
      <c r="E6" s="76" t="s">
        <v>322</v>
      </c>
      <c r="F6" s="76" t="s">
        <v>328</v>
      </c>
      <c r="G6" s="3">
        <f>D6</f>
        <v>46044</v>
      </c>
      <c r="H6" s="76" t="s">
        <v>322</v>
      </c>
      <c r="I6" s="76" t="s">
        <v>328</v>
      </c>
      <c r="J6" s="3">
        <f>D6</f>
        <v>46044</v>
      </c>
      <c r="K6" s="76" t="s">
        <v>322</v>
      </c>
      <c r="L6" s="76" t="s">
        <v>328</v>
      </c>
      <c r="M6" s="3">
        <f>D6</f>
        <v>46044</v>
      </c>
      <c r="N6" s="76" t="s">
        <v>322</v>
      </c>
      <c r="O6" s="76" t="s">
        <v>328</v>
      </c>
    </row>
    <row r="7" spans="1:15" x14ac:dyDescent="0.25">
      <c r="A7" s="101" t="str">
        <f>'Data Vlaue (Cr)'!C2</f>
        <v>360ONE</v>
      </c>
      <c r="B7" s="50">
        <f>VLOOKUP($A7,'Data Vlaue (Cr)'!$C:$FB,8)</f>
        <v>1106.3</v>
      </c>
      <c r="C7" s="50">
        <f>VLOOKUP($A7,'Data Vlaue (Cr)'!$C:$FB,11)*100</f>
        <v>1</v>
      </c>
      <c r="D7" s="50">
        <f>VLOOKUP($A7,'Data Vlaue (Cr)'!$C:$FB,143)</f>
        <v>1040.6099999999999</v>
      </c>
      <c r="E7" s="50">
        <f>VLOOKUP($A7,'Data Vlaue (Cr)'!$C:$FB,144)</f>
        <v>1834.18</v>
      </c>
      <c r="F7" s="50">
        <f>VLOOKUP($A7,'Data Vlaue (Cr)'!$C:$FB,146)*100</f>
        <v>-43.269999999999996</v>
      </c>
      <c r="G7" s="49">
        <f>VLOOKUP($A7,'Data Vlaue (Cr)'!$C:$FB,43)</f>
        <v>360</v>
      </c>
      <c r="H7" s="49">
        <f>VLOOKUP($A7,'Data Vlaue (Cr)'!$C:$FB,44)</f>
        <v>457</v>
      </c>
      <c r="I7" s="49">
        <f>VLOOKUP($A7,'Data Vlaue (Cr)'!$C:$FB,46)*100</f>
        <v>-21.3</v>
      </c>
      <c r="J7" s="51">
        <f>VLOOKUP($A7,'Data Vlaue (Cr)'!$C:$FB,59)</f>
        <v>497</v>
      </c>
      <c r="K7" s="51">
        <f>VLOOKUP($A7,'Data Vlaue (Cr)'!$C:$FB,60)</f>
        <v>810</v>
      </c>
      <c r="L7" s="51">
        <f>VLOOKUP($A7,'Data Vlaue (Cr)'!$C:$FB,62)*100</f>
        <v>-38.64</v>
      </c>
      <c r="M7" s="51">
        <f>VLOOKUP($A7,'Data Vlaue (Cr)'!$C:$FB,63)</f>
        <v>153</v>
      </c>
      <c r="N7" s="51">
        <f>VLOOKUP($A7,'Data Vlaue (Cr)'!$C:$FB,64)</f>
        <v>517</v>
      </c>
      <c r="O7" s="51">
        <f>VLOOKUP($A7,'Data Vlaue (Cr)'!$C:$FB,66)*100</f>
        <v>-70.38</v>
      </c>
    </row>
    <row r="8" spans="1:15" x14ac:dyDescent="0.25">
      <c r="A8" s="101" t="str">
        <f>'Data Vlaue (Cr)'!C3</f>
        <v>ABB</v>
      </c>
      <c r="B8" s="50">
        <f>VLOOKUP($A8,'Data Vlaue (Cr)'!$C:$FB,8)</f>
        <v>4755.5</v>
      </c>
      <c r="C8" s="50">
        <f>VLOOKUP($A8,'Data Vlaue (Cr)'!$C:$FB,11)*100</f>
        <v>1.02</v>
      </c>
      <c r="D8" s="50">
        <f>VLOOKUP($A8,'Data Vlaue (Cr)'!$C:$FB,143)</f>
        <v>1785.49</v>
      </c>
      <c r="E8" s="50">
        <f>VLOOKUP($A8,'Data Vlaue (Cr)'!$C:$FB,144)</f>
        <v>2709.59</v>
      </c>
      <c r="F8" s="50">
        <f>VLOOKUP($A8,'Data Vlaue (Cr)'!$C:$FB,146)*100</f>
        <v>-34.1</v>
      </c>
      <c r="G8" s="49">
        <f>VLOOKUP($A8,'Data Vlaue (Cr)'!$C:$FB,43)</f>
        <v>692</v>
      </c>
      <c r="H8" s="49">
        <f>VLOOKUP($A8,'Data Vlaue (Cr)'!$C:$FB,44)</f>
        <v>1168</v>
      </c>
      <c r="I8" s="49">
        <f>VLOOKUP($A8,'Data Vlaue (Cr)'!$C:$FB,46)*100</f>
        <v>-40.78</v>
      </c>
      <c r="J8" s="51">
        <f>VLOOKUP($A8,'Data Vlaue (Cr)'!$C:$FB,59)</f>
        <v>746</v>
      </c>
      <c r="K8" s="51">
        <f>VLOOKUP($A8,'Data Vlaue (Cr)'!$C:$FB,60)</f>
        <v>1006</v>
      </c>
      <c r="L8" s="51">
        <f>VLOOKUP($A8,'Data Vlaue (Cr)'!$C:$FB,62)*100</f>
        <v>-25.82</v>
      </c>
      <c r="M8" s="51">
        <f>VLOOKUP($A8,'Data Vlaue (Cr)'!$C:$FB,63)</f>
        <v>298</v>
      </c>
      <c r="N8" s="51">
        <f>VLOOKUP($A8,'Data Vlaue (Cr)'!$C:$FB,64)</f>
        <v>508</v>
      </c>
      <c r="O8" s="51">
        <f>VLOOKUP($A8,'Data Vlaue (Cr)'!$C:$FB,66)*100</f>
        <v>-41.28</v>
      </c>
    </row>
    <row r="9" spans="1:15" x14ac:dyDescent="0.25">
      <c r="A9" s="101" t="str">
        <f>'Data Vlaue (Cr)'!C4</f>
        <v>ABCAPITAL</v>
      </c>
      <c r="B9" s="50">
        <f>VLOOKUP($A9,'Data Vlaue (Cr)'!$C:$FB,8)</f>
        <v>354.5</v>
      </c>
      <c r="C9" s="50">
        <f>VLOOKUP($A9,'Data Vlaue (Cr)'!$C:$FB,11)*100</f>
        <v>2.3800000000000003</v>
      </c>
      <c r="D9" s="50">
        <f>VLOOKUP($A9,'Data Vlaue (Cr)'!$C:$FB,143)</f>
        <v>6221.33</v>
      </c>
      <c r="E9" s="50">
        <f>VLOOKUP($A9,'Data Vlaue (Cr)'!$C:$FB,144)</f>
        <v>6760.26</v>
      </c>
      <c r="F9" s="50">
        <f>VLOOKUP($A9,'Data Vlaue (Cr)'!$C:$FB,146)*100</f>
        <v>-7.9699999999999989</v>
      </c>
      <c r="G9" s="49">
        <f>VLOOKUP($A9,'Data Vlaue (Cr)'!$C:$FB,43)</f>
        <v>3005</v>
      </c>
      <c r="H9" s="49">
        <f>VLOOKUP($A9,'Data Vlaue (Cr)'!$C:$FB,44)</f>
        <v>2043</v>
      </c>
      <c r="I9" s="49">
        <f>VLOOKUP($A9,'Data Vlaue (Cr)'!$C:$FB,46)*100</f>
        <v>47.07</v>
      </c>
      <c r="J9" s="51">
        <f>VLOOKUP($A9,'Data Vlaue (Cr)'!$C:$FB,59)</f>
        <v>1807</v>
      </c>
      <c r="K9" s="51">
        <f>VLOOKUP($A9,'Data Vlaue (Cr)'!$C:$FB,60)</f>
        <v>2730</v>
      </c>
      <c r="L9" s="51">
        <f>VLOOKUP($A9,'Data Vlaue (Cr)'!$C:$FB,62)*100</f>
        <v>-33.82</v>
      </c>
      <c r="M9" s="51">
        <f>VLOOKUP($A9,'Data Vlaue (Cr)'!$C:$FB,63)</f>
        <v>1387</v>
      </c>
      <c r="N9" s="51">
        <f>VLOOKUP($A9,'Data Vlaue (Cr)'!$C:$FB,64)</f>
        <v>1964</v>
      </c>
      <c r="O9" s="51">
        <f>VLOOKUP($A9,'Data Vlaue (Cr)'!$C:$FB,66)*100</f>
        <v>-29.349999999999998</v>
      </c>
    </row>
    <row r="10" spans="1:15" x14ac:dyDescent="0.25">
      <c r="A10" s="101" t="str">
        <f>'Data Vlaue (Cr)'!C5</f>
        <v>ADANIENSOL</v>
      </c>
      <c r="B10" s="50">
        <f>VLOOKUP($A10,'Data Vlaue (Cr)'!$C:$FB,8)</f>
        <v>924.8</v>
      </c>
      <c r="C10" s="50">
        <f>VLOOKUP($A10,'Data Vlaue (Cr)'!$C:$FB,11)*100</f>
        <v>2.8400000000000003</v>
      </c>
      <c r="D10" s="50">
        <f>VLOOKUP($A10,'Data Vlaue (Cr)'!$C:$FB,143)</f>
        <v>2920.28</v>
      </c>
      <c r="E10" s="50">
        <f>VLOOKUP($A10,'Data Vlaue (Cr)'!$C:$FB,144)</f>
        <v>2317.5100000000002</v>
      </c>
      <c r="F10" s="50">
        <f>VLOOKUP($A10,'Data Vlaue (Cr)'!$C:$FB,146)*100</f>
        <v>26.009999999999998</v>
      </c>
      <c r="G10" s="49">
        <f>VLOOKUP($A10,'Data Vlaue (Cr)'!$C:$FB,43)</f>
        <v>1030</v>
      </c>
      <c r="H10" s="49">
        <f>VLOOKUP($A10,'Data Vlaue (Cr)'!$C:$FB,44)</f>
        <v>1239</v>
      </c>
      <c r="I10" s="49">
        <f>VLOOKUP($A10,'Data Vlaue (Cr)'!$C:$FB,46)*100</f>
        <v>-16.900000000000002</v>
      </c>
      <c r="J10" s="51">
        <f>VLOOKUP($A10,'Data Vlaue (Cr)'!$C:$FB,59)</f>
        <v>1268</v>
      </c>
      <c r="K10" s="51">
        <f>VLOOKUP($A10,'Data Vlaue (Cr)'!$C:$FB,60)</f>
        <v>767</v>
      </c>
      <c r="L10" s="51">
        <f>VLOOKUP($A10,'Data Vlaue (Cr)'!$C:$FB,62)*100</f>
        <v>65.36999999999999</v>
      </c>
      <c r="M10" s="51">
        <f>VLOOKUP($A10,'Data Vlaue (Cr)'!$C:$FB,63)</f>
        <v>571</v>
      </c>
      <c r="N10" s="51">
        <f>VLOOKUP($A10,'Data Vlaue (Cr)'!$C:$FB,64)</f>
        <v>338</v>
      </c>
      <c r="O10" s="51">
        <f>VLOOKUP($A10,'Data Vlaue (Cr)'!$C:$FB,66)*100</f>
        <v>68.81</v>
      </c>
    </row>
    <row r="11" spans="1:15" x14ac:dyDescent="0.25">
      <c r="A11" s="101" t="str">
        <f>'Data Vlaue (Cr)'!C6</f>
        <v>ADANIENT</v>
      </c>
      <c r="B11" s="50">
        <f>VLOOKUP($A11,'Data Vlaue (Cr)'!$C:$FB,8)</f>
        <v>2086.4</v>
      </c>
      <c r="C11" s="50">
        <f>VLOOKUP($A11,'Data Vlaue (Cr)'!$C:$FB,11)*100</f>
        <v>2.67</v>
      </c>
      <c r="D11" s="50">
        <f>VLOOKUP($A11,'Data Vlaue (Cr)'!$C:$FB,143)</f>
        <v>8334.4599999999991</v>
      </c>
      <c r="E11" s="50">
        <f>VLOOKUP($A11,'Data Vlaue (Cr)'!$C:$FB,144)</f>
        <v>8676.41</v>
      </c>
      <c r="F11" s="50">
        <f>VLOOKUP($A11,'Data Vlaue (Cr)'!$C:$FB,146)*100</f>
        <v>-3.94</v>
      </c>
      <c r="G11" s="49">
        <f>VLOOKUP($A11,'Data Vlaue (Cr)'!$C:$FB,43)</f>
        <v>2189</v>
      </c>
      <c r="H11" s="49">
        <f>VLOOKUP($A11,'Data Vlaue (Cr)'!$C:$FB,44)</f>
        <v>2230</v>
      </c>
      <c r="I11" s="49">
        <f>VLOOKUP($A11,'Data Vlaue (Cr)'!$C:$FB,46)*100</f>
        <v>-1.82</v>
      </c>
      <c r="J11" s="51">
        <f>VLOOKUP($A11,'Data Vlaue (Cr)'!$C:$FB,59)</f>
        <v>4099</v>
      </c>
      <c r="K11" s="51">
        <f>VLOOKUP($A11,'Data Vlaue (Cr)'!$C:$FB,60)</f>
        <v>4194</v>
      </c>
      <c r="L11" s="51">
        <f>VLOOKUP($A11,'Data Vlaue (Cr)'!$C:$FB,62)*100</f>
        <v>-2.2800000000000002</v>
      </c>
      <c r="M11" s="51">
        <f>VLOOKUP($A11,'Data Vlaue (Cr)'!$C:$FB,63)</f>
        <v>1899</v>
      </c>
      <c r="N11" s="51">
        <f>VLOOKUP($A11,'Data Vlaue (Cr)'!$C:$FB,64)</f>
        <v>2180</v>
      </c>
      <c r="O11" s="51">
        <f>VLOOKUP($A11,'Data Vlaue (Cr)'!$C:$FB,66)*100</f>
        <v>-12.86</v>
      </c>
    </row>
    <row r="12" spans="1:15" x14ac:dyDescent="0.25">
      <c r="A12" s="101" t="str">
        <f>'Data Vlaue (Cr)'!C7</f>
        <v>ADANIGREEN</v>
      </c>
      <c r="B12" s="50">
        <f>VLOOKUP($A12,'Data Vlaue (Cr)'!$C:$FB,8)</f>
        <v>904.3</v>
      </c>
      <c r="C12" s="50">
        <f>VLOOKUP($A12,'Data Vlaue (Cr)'!$C:$FB,11)*100</f>
        <v>2.91</v>
      </c>
      <c r="D12" s="50">
        <f>VLOOKUP($A12,'Data Vlaue (Cr)'!$C:$FB,143)</f>
        <v>3058.97</v>
      </c>
      <c r="E12" s="50">
        <f>VLOOKUP($A12,'Data Vlaue (Cr)'!$C:$FB,144)</f>
        <v>2455.63</v>
      </c>
      <c r="F12" s="50">
        <f>VLOOKUP($A12,'Data Vlaue (Cr)'!$C:$FB,146)*100</f>
        <v>24.57</v>
      </c>
      <c r="G12" s="49">
        <f>VLOOKUP($A12,'Data Vlaue (Cr)'!$C:$FB,43)</f>
        <v>835</v>
      </c>
      <c r="H12" s="49">
        <f>VLOOKUP($A12,'Data Vlaue (Cr)'!$C:$FB,44)</f>
        <v>1284</v>
      </c>
      <c r="I12" s="49">
        <f>VLOOKUP($A12,'Data Vlaue (Cr)'!$C:$FB,46)*100</f>
        <v>-35</v>
      </c>
      <c r="J12" s="51">
        <f>VLOOKUP($A12,'Data Vlaue (Cr)'!$C:$FB,59)</f>
        <v>1612</v>
      </c>
      <c r="K12" s="51">
        <f>VLOOKUP($A12,'Data Vlaue (Cr)'!$C:$FB,60)</f>
        <v>811</v>
      </c>
      <c r="L12" s="51">
        <f>VLOOKUP($A12,'Data Vlaue (Cr)'!$C:$FB,62)*100</f>
        <v>98.71</v>
      </c>
      <c r="M12" s="51">
        <f>VLOOKUP($A12,'Data Vlaue (Cr)'!$C:$FB,63)</f>
        <v>512</v>
      </c>
      <c r="N12" s="51">
        <f>VLOOKUP($A12,'Data Vlaue (Cr)'!$C:$FB,64)</f>
        <v>343</v>
      </c>
      <c r="O12" s="51">
        <f>VLOOKUP($A12,'Data Vlaue (Cr)'!$C:$FB,66)*100</f>
        <v>49.08</v>
      </c>
    </row>
    <row r="13" spans="1:15" x14ac:dyDescent="0.25">
      <c r="A13" s="101" t="str">
        <f>'Data Vlaue (Cr)'!C8</f>
        <v>ADANIPORTS</v>
      </c>
      <c r="B13" s="50">
        <f>VLOOKUP($A13,'Data Vlaue (Cr)'!$C:$FB,8)</f>
        <v>1414.2</v>
      </c>
      <c r="C13" s="50">
        <f>VLOOKUP($A13,'Data Vlaue (Cr)'!$C:$FB,11)*100</f>
        <v>2.58</v>
      </c>
      <c r="D13" s="50">
        <f>VLOOKUP($A13,'Data Vlaue (Cr)'!$C:$FB,143)</f>
        <v>6972.76</v>
      </c>
      <c r="E13" s="50">
        <f>VLOOKUP($A13,'Data Vlaue (Cr)'!$C:$FB,144)</f>
        <v>4960.5</v>
      </c>
      <c r="F13" s="50">
        <f>VLOOKUP($A13,'Data Vlaue (Cr)'!$C:$FB,146)*100</f>
        <v>40.57</v>
      </c>
      <c r="G13" s="49">
        <f>VLOOKUP($A13,'Data Vlaue (Cr)'!$C:$FB,43)</f>
        <v>3111</v>
      </c>
      <c r="H13" s="49">
        <f>VLOOKUP($A13,'Data Vlaue (Cr)'!$C:$FB,44)</f>
        <v>1493</v>
      </c>
      <c r="I13" s="49">
        <f>VLOOKUP($A13,'Data Vlaue (Cr)'!$C:$FB,46)*100</f>
        <v>108.38000000000001</v>
      </c>
      <c r="J13" s="51">
        <f>VLOOKUP($A13,'Data Vlaue (Cr)'!$C:$FB,59)</f>
        <v>2317</v>
      </c>
      <c r="K13" s="51">
        <f>VLOOKUP($A13,'Data Vlaue (Cr)'!$C:$FB,60)</f>
        <v>1993</v>
      </c>
      <c r="L13" s="51">
        <f>VLOOKUP($A13,'Data Vlaue (Cr)'!$C:$FB,62)*100</f>
        <v>16.239999999999998</v>
      </c>
      <c r="M13" s="51">
        <f>VLOOKUP($A13,'Data Vlaue (Cr)'!$C:$FB,63)</f>
        <v>1497</v>
      </c>
      <c r="N13" s="51">
        <f>VLOOKUP($A13,'Data Vlaue (Cr)'!$C:$FB,64)</f>
        <v>1532</v>
      </c>
      <c r="O13" s="51">
        <f>VLOOKUP($A13,'Data Vlaue (Cr)'!$C:$FB,66)*100</f>
        <v>-2.2999999999999998</v>
      </c>
    </row>
    <row r="14" spans="1:15" x14ac:dyDescent="0.25">
      <c r="A14" s="101" t="str">
        <f>'Data Vlaue (Cr)'!C9</f>
        <v>ALKEM</v>
      </c>
      <c r="B14" s="50">
        <f>VLOOKUP($A14,'Data Vlaue (Cr)'!$C:$FB,8)</f>
        <v>5758.5</v>
      </c>
      <c r="C14" s="50">
        <f>VLOOKUP($A14,'Data Vlaue (Cr)'!$C:$FB,11)*100</f>
        <v>1.7999999999999998</v>
      </c>
      <c r="D14" s="50">
        <f>VLOOKUP($A14,'Data Vlaue (Cr)'!$C:$FB,143)</f>
        <v>1293.03</v>
      </c>
      <c r="E14" s="50">
        <f>VLOOKUP($A14,'Data Vlaue (Cr)'!$C:$FB,144)</f>
        <v>996.49</v>
      </c>
      <c r="F14" s="50">
        <f>VLOOKUP($A14,'Data Vlaue (Cr)'!$C:$FB,146)*100</f>
        <v>29.759999999999998</v>
      </c>
      <c r="G14" s="49">
        <f>VLOOKUP($A14,'Data Vlaue (Cr)'!$C:$FB,43)</f>
        <v>780</v>
      </c>
      <c r="H14" s="49">
        <f>VLOOKUP($A14,'Data Vlaue (Cr)'!$C:$FB,44)</f>
        <v>435</v>
      </c>
      <c r="I14" s="49">
        <f>VLOOKUP($A14,'Data Vlaue (Cr)'!$C:$FB,46)*100</f>
        <v>79.12</v>
      </c>
      <c r="J14" s="51">
        <f>VLOOKUP($A14,'Data Vlaue (Cr)'!$C:$FB,59)</f>
        <v>349</v>
      </c>
      <c r="K14" s="51">
        <f>VLOOKUP($A14,'Data Vlaue (Cr)'!$C:$FB,60)</f>
        <v>352</v>
      </c>
      <c r="L14" s="51">
        <f>VLOOKUP($A14,'Data Vlaue (Cr)'!$C:$FB,62)*100</f>
        <v>-0.98</v>
      </c>
      <c r="M14" s="51">
        <f>VLOOKUP($A14,'Data Vlaue (Cr)'!$C:$FB,63)</f>
        <v>160</v>
      </c>
      <c r="N14" s="51">
        <f>VLOOKUP($A14,'Data Vlaue (Cr)'!$C:$FB,64)</f>
        <v>213</v>
      </c>
      <c r="O14" s="51">
        <f>VLOOKUP($A14,'Data Vlaue (Cr)'!$C:$FB,66)*100</f>
        <v>-24.65</v>
      </c>
    </row>
    <row r="15" spans="1:15" x14ac:dyDescent="0.25">
      <c r="A15" s="101" t="str">
        <f>'Data Vlaue (Cr)'!C10</f>
        <v>AMBER</v>
      </c>
      <c r="B15" s="50">
        <f>VLOOKUP($A15,'Data Vlaue (Cr)'!$C:$FB,8)</f>
        <v>5732</v>
      </c>
      <c r="C15" s="50">
        <f>VLOOKUP($A15,'Data Vlaue (Cr)'!$C:$FB,11)*100</f>
        <v>-0.89999999999999991</v>
      </c>
      <c r="D15" s="50">
        <f>VLOOKUP($A15,'Data Vlaue (Cr)'!$C:$FB,143)</f>
        <v>1533.08</v>
      </c>
      <c r="E15" s="50">
        <f>VLOOKUP($A15,'Data Vlaue (Cr)'!$C:$FB,144)</f>
        <v>2022.46</v>
      </c>
      <c r="F15" s="50">
        <f>VLOOKUP($A15,'Data Vlaue (Cr)'!$C:$FB,146)*100</f>
        <v>-24.2</v>
      </c>
      <c r="G15" s="49">
        <f>VLOOKUP($A15,'Data Vlaue (Cr)'!$C:$FB,43)</f>
        <v>605</v>
      </c>
      <c r="H15" s="49">
        <f>VLOOKUP($A15,'Data Vlaue (Cr)'!$C:$FB,44)</f>
        <v>508</v>
      </c>
      <c r="I15" s="49">
        <f>VLOOKUP($A15,'Data Vlaue (Cr)'!$C:$FB,46)*100</f>
        <v>19.170000000000002</v>
      </c>
      <c r="J15" s="51">
        <f>VLOOKUP($A15,'Data Vlaue (Cr)'!$C:$FB,59)</f>
        <v>388</v>
      </c>
      <c r="K15" s="51">
        <f>VLOOKUP($A15,'Data Vlaue (Cr)'!$C:$FB,60)</f>
        <v>870</v>
      </c>
      <c r="L15" s="51">
        <f>VLOOKUP($A15,'Data Vlaue (Cr)'!$C:$FB,62)*100</f>
        <v>-55.37</v>
      </c>
      <c r="M15" s="51">
        <f>VLOOKUP($A15,'Data Vlaue (Cr)'!$C:$FB,63)</f>
        <v>532</v>
      </c>
      <c r="N15" s="51">
        <f>VLOOKUP($A15,'Data Vlaue (Cr)'!$C:$FB,64)</f>
        <v>538</v>
      </c>
      <c r="O15" s="51">
        <f>VLOOKUP($A15,'Data Vlaue (Cr)'!$C:$FB,66)*100</f>
        <v>-1.08</v>
      </c>
    </row>
    <row r="16" spans="1:15" x14ac:dyDescent="0.25">
      <c r="A16" s="101" t="str">
        <f>'Data Vlaue (Cr)'!C11</f>
        <v>AMBUJACEM</v>
      </c>
      <c r="B16" s="50">
        <f>VLOOKUP($A16,'Data Vlaue (Cr)'!$C:$FB,8)</f>
        <v>546.6</v>
      </c>
      <c r="C16" s="50">
        <f>VLOOKUP($A16,'Data Vlaue (Cr)'!$C:$FB,11)*100</f>
        <v>1.48</v>
      </c>
      <c r="D16" s="50">
        <f>VLOOKUP($A16,'Data Vlaue (Cr)'!$C:$FB,143)</f>
        <v>2272.62</v>
      </c>
      <c r="E16" s="50">
        <f>VLOOKUP($A16,'Data Vlaue (Cr)'!$C:$FB,144)</f>
        <v>2894.29</v>
      </c>
      <c r="F16" s="50">
        <f>VLOOKUP($A16,'Data Vlaue (Cr)'!$C:$FB,146)*100</f>
        <v>-21.48</v>
      </c>
      <c r="G16" s="49">
        <f>VLOOKUP($A16,'Data Vlaue (Cr)'!$C:$FB,43)</f>
        <v>1345</v>
      </c>
      <c r="H16" s="49">
        <f>VLOOKUP($A16,'Data Vlaue (Cr)'!$C:$FB,44)</f>
        <v>1485</v>
      </c>
      <c r="I16" s="49">
        <f>VLOOKUP($A16,'Data Vlaue (Cr)'!$C:$FB,46)*100</f>
        <v>-9.42</v>
      </c>
      <c r="J16" s="51">
        <f>VLOOKUP($A16,'Data Vlaue (Cr)'!$C:$FB,59)</f>
        <v>580</v>
      </c>
      <c r="K16" s="51">
        <f>VLOOKUP($A16,'Data Vlaue (Cr)'!$C:$FB,60)</f>
        <v>975</v>
      </c>
      <c r="L16" s="51">
        <f>VLOOKUP($A16,'Data Vlaue (Cr)'!$C:$FB,62)*100</f>
        <v>-40.5</v>
      </c>
      <c r="M16" s="51">
        <f>VLOOKUP($A16,'Data Vlaue (Cr)'!$C:$FB,63)</f>
        <v>329</v>
      </c>
      <c r="N16" s="51">
        <f>VLOOKUP($A16,'Data Vlaue (Cr)'!$C:$FB,64)</f>
        <v>433</v>
      </c>
      <c r="O16" s="51">
        <f>VLOOKUP($A16,'Data Vlaue (Cr)'!$C:$FB,66)*100</f>
        <v>-23.96</v>
      </c>
    </row>
    <row r="17" spans="1:15" x14ac:dyDescent="0.25">
      <c r="A17" s="101" t="str">
        <f>'Data Vlaue (Cr)'!C12</f>
        <v>ANGELONE</v>
      </c>
      <c r="B17" s="50">
        <f>VLOOKUP($A17,'Data Vlaue (Cr)'!$C:$FB,8)</f>
        <v>2566.6</v>
      </c>
      <c r="C17" s="50">
        <f>VLOOKUP($A17,'Data Vlaue (Cr)'!$C:$FB,11)*100</f>
        <v>1.37</v>
      </c>
      <c r="D17" s="50">
        <f>VLOOKUP($A17,'Data Vlaue (Cr)'!$C:$FB,143)</f>
        <v>4029.29</v>
      </c>
      <c r="E17" s="50">
        <f>VLOOKUP($A17,'Data Vlaue (Cr)'!$C:$FB,144)</f>
        <v>5587.77</v>
      </c>
      <c r="F17" s="50">
        <f>VLOOKUP($A17,'Data Vlaue (Cr)'!$C:$FB,146)*100</f>
        <v>-27.889999999999997</v>
      </c>
      <c r="G17" s="49">
        <f>VLOOKUP($A17,'Data Vlaue (Cr)'!$C:$FB,43)</f>
        <v>843</v>
      </c>
      <c r="H17" s="49">
        <f>VLOOKUP($A17,'Data Vlaue (Cr)'!$C:$FB,44)</f>
        <v>965</v>
      </c>
      <c r="I17" s="49">
        <f>VLOOKUP($A17,'Data Vlaue (Cr)'!$C:$FB,46)*100</f>
        <v>-12.6</v>
      </c>
      <c r="J17" s="51">
        <f>VLOOKUP($A17,'Data Vlaue (Cr)'!$C:$FB,59)</f>
        <v>2022</v>
      </c>
      <c r="K17" s="51">
        <f>VLOOKUP($A17,'Data Vlaue (Cr)'!$C:$FB,60)</f>
        <v>2318</v>
      </c>
      <c r="L17" s="51">
        <f>VLOOKUP($A17,'Data Vlaue (Cr)'!$C:$FB,62)*100</f>
        <v>-12.740000000000002</v>
      </c>
      <c r="M17" s="51">
        <f>VLOOKUP($A17,'Data Vlaue (Cr)'!$C:$FB,63)</f>
        <v>1091</v>
      </c>
      <c r="N17" s="51">
        <f>VLOOKUP($A17,'Data Vlaue (Cr)'!$C:$FB,64)</f>
        <v>2221</v>
      </c>
      <c r="O17" s="51">
        <f>VLOOKUP($A17,'Data Vlaue (Cr)'!$C:$FB,66)*100</f>
        <v>-50.89</v>
      </c>
    </row>
    <row r="18" spans="1:15" x14ac:dyDescent="0.25">
      <c r="A18" s="101" t="str">
        <f>'Data Vlaue (Cr)'!C13</f>
        <v>APLAPOLLO</v>
      </c>
      <c r="B18" s="50">
        <f>VLOOKUP($A18,'Data Vlaue (Cr)'!$C:$FB,8)</f>
        <v>1976</v>
      </c>
      <c r="C18" s="50">
        <f>VLOOKUP($A18,'Data Vlaue (Cr)'!$C:$FB,11)*100</f>
        <v>5.18</v>
      </c>
      <c r="D18" s="50">
        <f>VLOOKUP($A18,'Data Vlaue (Cr)'!$C:$FB,143)</f>
        <v>4342.9799999999996</v>
      </c>
      <c r="E18" s="50">
        <f>VLOOKUP($A18,'Data Vlaue (Cr)'!$C:$FB,144)</f>
        <v>1568.61</v>
      </c>
      <c r="F18" s="50">
        <f>VLOOKUP($A18,'Data Vlaue (Cr)'!$C:$FB,146)*100</f>
        <v>176.87</v>
      </c>
      <c r="G18" s="49">
        <f>VLOOKUP($A18,'Data Vlaue (Cr)'!$C:$FB,43)</f>
        <v>1097</v>
      </c>
      <c r="H18" s="49">
        <f>VLOOKUP($A18,'Data Vlaue (Cr)'!$C:$FB,44)</f>
        <v>1069</v>
      </c>
      <c r="I18" s="49">
        <f>VLOOKUP($A18,'Data Vlaue (Cr)'!$C:$FB,46)*100</f>
        <v>2.62</v>
      </c>
      <c r="J18" s="51">
        <f>VLOOKUP($A18,'Data Vlaue (Cr)'!$C:$FB,59)</f>
        <v>2395</v>
      </c>
      <c r="K18" s="51">
        <f>VLOOKUP($A18,'Data Vlaue (Cr)'!$C:$FB,60)</f>
        <v>339</v>
      </c>
      <c r="L18" s="51">
        <f>VLOOKUP($A18,'Data Vlaue (Cr)'!$C:$FB,62)*100</f>
        <v>606.82000000000005</v>
      </c>
      <c r="M18" s="51">
        <f>VLOOKUP($A18,'Data Vlaue (Cr)'!$C:$FB,63)</f>
        <v>847</v>
      </c>
      <c r="N18" s="51">
        <f>VLOOKUP($A18,'Data Vlaue (Cr)'!$C:$FB,64)</f>
        <v>224</v>
      </c>
      <c r="O18" s="51">
        <f>VLOOKUP($A18,'Data Vlaue (Cr)'!$C:$FB,66)*100</f>
        <v>277.85000000000002</v>
      </c>
    </row>
    <row r="19" spans="1:15" x14ac:dyDescent="0.25">
      <c r="A19" s="101" t="str">
        <f>'Data Vlaue (Cr)'!C14</f>
        <v>APOLLOHOSP</v>
      </c>
      <c r="B19" s="50">
        <f>VLOOKUP($A19,'Data Vlaue (Cr)'!$C:$FB,8)</f>
        <v>6797</v>
      </c>
      <c r="C19" s="50">
        <f>VLOOKUP($A19,'Data Vlaue (Cr)'!$C:$FB,11)*100</f>
        <v>-0.43</v>
      </c>
      <c r="D19" s="50">
        <f>VLOOKUP($A19,'Data Vlaue (Cr)'!$C:$FB,143)</f>
        <v>5979.14</v>
      </c>
      <c r="E19" s="50">
        <f>VLOOKUP($A19,'Data Vlaue (Cr)'!$C:$FB,144)</f>
        <v>6349.73</v>
      </c>
      <c r="F19" s="50">
        <f>VLOOKUP($A19,'Data Vlaue (Cr)'!$C:$FB,146)*100</f>
        <v>-5.84</v>
      </c>
      <c r="G19" s="49">
        <f>VLOOKUP($A19,'Data Vlaue (Cr)'!$C:$FB,43)</f>
        <v>1689</v>
      </c>
      <c r="H19" s="49">
        <f>VLOOKUP($A19,'Data Vlaue (Cr)'!$C:$FB,44)</f>
        <v>1258</v>
      </c>
      <c r="I19" s="49">
        <f>VLOOKUP($A19,'Data Vlaue (Cr)'!$C:$FB,46)*100</f>
        <v>34.200000000000003</v>
      </c>
      <c r="J19" s="51">
        <f>VLOOKUP($A19,'Data Vlaue (Cr)'!$C:$FB,59)</f>
        <v>3043</v>
      </c>
      <c r="K19" s="51">
        <f>VLOOKUP($A19,'Data Vlaue (Cr)'!$C:$FB,60)</f>
        <v>3305</v>
      </c>
      <c r="L19" s="51">
        <f>VLOOKUP($A19,'Data Vlaue (Cr)'!$C:$FB,62)*100</f>
        <v>-7.9200000000000008</v>
      </c>
      <c r="M19" s="51">
        <f>VLOOKUP($A19,'Data Vlaue (Cr)'!$C:$FB,63)</f>
        <v>1106</v>
      </c>
      <c r="N19" s="51">
        <f>VLOOKUP($A19,'Data Vlaue (Cr)'!$C:$FB,64)</f>
        <v>1626</v>
      </c>
      <c r="O19" s="51">
        <f>VLOOKUP($A19,'Data Vlaue (Cr)'!$C:$FB,66)*100</f>
        <v>-31.990000000000002</v>
      </c>
    </row>
    <row r="20" spans="1:15" x14ac:dyDescent="0.25">
      <c r="A20" s="101" t="str">
        <f>'Data Vlaue (Cr)'!C15</f>
        <v>ASHOKLEY</v>
      </c>
      <c r="B20" s="50">
        <f>VLOOKUP($A20,'Data Vlaue (Cr)'!$C:$FB,8)</f>
        <v>190.28</v>
      </c>
      <c r="C20" s="50">
        <f>VLOOKUP($A20,'Data Vlaue (Cr)'!$C:$FB,11)*100</f>
        <v>4.99</v>
      </c>
      <c r="D20" s="50">
        <f>VLOOKUP($A20,'Data Vlaue (Cr)'!$C:$FB,143)</f>
        <v>10639.86</v>
      </c>
      <c r="E20" s="50">
        <f>VLOOKUP($A20,'Data Vlaue (Cr)'!$C:$FB,144)</f>
        <v>7117.48</v>
      </c>
      <c r="F20" s="50">
        <f>VLOOKUP($A20,'Data Vlaue (Cr)'!$C:$FB,146)*100</f>
        <v>49.49</v>
      </c>
      <c r="G20" s="49">
        <f>VLOOKUP($A20,'Data Vlaue (Cr)'!$C:$FB,43)</f>
        <v>3367</v>
      </c>
      <c r="H20" s="49">
        <f>VLOOKUP($A20,'Data Vlaue (Cr)'!$C:$FB,44)</f>
        <v>3151</v>
      </c>
      <c r="I20" s="49">
        <f>VLOOKUP($A20,'Data Vlaue (Cr)'!$C:$FB,46)*100</f>
        <v>6.88</v>
      </c>
      <c r="J20" s="51">
        <f>VLOOKUP($A20,'Data Vlaue (Cr)'!$C:$FB,59)</f>
        <v>4963</v>
      </c>
      <c r="K20" s="51">
        <f>VLOOKUP($A20,'Data Vlaue (Cr)'!$C:$FB,60)</f>
        <v>2607</v>
      </c>
      <c r="L20" s="51">
        <f>VLOOKUP($A20,'Data Vlaue (Cr)'!$C:$FB,62)*100</f>
        <v>90.32</v>
      </c>
      <c r="M20" s="51">
        <f>VLOOKUP($A20,'Data Vlaue (Cr)'!$C:$FB,63)</f>
        <v>2405</v>
      </c>
      <c r="N20" s="51">
        <f>VLOOKUP($A20,'Data Vlaue (Cr)'!$C:$FB,64)</f>
        <v>1684</v>
      </c>
      <c r="O20" s="51">
        <f>VLOOKUP($A20,'Data Vlaue (Cr)'!$C:$FB,66)*100</f>
        <v>42.84</v>
      </c>
    </row>
    <row r="21" spans="1:15" x14ac:dyDescent="0.25">
      <c r="A21" s="101" t="str">
        <f>'Data Vlaue (Cr)'!C16</f>
        <v>ASIANPAINT</v>
      </c>
      <c r="B21" s="50">
        <f>VLOOKUP($A21,'Data Vlaue (Cr)'!$C:$FB,8)</f>
        <v>2703.8</v>
      </c>
      <c r="C21" s="50">
        <f>VLOOKUP($A21,'Data Vlaue (Cr)'!$C:$FB,11)*100</f>
        <v>1.6</v>
      </c>
      <c r="D21" s="50">
        <f>VLOOKUP($A21,'Data Vlaue (Cr)'!$C:$FB,143)</f>
        <v>7604.76</v>
      </c>
      <c r="E21" s="50">
        <f>VLOOKUP($A21,'Data Vlaue (Cr)'!$C:$FB,144)</f>
        <v>6055.61</v>
      </c>
      <c r="F21" s="50">
        <f>VLOOKUP($A21,'Data Vlaue (Cr)'!$C:$FB,146)*100</f>
        <v>25.580000000000002</v>
      </c>
      <c r="G21" s="49">
        <f>VLOOKUP($A21,'Data Vlaue (Cr)'!$C:$FB,43)</f>
        <v>3072</v>
      </c>
      <c r="H21" s="49">
        <f>VLOOKUP($A21,'Data Vlaue (Cr)'!$C:$FB,44)</f>
        <v>2308</v>
      </c>
      <c r="I21" s="49">
        <f>VLOOKUP($A21,'Data Vlaue (Cr)'!$C:$FB,46)*100</f>
        <v>33.07</v>
      </c>
      <c r="J21" s="51">
        <f>VLOOKUP($A21,'Data Vlaue (Cr)'!$C:$FB,59)</f>
        <v>2485</v>
      </c>
      <c r="K21" s="51">
        <f>VLOOKUP($A21,'Data Vlaue (Cr)'!$C:$FB,60)</f>
        <v>2033</v>
      </c>
      <c r="L21" s="51">
        <f>VLOOKUP($A21,'Data Vlaue (Cr)'!$C:$FB,62)*100</f>
        <v>22.27</v>
      </c>
      <c r="M21" s="51">
        <f>VLOOKUP($A21,'Data Vlaue (Cr)'!$C:$FB,63)</f>
        <v>1986</v>
      </c>
      <c r="N21" s="51">
        <f>VLOOKUP($A21,'Data Vlaue (Cr)'!$C:$FB,64)</f>
        <v>1696</v>
      </c>
      <c r="O21" s="51">
        <f>VLOOKUP($A21,'Data Vlaue (Cr)'!$C:$FB,66)*100</f>
        <v>17.09</v>
      </c>
    </row>
    <row r="22" spans="1:15" x14ac:dyDescent="0.25">
      <c r="A22" s="101" t="str">
        <f>'Data Vlaue (Cr)'!C17</f>
        <v>ASTRAL</v>
      </c>
      <c r="B22" s="50">
        <f>VLOOKUP($A22,'Data Vlaue (Cr)'!$C:$FB,8)</f>
        <v>1413.2</v>
      </c>
      <c r="C22" s="50">
        <f>VLOOKUP($A22,'Data Vlaue (Cr)'!$C:$FB,11)*100</f>
        <v>4.8500000000000005</v>
      </c>
      <c r="D22" s="50">
        <f>VLOOKUP($A22,'Data Vlaue (Cr)'!$C:$FB,143)</f>
        <v>3213.74</v>
      </c>
      <c r="E22" s="50">
        <f>VLOOKUP($A22,'Data Vlaue (Cr)'!$C:$FB,144)</f>
        <v>3276.52</v>
      </c>
      <c r="F22" s="50">
        <f>VLOOKUP($A22,'Data Vlaue (Cr)'!$C:$FB,146)*100</f>
        <v>-1.92</v>
      </c>
      <c r="G22" s="49">
        <f>VLOOKUP($A22,'Data Vlaue (Cr)'!$C:$FB,43)</f>
        <v>1305</v>
      </c>
      <c r="H22" s="49">
        <f>VLOOKUP($A22,'Data Vlaue (Cr)'!$C:$FB,44)</f>
        <v>1147</v>
      </c>
      <c r="I22" s="49">
        <f>VLOOKUP($A22,'Data Vlaue (Cr)'!$C:$FB,46)*100</f>
        <v>13.81</v>
      </c>
      <c r="J22" s="51">
        <f>VLOOKUP($A22,'Data Vlaue (Cr)'!$C:$FB,59)</f>
        <v>1255</v>
      </c>
      <c r="K22" s="51">
        <f>VLOOKUP($A22,'Data Vlaue (Cr)'!$C:$FB,60)</f>
        <v>964</v>
      </c>
      <c r="L22" s="51">
        <f>VLOOKUP($A22,'Data Vlaue (Cr)'!$C:$FB,62)*100</f>
        <v>30.15</v>
      </c>
      <c r="M22" s="51">
        <f>VLOOKUP($A22,'Data Vlaue (Cr)'!$C:$FB,63)</f>
        <v>658</v>
      </c>
      <c r="N22" s="51">
        <f>VLOOKUP($A22,'Data Vlaue (Cr)'!$C:$FB,64)</f>
        <v>1241</v>
      </c>
      <c r="O22" s="51">
        <f>VLOOKUP($A22,'Data Vlaue (Cr)'!$C:$FB,66)*100</f>
        <v>-46.97</v>
      </c>
    </row>
    <row r="23" spans="1:15" x14ac:dyDescent="0.25">
      <c r="A23" s="101" t="str">
        <f>'Data Vlaue (Cr)'!C18</f>
        <v>AUBANK</v>
      </c>
      <c r="B23" s="50">
        <f>VLOOKUP($A23,'Data Vlaue (Cr)'!$C:$FB,8)</f>
        <v>1000.55</v>
      </c>
      <c r="C23" s="50">
        <f>VLOOKUP($A23,'Data Vlaue (Cr)'!$C:$FB,11)*100</f>
        <v>0.57000000000000006</v>
      </c>
      <c r="D23" s="50">
        <f>VLOOKUP($A23,'Data Vlaue (Cr)'!$C:$FB,143)</f>
        <v>7946.07</v>
      </c>
      <c r="E23" s="50">
        <f>VLOOKUP($A23,'Data Vlaue (Cr)'!$C:$FB,144)</f>
        <v>18952.07</v>
      </c>
      <c r="F23" s="50">
        <f>VLOOKUP($A23,'Data Vlaue (Cr)'!$C:$FB,146)*100</f>
        <v>-58.07</v>
      </c>
      <c r="G23" s="49">
        <f>VLOOKUP($A23,'Data Vlaue (Cr)'!$C:$FB,43)</f>
        <v>2703</v>
      </c>
      <c r="H23" s="49">
        <f>VLOOKUP($A23,'Data Vlaue (Cr)'!$C:$FB,44)</f>
        <v>2902</v>
      </c>
      <c r="I23" s="49">
        <f>VLOOKUP($A23,'Data Vlaue (Cr)'!$C:$FB,46)*100</f>
        <v>-6.87</v>
      </c>
      <c r="J23" s="51">
        <f>VLOOKUP($A23,'Data Vlaue (Cr)'!$C:$FB,59)</f>
        <v>3116</v>
      </c>
      <c r="K23" s="51">
        <f>VLOOKUP($A23,'Data Vlaue (Cr)'!$C:$FB,60)</f>
        <v>8933</v>
      </c>
      <c r="L23" s="51">
        <f>VLOOKUP($A23,'Data Vlaue (Cr)'!$C:$FB,62)*100</f>
        <v>-65.12</v>
      </c>
      <c r="M23" s="51">
        <f>VLOOKUP($A23,'Data Vlaue (Cr)'!$C:$FB,63)</f>
        <v>2074</v>
      </c>
      <c r="N23" s="51">
        <f>VLOOKUP($A23,'Data Vlaue (Cr)'!$C:$FB,64)</f>
        <v>6896</v>
      </c>
      <c r="O23" s="51">
        <f>VLOOKUP($A23,'Data Vlaue (Cr)'!$C:$FB,66)*100</f>
        <v>-69.92</v>
      </c>
    </row>
    <row r="24" spans="1:15" x14ac:dyDescent="0.25">
      <c r="A24" s="101" t="str">
        <f>'Data Vlaue (Cr)'!C19</f>
        <v>AUROPHARMA</v>
      </c>
      <c r="B24" s="50">
        <f>VLOOKUP($A24,'Data Vlaue (Cr)'!$C:$FB,8)</f>
        <v>1145.3</v>
      </c>
      <c r="C24" s="50">
        <f>VLOOKUP($A24,'Data Vlaue (Cr)'!$C:$FB,11)*100</f>
        <v>2.1</v>
      </c>
      <c r="D24" s="50">
        <f>VLOOKUP($A24,'Data Vlaue (Cr)'!$C:$FB,143)</f>
        <v>2087.37</v>
      </c>
      <c r="E24" s="50">
        <f>VLOOKUP($A24,'Data Vlaue (Cr)'!$C:$FB,144)</f>
        <v>3597.53</v>
      </c>
      <c r="F24" s="50">
        <f>VLOOKUP($A24,'Data Vlaue (Cr)'!$C:$FB,146)*100</f>
        <v>-41.980000000000004</v>
      </c>
      <c r="G24" s="49">
        <f>VLOOKUP($A24,'Data Vlaue (Cr)'!$C:$FB,43)</f>
        <v>1309</v>
      </c>
      <c r="H24" s="49">
        <f>VLOOKUP($A24,'Data Vlaue (Cr)'!$C:$FB,44)</f>
        <v>1989</v>
      </c>
      <c r="I24" s="49">
        <f>VLOOKUP($A24,'Data Vlaue (Cr)'!$C:$FB,46)*100</f>
        <v>-34.200000000000003</v>
      </c>
      <c r="J24" s="51">
        <f>VLOOKUP($A24,'Data Vlaue (Cr)'!$C:$FB,59)</f>
        <v>499</v>
      </c>
      <c r="K24" s="51">
        <f>VLOOKUP($A24,'Data Vlaue (Cr)'!$C:$FB,60)</f>
        <v>937</v>
      </c>
      <c r="L24" s="51">
        <f>VLOOKUP($A24,'Data Vlaue (Cr)'!$C:$FB,62)*100</f>
        <v>-46.72</v>
      </c>
      <c r="M24" s="51">
        <f>VLOOKUP($A24,'Data Vlaue (Cr)'!$C:$FB,63)</f>
        <v>256</v>
      </c>
      <c r="N24" s="51">
        <f>VLOOKUP($A24,'Data Vlaue (Cr)'!$C:$FB,64)</f>
        <v>652</v>
      </c>
      <c r="O24" s="51">
        <f>VLOOKUP($A24,'Data Vlaue (Cr)'!$C:$FB,66)*100</f>
        <v>-60.73</v>
      </c>
    </row>
    <row r="25" spans="1:15" x14ac:dyDescent="0.25">
      <c r="A25" s="101" t="str">
        <f>'Data Vlaue (Cr)'!C20</f>
        <v>AXISBANK</v>
      </c>
      <c r="B25" s="50">
        <f>VLOOKUP($A25,'Data Vlaue (Cr)'!$C:$FB,8)</f>
        <v>1294.8</v>
      </c>
      <c r="C25" s="50">
        <f>VLOOKUP($A25,'Data Vlaue (Cr)'!$C:$FB,11)*100</f>
        <v>0.77</v>
      </c>
      <c r="D25" s="50">
        <f>VLOOKUP($A25,'Data Vlaue (Cr)'!$C:$FB,143)</f>
        <v>15451.5</v>
      </c>
      <c r="E25" s="50">
        <f>VLOOKUP($A25,'Data Vlaue (Cr)'!$C:$FB,144)</f>
        <v>17948.37</v>
      </c>
      <c r="F25" s="50">
        <f>VLOOKUP($A25,'Data Vlaue (Cr)'!$C:$FB,146)*100</f>
        <v>-13.91</v>
      </c>
      <c r="G25" s="49">
        <f>VLOOKUP($A25,'Data Vlaue (Cr)'!$C:$FB,43)</f>
        <v>6580</v>
      </c>
      <c r="H25" s="49">
        <f>VLOOKUP($A25,'Data Vlaue (Cr)'!$C:$FB,44)</f>
        <v>6685</v>
      </c>
      <c r="I25" s="49">
        <f>VLOOKUP($A25,'Data Vlaue (Cr)'!$C:$FB,46)*100</f>
        <v>-1.5699999999999998</v>
      </c>
      <c r="J25" s="51">
        <f>VLOOKUP($A25,'Data Vlaue (Cr)'!$C:$FB,59)</f>
        <v>5340</v>
      </c>
      <c r="K25" s="51">
        <f>VLOOKUP($A25,'Data Vlaue (Cr)'!$C:$FB,60)</f>
        <v>6674</v>
      </c>
      <c r="L25" s="51">
        <f>VLOOKUP($A25,'Data Vlaue (Cr)'!$C:$FB,62)*100</f>
        <v>-19.989999999999998</v>
      </c>
      <c r="M25" s="51">
        <f>VLOOKUP($A25,'Data Vlaue (Cr)'!$C:$FB,63)</f>
        <v>3469</v>
      </c>
      <c r="N25" s="51">
        <f>VLOOKUP($A25,'Data Vlaue (Cr)'!$C:$FB,64)</f>
        <v>4596</v>
      </c>
      <c r="O25" s="51">
        <f>VLOOKUP($A25,'Data Vlaue (Cr)'!$C:$FB,66)*100</f>
        <v>-24.52</v>
      </c>
    </row>
    <row r="26" spans="1:15" x14ac:dyDescent="0.25">
      <c r="A26" s="101" t="str">
        <f>'Data Vlaue (Cr)'!C21</f>
        <v>BAJAJ-AUTO</v>
      </c>
      <c r="B26" s="50">
        <f>VLOOKUP($A26,'Data Vlaue (Cr)'!$C:$FB,8)</f>
        <v>9370</v>
      </c>
      <c r="C26" s="50">
        <f>VLOOKUP($A26,'Data Vlaue (Cr)'!$C:$FB,11)*100</f>
        <v>2.08</v>
      </c>
      <c r="D26" s="50">
        <f>VLOOKUP($A26,'Data Vlaue (Cr)'!$C:$FB,143)</f>
        <v>7450.14</v>
      </c>
      <c r="E26" s="50">
        <f>VLOOKUP($A26,'Data Vlaue (Cr)'!$C:$FB,144)</f>
        <v>7660.13</v>
      </c>
      <c r="F26" s="50">
        <f>VLOOKUP($A26,'Data Vlaue (Cr)'!$C:$FB,146)*100</f>
        <v>-2.74</v>
      </c>
      <c r="G26" s="49">
        <f>VLOOKUP($A26,'Data Vlaue (Cr)'!$C:$FB,43)</f>
        <v>2992</v>
      </c>
      <c r="H26" s="49">
        <f>VLOOKUP($A26,'Data Vlaue (Cr)'!$C:$FB,44)</f>
        <v>3539</v>
      </c>
      <c r="I26" s="49">
        <f>VLOOKUP($A26,'Data Vlaue (Cr)'!$C:$FB,46)*100</f>
        <v>-15.47</v>
      </c>
      <c r="J26" s="51">
        <f>VLOOKUP($A26,'Data Vlaue (Cr)'!$C:$FB,59)</f>
        <v>2995</v>
      </c>
      <c r="K26" s="51">
        <f>VLOOKUP($A26,'Data Vlaue (Cr)'!$C:$FB,60)</f>
        <v>2708</v>
      </c>
      <c r="L26" s="51">
        <f>VLOOKUP($A26,'Data Vlaue (Cr)'!$C:$FB,62)*100</f>
        <v>10.61</v>
      </c>
      <c r="M26" s="51">
        <f>VLOOKUP($A26,'Data Vlaue (Cr)'!$C:$FB,63)</f>
        <v>1464</v>
      </c>
      <c r="N26" s="51">
        <f>VLOOKUP($A26,'Data Vlaue (Cr)'!$C:$FB,64)</f>
        <v>1471</v>
      </c>
      <c r="O26" s="51">
        <f>VLOOKUP($A26,'Data Vlaue (Cr)'!$C:$FB,66)*100</f>
        <v>-0.49</v>
      </c>
    </row>
    <row r="27" spans="1:15" x14ac:dyDescent="0.25">
      <c r="A27" s="101" t="str">
        <f>'Data Vlaue (Cr)'!C22</f>
        <v>BAJAJFINSV</v>
      </c>
      <c r="B27" s="50">
        <f>VLOOKUP($A27,'Data Vlaue (Cr)'!$C:$FB,8)</f>
        <v>1993.1</v>
      </c>
      <c r="C27" s="50">
        <f>VLOOKUP($A27,'Data Vlaue (Cr)'!$C:$FB,11)*100</f>
        <v>1.69</v>
      </c>
      <c r="D27" s="50">
        <f>VLOOKUP($A27,'Data Vlaue (Cr)'!$C:$FB,143)</f>
        <v>3169.64</v>
      </c>
      <c r="E27" s="50">
        <f>VLOOKUP($A27,'Data Vlaue (Cr)'!$C:$FB,144)</f>
        <v>3247.09</v>
      </c>
      <c r="F27" s="50">
        <f>VLOOKUP($A27,'Data Vlaue (Cr)'!$C:$FB,146)*100</f>
        <v>-2.39</v>
      </c>
      <c r="G27" s="49">
        <f>VLOOKUP($A27,'Data Vlaue (Cr)'!$C:$FB,43)</f>
        <v>1940</v>
      </c>
      <c r="H27" s="49">
        <f>VLOOKUP($A27,'Data Vlaue (Cr)'!$C:$FB,44)</f>
        <v>1367</v>
      </c>
      <c r="I27" s="49">
        <f>VLOOKUP($A27,'Data Vlaue (Cr)'!$C:$FB,46)*100</f>
        <v>41.92</v>
      </c>
      <c r="J27" s="51">
        <f>VLOOKUP($A27,'Data Vlaue (Cr)'!$C:$FB,59)</f>
        <v>830</v>
      </c>
      <c r="K27" s="51">
        <f>VLOOKUP($A27,'Data Vlaue (Cr)'!$C:$FB,60)</f>
        <v>1141</v>
      </c>
      <c r="L27" s="51">
        <f>VLOOKUP($A27,'Data Vlaue (Cr)'!$C:$FB,62)*100</f>
        <v>-27.189999999999998</v>
      </c>
      <c r="M27" s="51">
        <f>VLOOKUP($A27,'Data Vlaue (Cr)'!$C:$FB,63)</f>
        <v>386</v>
      </c>
      <c r="N27" s="51">
        <f>VLOOKUP($A27,'Data Vlaue (Cr)'!$C:$FB,64)</f>
        <v>750</v>
      </c>
      <c r="O27" s="51">
        <f>VLOOKUP($A27,'Data Vlaue (Cr)'!$C:$FB,66)*100</f>
        <v>-48.55</v>
      </c>
    </row>
    <row r="28" spans="1:15" x14ac:dyDescent="0.25">
      <c r="A28" s="101" t="str">
        <f>'Data Vlaue (Cr)'!C23</f>
        <v>BAJAJHLDNG</v>
      </c>
      <c r="B28" s="50">
        <f>VLOOKUP($A28,'Data Vlaue (Cr)'!$C:$FB,8)</f>
        <v>10735</v>
      </c>
      <c r="C28" s="50">
        <f>VLOOKUP($A28,'Data Vlaue (Cr)'!$C:$FB,11)*100</f>
        <v>1.1499999999999999</v>
      </c>
      <c r="D28" s="50">
        <f>VLOOKUP($A28,'Data Vlaue (Cr)'!$C:$FB,143)</f>
        <v>611.57000000000005</v>
      </c>
      <c r="E28" s="50">
        <f>VLOOKUP($A28,'Data Vlaue (Cr)'!$C:$FB,144)</f>
        <v>409.06</v>
      </c>
      <c r="F28" s="50">
        <f>VLOOKUP($A28,'Data Vlaue (Cr)'!$C:$FB,146)*100</f>
        <v>49.51</v>
      </c>
      <c r="G28" s="49">
        <f>VLOOKUP($A28,'Data Vlaue (Cr)'!$C:$FB,43)</f>
        <v>164</v>
      </c>
      <c r="H28" s="49">
        <f>VLOOKUP($A28,'Data Vlaue (Cr)'!$C:$FB,44)</f>
        <v>83</v>
      </c>
      <c r="I28" s="49">
        <f>VLOOKUP($A28,'Data Vlaue (Cr)'!$C:$FB,46)*100</f>
        <v>97.61</v>
      </c>
      <c r="J28" s="51">
        <f>VLOOKUP($A28,'Data Vlaue (Cr)'!$C:$FB,59)</f>
        <v>371</v>
      </c>
      <c r="K28" s="51">
        <f>VLOOKUP($A28,'Data Vlaue (Cr)'!$C:$FB,60)</f>
        <v>272</v>
      </c>
      <c r="L28" s="51">
        <f>VLOOKUP($A28,'Data Vlaue (Cr)'!$C:$FB,62)*100</f>
        <v>36.35</v>
      </c>
      <c r="M28" s="51">
        <f>VLOOKUP($A28,'Data Vlaue (Cr)'!$C:$FB,63)</f>
        <v>49</v>
      </c>
      <c r="N28" s="51">
        <f>VLOOKUP($A28,'Data Vlaue (Cr)'!$C:$FB,64)</f>
        <v>30</v>
      </c>
      <c r="O28" s="51">
        <f>VLOOKUP($A28,'Data Vlaue (Cr)'!$C:$FB,66)*100</f>
        <v>65.149999999999991</v>
      </c>
    </row>
    <row r="29" spans="1:15" x14ac:dyDescent="0.25">
      <c r="A29" s="101" t="str">
        <f>'Data Vlaue (Cr)'!C24</f>
        <v>BAJFINANCE</v>
      </c>
      <c r="B29" s="50">
        <f>VLOOKUP($A29,'Data Vlaue (Cr)'!$C:$FB,8)</f>
        <v>942.85</v>
      </c>
      <c r="C29" s="50">
        <f>VLOOKUP($A29,'Data Vlaue (Cr)'!$C:$FB,11)*100</f>
        <v>0.70000000000000007</v>
      </c>
      <c r="D29" s="50">
        <f>VLOOKUP($A29,'Data Vlaue (Cr)'!$C:$FB,143)</f>
        <v>11328.1</v>
      </c>
      <c r="E29" s="50">
        <f>VLOOKUP($A29,'Data Vlaue (Cr)'!$C:$FB,144)</f>
        <v>12215.92</v>
      </c>
      <c r="F29" s="50">
        <f>VLOOKUP($A29,'Data Vlaue (Cr)'!$C:$FB,146)*100</f>
        <v>-7.2700000000000005</v>
      </c>
      <c r="G29" s="49">
        <f>VLOOKUP($A29,'Data Vlaue (Cr)'!$C:$FB,43)</f>
        <v>6159</v>
      </c>
      <c r="H29" s="49">
        <f>VLOOKUP($A29,'Data Vlaue (Cr)'!$C:$FB,44)</f>
        <v>4919</v>
      </c>
      <c r="I29" s="49">
        <f>VLOOKUP($A29,'Data Vlaue (Cr)'!$C:$FB,46)*100</f>
        <v>25.19</v>
      </c>
      <c r="J29" s="51">
        <f>VLOOKUP($A29,'Data Vlaue (Cr)'!$C:$FB,59)</f>
        <v>3296</v>
      </c>
      <c r="K29" s="51">
        <f>VLOOKUP($A29,'Data Vlaue (Cr)'!$C:$FB,60)</f>
        <v>4405</v>
      </c>
      <c r="L29" s="51">
        <f>VLOOKUP($A29,'Data Vlaue (Cr)'!$C:$FB,62)*100</f>
        <v>-25.169999999999998</v>
      </c>
      <c r="M29" s="51">
        <f>VLOOKUP($A29,'Data Vlaue (Cr)'!$C:$FB,63)</f>
        <v>1731</v>
      </c>
      <c r="N29" s="51">
        <f>VLOOKUP($A29,'Data Vlaue (Cr)'!$C:$FB,64)</f>
        <v>2794</v>
      </c>
      <c r="O29" s="51">
        <f>VLOOKUP($A29,'Data Vlaue (Cr)'!$C:$FB,66)*100</f>
        <v>-38.049999999999997</v>
      </c>
    </row>
    <row r="30" spans="1:15" x14ac:dyDescent="0.25">
      <c r="A30" s="101" t="str">
        <f>'Data Vlaue (Cr)'!C25</f>
        <v>BANDHANBNK</v>
      </c>
      <c r="B30" s="50">
        <f>VLOOKUP($A30,'Data Vlaue (Cr)'!$C:$FB,8)</f>
        <v>142.46</v>
      </c>
      <c r="C30" s="50">
        <f>VLOOKUP($A30,'Data Vlaue (Cr)'!$C:$FB,11)*100</f>
        <v>3.25</v>
      </c>
      <c r="D30" s="50">
        <f>VLOOKUP($A30,'Data Vlaue (Cr)'!$C:$FB,143)</f>
        <v>397.3</v>
      </c>
      <c r="E30" s="50">
        <f>VLOOKUP($A30,'Data Vlaue (Cr)'!$C:$FB,144)</f>
        <v>1737.29</v>
      </c>
      <c r="F30" s="50">
        <f>VLOOKUP($A30,'Data Vlaue (Cr)'!$C:$FB,146)*100</f>
        <v>-77.13</v>
      </c>
      <c r="G30" s="49">
        <f>VLOOKUP($A30,'Data Vlaue (Cr)'!$C:$FB,43)</f>
        <v>316</v>
      </c>
      <c r="H30" s="49">
        <f>VLOOKUP($A30,'Data Vlaue (Cr)'!$C:$FB,44)</f>
        <v>764</v>
      </c>
      <c r="I30" s="49">
        <f>VLOOKUP($A30,'Data Vlaue (Cr)'!$C:$FB,46)*100</f>
        <v>-58.63</v>
      </c>
      <c r="J30" s="51">
        <f>VLOOKUP($A30,'Data Vlaue (Cr)'!$C:$FB,59)</f>
        <v>57</v>
      </c>
      <c r="K30" s="51">
        <f>VLOOKUP($A30,'Data Vlaue (Cr)'!$C:$FB,60)</f>
        <v>549</v>
      </c>
      <c r="L30" s="51">
        <f>VLOOKUP($A30,'Data Vlaue (Cr)'!$C:$FB,62)*100</f>
        <v>-89.59</v>
      </c>
      <c r="M30" s="51">
        <f>VLOOKUP($A30,'Data Vlaue (Cr)'!$C:$FB,63)</f>
        <v>26</v>
      </c>
      <c r="N30" s="51">
        <f>VLOOKUP($A30,'Data Vlaue (Cr)'!$C:$FB,64)</f>
        <v>410</v>
      </c>
      <c r="O30" s="51">
        <f>VLOOKUP($A30,'Data Vlaue (Cr)'!$C:$FB,66)*100</f>
        <v>-93.73</v>
      </c>
    </row>
    <row r="31" spans="1:15" x14ac:dyDescent="0.25">
      <c r="A31" s="101" t="str">
        <f>'Data Vlaue (Cr)'!C26</f>
        <v>BANKBARODA</v>
      </c>
      <c r="B31" s="50">
        <f>VLOOKUP($A31,'Data Vlaue (Cr)'!$C:$FB,8)</f>
        <v>305.3</v>
      </c>
      <c r="C31" s="50">
        <f>VLOOKUP($A31,'Data Vlaue (Cr)'!$C:$FB,11)*100</f>
        <v>2.09</v>
      </c>
      <c r="D31" s="50">
        <f>VLOOKUP($A31,'Data Vlaue (Cr)'!$C:$FB,143)</f>
        <v>5790.48</v>
      </c>
      <c r="E31" s="50">
        <f>VLOOKUP($A31,'Data Vlaue (Cr)'!$C:$FB,144)</f>
        <v>5834.71</v>
      </c>
      <c r="F31" s="50">
        <f>VLOOKUP($A31,'Data Vlaue (Cr)'!$C:$FB,146)*100</f>
        <v>-0.76</v>
      </c>
      <c r="G31" s="49">
        <f>VLOOKUP($A31,'Data Vlaue (Cr)'!$C:$FB,43)</f>
        <v>2148</v>
      </c>
      <c r="H31" s="49">
        <f>VLOOKUP($A31,'Data Vlaue (Cr)'!$C:$FB,44)</f>
        <v>1530</v>
      </c>
      <c r="I31" s="49">
        <f>VLOOKUP($A31,'Data Vlaue (Cr)'!$C:$FB,46)*100</f>
        <v>40.380000000000003</v>
      </c>
      <c r="J31" s="51">
        <f>VLOOKUP($A31,'Data Vlaue (Cr)'!$C:$FB,59)</f>
        <v>2219</v>
      </c>
      <c r="K31" s="51">
        <f>VLOOKUP($A31,'Data Vlaue (Cr)'!$C:$FB,60)</f>
        <v>2510</v>
      </c>
      <c r="L31" s="51">
        <f>VLOOKUP($A31,'Data Vlaue (Cr)'!$C:$FB,62)*100</f>
        <v>-11.58</v>
      </c>
      <c r="M31" s="51">
        <f>VLOOKUP($A31,'Data Vlaue (Cr)'!$C:$FB,63)</f>
        <v>1371</v>
      </c>
      <c r="N31" s="51">
        <f>VLOOKUP($A31,'Data Vlaue (Cr)'!$C:$FB,64)</f>
        <v>1816</v>
      </c>
      <c r="O31" s="51">
        <f>VLOOKUP($A31,'Data Vlaue (Cr)'!$C:$FB,66)*100</f>
        <v>-24.5</v>
      </c>
    </row>
    <row r="32" spans="1:15" x14ac:dyDescent="0.25">
      <c r="A32" s="101" t="str">
        <f>'Data Vlaue (Cr)'!C27</f>
        <v>BANKINDIA</v>
      </c>
      <c r="B32" s="50">
        <f>VLOOKUP($A32,'Data Vlaue (Cr)'!$C:$FB,8)</f>
        <v>166.42</v>
      </c>
      <c r="C32" s="50">
        <f>VLOOKUP($A32,'Data Vlaue (Cr)'!$C:$FB,11)*100</f>
        <v>5.6800000000000006</v>
      </c>
      <c r="D32" s="50">
        <f>VLOOKUP($A32,'Data Vlaue (Cr)'!$C:$FB,143)</f>
        <v>6892.43</v>
      </c>
      <c r="E32" s="50">
        <f>VLOOKUP($A32,'Data Vlaue (Cr)'!$C:$FB,144)</f>
        <v>2881.28</v>
      </c>
      <c r="F32" s="50">
        <f>VLOOKUP($A32,'Data Vlaue (Cr)'!$C:$FB,146)*100</f>
        <v>139.20999999999998</v>
      </c>
      <c r="G32" s="49">
        <f>VLOOKUP($A32,'Data Vlaue (Cr)'!$C:$FB,43)</f>
        <v>1518</v>
      </c>
      <c r="H32" s="49">
        <f>VLOOKUP($A32,'Data Vlaue (Cr)'!$C:$FB,44)</f>
        <v>765</v>
      </c>
      <c r="I32" s="49">
        <f>VLOOKUP($A32,'Data Vlaue (Cr)'!$C:$FB,46)*100</f>
        <v>98.41</v>
      </c>
      <c r="J32" s="51">
        <f>VLOOKUP($A32,'Data Vlaue (Cr)'!$C:$FB,59)</f>
        <v>3742</v>
      </c>
      <c r="K32" s="51">
        <f>VLOOKUP($A32,'Data Vlaue (Cr)'!$C:$FB,60)</f>
        <v>1289</v>
      </c>
      <c r="L32" s="51">
        <f>VLOOKUP($A32,'Data Vlaue (Cr)'!$C:$FB,62)*100</f>
        <v>190.20999999999998</v>
      </c>
      <c r="M32" s="51">
        <f>VLOOKUP($A32,'Data Vlaue (Cr)'!$C:$FB,63)</f>
        <v>1597</v>
      </c>
      <c r="N32" s="51">
        <f>VLOOKUP($A32,'Data Vlaue (Cr)'!$C:$FB,64)</f>
        <v>908</v>
      </c>
      <c r="O32" s="51">
        <f>VLOOKUP($A32,'Data Vlaue (Cr)'!$C:$FB,66)*100</f>
        <v>75.89</v>
      </c>
    </row>
    <row r="33" spans="1:15" x14ac:dyDescent="0.25">
      <c r="A33" s="101" t="str">
        <f>'Data Vlaue (Cr)'!C28</f>
        <v>BANKNIFTY</v>
      </c>
      <c r="B33" s="50">
        <f>VLOOKUP($A33,'Data Vlaue (Cr)'!$C:$FB,8)</f>
        <v>59200.1</v>
      </c>
      <c r="C33" s="50">
        <f>VLOOKUP($A33,'Data Vlaue (Cr)'!$C:$FB,11)*100</f>
        <v>0.67999999999999994</v>
      </c>
      <c r="D33" s="50">
        <f>VLOOKUP($A33,'Data Vlaue (Cr)'!$C:$FB,143)</f>
        <v>1471898.21</v>
      </c>
      <c r="E33" s="50">
        <f>VLOOKUP($A33,'Data Vlaue (Cr)'!$C:$FB,144)</f>
        <v>1894153.85</v>
      </c>
      <c r="F33" s="50">
        <f>VLOOKUP($A33,'Data Vlaue (Cr)'!$C:$FB,146)*100</f>
        <v>-22.29</v>
      </c>
      <c r="G33" s="49">
        <f>VLOOKUP($A33,'Data Vlaue (Cr)'!$C:$FB,43)</f>
        <v>9592</v>
      </c>
      <c r="H33" s="49">
        <f>VLOOKUP($A33,'Data Vlaue (Cr)'!$C:$FB,44)</f>
        <v>10865</v>
      </c>
      <c r="I33" s="49">
        <f>VLOOKUP($A33,'Data Vlaue (Cr)'!$C:$FB,46)*100</f>
        <v>-11.709999999999999</v>
      </c>
      <c r="J33" s="51">
        <f>VLOOKUP($A33,'Data Vlaue (Cr)'!$C:$FB,59)</f>
        <v>768023</v>
      </c>
      <c r="K33" s="51">
        <f>VLOOKUP($A33,'Data Vlaue (Cr)'!$C:$FB,60)</f>
        <v>950804</v>
      </c>
      <c r="L33" s="51">
        <f>VLOOKUP($A33,'Data Vlaue (Cr)'!$C:$FB,62)*100</f>
        <v>-19.220000000000002</v>
      </c>
      <c r="M33" s="51">
        <f>VLOOKUP($A33,'Data Vlaue (Cr)'!$C:$FB,63)</f>
        <v>690804</v>
      </c>
      <c r="N33" s="51">
        <f>VLOOKUP($A33,'Data Vlaue (Cr)'!$C:$FB,64)</f>
        <v>930313</v>
      </c>
      <c r="O33" s="51">
        <f>VLOOKUP($A33,'Data Vlaue (Cr)'!$C:$FB,66)*100</f>
        <v>-25.740000000000002</v>
      </c>
    </row>
    <row r="34" spans="1:15" x14ac:dyDescent="0.25">
      <c r="A34" s="101" t="str">
        <f>'Data Vlaue (Cr)'!C29</f>
        <v>BDL</v>
      </c>
      <c r="B34" s="50">
        <f>VLOOKUP($A34,'Data Vlaue (Cr)'!$C:$FB,8)</f>
        <v>1451.2</v>
      </c>
      <c r="C34" s="50">
        <f>VLOOKUP($A34,'Data Vlaue (Cr)'!$C:$FB,11)*100</f>
        <v>2.25</v>
      </c>
      <c r="D34" s="50">
        <f>VLOOKUP($A34,'Data Vlaue (Cr)'!$C:$FB,143)</f>
        <v>1726.77</v>
      </c>
      <c r="E34" s="50">
        <f>VLOOKUP($A34,'Data Vlaue (Cr)'!$C:$FB,144)</f>
        <v>2721.89</v>
      </c>
      <c r="F34" s="50">
        <f>VLOOKUP($A34,'Data Vlaue (Cr)'!$C:$FB,146)*100</f>
        <v>-36.559999999999995</v>
      </c>
      <c r="G34" s="49">
        <f>VLOOKUP($A34,'Data Vlaue (Cr)'!$C:$FB,43)</f>
        <v>521</v>
      </c>
      <c r="H34" s="49">
        <f>VLOOKUP($A34,'Data Vlaue (Cr)'!$C:$FB,44)</f>
        <v>393</v>
      </c>
      <c r="I34" s="49">
        <f>VLOOKUP($A34,'Data Vlaue (Cr)'!$C:$FB,46)*100</f>
        <v>32.619999999999997</v>
      </c>
      <c r="J34" s="51">
        <f>VLOOKUP($A34,'Data Vlaue (Cr)'!$C:$FB,59)</f>
        <v>840</v>
      </c>
      <c r="K34" s="51">
        <f>VLOOKUP($A34,'Data Vlaue (Cr)'!$C:$FB,60)</f>
        <v>1528</v>
      </c>
      <c r="L34" s="51">
        <f>VLOOKUP($A34,'Data Vlaue (Cr)'!$C:$FB,62)*100</f>
        <v>-45.03</v>
      </c>
      <c r="M34" s="51">
        <f>VLOOKUP($A34,'Data Vlaue (Cr)'!$C:$FB,63)</f>
        <v>325</v>
      </c>
      <c r="N34" s="51">
        <f>VLOOKUP($A34,'Data Vlaue (Cr)'!$C:$FB,64)</f>
        <v>739</v>
      </c>
      <c r="O34" s="51">
        <f>VLOOKUP($A34,'Data Vlaue (Cr)'!$C:$FB,66)*100</f>
        <v>-56.02</v>
      </c>
    </row>
    <row r="35" spans="1:15" x14ac:dyDescent="0.25">
      <c r="A35" s="101" t="str">
        <f>'Data Vlaue (Cr)'!C30</f>
        <v>BEL</v>
      </c>
      <c r="B35" s="50">
        <f>VLOOKUP($A35,'Data Vlaue (Cr)'!$C:$FB,8)</f>
        <v>417.3</v>
      </c>
      <c r="C35" s="50">
        <f>VLOOKUP($A35,'Data Vlaue (Cr)'!$C:$FB,11)*100</f>
        <v>3.64</v>
      </c>
      <c r="D35" s="50">
        <f>VLOOKUP($A35,'Data Vlaue (Cr)'!$C:$FB,143)</f>
        <v>13795.36</v>
      </c>
      <c r="E35" s="50">
        <f>VLOOKUP($A35,'Data Vlaue (Cr)'!$C:$FB,144)</f>
        <v>13515.16</v>
      </c>
      <c r="F35" s="50">
        <f>VLOOKUP($A35,'Data Vlaue (Cr)'!$C:$FB,146)*100</f>
        <v>2.0699999999999998</v>
      </c>
      <c r="G35" s="49">
        <f>VLOOKUP($A35,'Data Vlaue (Cr)'!$C:$FB,43)</f>
        <v>3346</v>
      </c>
      <c r="H35" s="49">
        <f>VLOOKUP($A35,'Data Vlaue (Cr)'!$C:$FB,44)</f>
        <v>2220</v>
      </c>
      <c r="I35" s="49">
        <f>VLOOKUP($A35,'Data Vlaue (Cr)'!$C:$FB,46)*100</f>
        <v>50.7</v>
      </c>
      <c r="J35" s="51">
        <f>VLOOKUP($A35,'Data Vlaue (Cr)'!$C:$FB,59)</f>
        <v>6927</v>
      </c>
      <c r="K35" s="51">
        <f>VLOOKUP($A35,'Data Vlaue (Cr)'!$C:$FB,60)</f>
        <v>6787</v>
      </c>
      <c r="L35" s="51">
        <f>VLOOKUP($A35,'Data Vlaue (Cr)'!$C:$FB,62)*100</f>
        <v>2.0699999999999998</v>
      </c>
      <c r="M35" s="51">
        <f>VLOOKUP($A35,'Data Vlaue (Cr)'!$C:$FB,63)</f>
        <v>3480</v>
      </c>
      <c r="N35" s="51">
        <f>VLOOKUP($A35,'Data Vlaue (Cr)'!$C:$FB,64)</f>
        <v>4708</v>
      </c>
      <c r="O35" s="51">
        <f>VLOOKUP($A35,'Data Vlaue (Cr)'!$C:$FB,66)*100</f>
        <v>-26.090000000000003</v>
      </c>
    </row>
    <row r="36" spans="1:15" x14ac:dyDescent="0.25">
      <c r="A36" s="101" t="str">
        <f>'Data Vlaue (Cr)'!C31</f>
        <v>BHARATFORG</v>
      </c>
      <c r="B36" s="50">
        <f>VLOOKUP($A36,'Data Vlaue (Cr)'!$C:$FB,8)</f>
        <v>1431.5</v>
      </c>
      <c r="C36" s="50">
        <f>VLOOKUP($A36,'Data Vlaue (Cr)'!$C:$FB,11)*100</f>
        <v>3.73</v>
      </c>
      <c r="D36" s="50">
        <f>VLOOKUP($A36,'Data Vlaue (Cr)'!$C:$FB,143)</f>
        <v>3399.96</v>
      </c>
      <c r="E36" s="50">
        <f>VLOOKUP($A36,'Data Vlaue (Cr)'!$C:$FB,144)</f>
        <v>1923.56</v>
      </c>
      <c r="F36" s="50">
        <f>VLOOKUP($A36,'Data Vlaue (Cr)'!$C:$FB,146)*100</f>
        <v>76.75</v>
      </c>
      <c r="G36" s="49">
        <f>VLOOKUP($A36,'Data Vlaue (Cr)'!$C:$FB,43)</f>
        <v>1263</v>
      </c>
      <c r="H36" s="49">
        <f>VLOOKUP($A36,'Data Vlaue (Cr)'!$C:$FB,44)</f>
        <v>731</v>
      </c>
      <c r="I36" s="49">
        <f>VLOOKUP($A36,'Data Vlaue (Cr)'!$C:$FB,46)*100</f>
        <v>72.91</v>
      </c>
      <c r="J36" s="51">
        <f>VLOOKUP($A36,'Data Vlaue (Cr)'!$C:$FB,59)</f>
        <v>1489</v>
      </c>
      <c r="K36" s="51">
        <f>VLOOKUP($A36,'Data Vlaue (Cr)'!$C:$FB,60)</f>
        <v>759</v>
      </c>
      <c r="L36" s="51">
        <f>VLOOKUP($A36,'Data Vlaue (Cr)'!$C:$FB,62)*100</f>
        <v>96.22</v>
      </c>
      <c r="M36" s="51">
        <f>VLOOKUP($A36,'Data Vlaue (Cr)'!$C:$FB,63)</f>
        <v>607</v>
      </c>
      <c r="N36" s="51">
        <f>VLOOKUP($A36,'Data Vlaue (Cr)'!$C:$FB,64)</f>
        <v>460</v>
      </c>
      <c r="O36" s="51">
        <f>VLOOKUP($A36,'Data Vlaue (Cr)'!$C:$FB,66)*100</f>
        <v>32.08</v>
      </c>
    </row>
    <row r="37" spans="1:15" x14ac:dyDescent="0.25">
      <c r="A37" s="101" t="str">
        <f>'Data Vlaue (Cr)'!C32</f>
        <v>BHARTIARTL</v>
      </c>
      <c r="B37" s="50">
        <f>VLOOKUP($A37,'Data Vlaue (Cr)'!$C:$FB,8)</f>
        <v>2002.2</v>
      </c>
      <c r="C37" s="50">
        <f>VLOOKUP($A37,'Data Vlaue (Cr)'!$C:$FB,11)*100</f>
        <v>0.31</v>
      </c>
      <c r="D37" s="50">
        <f>VLOOKUP($A37,'Data Vlaue (Cr)'!$C:$FB,143)</f>
        <v>16996.740000000002</v>
      </c>
      <c r="E37" s="50">
        <f>VLOOKUP($A37,'Data Vlaue (Cr)'!$C:$FB,144)</f>
        <v>15175.36</v>
      </c>
      <c r="F37" s="50">
        <f>VLOOKUP($A37,'Data Vlaue (Cr)'!$C:$FB,146)*100</f>
        <v>12</v>
      </c>
      <c r="G37" s="49">
        <f>VLOOKUP($A37,'Data Vlaue (Cr)'!$C:$FB,43)</f>
        <v>7877</v>
      </c>
      <c r="H37" s="49">
        <f>VLOOKUP($A37,'Data Vlaue (Cr)'!$C:$FB,44)</f>
        <v>4970</v>
      </c>
      <c r="I37" s="49">
        <f>VLOOKUP($A37,'Data Vlaue (Cr)'!$C:$FB,46)*100</f>
        <v>58.48</v>
      </c>
      <c r="J37" s="51">
        <f>VLOOKUP($A37,'Data Vlaue (Cr)'!$C:$FB,59)</f>
        <v>5925</v>
      </c>
      <c r="K37" s="51">
        <f>VLOOKUP($A37,'Data Vlaue (Cr)'!$C:$FB,60)</f>
        <v>6269</v>
      </c>
      <c r="L37" s="51">
        <f>VLOOKUP($A37,'Data Vlaue (Cr)'!$C:$FB,62)*100</f>
        <v>-5.4899999999999993</v>
      </c>
      <c r="M37" s="51">
        <f>VLOOKUP($A37,'Data Vlaue (Cr)'!$C:$FB,63)</f>
        <v>3039</v>
      </c>
      <c r="N37" s="51">
        <f>VLOOKUP($A37,'Data Vlaue (Cr)'!$C:$FB,64)</f>
        <v>3860</v>
      </c>
      <c r="O37" s="51">
        <f>VLOOKUP($A37,'Data Vlaue (Cr)'!$C:$FB,66)*100</f>
        <v>-21.27</v>
      </c>
    </row>
    <row r="38" spans="1:15" x14ac:dyDescent="0.25">
      <c r="A38" s="101" t="str">
        <f>'Data Vlaue (Cr)'!C33</f>
        <v>BHEL</v>
      </c>
      <c r="B38" s="50">
        <f>VLOOKUP($A38,'Data Vlaue (Cr)'!$C:$FB,8)</f>
        <v>251.55</v>
      </c>
      <c r="C38" s="50">
        <f>VLOOKUP($A38,'Data Vlaue (Cr)'!$C:$FB,11)*100</f>
        <v>-0.32</v>
      </c>
      <c r="D38" s="50">
        <f>VLOOKUP($A38,'Data Vlaue (Cr)'!$C:$FB,143)</f>
        <v>5589.98</v>
      </c>
      <c r="E38" s="50">
        <f>VLOOKUP($A38,'Data Vlaue (Cr)'!$C:$FB,144)</f>
        <v>10222.57</v>
      </c>
      <c r="F38" s="50">
        <f>VLOOKUP($A38,'Data Vlaue (Cr)'!$C:$FB,146)*100</f>
        <v>-45.32</v>
      </c>
      <c r="G38" s="49">
        <f>VLOOKUP($A38,'Data Vlaue (Cr)'!$C:$FB,43)</f>
        <v>1256</v>
      </c>
      <c r="H38" s="49">
        <f>VLOOKUP($A38,'Data Vlaue (Cr)'!$C:$FB,44)</f>
        <v>1267</v>
      </c>
      <c r="I38" s="49">
        <f>VLOOKUP($A38,'Data Vlaue (Cr)'!$C:$FB,46)*100</f>
        <v>-0.85000000000000009</v>
      </c>
      <c r="J38" s="51">
        <f>VLOOKUP($A38,'Data Vlaue (Cr)'!$C:$FB,59)</f>
        <v>2847</v>
      </c>
      <c r="K38" s="51">
        <f>VLOOKUP($A38,'Data Vlaue (Cr)'!$C:$FB,60)</f>
        <v>5639</v>
      </c>
      <c r="L38" s="51">
        <f>VLOOKUP($A38,'Data Vlaue (Cr)'!$C:$FB,62)*100</f>
        <v>-49.51</v>
      </c>
      <c r="M38" s="51">
        <f>VLOOKUP($A38,'Data Vlaue (Cr)'!$C:$FB,63)</f>
        <v>1257</v>
      </c>
      <c r="N38" s="51">
        <f>VLOOKUP($A38,'Data Vlaue (Cr)'!$C:$FB,64)</f>
        <v>2896</v>
      </c>
      <c r="O38" s="51">
        <f>VLOOKUP($A38,'Data Vlaue (Cr)'!$C:$FB,66)*100</f>
        <v>-56.610000000000007</v>
      </c>
    </row>
    <row r="39" spans="1:15" x14ac:dyDescent="0.25">
      <c r="A39" s="101" t="str">
        <f>'Data Vlaue (Cr)'!C34</f>
        <v>BIOCON</v>
      </c>
      <c r="B39" s="50">
        <f>VLOOKUP($A39,'Data Vlaue (Cr)'!$C:$FB,8)</f>
        <v>373</v>
      </c>
      <c r="C39" s="50">
        <f>VLOOKUP($A39,'Data Vlaue (Cr)'!$C:$FB,11)*100</f>
        <v>2.23</v>
      </c>
      <c r="D39" s="50">
        <f>VLOOKUP($A39,'Data Vlaue (Cr)'!$C:$FB,143)</f>
        <v>2296.6799999999998</v>
      </c>
      <c r="E39" s="50">
        <f>VLOOKUP($A39,'Data Vlaue (Cr)'!$C:$FB,144)</f>
        <v>2677.63</v>
      </c>
      <c r="F39" s="50">
        <f>VLOOKUP($A39,'Data Vlaue (Cr)'!$C:$FB,146)*100</f>
        <v>-14.23</v>
      </c>
      <c r="G39" s="49">
        <f>VLOOKUP($A39,'Data Vlaue (Cr)'!$C:$FB,43)</f>
        <v>791</v>
      </c>
      <c r="H39" s="49">
        <f>VLOOKUP($A39,'Data Vlaue (Cr)'!$C:$FB,44)</f>
        <v>623</v>
      </c>
      <c r="I39" s="49">
        <f>VLOOKUP($A39,'Data Vlaue (Cr)'!$C:$FB,46)*100</f>
        <v>27.060000000000002</v>
      </c>
      <c r="J39" s="51">
        <f>VLOOKUP($A39,'Data Vlaue (Cr)'!$C:$FB,59)</f>
        <v>952</v>
      </c>
      <c r="K39" s="51">
        <f>VLOOKUP($A39,'Data Vlaue (Cr)'!$C:$FB,60)</f>
        <v>1363</v>
      </c>
      <c r="L39" s="51">
        <f>VLOOKUP($A39,'Data Vlaue (Cr)'!$C:$FB,62)*100</f>
        <v>-30.15</v>
      </c>
      <c r="M39" s="51">
        <f>VLOOKUP($A39,'Data Vlaue (Cr)'!$C:$FB,63)</f>
        <v>510</v>
      </c>
      <c r="N39" s="51">
        <f>VLOOKUP($A39,'Data Vlaue (Cr)'!$C:$FB,64)</f>
        <v>675</v>
      </c>
      <c r="O39" s="51">
        <f>VLOOKUP($A39,'Data Vlaue (Cr)'!$C:$FB,66)*100</f>
        <v>-24.48</v>
      </c>
    </row>
    <row r="40" spans="1:15" x14ac:dyDescent="0.25">
      <c r="A40" s="101" t="str">
        <f>'Data Vlaue (Cr)'!C35</f>
        <v>BLUESTARCO</v>
      </c>
      <c r="B40" s="50">
        <f>VLOOKUP($A40,'Data Vlaue (Cr)'!$C:$FB,8)</f>
        <v>1709.3</v>
      </c>
      <c r="C40" s="50">
        <f>VLOOKUP($A40,'Data Vlaue (Cr)'!$C:$FB,11)*100</f>
        <v>-0.26</v>
      </c>
      <c r="D40" s="50">
        <f>VLOOKUP($A40,'Data Vlaue (Cr)'!$C:$FB,143)</f>
        <v>674.54</v>
      </c>
      <c r="E40" s="50">
        <f>VLOOKUP($A40,'Data Vlaue (Cr)'!$C:$FB,144)</f>
        <v>1424.56</v>
      </c>
      <c r="F40" s="50">
        <f>VLOOKUP($A40,'Data Vlaue (Cr)'!$C:$FB,146)*100</f>
        <v>-52.65</v>
      </c>
      <c r="G40" s="49">
        <f>VLOOKUP($A40,'Data Vlaue (Cr)'!$C:$FB,43)</f>
        <v>376</v>
      </c>
      <c r="H40" s="49">
        <f>VLOOKUP($A40,'Data Vlaue (Cr)'!$C:$FB,44)</f>
        <v>503</v>
      </c>
      <c r="I40" s="49">
        <f>VLOOKUP($A40,'Data Vlaue (Cr)'!$C:$FB,46)*100</f>
        <v>-25.3</v>
      </c>
      <c r="J40" s="51">
        <f>VLOOKUP($A40,'Data Vlaue (Cr)'!$C:$FB,59)</f>
        <v>174</v>
      </c>
      <c r="K40" s="51">
        <f>VLOOKUP($A40,'Data Vlaue (Cr)'!$C:$FB,60)</f>
        <v>352</v>
      </c>
      <c r="L40" s="51">
        <f>VLOOKUP($A40,'Data Vlaue (Cr)'!$C:$FB,62)*100</f>
        <v>-50.4</v>
      </c>
      <c r="M40" s="51">
        <f>VLOOKUP($A40,'Data Vlaue (Cr)'!$C:$FB,63)</f>
        <v>116</v>
      </c>
      <c r="N40" s="51">
        <f>VLOOKUP($A40,'Data Vlaue (Cr)'!$C:$FB,64)</f>
        <v>569</v>
      </c>
      <c r="O40" s="51">
        <f>VLOOKUP($A40,'Data Vlaue (Cr)'!$C:$FB,66)*100</f>
        <v>-79.63</v>
      </c>
    </row>
    <row r="41" spans="1:15" x14ac:dyDescent="0.25">
      <c r="A41" s="101" t="str">
        <f>'Data Vlaue (Cr)'!C36</f>
        <v>BOSCHLTD</v>
      </c>
      <c r="B41" s="50">
        <f>VLOOKUP($A41,'Data Vlaue (Cr)'!$C:$FB,8)</f>
        <v>35710</v>
      </c>
      <c r="C41" s="50">
        <f>VLOOKUP($A41,'Data Vlaue (Cr)'!$C:$FB,11)*100</f>
        <v>1.6500000000000001</v>
      </c>
      <c r="D41" s="50">
        <f>VLOOKUP($A41,'Data Vlaue (Cr)'!$C:$FB,143)</f>
        <v>3902.95</v>
      </c>
      <c r="E41" s="50">
        <f>VLOOKUP($A41,'Data Vlaue (Cr)'!$C:$FB,144)</f>
        <v>3714.85</v>
      </c>
      <c r="F41" s="50">
        <f>VLOOKUP($A41,'Data Vlaue (Cr)'!$C:$FB,146)*100</f>
        <v>5.0599999999999996</v>
      </c>
      <c r="G41" s="49">
        <f>VLOOKUP($A41,'Data Vlaue (Cr)'!$C:$FB,43)</f>
        <v>628</v>
      </c>
      <c r="H41" s="49">
        <f>VLOOKUP($A41,'Data Vlaue (Cr)'!$C:$FB,44)</f>
        <v>541</v>
      </c>
      <c r="I41" s="49">
        <f>VLOOKUP($A41,'Data Vlaue (Cr)'!$C:$FB,46)*100</f>
        <v>15.97</v>
      </c>
      <c r="J41" s="51">
        <f>VLOOKUP($A41,'Data Vlaue (Cr)'!$C:$FB,59)</f>
        <v>2626</v>
      </c>
      <c r="K41" s="51">
        <f>VLOOKUP($A41,'Data Vlaue (Cr)'!$C:$FB,60)</f>
        <v>2234</v>
      </c>
      <c r="L41" s="51">
        <f>VLOOKUP($A41,'Data Vlaue (Cr)'!$C:$FB,62)*100</f>
        <v>17.560000000000002</v>
      </c>
      <c r="M41" s="51">
        <f>VLOOKUP($A41,'Data Vlaue (Cr)'!$C:$FB,63)</f>
        <v>445</v>
      </c>
      <c r="N41" s="51">
        <f>VLOOKUP($A41,'Data Vlaue (Cr)'!$C:$FB,64)</f>
        <v>769</v>
      </c>
      <c r="O41" s="51">
        <f>VLOOKUP($A41,'Data Vlaue (Cr)'!$C:$FB,66)*100</f>
        <v>-42.21</v>
      </c>
    </row>
    <row r="42" spans="1:15" x14ac:dyDescent="0.25">
      <c r="A42" s="101" t="str">
        <f>'Data Vlaue (Cr)'!C37</f>
        <v>BPCL</v>
      </c>
      <c r="B42" s="50">
        <f>VLOOKUP($A42,'Data Vlaue (Cr)'!$C:$FB,8)</f>
        <v>354.15</v>
      </c>
      <c r="C42" s="50">
        <f>VLOOKUP($A42,'Data Vlaue (Cr)'!$C:$FB,11)*100</f>
        <v>0.63</v>
      </c>
      <c r="D42" s="50">
        <f>VLOOKUP($A42,'Data Vlaue (Cr)'!$C:$FB,143)</f>
        <v>2216.87</v>
      </c>
      <c r="E42" s="50">
        <f>VLOOKUP($A42,'Data Vlaue (Cr)'!$C:$FB,144)</f>
        <v>2679.08</v>
      </c>
      <c r="F42" s="50">
        <f>VLOOKUP($A42,'Data Vlaue (Cr)'!$C:$FB,146)*100</f>
        <v>-17.25</v>
      </c>
      <c r="G42" s="49">
        <f>VLOOKUP($A42,'Data Vlaue (Cr)'!$C:$FB,43)</f>
        <v>643</v>
      </c>
      <c r="H42" s="49">
        <f>VLOOKUP($A42,'Data Vlaue (Cr)'!$C:$FB,44)</f>
        <v>778</v>
      </c>
      <c r="I42" s="49">
        <f>VLOOKUP($A42,'Data Vlaue (Cr)'!$C:$FB,46)*100</f>
        <v>-17.37</v>
      </c>
      <c r="J42" s="51">
        <f>VLOOKUP($A42,'Data Vlaue (Cr)'!$C:$FB,59)</f>
        <v>848</v>
      </c>
      <c r="K42" s="51">
        <f>VLOOKUP($A42,'Data Vlaue (Cr)'!$C:$FB,60)</f>
        <v>1063</v>
      </c>
      <c r="L42" s="51">
        <f>VLOOKUP($A42,'Data Vlaue (Cr)'!$C:$FB,62)*100</f>
        <v>-20.22</v>
      </c>
      <c r="M42" s="51">
        <f>VLOOKUP($A42,'Data Vlaue (Cr)'!$C:$FB,63)</f>
        <v>692</v>
      </c>
      <c r="N42" s="51">
        <f>VLOOKUP($A42,'Data Vlaue (Cr)'!$C:$FB,64)</f>
        <v>809</v>
      </c>
      <c r="O42" s="51">
        <f>VLOOKUP($A42,'Data Vlaue (Cr)'!$C:$FB,66)*100</f>
        <v>-14.549999999999999</v>
      </c>
    </row>
    <row r="43" spans="1:15" x14ac:dyDescent="0.25">
      <c r="A43" s="101" t="str">
        <f>'Data Vlaue (Cr)'!C38</f>
        <v>BRITANNIA</v>
      </c>
      <c r="B43" s="50">
        <f>VLOOKUP($A43,'Data Vlaue (Cr)'!$C:$FB,8)</f>
        <v>5932</v>
      </c>
      <c r="C43" s="50">
        <f>VLOOKUP($A43,'Data Vlaue (Cr)'!$C:$FB,11)*100</f>
        <v>2.23</v>
      </c>
      <c r="D43" s="50">
        <f>VLOOKUP($A43,'Data Vlaue (Cr)'!$C:$FB,143)</f>
        <v>3612.88</v>
      </c>
      <c r="E43" s="50">
        <f>VLOOKUP($A43,'Data Vlaue (Cr)'!$C:$FB,144)</f>
        <v>2558.63</v>
      </c>
      <c r="F43" s="50">
        <f>VLOOKUP($A43,'Data Vlaue (Cr)'!$C:$FB,146)*100</f>
        <v>41.199999999999996</v>
      </c>
      <c r="G43" s="49">
        <f>VLOOKUP($A43,'Data Vlaue (Cr)'!$C:$FB,43)</f>
        <v>1881</v>
      </c>
      <c r="H43" s="49">
        <f>VLOOKUP($A43,'Data Vlaue (Cr)'!$C:$FB,44)</f>
        <v>1203</v>
      </c>
      <c r="I43" s="49">
        <f>VLOOKUP($A43,'Data Vlaue (Cr)'!$C:$FB,46)*100</f>
        <v>56.32</v>
      </c>
      <c r="J43" s="51">
        <f>VLOOKUP($A43,'Data Vlaue (Cr)'!$C:$FB,59)</f>
        <v>1140</v>
      </c>
      <c r="K43" s="51">
        <f>VLOOKUP($A43,'Data Vlaue (Cr)'!$C:$FB,60)</f>
        <v>799</v>
      </c>
      <c r="L43" s="51">
        <f>VLOOKUP($A43,'Data Vlaue (Cr)'!$C:$FB,62)*100</f>
        <v>42.63</v>
      </c>
      <c r="M43" s="51">
        <f>VLOOKUP($A43,'Data Vlaue (Cr)'!$C:$FB,63)</f>
        <v>562</v>
      </c>
      <c r="N43" s="51">
        <f>VLOOKUP($A43,'Data Vlaue (Cr)'!$C:$FB,64)</f>
        <v>558</v>
      </c>
      <c r="O43" s="51">
        <f>VLOOKUP($A43,'Data Vlaue (Cr)'!$C:$FB,66)*100</f>
        <v>0.67999999999999994</v>
      </c>
    </row>
    <row r="44" spans="1:15" x14ac:dyDescent="0.25">
      <c r="A44" s="101" t="str">
        <f>'Data Vlaue (Cr)'!C39</f>
        <v>BSE</v>
      </c>
      <c r="B44" s="50">
        <f>VLOOKUP($A44,'Data Vlaue (Cr)'!$C:$FB,8)</f>
        <v>2708.6</v>
      </c>
      <c r="C44" s="50">
        <f>VLOOKUP($A44,'Data Vlaue (Cr)'!$C:$FB,11)*100</f>
        <v>3.04</v>
      </c>
      <c r="D44" s="50">
        <f>VLOOKUP($A44,'Data Vlaue (Cr)'!$C:$FB,143)</f>
        <v>13535.2</v>
      </c>
      <c r="E44" s="50">
        <f>VLOOKUP($A44,'Data Vlaue (Cr)'!$C:$FB,144)</f>
        <v>15265.38</v>
      </c>
      <c r="F44" s="50">
        <f>VLOOKUP($A44,'Data Vlaue (Cr)'!$C:$FB,146)*100</f>
        <v>-11.33</v>
      </c>
      <c r="G44" s="49">
        <f>VLOOKUP($A44,'Data Vlaue (Cr)'!$C:$FB,43)</f>
        <v>2295</v>
      </c>
      <c r="H44" s="49">
        <f>VLOOKUP($A44,'Data Vlaue (Cr)'!$C:$FB,44)</f>
        <v>2198</v>
      </c>
      <c r="I44" s="49">
        <f>VLOOKUP($A44,'Data Vlaue (Cr)'!$C:$FB,46)*100</f>
        <v>4.41</v>
      </c>
      <c r="J44" s="51">
        <f>VLOOKUP($A44,'Data Vlaue (Cr)'!$C:$FB,59)</f>
        <v>7348</v>
      </c>
      <c r="K44" s="51">
        <f>VLOOKUP($A44,'Data Vlaue (Cr)'!$C:$FB,60)</f>
        <v>7399</v>
      </c>
      <c r="L44" s="51">
        <f>VLOOKUP($A44,'Data Vlaue (Cr)'!$C:$FB,62)*100</f>
        <v>-0.69</v>
      </c>
      <c r="M44" s="51">
        <f>VLOOKUP($A44,'Data Vlaue (Cr)'!$C:$FB,63)</f>
        <v>3597</v>
      </c>
      <c r="N44" s="51">
        <f>VLOOKUP($A44,'Data Vlaue (Cr)'!$C:$FB,64)</f>
        <v>5713</v>
      </c>
      <c r="O44" s="51">
        <f>VLOOKUP($A44,'Data Vlaue (Cr)'!$C:$FB,66)*100</f>
        <v>-37.04</v>
      </c>
    </row>
    <row r="45" spans="1:15" x14ac:dyDescent="0.25">
      <c r="A45" s="101" t="str">
        <f>'Data Vlaue (Cr)'!C40</f>
        <v>CAMS</v>
      </c>
      <c r="B45" s="50">
        <f>VLOOKUP($A45,'Data Vlaue (Cr)'!$C:$FB,8)</f>
        <v>707.75</v>
      </c>
      <c r="C45" s="50">
        <f>VLOOKUP($A45,'Data Vlaue (Cr)'!$C:$FB,11)*100</f>
        <v>1.02</v>
      </c>
      <c r="D45" s="50">
        <f>VLOOKUP($A45,'Data Vlaue (Cr)'!$C:$FB,143)</f>
        <v>4736.1000000000004</v>
      </c>
      <c r="E45" s="50">
        <f>VLOOKUP($A45,'Data Vlaue (Cr)'!$C:$FB,144)</f>
        <v>1325.99</v>
      </c>
      <c r="F45" s="50">
        <f>VLOOKUP($A45,'Data Vlaue (Cr)'!$C:$FB,146)*100</f>
        <v>257.16999999999996</v>
      </c>
      <c r="G45" s="49">
        <f>VLOOKUP($A45,'Data Vlaue (Cr)'!$C:$FB,43)</f>
        <v>851</v>
      </c>
      <c r="H45" s="49">
        <f>VLOOKUP($A45,'Data Vlaue (Cr)'!$C:$FB,44)</f>
        <v>451</v>
      </c>
      <c r="I45" s="49">
        <f>VLOOKUP($A45,'Data Vlaue (Cr)'!$C:$FB,46)*100</f>
        <v>88.460000000000008</v>
      </c>
      <c r="J45" s="51">
        <f>VLOOKUP($A45,'Data Vlaue (Cr)'!$C:$FB,59)</f>
        <v>2466</v>
      </c>
      <c r="K45" s="51">
        <f>VLOOKUP($A45,'Data Vlaue (Cr)'!$C:$FB,60)</f>
        <v>391</v>
      </c>
      <c r="L45" s="51">
        <f>VLOOKUP($A45,'Data Vlaue (Cr)'!$C:$FB,62)*100</f>
        <v>530.93000000000006</v>
      </c>
      <c r="M45" s="51">
        <f>VLOOKUP($A45,'Data Vlaue (Cr)'!$C:$FB,63)</f>
        <v>1244</v>
      </c>
      <c r="N45" s="51">
        <f>VLOOKUP($A45,'Data Vlaue (Cr)'!$C:$FB,64)</f>
        <v>475</v>
      </c>
      <c r="O45" s="51">
        <f>VLOOKUP($A45,'Data Vlaue (Cr)'!$C:$FB,66)*100</f>
        <v>162.16</v>
      </c>
    </row>
    <row r="46" spans="1:15" x14ac:dyDescent="0.25">
      <c r="A46" s="101" t="str">
        <f>'Data Vlaue (Cr)'!C41</f>
        <v>CANBK</v>
      </c>
      <c r="B46" s="50">
        <f>VLOOKUP($A46,'Data Vlaue (Cr)'!$C:$FB,8)</f>
        <v>154.68</v>
      </c>
      <c r="C46" s="50">
        <f>VLOOKUP($A46,'Data Vlaue (Cr)'!$C:$FB,11)*100</f>
        <v>2.6</v>
      </c>
      <c r="D46" s="50">
        <f>VLOOKUP($A46,'Data Vlaue (Cr)'!$C:$FB,143)</f>
        <v>6196.36</v>
      </c>
      <c r="E46" s="50">
        <f>VLOOKUP($A46,'Data Vlaue (Cr)'!$C:$FB,144)</f>
        <v>8927.99</v>
      </c>
      <c r="F46" s="50">
        <f>VLOOKUP($A46,'Data Vlaue (Cr)'!$C:$FB,146)*100</f>
        <v>-30.599999999999998</v>
      </c>
      <c r="G46" s="49">
        <f>VLOOKUP($A46,'Data Vlaue (Cr)'!$C:$FB,43)</f>
        <v>1987</v>
      </c>
      <c r="H46" s="49">
        <f>VLOOKUP($A46,'Data Vlaue (Cr)'!$C:$FB,44)</f>
        <v>2402</v>
      </c>
      <c r="I46" s="49">
        <f>VLOOKUP($A46,'Data Vlaue (Cr)'!$C:$FB,46)*100</f>
        <v>-17.28</v>
      </c>
      <c r="J46" s="51">
        <f>VLOOKUP($A46,'Data Vlaue (Cr)'!$C:$FB,59)</f>
        <v>2522</v>
      </c>
      <c r="K46" s="51">
        <f>VLOOKUP($A46,'Data Vlaue (Cr)'!$C:$FB,60)</f>
        <v>4246</v>
      </c>
      <c r="L46" s="51">
        <f>VLOOKUP($A46,'Data Vlaue (Cr)'!$C:$FB,62)*100</f>
        <v>-40.61</v>
      </c>
      <c r="M46" s="51">
        <f>VLOOKUP($A46,'Data Vlaue (Cr)'!$C:$FB,63)</f>
        <v>1647</v>
      </c>
      <c r="N46" s="51">
        <f>VLOOKUP($A46,'Data Vlaue (Cr)'!$C:$FB,64)</f>
        <v>2276</v>
      </c>
      <c r="O46" s="51">
        <f>VLOOKUP($A46,'Data Vlaue (Cr)'!$C:$FB,66)*100</f>
        <v>-27.61</v>
      </c>
    </row>
    <row r="47" spans="1:15" x14ac:dyDescent="0.25">
      <c r="A47" s="101" t="str">
        <f>'Data Vlaue (Cr)'!C42</f>
        <v>CDSL</v>
      </c>
      <c r="B47" s="50">
        <f>VLOOKUP($A47,'Data Vlaue (Cr)'!$C:$FB,8)</f>
        <v>1356.6</v>
      </c>
      <c r="C47" s="50">
        <f>VLOOKUP($A47,'Data Vlaue (Cr)'!$C:$FB,11)*100</f>
        <v>1.71</v>
      </c>
      <c r="D47" s="50">
        <f>VLOOKUP($A47,'Data Vlaue (Cr)'!$C:$FB,143)</f>
        <v>4278.51</v>
      </c>
      <c r="E47" s="50">
        <f>VLOOKUP($A47,'Data Vlaue (Cr)'!$C:$FB,144)</f>
        <v>5452.39</v>
      </c>
      <c r="F47" s="50">
        <f>VLOOKUP($A47,'Data Vlaue (Cr)'!$C:$FB,146)*100</f>
        <v>-21.529999999999998</v>
      </c>
      <c r="G47" s="49">
        <f>VLOOKUP($A47,'Data Vlaue (Cr)'!$C:$FB,43)</f>
        <v>1235</v>
      </c>
      <c r="H47" s="49">
        <f>VLOOKUP($A47,'Data Vlaue (Cr)'!$C:$FB,44)</f>
        <v>1135</v>
      </c>
      <c r="I47" s="49">
        <f>VLOOKUP($A47,'Data Vlaue (Cr)'!$C:$FB,46)*100</f>
        <v>8.7800000000000011</v>
      </c>
      <c r="J47" s="51">
        <f>VLOOKUP($A47,'Data Vlaue (Cr)'!$C:$FB,59)</f>
        <v>2131</v>
      </c>
      <c r="K47" s="51">
        <f>VLOOKUP($A47,'Data Vlaue (Cr)'!$C:$FB,60)</f>
        <v>2606</v>
      </c>
      <c r="L47" s="51">
        <f>VLOOKUP($A47,'Data Vlaue (Cr)'!$C:$FB,62)*100</f>
        <v>-18.240000000000002</v>
      </c>
      <c r="M47" s="51">
        <f>VLOOKUP($A47,'Data Vlaue (Cr)'!$C:$FB,63)</f>
        <v>747</v>
      </c>
      <c r="N47" s="51">
        <f>VLOOKUP($A47,'Data Vlaue (Cr)'!$C:$FB,64)</f>
        <v>1617</v>
      </c>
      <c r="O47" s="51">
        <f>VLOOKUP($A47,'Data Vlaue (Cr)'!$C:$FB,66)*100</f>
        <v>-53.82</v>
      </c>
    </row>
    <row r="48" spans="1:15" x14ac:dyDescent="0.25">
      <c r="A48" s="101" t="str">
        <f>'Data Vlaue (Cr)'!C43</f>
        <v>CGPOWER</v>
      </c>
      <c r="B48" s="50">
        <f>VLOOKUP($A48,'Data Vlaue (Cr)'!$C:$FB,8)</f>
        <v>574.25</v>
      </c>
      <c r="C48" s="50">
        <f>VLOOKUP($A48,'Data Vlaue (Cr)'!$C:$FB,11)*100</f>
        <v>-0.18</v>
      </c>
      <c r="D48" s="50">
        <f>VLOOKUP($A48,'Data Vlaue (Cr)'!$C:$FB,143)</f>
        <v>2143.94</v>
      </c>
      <c r="E48" s="50">
        <f>VLOOKUP($A48,'Data Vlaue (Cr)'!$C:$FB,144)</f>
        <v>3362.56</v>
      </c>
      <c r="F48" s="50">
        <f>VLOOKUP($A48,'Data Vlaue (Cr)'!$C:$FB,146)*100</f>
        <v>-36.24</v>
      </c>
      <c r="G48" s="49">
        <f>VLOOKUP($A48,'Data Vlaue (Cr)'!$C:$FB,43)</f>
        <v>901</v>
      </c>
      <c r="H48" s="49">
        <f>VLOOKUP($A48,'Data Vlaue (Cr)'!$C:$FB,44)</f>
        <v>774</v>
      </c>
      <c r="I48" s="49">
        <f>VLOOKUP($A48,'Data Vlaue (Cr)'!$C:$FB,46)*100</f>
        <v>16.470000000000002</v>
      </c>
      <c r="J48" s="51">
        <f>VLOOKUP($A48,'Data Vlaue (Cr)'!$C:$FB,59)</f>
        <v>818</v>
      </c>
      <c r="K48" s="51">
        <f>VLOOKUP($A48,'Data Vlaue (Cr)'!$C:$FB,60)</f>
        <v>1560</v>
      </c>
      <c r="L48" s="51">
        <f>VLOOKUP($A48,'Data Vlaue (Cr)'!$C:$FB,62)*100</f>
        <v>-47.55</v>
      </c>
      <c r="M48" s="51">
        <f>VLOOKUP($A48,'Data Vlaue (Cr)'!$C:$FB,63)</f>
        <v>373</v>
      </c>
      <c r="N48" s="51">
        <f>VLOOKUP($A48,'Data Vlaue (Cr)'!$C:$FB,64)</f>
        <v>975</v>
      </c>
      <c r="O48" s="51">
        <f>VLOOKUP($A48,'Data Vlaue (Cr)'!$C:$FB,66)*100</f>
        <v>-61.78</v>
      </c>
    </row>
    <row r="49" spans="1:15" x14ac:dyDescent="0.25">
      <c r="A49" s="101" t="str">
        <f>'Data Vlaue (Cr)'!C44</f>
        <v>CHOLAFIN</v>
      </c>
      <c r="B49" s="50">
        <f>VLOOKUP($A49,'Data Vlaue (Cr)'!$C:$FB,8)</f>
        <v>1664</v>
      </c>
      <c r="C49" s="50">
        <f>VLOOKUP($A49,'Data Vlaue (Cr)'!$C:$FB,11)*100</f>
        <v>2.2200000000000002</v>
      </c>
      <c r="D49" s="50">
        <f>VLOOKUP($A49,'Data Vlaue (Cr)'!$C:$FB,143)</f>
        <v>3685.51</v>
      </c>
      <c r="E49" s="50">
        <f>VLOOKUP($A49,'Data Vlaue (Cr)'!$C:$FB,144)</f>
        <v>3143.89</v>
      </c>
      <c r="F49" s="50">
        <f>VLOOKUP($A49,'Data Vlaue (Cr)'!$C:$FB,146)*100</f>
        <v>17.23</v>
      </c>
      <c r="G49" s="49">
        <f>VLOOKUP($A49,'Data Vlaue (Cr)'!$C:$FB,43)</f>
        <v>2146</v>
      </c>
      <c r="H49" s="49">
        <f>VLOOKUP($A49,'Data Vlaue (Cr)'!$C:$FB,44)</f>
        <v>1381</v>
      </c>
      <c r="I49" s="49">
        <f>VLOOKUP($A49,'Data Vlaue (Cr)'!$C:$FB,46)*100</f>
        <v>55.43</v>
      </c>
      <c r="J49" s="51">
        <f>VLOOKUP($A49,'Data Vlaue (Cr)'!$C:$FB,59)</f>
        <v>971</v>
      </c>
      <c r="K49" s="51">
        <f>VLOOKUP($A49,'Data Vlaue (Cr)'!$C:$FB,60)</f>
        <v>1021</v>
      </c>
      <c r="L49" s="51">
        <f>VLOOKUP($A49,'Data Vlaue (Cr)'!$C:$FB,62)*100</f>
        <v>-4.83</v>
      </c>
      <c r="M49" s="51">
        <f>VLOOKUP($A49,'Data Vlaue (Cr)'!$C:$FB,63)</f>
        <v>552</v>
      </c>
      <c r="N49" s="51">
        <f>VLOOKUP($A49,'Data Vlaue (Cr)'!$C:$FB,64)</f>
        <v>745</v>
      </c>
      <c r="O49" s="51">
        <f>VLOOKUP($A49,'Data Vlaue (Cr)'!$C:$FB,66)*100</f>
        <v>-25.900000000000002</v>
      </c>
    </row>
    <row r="50" spans="1:15" x14ac:dyDescent="0.25">
      <c r="A50" s="101" t="str">
        <f>'Data Vlaue (Cr)'!C45</f>
        <v>CIPLA</v>
      </c>
      <c r="B50" s="50">
        <f>VLOOKUP($A50,'Data Vlaue (Cr)'!$C:$FB,8)</f>
        <v>1370.4</v>
      </c>
      <c r="C50" s="50">
        <f>VLOOKUP($A50,'Data Vlaue (Cr)'!$C:$FB,11)*100</f>
        <v>0.06</v>
      </c>
      <c r="D50" s="50">
        <f>VLOOKUP($A50,'Data Vlaue (Cr)'!$C:$FB,143)</f>
        <v>3214.85</v>
      </c>
      <c r="E50" s="50">
        <f>VLOOKUP($A50,'Data Vlaue (Cr)'!$C:$FB,144)</f>
        <v>3520.08</v>
      </c>
      <c r="F50" s="50">
        <f>VLOOKUP($A50,'Data Vlaue (Cr)'!$C:$FB,146)*100</f>
        <v>-8.67</v>
      </c>
      <c r="G50" s="49">
        <f>VLOOKUP($A50,'Data Vlaue (Cr)'!$C:$FB,43)</f>
        <v>1340</v>
      </c>
      <c r="H50" s="49">
        <f>VLOOKUP($A50,'Data Vlaue (Cr)'!$C:$FB,44)</f>
        <v>1257</v>
      </c>
      <c r="I50" s="49">
        <f>VLOOKUP($A50,'Data Vlaue (Cr)'!$C:$FB,46)*100</f>
        <v>6.5699999999999994</v>
      </c>
      <c r="J50" s="51">
        <f>VLOOKUP($A50,'Data Vlaue (Cr)'!$C:$FB,59)</f>
        <v>1133</v>
      </c>
      <c r="K50" s="51">
        <f>VLOOKUP($A50,'Data Vlaue (Cr)'!$C:$FB,60)</f>
        <v>1255</v>
      </c>
      <c r="L50" s="51">
        <f>VLOOKUP($A50,'Data Vlaue (Cr)'!$C:$FB,62)*100</f>
        <v>-9.7199999999999989</v>
      </c>
      <c r="M50" s="51">
        <f>VLOOKUP($A50,'Data Vlaue (Cr)'!$C:$FB,63)</f>
        <v>681</v>
      </c>
      <c r="N50" s="51">
        <f>VLOOKUP($A50,'Data Vlaue (Cr)'!$C:$FB,64)</f>
        <v>939</v>
      </c>
      <c r="O50" s="51">
        <f>VLOOKUP($A50,'Data Vlaue (Cr)'!$C:$FB,66)*100</f>
        <v>-27.42</v>
      </c>
    </row>
    <row r="51" spans="1:15" x14ac:dyDescent="0.25">
      <c r="A51" s="101" t="str">
        <f>'Data Vlaue (Cr)'!C46</f>
        <v>COALINDIA</v>
      </c>
      <c r="B51" s="50">
        <f>VLOOKUP($A51,'Data Vlaue (Cr)'!$C:$FB,8)</f>
        <v>423.2</v>
      </c>
      <c r="C51" s="50">
        <f>VLOOKUP($A51,'Data Vlaue (Cr)'!$C:$FB,11)*100</f>
        <v>2.21</v>
      </c>
      <c r="D51" s="50">
        <f>VLOOKUP($A51,'Data Vlaue (Cr)'!$C:$FB,143)</f>
        <v>6918.12</v>
      </c>
      <c r="E51" s="50">
        <f>VLOOKUP($A51,'Data Vlaue (Cr)'!$C:$FB,144)</f>
        <v>6259.21</v>
      </c>
      <c r="F51" s="50">
        <f>VLOOKUP($A51,'Data Vlaue (Cr)'!$C:$FB,146)*100</f>
        <v>10.530000000000001</v>
      </c>
      <c r="G51" s="49">
        <f>VLOOKUP($A51,'Data Vlaue (Cr)'!$C:$FB,43)</f>
        <v>1392</v>
      </c>
      <c r="H51" s="49">
        <f>VLOOKUP($A51,'Data Vlaue (Cr)'!$C:$FB,44)</f>
        <v>1442</v>
      </c>
      <c r="I51" s="49">
        <f>VLOOKUP($A51,'Data Vlaue (Cr)'!$C:$FB,46)*100</f>
        <v>-3.45</v>
      </c>
      <c r="J51" s="51">
        <f>VLOOKUP($A51,'Data Vlaue (Cr)'!$C:$FB,59)</f>
        <v>3828</v>
      </c>
      <c r="K51" s="51">
        <f>VLOOKUP($A51,'Data Vlaue (Cr)'!$C:$FB,60)</f>
        <v>3283</v>
      </c>
      <c r="L51" s="51">
        <f>VLOOKUP($A51,'Data Vlaue (Cr)'!$C:$FB,62)*100</f>
        <v>16.600000000000001</v>
      </c>
      <c r="M51" s="51">
        <f>VLOOKUP($A51,'Data Vlaue (Cr)'!$C:$FB,63)</f>
        <v>1642</v>
      </c>
      <c r="N51" s="51">
        <f>VLOOKUP($A51,'Data Vlaue (Cr)'!$C:$FB,64)</f>
        <v>1557</v>
      </c>
      <c r="O51" s="51">
        <f>VLOOKUP($A51,'Data Vlaue (Cr)'!$C:$FB,66)*100</f>
        <v>5.4399999999999995</v>
      </c>
    </row>
    <row r="52" spans="1:15" x14ac:dyDescent="0.25">
      <c r="A52" s="101" t="str">
        <f>'Data Vlaue (Cr)'!C47</f>
        <v>COFORGE</v>
      </c>
      <c r="B52" s="50">
        <f>VLOOKUP($A52,'Data Vlaue (Cr)'!$C:$FB,8)</f>
        <v>1687.7</v>
      </c>
      <c r="C52" s="50">
        <f>VLOOKUP($A52,'Data Vlaue (Cr)'!$C:$FB,11)*100</f>
        <v>1.1100000000000001</v>
      </c>
      <c r="D52" s="50">
        <f>VLOOKUP($A52,'Data Vlaue (Cr)'!$C:$FB,143)</f>
        <v>8646.65</v>
      </c>
      <c r="E52" s="50">
        <f>VLOOKUP($A52,'Data Vlaue (Cr)'!$C:$FB,144)</f>
        <v>9205.07</v>
      </c>
      <c r="F52" s="50">
        <f>VLOOKUP($A52,'Data Vlaue (Cr)'!$C:$FB,146)*100</f>
        <v>-6.0699999999999994</v>
      </c>
      <c r="G52" s="49">
        <f>VLOOKUP($A52,'Data Vlaue (Cr)'!$C:$FB,43)</f>
        <v>2566</v>
      </c>
      <c r="H52" s="49">
        <f>VLOOKUP($A52,'Data Vlaue (Cr)'!$C:$FB,44)</f>
        <v>2623</v>
      </c>
      <c r="I52" s="49">
        <f>VLOOKUP($A52,'Data Vlaue (Cr)'!$C:$FB,46)*100</f>
        <v>-2.1399999999999997</v>
      </c>
      <c r="J52" s="51">
        <f>VLOOKUP($A52,'Data Vlaue (Cr)'!$C:$FB,59)</f>
        <v>3562</v>
      </c>
      <c r="K52" s="51">
        <f>VLOOKUP($A52,'Data Vlaue (Cr)'!$C:$FB,60)</f>
        <v>3544</v>
      </c>
      <c r="L52" s="51">
        <f>VLOOKUP($A52,'Data Vlaue (Cr)'!$C:$FB,62)*100</f>
        <v>0.53</v>
      </c>
      <c r="M52" s="51">
        <f>VLOOKUP($A52,'Data Vlaue (Cr)'!$C:$FB,63)</f>
        <v>2346</v>
      </c>
      <c r="N52" s="51">
        <f>VLOOKUP($A52,'Data Vlaue (Cr)'!$C:$FB,64)</f>
        <v>3156</v>
      </c>
      <c r="O52" s="51">
        <f>VLOOKUP($A52,'Data Vlaue (Cr)'!$C:$FB,66)*100</f>
        <v>-25.66</v>
      </c>
    </row>
    <row r="53" spans="1:15" x14ac:dyDescent="0.25">
      <c r="A53" s="101" t="str">
        <f>'Data Vlaue (Cr)'!C48</f>
        <v>COLPAL</v>
      </c>
      <c r="B53" s="50">
        <f>VLOOKUP($A53,'Data Vlaue (Cr)'!$C:$FB,8)</f>
        <v>2179.6</v>
      </c>
      <c r="C53" s="50">
        <f>VLOOKUP($A53,'Data Vlaue (Cr)'!$C:$FB,11)*100</f>
        <v>2.6599999999999997</v>
      </c>
      <c r="D53" s="50">
        <f>VLOOKUP($A53,'Data Vlaue (Cr)'!$C:$FB,143)</f>
        <v>3197.24</v>
      </c>
      <c r="E53" s="50">
        <f>VLOOKUP($A53,'Data Vlaue (Cr)'!$C:$FB,144)</f>
        <v>2476.4499999999998</v>
      </c>
      <c r="F53" s="50">
        <f>VLOOKUP($A53,'Data Vlaue (Cr)'!$C:$FB,146)*100</f>
        <v>29.110000000000003</v>
      </c>
      <c r="G53" s="49">
        <f>VLOOKUP($A53,'Data Vlaue (Cr)'!$C:$FB,43)</f>
        <v>1173</v>
      </c>
      <c r="H53" s="49">
        <f>VLOOKUP($A53,'Data Vlaue (Cr)'!$C:$FB,44)</f>
        <v>1040</v>
      </c>
      <c r="I53" s="49">
        <f>VLOOKUP($A53,'Data Vlaue (Cr)'!$C:$FB,46)*100</f>
        <v>12.740000000000002</v>
      </c>
      <c r="J53" s="51">
        <f>VLOOKUP($A53,'Data Vlaue (Cr)'!$C:$FB,59)</f>
        <v>1392</v>
      </c>
      <c r="K53" s="51">
        <f>VLOOKUP($A53,'Data Vlaue (Cr)'!$C:$FB,60)</f>
        <v>989</v>
      </c>
      <c r="L53" s="51">
        <f>VLOOKUP($A53,'Data Vlaue (Cr)'!$C:$FB,62)*100</f>
        <v>40.71</v>
      </c>
      <c r="M53" s="51">
        <f>VLOOKUP($A53,'Data Vlaue (Cr)'!$C:$FB,63)</f>
        <v>632</v>
      </c>
      <c r="N53" s="51">
        <f>VLOOKUP($A53,'Data Vlaue (Cr)'!$C:$FB,64)</f>
        <v>487</v>
      </c>
      <c r="O53" s="51">
        <f>VLOOKUP($A53,'Data Vlaue (Cr)'!$C:$FB,66)*100</f>
        <v>29.73</v>
      </c>
    </row>
    <row r="54" spans="1:15" x14ac:dyDescent="0.25">
      <c r="A54" s="101" t="str">
        <f>'Data Vlaue (Cr)'!C49</f>
        <v>CONCOR</v>
      </c>
      <c r="B54" s="50">
        <f>VLOOKUP($A54,'Data Vlaue (Cr)'!$C:$FB,8)</f>
        <v>494.35</v>
      </c>
      <c r="C54" s="50">
        <f>VLOOKUP($A54,'Data Vlaue (Cr)'!$C:$FB,11)*100</f>
        <v>-0.36</v>
      </c>
      <c r="D54" s="50">
        <f>VLOOKUP($A54,'Data Vlaue (Cr)'!$C:$FB,143)</f>
        <v>1804.76</v>
      </c>
      <c r="E54" s="50">
        <f>VLOOKUP($A54,'Data Vlaue (Cr)'!$C:$FB,144)</f>
        <v>1721.81</v>
      </c>
      <c r="F54" s="50">
        <f>VLOOKUP($A54,'Data Vlaue (Cr)'!$C:$FB,146)*100</f>
        <v>4.82</v>
      </c>
      <c r="G54" s="49">
        <f>VLOOKUP($A54,'Data Vlaue (Cr)'!$C:$FB,43)</f>
        <v>835</v>
      </c>
      <c r="H54" s="49">
        <f>VLOOKUP($A54,'Data Vlaue (Cr)'!$C:$FB,44)</f>
        <v>693</v>
      </c>
      <c r="I54" s="49">
        <f>VLOOKUP($A54,'Data Vlaue (Cr)'!$C:$FB,46)*100</f>
        <v>20.580000000000002</v>
      </c>
      <c r="J54" s="51">
        <f>VLOOKUP($A54,'Data Vlaue (Cr)'!$C:$FB,59)</f>
        <v>552</v>
      </c>
      <c r="K54" s="51">
        <f>VLOOKUP($A54,'Data Vlaue (Cr)'!$C:$FB,60)</f>
        <v>647</v>
      </c>
      <c r="L54" s="51">
        <f>VLOOKUP($A54,'Data Vlaue (Cr)'!$C:$FB,62)*100</f>
        <v>-14.74</v>
      </c>
      <c r="M54" s="51">
        <f>VLOOKUP($A54,'Data Vlaue (Cr)'!$C:$FB,63)</f>
        <v>353</v>
      </c>
      <c r="N54" s="51">
        <f>VLOOKUP($A54,'Data Vlaue (Cr)'!$C:$FB,64)</f>
        <v>344</v>
      </c>
      <c r="O54" s="51">
        <f>VLOOKUP($A54,'Data Vlaue (Cr)'!$C:$FB,66)*100</f>
        <v>2.46</v>
      </c>
    </row>
    <row r="55" spans="1:15" x14ac:dyDescent="0.25">
      <c r="A55" s="101" t="str">
        <f>'Data Vlaue (Cr)'!C50</f>
        <v>CROMPTON</v>
      </c>
      <c r="B55" s="50">
        <f>VLOOKUP($A55,'Data Vlaue (Cr)'!$C:$FB,8)</f>
        <v>229.65</v>
      </c>
      <c r="C55" s="50">
        <f>VLOOKUP($A55,'Data Vlaue (Cr)'!$C:$FB,11)*100</f>
        <v>-1.1199999999999999</v>
      </c>
      <c r="D55" s="50">
        <f>VLOOKUP($A55,'Data Vlaue (Cr)'!$C:$FB,143)</f>
        <v>1615.06</v>
      </c>
      <c r="E55" s="50">
        <f>VLOOKUP($A55,'Data Vlaue (Cr)'!$C:$FB,144)</f>
        <v>2135.17</v>
      </c>
      <c r="F55" s="50">
        <f>VLOOKUP($A55,'Data Vlaue (Cr)'!$C:$FB,146)*100</f>
        <v>-24.36</v>
      </c>
      <c r="G55" s="49">
        <f>VLOOKUP($A55,'Data Vlaue (Cr)'!$C:$FB,43)</f>
        <v>826</v>
      </c>
      <c r="H55" s="49">
        <f>VLOOKUP($A55,'Data Vlaue (Cr)'!$C:$FB,44)</f>
        <v>581</v>
      </c>
      <c r="I55" s="49">
        <f>VLOOKUP($A55,'Data Vlaue (Cr)'!$C:$FB,46)*100</f>
        <v>42.199999999999996</v>
      </c>
      <c r="J55" s="51">
        <f>VLOOKUP($A55,'Data Vlaue (Cr)'!$C:$FB,59)</f>
        <v>518</v>
      </c>
      <c r="K55" s="51">
        <f>VLOOKUP($A55,'Data Vlaue (Cr)'!$C:$FB,60)</f>
        <v>961</v>
      </c>
      <c r="L55" s="51">
        <f>VLOOKUP($A55,'Data Vlaue (Cr)'!$C:$FB,62)*100</f>
        <v>-46.11</v>
      </c>
      <c r="M55" s="51">
        <f>VLOOKUP($A55,'Data Vlaue (Cr)'!$C:$FB,63)</f>
        <v>215</v>
      </c>
      <c r="N55" s="51">
        <f>VLOOKUP($A55,'Data Vlaue (Cr)'!$C:$FB,64)</f>
        <v>507</v>
      </c>
      <c r="O55" s="51">
        <f>VLOOKUP($A55,'Data Vlaue (Cr)'!$C:$FB,66)*100</f>
        <v>-57.550000000000004</v>
      </c>
    </row>
    <row r="56" spans="1:15" x14ac:dyDescent="0.25">
      <c r="A56" s="101" t="str">
        <f>'Data Vlaue (Cr)'!C51</f>
        <v>CUMMINSIND</v>
      </c>
      <c r="B56" s="50">
        <f>VLOOKUP($A56,'Data Vlaue (Cr)'!$C:$FB,8)</f>
        <v>4067.8</v>
      </c>
      <c r="C56" s="50">
        <f>VLOOKUP($A56,'Data Vlaue (Cr)'!$C:$FB,11)*100</f>
        <v>1.68</v>
      </c>
      <c r="D56" s="50">
        <f>VLOOKUP($A56,'Data Vlaue (Cr)'!$C:$FB,143)</f>
        <v>2400.39</v>
      </c>
      <c r="E56" s="50">
        <f>VLOOKUP($A56,'Data Vlaue (Cr)'!$C:$FB,144)</f>
        <v>2083.7600000000002</v>
      </c>
      <c r="F56" s="50">
        <f>VLOOKUP($A56,'Data Vlaue (Cr)'!$C:$FB,146)*100</f>
        <v>15.190000000000001</v>
      </c>
      <c r="G56" s="49">
        <f>VLOOKUP($A56,'Data Vlaue (Cr)'!$C:$FB,43)</f>
        <v>1452</v>
      </c>
      <c r="H56" s="49">
        <f>VLOOKUP($A56,'Data Vlaue (Cr)'!$C:$FB,44)</f>
        <v>865</v>
      </c>
      <c r="I56" s="49">
        <f>VLOOKUP($A56,'Data Vlaue (Cr)'!$C:$FB,46)*100</f>
        <v>67.81</v>
      </c>
      <c r="J56" s="51">
        <f>VLOOKUP($A56,'Data Vlaue (Cr)'!$C:$FB,59)</f>
        <v>656</v>
      </c>
      <c r="K56" s="51">
        <f>VLOOKUP($A56,'Data Vlaue (Cr)'!$C:$FB,60)</f>
        <v>786</v>
      </c>
      <c r="L56" s="51">
        <f>VLOOKUP($A56,'Data Vlaue (Cr)'!$C:$FB,62)*100</f>
        <v>-16.54</v>
      </c>
      <c r="M56" s="51">
        <f>VLOOKUP($A56,'Data Vlaue (Cr)'!$C:$FB,63)</f>
        <v>282</v>
      </c>
      <c r="N56" s="51">
        <f>VLOOKUP($A56,'Data Vlaue (Cr)'!$C:$FB,64)</f>
        <v>439</v>
      </c>
      <c r="O56" s="51">
        <f>VLOOKUP($A56,'Data Vlaue (Cr)'!$C:$FB,66)*100</f>
        <v>-35.709999999999994</v>
      </c>
    </row>
    <row r="57" spans="1:15" x14ac:dyDescent="0.25">
      <c r="A57" s="101" t="str">
        <f>'Data Vlaue (Cr)'!C52</f>
        <v>DABUR</v>
      </c>
      <c r="B57" s="50">
        <f>VLOOKUP($A57,'Data Vlaue (Cr)'!$C:$FB,8)</f>
        <v>525.35</v>
      </c>
      <c r="C57" s="50">
        <f>VLOOKUP($A57,'Data Vlaue (Cr)'!$C:$FB,11)*100</f>
        <v>1.77</v>
      </c>
      <c r="D57" s="50">
        <f>VLOOKUP($A57,'Data Vlaue (Cr)'!$C:$FB,143)</f>
        <v>2876.47</v>
      </c>
      <c r="E57" s="50">
        <f>VLOOKUP($A57,'Data Vlaue (Cr)'!$C:$FB,144)</f>
        <v>2803.54</v>
      </c>
      <c r="F57" s="50">
        <f>VLOOKUP($A57,'Data Vlaue (Cr)'!$C:$FB,146)*100</f>
        <v>2.6</v>
      </c>
      <c r="G57" s="49">
        <f>VLOOKUP($A57,'Data Vlaue (Cr)'!$C:$FB,43)</f>
        <v>1213</v>
      </c>
      <c r="H57" s="49">
        <f>VLOOKUP($A57,'Data Vlaue (Cr)'!$C:$FB,44)</f>
        <v>905</v>
      </c>
      <c r="I57" s="49">
        <f>VLOOKUP($A57,'Data Vlaue (Cr)'!$C:$FB,46)*100</f>
        <v>34.07</v>
      </c>
      <c r="J57" s="51">
        <f>VLOOKUP($A57,'Data Vlaue (Cr)'!$C:$FB,59)</f>
        <v>1081</v>
      </c>
      <c r="K57" s="51">
        <f>VLOOKUP($A57,'Data Vlaue (Cr)'!$C:$FB,60)</f>
        <v>1255</v>
      </c>
      <c r="L57" s="51">
        <f>VLOOKUP($A57,'Data Vlaue (Cr)'!$C:$FB,62)*100</f>
        <v>-13.88</v>
      </c>
      <c r="M57" s="51">
        <f>VLOOKUP($A57,'Data Vlaue (Cr)'!$C:$FB,63)</f>
        <v>566</v>
      </c>
      <c r="N57" s="51">
        <f>VLOOKUP($A57,'Data Vlaue (Cr)'!$C:$FB,64)</f>
        <v>689</v>
      </c>
      <c r="O57" s="51">
        <f>VLOOKUP($A57,'Data Vlaue (Cr)'!$C:$FB,66)*100</f>
        <v>-17.78</v>
      </c>
    </row>
    <row r="58" spans="1:15" x14ac:dyDescent="0.25">
      <c r="A58" s="101" t="str">
        <f>'Data Vlaue (Cr)'!C53</f>
        <v>DALBHARAT</v>
      </c>
      <c r="B58" s="50">
        <f>VLOOKUP($A58,'Data Vlaue (Cr)'!$C:$FB,8)</f>
        <v>2143.6999999999998</v>
      </c>
      <c r="C58" s="50">
        <f>VLOOKUP($A58,'Data Vlaue (Cr)'!$C:$FB,11)*100</f>
        <v>-3.9699999999999998</v>
      </c>
      <c r="D58" s="50">
        <f>VLOOKUP($A58,'Data Vlaue (Cr)'!$C:$FB,143)</f>
        <v>2740.09</v>
      </c>
      <c r="E58" s="50">
        <f>VLOOKUP($A58,'Data Vlaue (Cr)'!$C:$FB,144)</f>
        <v>4109.54</v>
      </c>
      <c r="F58" s="50">
        <f>VLOOKUP($A58,'Data Vlaue (Cr)'!$C:$FB,146)*100</f>
        <v>-33.32</v>
      </c>
      <c r="G58" s="49">
        <f>VLOOKUP($A58,'Data Vlaue (Cr)'!$C:$FB,43)</f>
        <v>801</v>
      </c>
      <c r="H58" s="49">
        <f>VLOOKUP($A58,'Data Vlaue (Cr)'!$C:$FB,44)</f>
        <v>622</v>
      </c>
      <c r="I58" s="49">
        <f>VLOOKUP($A58,'Data Vlaue (Cr)'!$C:$FB,46)*100</f>
        <v>28.82</v>
      </c>
      <c r="J58" s="51">
        <f>VLOOKUP($A58,'Data Vlaue (Cr)'!$C:$FB,59)</f>
        <v>1205</v>
      </c>
      <c r="K58" s="51">
        <f>VLOOKUP($A58,'Data Vlaue (Cr)'!$C:$FB,60)</f>
        <v>2245</v>
      </c>
      <c r="L58" s="51">
        <f>VLOOKUP($A58,'Data Vlaue (Cr)'!$C:$FB,62)*100</f>
        <v>-46.33</v>
      </c>
      <c r="M58" s="51">
        <f>VLOOKUP($A58,'Data Vlaue (Cr)'!$C:$FB,63)</f>
        <v>637</v>
      </c>
      <c r="N58" s="51">
        <f>VLOOKUP($A58,'Data Vlaue (Cr)'!$C:$FB,64)</f>
        <v>1069</v>
      </c>
      <c r="O58" s="51">
        <f>VLOOKUP($A58,'Data Vlaue (Cr)'!$C:$FB,66)*100</f>
        <v>-40.47</v>
      </c>
    </row>
    <row r="59" spans="1:15" x14ac:dyDescent="0.25">
      <c r="A59" s="101" t="str">
        <f>'Data Vlaue (Cr)'!C54</f>
        <v>DELHIVERY</v>
      </c>
      <c r="B59" s="50">
        <f>VLOOKUP($A59,'Data Vlaue (Cr)'!$C:$FB,8)</f>
        <v>389.85</v>
      </c>
      <c r="C59" s="50">
        <f>VLOOKUP($A59,'Data Vlaue (Cr)'!$C:$FB,11)*100</f>
        <v>3</v>
      </c>
      <c r="D59" s="50">
        <f>VLOOKUP($A59,'Data Vlaue (Cr)'!$C:$FB,143)</f>
        <v>1349.53</v>
      </c>
      <c r="E59" s="50">
        <f>VLOOKUP($A59,'Data Vlaue (Cr)'!$C:$FB,144)</f>
        <v>1370.53</v>
      </c>
      <c r="F59" s="50">
        <f>VLOOKUP($A59,'Data Vlaue (Cr)'!$C:$FB,146)*100</f>
        <v>-1.53</v>
      </c>
      <c r="G59" s="49">
        <f>VLOOKUP($A59,'Data Vlaue (Cr)'!$C:$FB,43)</f>
        <v>754</v>
      </c>
      <c r="H59" s="49">
        <f>VLOOKUP($A59,'Data Vlaue (Cr)'!$C:$FB,44)</f>
        <v>560</v>
      </c>
      <c r="I59" s="49">
        <f>VLOOKUP($A59,'Data Vlaue (Cr)'!$C:$FB,46)*100</f>
        <v>34.72</v>
      </c>
      <c r="J59" s="51">
        <f>VLOOKUP($A59,'Data Vlaue (Cr)'!$C:$FB,59)</f>
        <v>375</v>
      </c>
      <c r="K59" s="51">
        <f>VLOOKUP($A59,'Data Vlaue (Cr)'!$C:$FB,60)</f>
        <v>372</v>
      </c>
      <c r="L59" s="51">
        <f>VLOOKUP($A59,'Data Vlaue (Cr)'!$C:$FB,62)*100</f>
        <v>0.89</v>
      </c>
      <c r="M59" s="51">
        <f>VLOOKUP($A59,'Data Vlaue (Cr)'!$C:$FB,63)</f>
        <v>209</v>
      </c>
      <c r="N59" s="51">
        <f>VLOOKUP($A59,'Data Vlaue (Cr)'!$C:$FB,64)</f>
        <v>452</v>
      </c>
      <c r="O59" s="51">
        <f>VLOOKUP($A59,'Data Vlaue (Cr)'!$C:$FB,66)*100</f>
        <v>-53.81</v>
      </c>
    </row>
    <row r="60" spans="1:15" x14ac:dyDescent="0.25">
      <c r="A60" s="101" t="str">
        <f>'Data Vlaue (Cr)'!C55</f>
        <v>DIVISLAB</v>
      </c>
      <c r="B60" s="50">
        <f>VLOOKUP($A60,'Data Vlaue (Cr)'!$C:$FB,8)</f>
        <v>6071</v>
      </c>
      <c r="C60" s="50">
        <f>VLOOKUP($A60,'Data Vlaue (Cr)'!$C:$FB,11)*100</f>
        <v>1.01</v>
      </c>
      <c r="D60" s="50">
        <f>VLOOKUP($A60,'Data Vlaue (Cr)'!$C:$FB,143)</f>
        <v>3550.46</v>
      </c>
      <c r="E60" s="50">
        <f>VLOOKUP($A60,'Data Vlaue (Cr)'!$C:$FB,144)</f>
        <v>3494.22</v>
      </c>
      <c r="F60" s="50">
        <f>VLOOKUP($A60,'Data Vlaue (Cr)'!$C:$FB,146)*100</f>
        <v>1.6099999999999999</v>
      </c>
      <c r="G60" s="49">
        <f>VLOOKUP($A60,'Data Vlaue (Cr)'!$C:$FB,43)</f>
        <v>1653</v>
      </c>
      <c r="H60" s="49">
        <f>VLOOKUP($A60,'Data Vlaue (Cr)'!$C:$FB,44)</f>
        <v>1239</v>
      </c>
      <c r="I60" s="49">
        <f>VLOOKUP($A60,'Data Vlaue (Cr)'!$C:$FB,46)*100</f>
        <v>33.42</v>
      </c>
      <c r="J60" s="51">
        <f>VLOOKUP($A60,'Data Vlaue (Cr)'!$C:$FB,59)</f>
        <v>1377</v>
      </c>
      <c r="K60" s="51">
        <f>VLOOKUP($A60,'Data Vlaue (Cr)'!$C:$FB,60)</f>
        <v>1454</v>
      </c>
      <c r="L60" s="51">
        <f>VLOOKUP($A60,'Data Vlaue (Cr)'!$C:$FB,62)*100</f>
        <v>-5.3199999999999994</v>
      </c>
      <c r="M60" s="51">
        <f>VLOOKUP($A60,'Data Vlaue (Cr)'!$C:$FB,63)</f>
        <v>456</v>
      </c>
      <c r="N60" s="51">
        <f>VLOOKUP($A60,'Data Vlaue (Cr)'!$C:$FB,64)</f>
        <v>746</v>
      </c>
      <c r="O60" s="51">
        <f>VLOOKUP($A60,'Data Vlaue (Cr)'!$C:$FB,66)*100</f>
        <v>-38.940000000000005</v>
      </c>
    </row>
    <row r="61" spans="1:15" x14ac:dyDescent="0.25">
      <c r="A61" s="101" t="str">
        <f>'Data Vlaue (Cr)'!C56</f>
        <v>DIXON</v>
      </c>
      <c r="B61" s="50">
        <f>VLOOKUP($A61,'Data Vlaue (Cr)'!$C:$FB,8)</f>
        <v>10512</v>
      </c>
      <c r="C61" s="50">
        <f>VLOOKUP($A61,'Data Vlaue (Cr)'!$C:$FB,11)*100</f>
        <v>-0.05</v>
      </c>
      <c r="D61" s="50">
        <f>VLOOKUP($A61,'Data Vlaue (Cr)'!$C:$FB,143)</f>
        <v>10944.45</v>
      </c>
      <c r="E61" s="50">
        <f>VLOOKUP($A61,'Data Vlaue (Cr)'!$C:$FB,144)</f>
        <v>19181.72</v>
      </c>
      <c r="F61" s="50">
        <f>VLOOKUP($A61,'Data Vlaue (Cr)'!$C:$FB,146)*100</f>
        <v>-42.94</v>
      </c>
      <c r="G61" s="49">
        <f>VLOOKUP($A61,'Data Vlaue (Cr)'!$C:$FB,43)</f>
        <v>1906</v>
      </c>
      <c r="H61" s="49">
        <f>VLOOKUP($A61,'Data Vlaue (Cr)'!$C:$FB,44)</f>
        <v>2561</v>
      </c>
      <c r="I61" s="49">
        <f>VLOOKUP($A61,'Data Vlaue (Cr)'!$C:$FB,46)*100</f>
        <v>-25.590000000000003</v>
      </c>
      <c r="J61" s="51">
        <f>VLOOKUP($A61,'Data Vlaue (Cr)'!$C:$FB,59)</f>
        <v>5449</v>
      </c>
      <c r="K61" s="51">
        <f>VLOOKUP($A61,'Data Vlaue (Cr)'!$C:$FB,60)</f>
        <v>9151</v>
      </c>
      <c r="L61" s="51">
        <f>VLOOKUP($A61,'Data Vlaue (Cr)'!$C:$FB,62)*100</f>
        <v>-40.46</v>
      </c>
      <c r="M61" s="51">
        <f>VLOOKUP($A61,'Data Vlaue (Cr)'!$C:$FB,63)</f>
        <v>3155</v>
      </c>
      <c r="N61" s="51">
        <f>VLOOKUP($A61,'Data Vlaue (Cr)'!$C:$FB,64)</f>
        <v>6735</v>
      </c>
      <c r="O61" s="51">
        <f>VLOOKUP($A61,'Data Vlaue (Cr)'!$C:$FB,66)*100</f>
        <v>-53.16</v>
      </c>
    </row>
    <row r="62" spans="1:15" x14ac:dyDescent="0.25">
      <c r="A62" s="101" t="str">
        <f>'Data Vlaue (Cr)'!C57</f>
        <v>DLF</v>
      </c>
      <c r="B62" s="50">
        <f>VLOOKUP($A62,'Data Vlaue (Cr)'!$C:$FB,8)</f>
        <v>613.29999999999995</v>
      </c>
      <c r="C62" s="50">
        <f>VLOOKUP($A62,'Data Vlaue (Cr)'!$C:$FB,11)*100</f>
        <v>-0.70000000000000007</v>
      </c>
      <c r="D62" s="50">
        <f>VLOOKUP($A62,'Data Vlaue (Cr)'!$C:$FB,143)</f>
        <v>5829.19</v>
      </c>
      <c r="E62" s="50">
        <f>VLOOKUP($A62,'Data Vlaue (Cr)'!$C:$FB,144)</f>
        <v>6024.19</v>
      </c>
      <c r="F62" s="50">
        <f>VLOOKUP($A62,'Data Vlaue (Cr)'!$C:$FB,146)*100</f>
        <v>-3.2399999999999998</v>
      </c>
      <c r="G62" s="49">
        <f>VLOOKUP($A62,'Data Vlaue (Cr)'!$C:$FB,43)</f>
        <v>1944</v>
      </c>
      <c r="H62" s="49">
        <f>VLOOKUP($A62,'Data Vlaue (Cr)'!$C:$FB,44)</f>
        <v>2127</v>
      </c>
      <c r="I62" s="49">
        <f>VLOOKUP($A62,'Data Vlaue (Cr)'!$C:$FB,46)*100</f>
        <v>-8.6199999999999992</v>
      </c>
      <c r="J62" s="51">
        <f>VLOOKUP($A62,'Data Vlaue (Cr)'!$C:$FB,59)</f>
        <v>2300</v>
      </c>
      <c r="K62" s="51">
        <f>VLOOKUP($A62,'Data Vlaue (Cr)'!$C:$FB,60)</f>
        <v>2325</v>
      </c>
      <c r="L62" s="51">
        <f>VLOOKUP($A62,'Data Vlaue (Cr)'!$C:$FB,62)*100</f>
        <v>-1.0699999999999998</v>
      </c>
      <c r="M62" s="51">
        <f>VLOOKUP($A62,'Data Vlaue (Cr)'!$C:$FB,63)</f>
        <v>1412</v>
      </c>
      <c r="N62" s="51">
        <f>VLOOKUP($A62,'Data Vlaue (Cr)'!$C:$FB,64)</f>
        <v>1383</v>
      </c>
      <c r="O62" s="51">
        <f>VLOOKUP($A62,'Data Vlaue (Cr)'!$C:$FB,66)*100</f>
        <v>2.12</v>
      </c>
    </row>
    <row r="63" spans="1:15" x14ac:dyDescent="0.25">
      <c r="A63" s="101" t="str">
        <f>'Data Vlaue (Cr)'!C58</f>
        <v>DMART</v>
      </c>
      <c r="B63" s="50">
        <f>VLOOKUP($A63,'Data Vlaue (Cr)'!$C:$FB,8)</f>
        <v>3724.1</v>
      </c>
      <c r="C63" s="50">
        <f>VLOOKUP($A63,'Data Vlaue (Cr)'!$C:$FB,11)*100</f>
        <v>1.8399999999999999</v>
      </c>
      <c r="D63" s="50">
        <f>VLOOKUP($A63,'Data Vlaue (Cr)'!$C:$FB,143)</f>
        <v>3328.18</v>
      </c>
      <c r="E63" s="50">
        <f>VLOOKUP($A63,'Data Vlaue (Cr)'!$C:$FB,144)</f>
        <v>4358.7</v>
      </c>
      <c r="F63" s="50">
        <f>VLOOKUP($A63,'Data Vlaue (Cr)'!$C:$FB,146)*100</f>
        <v>-23.64</v>
      </c>
      <c r="G63" s="49">
        <f>VLOOKUP($A63,'Data Vlaue (Cr)'!$C:$FB,43)</f>
        <v>1429</v>
      </c>
      <c r="H63" s="49">
        <f>VLOOKUP($A63,'Data Vlaue (Cr)'!$C:$FB,44)</f>
        <v>1807</v>
      </c>
      <c r="I63" s="49">
        <f>VLOOKUP($A63,'Data Vlaue (Cr)'!$C:$FB,46)*100</f>
        <v>-20.880000000000003</v>
      </c>
      <c r="J63" s="51">
        <f>VLOOKUP($A63,'Data Vlaue (Cr)'!$C:$FB,59)</f>
        <v>1373</v>
      </c>
      <c r="K63" s="51">
        <f>VLOOKUP($A63,'Data Vlaue (Cr)'!$C:$FB,60)</f>
        <v>1743</v>
      </c>
      <c r="L63" s="51">
        <f>VLOOKUP($A63,'Data Vlaue (Cr)'!$C:$FB,62)*100</f>
        <v>-21.27</v>
      </c>
      <c r="M63" s="51">
        <f>VLOOKUP($A63,'Data Vlaue (Cr)'!$C:$FB,63)</f>
        <v>499</v>
      </c>
      <c r="N63" s="51">
        <f>VLOOKUP($A63,'Data Vlaue (Cr)'!$C:$FB,64)</f>
        <v>787</v>
      </c>
      <c r="O63" s="51">
        <f>VLOOKUP($A63,'Data Vlaue (Cr)'!$C:$FB,66)*100</f>
        <v>-36.67</v>
      </c>
    </row>
    <row r="64" spans="1:15" x14ac:dyDescent="0.25">
      <c r="A64" s="101" t="str">
        <f>'Data Vlaue (Cr)'!C59</f>
        <v>DRREDDY</v>
      </c>
      <c r="B64" s="50">
        <f>VLOOKUP($A64,'Data Vlaue (Cr)'!$C:$FB,8)</f>
        <v>1217.5</v>
      </c>
      <c r="C64" s="50">
        <f>VLOOKUP($A64,'Data Vlaue (Cr)'!$C:$FB,11)*100</f>
        <v>5.21</v>
      </c>
      <c r="D64" s="50">
        <f>VLOOKUP($A64,'Data Vlaue (Cr)'!$C:$FB,143)</f>
        <v>15286.29</v>
      </c>
      <c r="E64" s="50">
        <f>VLOOKUP($A64,'Data Vlaue (Cr)'!$C:$FB,144)</f>
        <v>8129.85</v>
      </c>
      <c r="F64" s="50">
        <f>VLOOKUP($A64,'Data Vlaue (Cr)'!$C:$FB,146)*100</f>
        <v>88.03</v>
      </c>
      <c r="G64" s="49">
        <f>VLOOKUP($A64,'Data Vlaue (Cr)'!$C:$FB,43)</f>
        <v>2186</v>
      </c>
      <c r="H64" s="49">
        <f>VLOOKUP($A64,'Data Vlaue (Cr)'!$C:$FB,44)</f>
        <v>1225</v>
      </c>
      <c r="I64" s="49">
        <f>VLOOKUP($A64,'Data Vlaue (Cr)'!$C:$FB,46)*100</f>
        <v>78.47</v>
      </c>
      <c r="J64" s="51">
        <f>VLOOKUP($A64,'Data Vlaue (Cr)'!$C:$FB,59)</f>
        <v>8775</v>
      </c>
      <c r="K64" s="51">
        <f>VLOOKUP($A64,'Data Vlaue (Cr)'!$C:$FB,60)</f>
        <v>4136</v>
      </c>
      <c r="L64" s="51">
        <f>VLOOKUP($A64,'Data Vlaue (Cr)'!$C:$FB,62)*100</f>
        <v>112.16999999999999</v>
      </c>
      <c r="M64" s="51">
        <f>VLOOKUP($A64,'Data Vlaue (Cr)'!$C:$FB,63)</f>
        <v>4294</v>
      </c>
      <c r="N64" s="51">
        <f>VLOOKUP($A64,'Data Vlaue (Cr)'!$C:$FB,64)</f>
        <v>3000</v>
      </c>
      <c r="O64" s="51">
        <f>VLOOKUP($A64,'Data Vlaue (Cr)'!$C:$FB,66)*100</f>
        <v>43.120000000000005</v>
      </c>
    </row>
    <row r="65" spans="1:15" x14ac:dyDescent="0.25">
      <c r="A65" s="101" t="str">
        <f>'Data Vlaue (Cr)'!C60</f>
        <v>EICHERMOT</v>
      </c>
      <c r="B65" s="50">
        <f>VLOOKUP($A65,'Data Vlaue (Cr)'!$C:$FB,8)</f>
        <v>7049</v>
      </c>
      <c r="C65" s="50">
        <f>VLOOKUP($A65,'Data Vlaue (Cr)'!$C:$FB,11)*100</f>
        <v>-1.27</v>
      </c>
      <c r="D65" s="50">
        <f>VLOOKUP($A65,'Data Vlaue (Cr)'!$C:$FB,143)</f>
        <v>7165.52</v>
      </c>
      <c r="E65" s="50">
        <f>VLOOKUP($A65,'Data Vlaue (Cr)'!$C:$FB,144)</f>
        <v>6688.31</v>
      </c>
      <c r="F65" s="50">
        <f>VLOOKUP($A65,'Data Vlaue (Cr)'!$C:$FB,146)*100</f>
        <v>7.13</v>
      </c>
      <c r="G65" s="49">
        <f>VLOOKUP($A65,'Data Vlaue (Cr)'!$C:$FB,43)</f>
        <v>1859</v>
      </c>
      <c r="H65" s="49">
        <f>VLOOKUP($A65,'Data Vlaue (Cr)'!$C:$FB,44)</f>
        <v>1300</v>
      </c>
      <c r="I65" s="49">
        <f>VLOOKUP($A65,'Data Vlaue (Cr)'!$C:$FB,46)*100</f>
        <v>43.04</v>
      </c>
      <c r="J65" s="51">
        <f>VLOOKUP($A65,'Data Vlaue (Cr)'!$C:$FB,59)</f>
        <v>3528</v>
      </c>
      <c r="K65" s="51">
        <f>VLOOKUP($A65,'Data Vlaue (Cr)'!$C:$FB,60)</f>
        <v>3408</v>
      </c>
      <c r="L65" s="51">
        <f>VLOOKUP($A65,'Data Vlaue (Cr)'!$C:$FB,62)*100</f>
        <v>3.52</v>
      </c>
      <c r="M65" s="51">
        <f>VLOOKUP($A65,'Data Vlaue (Cr)'!$C:$FB,63)</f>
        <v>1526</v>
      </c>
      <c r="N65" s="51">
        <f>VLOOKUP($A65,'Data Vlaue (Cr)'!$C:$FB,64)</f>
        <v>1745</v>
      </c>
      <c r="O65" s="51">
        <f>VLOOKUP($A65,'Data Vlaue (Cr)'!$C:$FB,66)*100</f>
        <v>-12.55</v>
      </c>
    </row>
    <row r="66" spans="1:15" x14ac:dyDescent="0.25">
      <c r="A66" s="101" t="str">
        <f>'Data Vlaue (Cr)'!C61</f>
        <v>ETERNAL</v>
      </c>
      <c r="B66" s="50">
        <f>VLOOKUP($A66,'Data Vlaue (Cr)'!$C:$FB,8)</f>
        <v>275.89999999999998</v>
      </c>
      <c r="C66" s="50">
        <f>VLOOKUP($A66,'Data Vlaue (Cr)'!$C:$FB,11)*100</f>
        <v>-2.68</v>
      </c>
      <c r="D66" s="50">
        <f>VLOOKUP($A66,'Data Vlaue (Cr)'!$C:$FB,143)</f>
        <v>44290.41</v>
      </c>
      <c r="E66" s="50">
        <f>VLOOKUP($A66,'Data Vlaue (Cr)'!$C:$FB,144)</f>
        <v>29536.42</v>
      </c>
      <c r="F66" s="50">
        <f>VLOOKUP($A66,'Data Vlaue (Cr)'!$C:$FB,146)*100</f>
        <v>49.95</v>
      </c>
      <c r="G66" s="49">
        <f>VLOOKUP($A66,'Data Vlaue (Cr)'!$C:$FB,43)</f>
        <v>9833</v>
      </c>
      <c r="H66" s="49">
        <f>VLOOKUP($A66,'Data Vlaue (Cr)'!$C:$FB,44)</f>
        <v>8058</v>
      </c>
      <c r="I66" s="49">
        <f>VLOOKUP($A66,'Data Vlaue (Cr)'!$C:$FB,46)*100</f>
        <v>22.03</v>
      </c>
      <c r="J66" s="51">
        <f>VLOOKUP($A66,'Data Vlaue (Cr)'!$C:$FB,59)</f>
        <v>17891</v>
      </c>
      <c r="K66" s="51">
        <f>VLOOKUP($A66,'Data Vlaue (Cr)'!$C:$FB,60)</f>
        <v>12550</v>
      </c>
      <c r="L66" s="51">
        <f>VLOOKUP($A66,'Data Vlaue (Cr)'!$C:$FB,62)*100</f>
        <v>42.559999999999995</v>
      </c>
      <c r="M66" s="51">
        <f>VLOOKUP($A66,'Data Vlaue (Cr)'!$C:$FB,63)</f>
        <v>14563</v>
      </c>
      <c r="N66" s="51">
        <f>VLOOKUP($A66,'Data Vlaue (Cr)'!$C:$FB,64)</f>
        <v>7781</v>
      </c>
      <c r="O66" s="51">
        <f>VLOOKUP($A66,'Data Vlaue (Cr)'!$C:$FB,66)*100</f>
        <v>87.15</v>
      </c>
    </row>
    <row r="67" spans="1:15" x14ac:dyDescent="0.25">
      <c r="A67" s="101" t="str">
        <f>'Data Vlaue (Cr)'!C62</f>
        <v>EXIDEIND</v>
      </c>
      <c r="B67" s="50">
        <f>VLOOKUP($A67,'Data Vlaue (Cr)'!$C:$FB,8)</f>
        <v>334.25</v>
      </c>
      <c r="C67" s="50">
        <f>VLOOKUP($A67,'Data Vlaue (Cr)'!$C:$FB,11)*100</f>
        <v>2.5499999999999998</v>
      </c>
      <c r="D67" s="50">
        <f>VLOOKUP($A67,'Data Vlaue (Cr)'!$C:$FB,143)</f>
        <v>1452.09</v>
      </c>
      <c r="E67" s="50">
        <f>VLOOKUP($A67,'Data Vlaue (Cr)'!$C:$FB,144)</f>
        <v>1900.54</v>
      </c>
      <c r="F67" s="50">
        <f>VLOOKUP($A67,'Data Vlaue (Cr)'!$C:$FB,146)*100</f>
        <v>-23.599999999999998</v>
      </c>
      <c r="G67" s="49">
        <f>VLOOKUP($A67,'Data Vlaue (Cr)'!$C:$FB,43)</f>
        <v>583</v>
      </c>
      <c r="H67" s="49">
        <f>VLOOKUP($A67,'Data Vlaue (Cr)'!$C:$FB,44)</f>
        <v>551</v>
      </c>
      <c r="I67" s="49">
        <f>VLOOKUP($A67,'Data Vlaue (Cr)'!$C:$FB,46)*100</f>
        <v>5.88</v>
      </c>
      <c r="J67" s="51">
        <f>VLOOKUP($A67,'Data Vlaue (Cr)'!$C:$FB,59)</f>
        <v>543</v>
      </c>
      <c r="K67" s="51">
        <f>VLOOKUP($A67,'Data Vlaue (Cr)'!$C:$FB,60)</f>
        <v>788</v>
      </c>
      <c r="L67" s="51">
        <f>VLOOKUP($A67,'Data Vlaue (Cr)'!$C:$FB,62)*100</f>
        <v>-31.16</v>
      </c>
      <c r="M67" s="51">
        <f>VLOOKUP($A67,'Data Vlaue (Cr)'!$C:$FB,63)</f>
        <v>298</v>
      </c>
      <c r="N67" s="51">
        <f>VLOOKUP($A67,'Data Vlaue (Cr)'!$C:$FB,64)</f>
        <v>534</v>
      </c>
      <c r="O67" s="51">
        <f>VLOOKUP($A67,'Data Vlaue (Cr)'!$C:$FB,66)*100</f>
        <v>-44.269999999999996</v>
      </c>
    </row>
    <row r="68" spans="1:15" x14ac:dyDescent="0.25">
      <c r="A68" s="101" t="str">
        <f>'Data Vlaue (Cr)'!C63</f>
        <v>FEDERALBNK</v>
      </c>
      <c r="B68" s="50">
        <f>VLOOKUP($A68,'Data Vlaue (Cr)'!$C:$FB,8)</f>
        <v>282.2</v>
      </c>
      <c r="C68" s="50">
        <f>VLOOKUP($A68,'Data Vlaue (Cr)'!$C:$FB,11)*100</f>
        <v>2.21</v>
      </c>
      <c r="D68" s="50">
        <f>VLOOKUP($A68,'Data Vlaue (Cr)'!$C:$FB,143)</f>
        <v>14200.14</v>
      </c>
      <c r="E68" s="50">
        <f>VLOOKUP($A68,'Data Vlaue (Cr)'!$C:$FB,144)</f>
        <v>10261.42</v>
      </c>
      <c r="F68" s="50">
        <f>VLOOKUP($A68,'Data Vlaue (Cr)'!$C:$FB,146)*100</f>
        <v>38.379999999999995</v>
      </c>
      <c r="G68" s="49">
        <f>VLOOKUP($A68,'Data Vlaue (Cr)'!$C:$FB,43)</f>
        <v>2377</v>
      </c>
      <c r="H68" s="49">
        <f>VLOOKUP($A68,'Data Vlaue (Cr)'!$C:$FB,44)</f>
        <v>1613</v>
      </c>
      <c r="I68" s="49">
        <f>VLOOKUP($A68,'Data Vlaue (Cr)'!$C:$FB,46)*100</f>
        <v>47.339999999999996</v>
      </c>
      <c r="J68" s="51">
        <f>VLOOKUP($A68,'Data Vlaue (Cr)'!$C:$FB,59)</f>
        <v>7533</v>
      </c>
      <c r="K68" s="51">
        <f>VLOOKUP($A68,'Data Vlaue (Cr)'!$C:$FB,60)</f>
        <v>4675</v>
      </c>
      <c r="L68" s="51">
        <f>VLOOKUP($A68,'Data Vlaue (Cr)'!$C:$FB,62)*100</f>
        <v>61.140000000000008</v>
      </c>
      <c r="M68" s="51">
        <f>VLOOKUP($A68,'Data Vlaue (Cr)'!$C:$FB,63)</f>
        <v>4156</v>
      </c>
      <c r="N68" s="51">
        <f>VLOOKUP($A68,'Data Vlaue (Cr)'!$C:$FB,64)</f>
        <v>4243</v>
      </c>
      <c r="O68" s="51">
        <f>VLOOKUP($A68,'Data Vlaue (Cr)'!$C:$FB,66)*100</f>
        <v>-2.0500000000000003</v>
      </c>
    </row>
    <row r="69" spans="1:15" x14ac:dyDescent="0.25">
      <c r="A69" s="101" t="str">
        <f>'Data Vlaue (Cr)'!C64</f>
        <v>FINNIFTY</v>
      </c>
      <c r="B69" s="50">
        <f>VLOOKUP($A69,'Data Vlaue (Cr)'!$C:$FB,8)</f>
        <v>27149.95</v>
      </c>
      <c r="C69" s="50">
        <f>VLOOKUP($A69,'Data Vlaue (Cr)'!$C:$FB,11)*100</f>
        <v>0.69</v>
      </c>
      <c r="D69" s="50">
        <f>VLOOKUP($A69,'Data Vlaue (Cr)'!$C:$FB,143)</f>
        <v>34940.49</v>
      </c>
      <c r="E69" s="50">
        <f>VLOOKUP($A69,'Data Vlaue (Cr)'!$C:$FB,144)</f>
        <v>57784.91</v>
      </c>
      <c r="F69" s="50">
        <f>VLOOKUP($A69,'Data Vlaue (Cr)'!$C:$FB,146)*100</f>
        <v>-39.53</v>
      </c>
      <c r="G69" s="49">
        <f>VLOOKUP($A69,'Data Vlaue (Cr)'!$C:$FB,43)</f>
        <v>99</v>
      </c>
      <c r="H69" s="49">
        <f>VLOOKUP($A69,'Data Vlaue (Cr)'!$C:$FB,44)</f>
        <v>131</v>
      </c>
      <c r="I69" s="49">
        <f>VLOOKUP($A69,'Data Vlaue (Cr)'!$C:$FB,46)*100</f>
        <v>-24.44</v>
      </c>
      <c r="J69" s="51">
        <f>VLOOKUP($A69,'Data Vlaue (Cr)'!$C:$FB,59)</f>
        <v>19086</v>
      </c>
      <c r="K69" s="51">
        <f>VLOOKUP($A69,'Data Vlaue (Cr)'!$C:$FB,60)</f>
        <v>30535</v>
      </c>
      <c r="L69" s="51">
        <f>VLOOKUP($A69,'Data Vlaue (Cr)'!$C:$FB,62)*100</f>
        <v>-37.5</v>
      </c>
      <c r="M69" s="51">
        <f>VLOOKUP($A69,'Data Vlaue (Cr)'!$C:$FB,63)</f>
        <v>15816</v>
      </c>
      <c r="N69" s="51">
        <f>VLOOKUP($A69,'Data Vlaue (Cr)'!$C:$FB,64)</f>
        <v>27182</v>
      </c>
      <c r="O69" s="51">
        <f>VLOOKUP($A69,'Data Vlaue (Cr)'!$C:$FB,66)*100</f>
        <v>-41.81</v>
      </c>
    </row>
    <row r="70" spans="1:15" x14ac:dyDescent="0.25">
      <c r="A70" s="101" t="str">
        <f>'Data Vlaue (Cr)'!C65</f>
        <v>FORTIS</v>
      </c>
      <c r="B70" s="50">
        <f>VLOOKUP($A70,'Data Vlaue (Cr)'!$C:$FB,8)</f>
        <v>841.45</v>
      </c>
      <c r="C70" s="50">
        <f>VLOOKUP($A70,'Data Vlaue (Cr)'!$C:$FB,11)*100</f>
        <v>-0.32</v>
      </c>
      <c r="D70" s="50">
        <f>VLOOKUP($A70,'Data Vlaue (Cr)'!$C:$FB,143)</f>
        <v>2359.89</v>
      </c>
      <c r="E70" s="50">
        <f>VLOOKUP($A70,'Data Vlaue (Cr)'!$C:$FB,144)</f>
        <v>1523.97</v>
      </c>
      <c r="F70" s="50">
        <f>VLOOKUP($A70,'Data Vlaue (Cr)'!$C:$FB,146)*100</f>
        <v>54.85</v>
      </c>
      <c r="G70" s="49">
        <f>VLOOKUP($A70,'Data Vlaue (Cr)'!$C:$FB,43)</f>
        <v>1116</v>
      </c>
      <c r="H70" s="49">
        <f>VLOOKUP($A70,'Data Vlaue (Cr)'!$C:$FB,44)</f>
        <v>554</v>
      </c>
      <c r="I70" s="49">
        <f>VLOOKUP($A70,'Data Vlaue (Cr)'!$C:$FB,46)*100</f>
        <v>101.4</v>
      </c>
      <c r="J70" s="51">
        <f>VLOOKUP($A70,'Data Vlaue (Cr)'!$C:$FB,59)</f>
        <v>534</v>
      </c>
      <c r="K70" s="51">
        <f>VLOOKUP($A70,'Data Vlaue (Cr)'!$C:$FB,60)</f>
        <v>520</v>
      </c>
      <c r="L70" s="51">
        <f>VLOOKUP($A70,'Data Vlaue (Cr)'!$C:$FB,62)*100</f>
        <v>2.79</v>
      </c>
      <c r="M70" s="51">
        <f>VLOOKUP($A70,'Data Vlaue (Cr)'!$C:$FB,63)</f>
        <v>681</v>
      </c>
      <c r="N70" s="51">
        <f>VLOOKUP($A70,'Data Vlaue (Cr)'!$C:$FB,64)</f>
        <v>412</v>
      </c>
      <c r="O70" s="51">
        <f>VLOOKUP($A70,'Data Vlaue (Cr)'!$C:$FB,66)*100</f>
        <v>65.27</v>
      </c>
    </row>
    <row r="71" spans="1:15" x14ac:dyDescent="0.25">
      <c r="A71" s="101" t="str">
        <f>'Data Vlaue (Cr)'!C66</f>
        <v>GAIL</v>
      </c>
      <c r="B71" s="50">
        <f>VLOOKUP($A71,'Data Vlaue (Cr)'!$C:$FB,8)</f>
        <v>163.57</v>
      </c>
      <c r="C71" s="50">
        <f>VLOOKUP($A71,'Data Vlaue (Cr)'!$C:$FB,11)*100</f>
        <v>0.54999999999999993</v>
      </c>
      <c r="D71" s="50">
        <f>VLOOKUP($A71,'Data Vlaue (Cr)'!$C:$FB,143)</f>
        <v>1697.55</v>
      </c>
      <c r="E71" s="50">
        <f>VLOOKUP($A71,'Data Vlaue (Cr)'!$C:$FB,144)</f>
        <v>2258.54</v>
      </c>
      <c r="F71" s="50">
        <f>VLOOKUP($A71,'Data Vlaue (Cr)'!$C:$FB,146)*100</f>
        <v>-24.84</v>
      </c>
      <c r="G71" s="49">
        <f>VLOOKUP($A71,'Data Vlaue (Cr)'!$C:$FB,43)</f>
        <v>863</v>
      </c>
      <c r="H71" s="49">
        <f>VLOOKUP($A71,'Data Vlaue (Cr)'!$C:$FB,44)</f>
        <v>668</v>
      </c>
      <c r="I71" s="49">
        <f>VLOOKUP($A71,'Data Vlaue (Cr)'!$C:$FB,46)*100</f>
        <v>29.270000000000003</v>
      </c>
      <c r="J71" s="51">
        <f>VLOOKUP($A71,'Data Vlaue (Cr)'!$C:$FB,59)</f>
        <v>440</v>
      </c>
      <c r="K71" s="51">
        <f>VLOOKUP($A71,'Data Vlaue (Cr)'!$C:$FB,60)</f>
        <v>1055</v>
      </c>
      <c r="L71" s="51">
        <f>VLOOKUP($A71,'Data Vlaue (Cr)'!$C:$FB,62)*100</f>
        <v>-58.24</v>
      </c>
      <c r="M71" s="51">
        <f>VLOOKUP($A71,'Data Vlaue (Cr)'!$C:$FB,63)</f>
        <v>369</v>
      </c>
      <c r="N71" s="51">
        <f>VLOOKUP($A71,'Data Vlaue (Cr)'!$C:$FB,64)</f>
        <v>495</v>
      </c>
      <c r="O71" s="51">
        <f>VLOOKUP($A71,'Data Vlaue (Cr)'!$C:$FB,66)*100</f>
        <v>-25.419999999999998</v>
      </c>
    </row>
    <row r="72" spans="1:15" x14ac:dyDescent="0.25">
      <c r="A72" s="101" t="str">
        <f>'Data Vlaue (Cr)'!C67</f>
        <v>GLENMARK</v>
      </c>
      <c r="B72" s="50">
        <f>VLOOKUP($A72,'Data Vlaue (Cr)'!$C:$FB,8)</f>
        <v>1997.2</v>
      </c>
      <c r="C72" s="50">
        <f>VLOOKUP($A72,'Data Vlaue (Cr)'!$C:$FB,11)*100</f>
        <v>2.87</v>
      </c>
      <c r="D72" s="50">
        <f>VLOOKUP($A72,'Data Vlaue (Cr)'!$C:$FB,143)</f>
        <v>3039.91</v>
      </c>
      <c r="E72" s="50">
        <f>VLOOKUP($A72,'Data Vlaue (Cr)'!$C:$FB,144)</f>
        <v>2833.38</v>
      </c>
      <c r="F72" s="50">
        <f>VLOOKUP($A72,'Data Vlaue (Cr)'!$C:$FB,146)*100</f>
        <v>7.2900000000000009</v>
      </c>
      <c r="G72" s="49">
        <f>VLOOKUP($A72,'Data Vlaue (Cr)'!$C:$FB,43)</f>
        <v>1451</v>
      </c>
      <c r="H72" s="49">
        <f>VLOOKUP($A72,'Data Vlaue (Cr)'!$C:$FB,44)</f>
        <v>1388</v>
      </c>
      <c r="I72" s="49">
        <f>VLOOKUP($A72,'Data Vlaue (Cr)'!$C:$FB,46)*100</f>
        <v>4.5</v>
      </c>
      <c r="J72" s="51">
        <f>VLOOKUP($A72,'Data Vlaue (Cr)'!$C:$FB,59)</f>
        <v>1096</v>
      </c>
      <c r="K72" s="51">
        <f>VLOOKUP($A72,'Data Vlaue (Cr)'!$C:$FB,60)</f>
        <v>950</v>
      </c>
      <c r="L72" s="51">
        <f>VLOOKUP($A72,'Data Vlaue (Cr)'!$C:$FB,62)*100</f>
        <v>15.28</v>
      </c>
      <c r="M72" s="51">
        <f>VLOOKUP($A72,'Data Vlaue (Cr)'!$C:$FB,63)</f>
        <v>472</v>
      </c>
      <c r="N72" s="51">
        <f>VLOOKUP($A72,'Data Vlaue (Cr)'!$C:$FB,64)</f>
        <v>522</v>
      </c>
      <c r="O72" s="51">
        <f>VLOOKUP($A72,'Data Vlaue (Cr)'!$C:$FB,66)*100</f>
        <v>-9.5</v>
      </c>
    </row>
    <row r="73" spans="1:15" x14ac:dyDescent="0.25">
      <c r="A73" s="101" t="str">
        <f>'Data Vlaue (Cr)'!C68</f>
        <v>GMRAIRPORT</v>
      </c>
      <c r="B73" s="50">
        <f>VLOOKUP($A73,'Data Vlaue (Cr)'!$C:$FB,8)</f>
        <v>95.1</v>
      </c>
      <c r="C73" s="50">
        <f>VLOOKUP($A73,'Data Vlaue (Cr)'!$C:$FB,11)*100</f>
        <v>1.34</v>
      </c>
      <c r="D73" s="50">
        <f>VLOOKUP($A73,'Data Vlaue (Cr)'!$C:$FB,143)</f>
        <v>1958.15</v>
      </c>
      <c r="E73" s="50">
        <f>VLOOKUP($A73,'Data Vlaue (Cr)'!$C:$FB,144)</f>
        <v>2724.9</v>
      </c>
      <c r="F73" s="50">
        <f>VLOOKUP($A73,'Data Vlaue (Cr)'!$C:$FB,146)*100</f>
        <v>-28.139999999999997</v>
      </c>
      <c r="G73" s="49">
        <f>VLOOKUP($A73,'Data Vlaue (Cr)'!$C:$FB,43)</f>
        <v>802</v>
      </c>
      <c r="H73" s="49">
        <f>VLOOKUP($A73,'Data Vlaue (Cr)'!$C:$FB,44)</f>
        <v>770</v>
      </c>
      <c r="I73" s="49">
        <f>VLOOKUP($A73,'Data Vlaue (Cr)'!$C:$FB,46)*100</f>
        <v>4.26</v>
      </c>
      <c r="J73" s="51">
        <f>VLOOKUP($A73,'Data Vlaue (Cr)'!$C:$FB,59)</f>
        <v>738</v>
      </c>
      <c r="K73" s="51">
        <f>VLOOKUP($A73,'Data Vlaue (Cr)'!$C:$FB,60)</f>
        <v>1211</v>
      </c>
      <c r="L73" s="51">
        <f>VLOOKUP($A73,'Data Vlaue (Cr)'!$C:$FB,62)*100</f>
        <v>-39.04</v>
      </c>
      <c r="M73" s="51">
        <f>VLOOKUP($A73,'Data Vlaue (Cr)'!$C:$FB,63)</f>
        <v>349</v>
      </c>
      <c r="N73" s="51">
        <f>VLOOKUP($A73,'Data Vlaue (Cr)'!$C:$FB,64)</f>
        <v>658</v>
      </c>
      <c r="O73" s="51">
        <f>VLOOKUP($A73,'Data Vlaue (Cr)'!$C:$FB,66)*100</f>
        <v>-46.92</v>
      </c>
    </row>
    <row r="74" spans="1:15" x14ac:dyDescent="0.25">
      <c r="A74" s="101" t="str">
        <f>'Data Vlaue (Cr)'!C69</f>
        <v>GODREJCP</v>
      </c>
      <c r="B74" s="50">
        <f>VLOOKUP($A74,'Data Vlaue (Cr)'!$C:$FB,8)</f>
        <v>1246</v>
      </c>
      <c r="C74" s="50">
        <f>VLOOKUP($A74,'Data Vlaue (Cr)'!$C:$FB,11)*100</f>
        <v>1.92</v>
      </c>
      <c r="D74" s="50">
        <f>VLOOKUP($A74,'Data Vlaue (Cr)'!$C:$FB,143)</f>
        <v>1744.59</v>
      </c>
      <c r="E74" s="50">
        <f>VLOOKUP($A74,'Data Vlaue (Cr)'!$C:$FB,144)</f>
        <v>1248.26</v>
      </c>
      <c r="F74" s="50">
        <f>VLOOKUP($A74,'Data Vlaue (Cr)'!$C:$FB,146)*100</f>
        <v>39.76</v>
      </c>
      <c r="G74" s="49">
        <f>VLOOKUP($A74,'Data Vlaue (Cr)'!$C:$FB,43)</f>
        <v>1025</v>
      </c>
      <c r="H74" s="49">
        <f>VLOOKUP($A74,'Data Vlaue (Cr)'!$C:$FB,44)</f>
        <v>719</v>
      </c>
      <c r="I74" s="49">
        <f>VLOOKUP($A74,'Data Vlaue (Cr)'!$C:$FB,46)*100</f>
        <v>42.480000000000004</v>
      </c>
      <c r="J74" s="51">
        <f>VLOOKUP($A74,'Data Vlaue (Cr)'!$C:$FB,59)</f>
        <v>465</v>
      </c>
      <c r="K74" s="51">
        <f>VLOOKUP($A74,'Data Vlaue (Cr)'!$C:$FB,60)</f>
        <v>313</v>
      </c>
      <c r="L74" s="51">
        <f>VLOOKUP($A74,'Data Vlaue (Cr)'!$C:$FB,62)*100</f>
        <v>48.63</v>
      </c>
      <c r="M74" s="51">
        <f>VLOOKUP($A74,'Data Vlaue (Cr)'!$C:$FB,63)</f>
        <v>255</v>
      </c>
      <c r="N74" s="51">
        <f>VLOOKUP($A74,'Data Vlaue (Cr)'!$C:$FB,64)</f>
        <v>224</v>
      </c>
      <c r="O74" s="51">
        <f>VLOOKUP($A74,'Data Vlaue (Cr)'!$C:$FB,66)*100</f>
        <v>13.780000000000001</v>
      </c>
    </row>
    <row r="75" spans="1:15" x14ac:dyDescent="0.25">
      <c r="A75" s="101" t="str">
        <f>'Data Vlaue (Cr)'!C70</f>
        <v>GODREJPROP</v>
      </c>
      <c r="B75" s="50">
        <f>VLOOKUP($A75,'Data Vlaue (Cr)'!$C:$FB,8)</f>
        <v>1620.4</v>
      </c>
      <c r="C75" s="50">
        <f>VLOOKUP($A75,'Data Vlaue (Cr)'!$C:$FB,11)*100</f>
        <v>-1.46</v>
      </c>
      <c r="D75" s="50">
        <f>VLOOKUP($A75,'Data Vlaue (Cr)'!$C:$FB,143)</f>
        <v>3986.6</v>
      </c>
      <c r="E75" s="50">
        <f>VLOOKUP($A75,'Data Vlaue (Cr)'!$C:$FB,144)</f>
        <v>5560.03</v>
      </c>
      <c r="F75" s="50">
        <f>VLOOKUP($A75,'Data Vlaue (Cr)'!$C:$FB,146)*100</f>
        <v>-28.299999999999997</v>
      </c>
      <c r="G75" s="49">
        <f>VLOOKUP($A75,'Data Vlaue (Cr)'!$C:$FB,43)</f>
        <v>1354</v>
      </c>
      <c r="H75" s="49">
        <f>VLOOKUP($A75,'Data Vlaue (Cr)'!$C:$FB,44)</f>
        <v>1191</v>
      </c>
      <c r="I75" s="49">
        <f>VLOOKUP($A75,'Data Vlaue (Cr)'!$C:$FB,46)*100</f>
        <v>13.74</v>
      </c>
      <c r="J75" s="51">
        <f>VLOOKUP($A75,'Data Vlaue (Cr)'!$C:$FB,59)</f>
        <v>1529</v>
      </c>
      <c r="K75" s="51">
        <f>VLOOKUP($A75,'Data Vlaue (Cr)'!$C:$FB,60)</f>
        <v>2463</v>
      </c>
      <c r="L75" s="51">
        <f>VLOOKUP($A75,'Data Vlaue (Cr)'!$C:$FB,62)*100</f>
        <v>-37.9</v>
      </c>
      <c r="M75" s="51">
        <f>VLOOKUP($A75,'Data Vlaue (Cr)'!$C:$FB,63)</f>
        <v>947</v>
      </c>
      <c r="N75" s="51">
        <f>VLOOKUP($A75,'Data Vlaue (Cr)'!$C:$FB,64)</f>
        <v>1583</v>
      </c>
      <c r="O75" s="51">
        <f>VLOOKUP($A75,'Data Vlaue (Cr)'!$C:$FB,66)*100</f>
        <v>-40.17</v>
      </c>
    </row>
    <row r="76" spans="1:15" x14ac:dyDescent="0.25">
      <c r="A76" s="101" t="str">
        <f>'Data Vlaue (Cr)'!C71</f>
        <v>GRASIM</v>
      </c>
      <c r="B76" s="50">
        <f>VLOOKUP($A76,'Data Vlaue (Cr)'!$C:$FB,8)</f>
        <v>2787.6</v>
      </c>
      <c r="C76" s="50">
        <f>VLOOKUP($A76,'Data Vlaue (Cr)'!$C:$FB,11)*100</f>
        <v>1.9</v>
      </c>
      <c r="D76" s="50">
        <f>VLOOKUP($A76,'Data Vlaue (Cr)'!$C:$FB,143)</f>
        <v>4385.87</v>
      </c>
      <c r="E76" s="50">
        <f>VLOOKUP($A76,'Data Vlaue (Cr)'!$C:$FB,144)</f>
        <v>3292.86</v>
      </c>
      <c r="F76" s="50">
        <f>VLOOKUP($A76,'Data Vlaue (Cr)'!$C:$FB,146)*100</f>
        <v>33.19</v>
      </c>
      <c r="G76" s="49">
        <f>VLOOKUP($A76,'Data Vlaue (Cr)'!$C:$FB,43)</f>
        <v>3310</v>
      </c>
      <c r="H76" s="49">
        <f>VLOOKUP($A76,'Data Vlaue (Cr)'!$C:$FB,44)</f>
        <v>2147</v>
      </c>
      <c r="I76" s="49">
        <f>VLOOKUP($A76,'Data Vlaue (Cr)'!$C:$FB,46)*100</f>
        <v>54.169999999999995</v>
      </c>
      <c r="J76" s="51">
        <f>VLOOKUP($A76,'Data Vlaue (Cr)'!$C:$FB,59)</f>
        <v>623</v>
      </c>
      <c r="K76" s="51">
        <f>VLOOKUP($A76,'Data Vlaue (Cr)'!$C:$FB,60)</f>
        <v>740</v>
      </c>
      <c r="L76" s="51">
        <f>VLOOKUP($A76,'Data Vlaue (Cr)'!$C:$FB,62)*100</f>
        <v>-15.790000000000001</v>
      </c>
      <c r="M76" s="51">
        <f>VLOOKUP($A76,'Data Vlaue (Cr)'!$C:$FB,63)</f>
        <v>453</v>
      </c>
      <c r="N76" s="51">
        <f>VLOOKUP($A76,'Data Vlaue (Cr)'!$C:$FB,64)</f>
        <v>453</v>
      </c>
      <c r="O76" s="51">
        <f>VLOOKUP($A76,'Data Vlaue (Cr)'!$C:$FB,66)*100</f>
        <v>0.12</v>
      </c>
    </row>
    <row r="77" spans="1:15" x14ac:dyDescent="0.25">
      <c r="A77" s="101" t="str">
        <f>'Data Vlaue (Cr)'!C72</f>
        <v>HAL</v>
      </c>
      <c r="B77" s="50">
        <f>VLOOKUP($A77,'Data Vlaue (Cr)'!$C:$FB,8)</f>
        <v>4353.2</v>
      </c>
      <c r="C77" s="50">
        <f>VLOOKUP($A77,'Data Vlaue (Cr)'!$C:$FB,11)*100</f>
        <v>2.1999999999999997</v>
      </c>
      <c r="D77" s="50">
        <f>VLOOKUP($A77,'Data Vlaue (Cr)'!$C:$FB,143)</f>
        <v>8946.52</v>
      </c>
      <c r="E77" s="50">
        <f>VLOOKUP($A77,'Data Vlaue (Cr)'!$C:$FB,144)</f>
        <v>9821.24</v>
      </c>
      <c r="F77" s="50">
        <f>VLOOKUP($A77,'Data Vlaue (Cr)'!$C:$FB,146)*100</f>
        <v>-8.91</v>
      </c>
      <c r="G77" s="49">
        <f>VLOOKUP($A77,'Data Vlaue (Cr)'!$C:$FB,43)</f>
        <v>1998</v>
      </c>
      <c r="H77" s="49">
        <f>VLOOKUP($A77,'Data Vlaue (Cr)'!$C:$FB,44)</f>
        <v>1532</v>
      </c>
      <c r="I77" s="49">
        <f>VLOOKUP($A77,'Data Vlaue (Cr)'!$C:$FB,46)*100</f>
        <v>30.36</v>
      </c>
      <c r="J77" s="51">
        <f>VLOOKUP($A77,'Data Vlaue (Cr)'!$C:$FB,59)</f>
        <v>4736</v>
      </c>
      <c r="K77" s="51">
        <f>VLOOKUP($A77,'Data Vlaue (Cr)'!$C:$FB,60)</f>
        <v>5077</v>
      </c>
      <c r="L77" s="51">
        <f>VLOOKUP($A77,'Data Vlaue (Cr)'!$C:$FB,62)*100</f>
        <v>-6.72</v>
      </c>
      <c r="M77" s="51">
        <f>VLOOKUP($A77,'Data Vlaue (Cr)'!$C:$FB,63)</f>
        <v>2006</v>
      </c>
      <c r="N77" s="51">
        <f>VLOOKUP($A77,'Data Vlaue (Cr)'!$C:$FB,64)</f>
        <v>3069</v>
      </c>
      <c r="O77" s="51">
        <f>VLOOKUP($A77,'Data Vlaue (Cr)'!$C:$FB,66)*100</f>
        <v>-34.64</v>
      </c>
    </row>
    <row r="78" spans="1:15" x14ac:dyDescent="0.25">
      <c r="A78" s="101" t="str">
        <f>'Data Vlaue (Cr)'!C73</f>
        <v>HAVELLS</v>
      </c>
      <c r="B78" s="50">
        <f>VLOOKUP($A78,'Data Vlaue (Cr)'!$C:$FB,8)</f>
        <v>1311.8</v>
      </c>
      <c r="C78" s="50">
        <f>VLOOKUP($A78,'Data Vlaue (Cr)'!$C:$FB,11)*100</f>
        <v>-0.32</v>
      </c>
      <c r="D78" s="50">
        <f>VLOOKUP($A78,'Data Vlaue (Cr)'!$C:$FB,143)</f>
        <v>3094.49</v>
      </c>
      <c r="E78" s="50">
        <f>VLOOKUP($A78,'Data Vlaue (Cr)'!$C:$FB,144)</f>
        <v>7852.66</v>
      </c>
      <c r="F78" s="50">
        <f>VLOOKUP($A78,'Data Vlaue (Cr)'!$C:$FB,146)*100</f>
        <v>-60.589999999999996</v>
      </c>
      <c r="G78" s="49">
        <f>VLOOKUP($A78,'Data Vlaue (Cr)'!$C:$FB,43)</f>
        <v>1190</v>
      </c>
      <c r="H78" s="49">
        <f>VLOOKUP($A78,'Data Vlaue (Cr)'!$C:$FB,44)</f>
        <v>1210</v>
      </c>
      <c r="I78" s="49">
        <f>VLOOKUP($A78,'Data Vlaue (Cr)'!$C:$FB,46)*100</f>
        <v>-1.6400000000000001</v>
      </c>
      <c r="J78" s="51">
        <f>VLOOKUP($A78,'Data Vlaue (Cr)'!$C:$FB,59)</f>
        <v>1264</v>
      </c>
      <c r="K78" s="51">
        <f>VLOOKUP($A78,'Data Vlaue (Cr)'!$C:$FB,60)</f>
        <v>3407</v>
      </c>
      <c r="L78" s="51">
        <f>VLOOKUP($A78,'Data Vlaue (Cr)'!$C:$FB,62)*100</f>
        <v>-62.89</v>
      </c>
      <c r="M78" s="51">
        <f>VLOOKUP($A78,'Data Vlaue (Cr)'!$C:$FB,63)</f>
        <v>554</v>
      </c>
      <c r="N78" s="51">
        <f>VLOOKUP($A78,'Data Vlaue (Cr)'!$C:$FB,64)</f>
        <v>3032</v>
      </c>
      <c r="O78" s="51">
        <f>VLOOKUP($A78,'Data Vlaue (Cr)'!$C:$FB,66)*100</f>
        <v>-81.72</v>
      </c>
    </row>
    <row r="79" spans="1:15" x14ac:dyDescent="0.25">
      <c r="A79" s="101" t="str">
        <f>'Data Vlaue (Cr)'!C74</f>
        <v>HCLTECH</v>
      </c>
      <c r="B79" s="50">
        <f>VLOOKUP($A79,'Data Vlaue (Cr)'!$C:$FB,8)</f>
        <v>1703.1</v>
      </c>
      <c r="C79" s="50">
        <f>VLOOKUP($A79,'Data Vlaue (Cr)'!$C:$FB,11)*100</f>
        <v>1.22</v>
      </c>
      <c r="D79" s="50">
        <f>VLOOKUP($A79,'Data Vlaue (Cr)'!$C:$FB,143)</f>
        <v>5385.11</v>
      </c>
      <c r="E79" s="50">
        <f>VLOOKUP($A79,'Data Vlaue (Cr)'!$C:$FB,144)</f>
        <v>5499.56</v>
      </c>
      <c r="F79" s="50">
        <f>VLOOKUP($A79,'Data Vlaue (Cr)'!$C:$FB,146)*100</f>
        <v>-2.08</v>
      </c>
      <c r="G79" s="49">
        <f>VLOOKUP($A79,'Data Vlaue (Cr)'!$C:$FB,43)</f>
        <v>2277</v>
      </c>
      <c r="H79" s="49">
        <f>VLOOKUP($A79,'Data Vlaue (Cr)'!$C:$FB,44)</f>
        <v>1858</v>
      </c>
      <c r="I79" s="49">
        <f>VLOOKUP($A79,'Data Vlaue (Cr)'!$C:$FB,46)*100</f>
        <v>22.56</v>
      </c>
      <c r="J79" s="51">
        <f>VLOOKUP($A79,'Data Vlaue (Cr)'!$C:$FB,59)</f>
        <v>1932</v>
      </c>
      <c r="K79" s="51">
        <f>VLOOKUP($A79,'Data Vlaue (Cr)'!$C:$FB,60)</f>
        <v>2130</v>
      </c>
      <c r="L79" s="51">
        <f>VLOOKUP($A79,'Data Vlaue (Cr)'!$C:$FB,62)*100</f>
        <v>-9.3000000000000007</v>
      </c>
      <c r="M79" s="51">
        <f>VLOOKUP($A79,'Data Vlaue (Cr)'!$C:$FB,63)</f>
        <v>1176</v>
      </c>
      <c r="N79" s="51">
        <f>VLOOKUP($A79,'Data Vlaue (Cr)'!$C:$FB,64)</f>
        <v>1548</v>
      </c>
      <c r="O79" s="51">
        <f>VLOOKUP($A79,'Data Vlaue (Cr)'!$C:$FB,66)*100</f>
        <v>-24</v>
      </c>
    </row>
    <row r="80" spans="1:15" x14ac:dyDescent="0.25">
      <c r="A80" s="101" t="str">
        <f>'Data Vlaue (Cr)'!C75</f>
        <v>HDFCAMC</v>
      </c>
      <c r="B80" s="50">
        <f>VLOOKUP($A80,'Data Vlaue (Cr)'!$C:$FB,8)</f>
        <v>2498.9</v>
      </c>
      <c r="C80" s="50">
        <f>VLOOKUP($A80,'Data Vlaue (Cr)'!$C:$FB,11)*100</f>
        <v>0.91999999999999993</v>
      </c>
      <c r="D80" s="50">
        <f>VLOOKUP($A80,'Data Vlaue (Cr)'!$C:$FB,143)</f>
        <v>2757.97</v>
      </c>
      <c r="E80" s="50">
        <f>VLOOKUP($A80,'Data Vlaue (Cr)'!$C:$FB,144)</f>
        <v>4046.98</v>
      </c>
      <c r="F80" s="50">
        <f>VLOOKUP($A80,'Data Vlaue (Cr)'!$C:$FB,146)*100</f>
        <v>-31.85</v>
      </c>
      <c r="G80" s="49">
        <f>VLOOKUP($A80,'Data Vlaue (Cr)'!$C:$FB,43)</f>
        <v>1503</v>
      </c>
      <c r="H80" s="49">
        <f>VLOOKUP($A80,'Data Vlaue (Cr)'!$C:$FB,44)</f>
        <v>1190</v>
      </c>
      <c r="I80" s="49">
        <f>VLOOKUP($A80,'Data Vlaue (Cr)'!$C:$FB,46)*100</f>
        <v>26.32</v>
      </c>
      <c r="J80" s="51">
        <f>VLOOKUP($A80,'Data Vlaue (Cr)'!$C:$FB,59)</f>
        <v>869</v>
      </c>
      <c r="K80" s="51">
        <f>VLOOKUP($A80,'Data Vlaue (Cr)'!$C:$FB,60)</f>
        <v>1823</v>
      </c>
      <c r="L80" s="51">
        <f>VLOOKUP($A80,'Data Vlaue (Cr)'!$C:$FB,62)*100</f>
        <v>-52.339999999999996</v>
      </c>
      <c r="M80" s="51">
        <f>VLOOKUP($A80,'Data Vlaue (Cr)'!$C:$FB,63)</f>
        <v>333</v>
      </c>
      <c r="N80" s="51">
        <f>VLOOKUP($A80,'Data Vlaue (Cr)'!$C:$FB,64)</f>
        <v>948</v>
      </c>
      <c r="O80" s="51">
        <f>VLOOKUP($A80,'Data Vlaue (Cr)'!$C:$FB,66)*100</f>
        <v>-64.86</v>
      </c>
    </row>
    <row r="81" spans="1:15" x14ac:dyDescent="0.25">
      <c r="A81" s="101" t="str">
        <f>'Data Vlaue (Cr)'!C76</f>
        <v>HDFCBANK</v>
      </c>
      <c r="B81" s="50">
        <f>VLOOKUP($A81,'Data Vlaue (Cr)'!$C:$FB,8)</f>
        <v>918.7</v>
      </c>
      <c r="C81" s="50">
        <f>VLOOKUP($A81,'Data Vlaue (Cr)'!$C:$FB,11)*100</f>
        <v>-0.18</v>
      </c>
      <c r="D81" s="50">
        <f>VLOOKUP($A81,'Data Vlaue (Cr)'!$C:$FB,143)</f>
        <v>35136.94</v>
      </c>
      <c r="E81" s="50">
        <f>VLOOKUP($A81,'Data Vlaue (Cr)'!$C:$FB,144)</f>
        <v>39708.550000000003</v>
      </c>
      <c r="F81" s="50">
        <f>VLOOKUP($A81,'Data Vlaue (Cr)'!$C:$FB,146)*100</f>
        <v>-11.51</v>
      </c>
      <c r="G81" s="49">
        <f>VLOOKUP($A81,'Data Vlaue (Cr)'!$C:$FB,43)</f>
        <v>12045</v>
      </c>
      <c r="H81" s="49">
        <f>VLOOKUP($A81,'Data Vlaue (Cr)'!$C:$FB,44)</f>
        <v>11403</v>
      </c>
      <c r="I81" s="49">
        <f>VLOOKUP($A81,'Data Vlaue (Cr)'!$C:$FB,46)*100</f>
        <v>5.63</v>
      </c>
      <c r="J81" s="51">
        <f>VLOOKUP($A81,'Data Vlaue (Cr)'!$C:$FB,59)</f>
        <v>14128</v>
      </c>
      <c r="K81" s="51">
        <f>VLOOKUP($A81,'Data Vlaue (Cr)'!$C:$FB,60)</f>
        <v>15531</v>
      </c>
      <c r="L81" s="51">
        <f>VLOOKUP($A81,'Data Vlaue (Cr)'!$C:$FB,62)*100</f>
        <v>-9.0300000000000011</v>
      </c>
      <c r="M81" s="51">
        <f>VLOOKUP($A81,'Data Vlaue (Cr)'!$C:$FB,63)</f>
        <v>8581</v>
      </c>
      <c r="N81" s="51">
        <f>VLOOKUP($A81,'Data Vlaue (Cr)'!$C:$FB,64)</f>
        <v>12169</v>
      </c>
      <c r="O81" s="51">
        <f>VLOOKUP($A81,'Data Vlaue (Cr)'!$C:$FB,66)*100</f>
        <v>-29.48</v>
      </c>
    </row>
    <row r="82" spans="1:15" x14ac:dyDescent="0.25">
      <c r="A82" s="101" t="str">
        <f>'Data Vlaue (Cr)'!C77</f>
        <v>HDFCLIFE</v>
      </c>
      <c r="B82" s="50">
        <f>VLOOKUP($A82,'Data Vlaue (Cr)'!$C:$FB,8)</f>
        <v>725.1</v>
      </c>
      <c r="C82" s="50">
        <f>VLOOKUP($A82,'Data Vlaue (Cr)'!$C:$FB,11)*100</f>
        <v>0.1</v>
      </c>
      <c r="D82" s="50">
        <f>VLOOKUP($A82,'Data Vlaue (Cr)'!$C:$FB,143)</f>
        <v>3804.46</v>
      </c>
      <c r="E82" s="50">
        <f>VLOOKUP($A82,'Data Vlaue (Cr)'!$C:$FB,144)</f>
        <v>4465.7700000000004</v>
      </c>
      <c r="F82" s="50">
        <f>VLOOKUP($A82,'Data Vlaue (Cr)'!$C:$FB,146)*100</f>
        <v>-14.81</v>
      </c>
      <c r="G82" s="49">
        <f>VLOOKUP($A82,'Data Vlaue (Cr)'!$C:$FB,43)</f>
        <v>1945</v>
      </c>
      <c r="H82" s="49">
        <f>VLOOKUP($A82,'Data Vlaue (Cr)'!$C:$FB,44)</f>
        <v>1821</v>
      </c>
      <c r="I82" s="49">
        <f>VLOOKUP($A82,'Data Vlaue (Cr)'!$C:$FB,46)*100</f>
        <v>6.79</v>
      </c>
      <c r="J82" s="51">
        <f>VLOOKUP($A82,'Data Vlaue (Cr)'!$C:$FB,59)</f>
        <v>1091</v>
      </c>
      <c r="K82" s="51">
        <f>VLOOKUP($A82,'Data Vlaue (Cr)'!$C:$FB,60)</f>
        <v>1615</v>
      </c>
      <c r="L82" s="51">
        <f>VLOOKUP($A82,'Data Vlaue (Cr)'!$C:$FB,62)*100</f>
        <v>-32.409999999999997</v>
      </c>
      <c r="M82" s="51">
        <f>VLOOKUP($A82,'Data Vlaue (Cr)'!$C:$FB,63)</f>
        <v>732</v>
      </c>
      <c r="N82" s="51">
        <f>VLOOKUP($A82,'Data Vlaue (Cr)'!$C:$FB,64)</f>
        <v>941</v>
      </c>
      <c r="O82" s="51">
        <f>VLOOKUP($A82,'Data Vlaue (Cr)'!$C:$FB,66)*100</f>
        <v>-22.18</v>
      </c>
    </row>
    <row r="83" spans="1:15" x14ac:dyDescent="0.25">
      <c r="A83" s="101" t="str">
        <f>'Data Vlaue (Cr)'!C78</f>
        <v>HEROMOTOCO</v>
      </c>
      <c r="B83" s="50">
        <f>VLOOKUP($A83,'Data Vlaue (Cr)'!$C:$FB,8)</f>
        <v>5488.5</v>
      </c>
      <c r="C83" s="50">
        <f>VLOOKUP($A83,'Data Vlaue (Cr)'!$C:$FB,11)*100</f>
        <v>-0.89999999999999991</v>
      </c>
      <c r="D83" s="50">
        <f>VLOOKUP($A83,'Data Vlaue (Cr)'!$C:$FB,143)</f>
        <v>8275.39</v>
      </c>
      <c r="E83" s="50">
        <f>VLOOKUP($A83,'Data Vlaue (Cr)'!$C:$FB,144)</f>
        <v>9652.84</v>
      </c>
      <c r="F83" s="50">
        <f>VLOOKUP($A83,'Data Vlaue (Cr)'!$C:$FB,146)*100</f>
        <v>-14.27</v>
      </c>
      <c r="G83" s="49">
        <f>VLOOKUP($A83,'Data Vlaue (Cr)'!$C:$FB,43)</f>
        <v>2619</v>
      </c>
      <c r="H83" s="49">
        <f>VLOOKUP($A83,'Data Vlaue (Cr)'!$C:$FB,44)</f>
        <v>2423</v>
      </c>
      <c r="I83" s="49">
        <f>VLOOKUP($A83,'Data Vlaue (Cr)'!$C:$FB,46)*100</f>
        <v>8.1100000000000012</v>
      </c>
      <c r="J83" s="51">
        <f>VLOOKUP($A83,'Data Vlaue (Cr)'!$C:$FB,59)</f>
        <v>3743</v>
      </c>
      <c r="K83" s="51">
        <f>VLOOKUP($A83,'Data Vlaue (Cr)'!$C:$FB,60)</f>
        <v>4422</v>
      </c>
      <c r="L83" s="51">
        <f>VLOOKUP($A83,'Data Vlaue (Cr)'!$C:$FB,62)*100</f>
        <v>-15.36</v>
      </c>
      <c r="M83" s="51">
        <f>VLOOKUP($A83,'Data Vlaue (Cr)'!$C:$FB,63)</f>
        <v>1632</v>
      </c>
      <c r="N83" s="51">
        <f>VLOOKUP($A83,'Data Vlaue (Cr)'!$C:$FB,64)</f>
        <v>2465</v>
      </c>
      <c r="O83" s="51">
        <f>VLOOKUP($A83,'Data Vlaue (Cr)'!$C:$FB,66)*100</f>
        <v>-33.81</v>
      </c>
    </row>
    <row r="84" spans="1:15" x14ac:dyDescent="0.25">
      <c r="A84" s="101" t="str">
        <f>'Data Vlaue (Cr)'!C79</f>
        <v>HINDALCO</v>
      </c>
      <c r="B84" s="50">
        <f>VLOOKUP($A84,'Data Vlaue (Cr)'!$C:$FB,8)</f>
        <v>944.45</v>
      </c>
      <c r="C84" s="50">
        <f>VLOOKUP($A84,'Data Vlaue (Cr)'!$C:$FB,11)*100</f>
        <v>0.55999999999999994</v>
      </c>
      <c r="D84" s="50">
        <f>VLOOKUP($A84,'Data Vlaue (Cr)'!$C:$FB,143)</f>
        <v>8953.58</v>
      </c>
      <c r="E84" s="50">
        <f>VLOOKUP($A84,'Data Vlaue (Cr)'!$C:$FB,144)</f>
        <v>8465.02</v>
      </c>
      <c r="F84" s="50">
        <f>VLOOKUP($A84,'Data Vlaue (Cr)'!$C:$FB,146)*100</f>
        <v>5.7700000000000005</v>
      </c>
      <c r="G84" s="49">
        <f>VLOOKUP($A84,'Data Vlaue (Cr)'!$C:$FB,43)</f>
        <v>3924</v>
      </c>
      <c r="H84" s="49">
        <f>VLOOKUP($A84,'Data Vlaue (Cr)'!$C:$FB,44)</f>
        <v>2714</v>
      </c>
      <c r="I84" s="49">
        <f>VLOOKUP($A84,'Data Vlaue (Cr)'!$C:$FB,46)*100</f>
        <v>44.61</v>
      </c>
      <c r="J84" s="51">
        <f>VLOOKUP($A84,'Data Vlaue (Cr)'!$C:$FB,59)</f>
        <v>3034</v>
      </c>
      <c r="K84" s="51">
        <f>VLOOKUP($A84,'Data Vlaue (Cr)'!$C:$FB,60)</f>
        <v>3704</v>
      </c>
      <c r="L84" s="51">
        <f>VLOOKUP($A84,'Data Vlaue (Cr)'!$C:$FB,62)*100</f>
        <v>-18.099999999999998</v>
      </c>
      <c r="M84" s="51">
        <f>VLOOKUP($A84,'Data Vlaue (Cr)'!$C:$FB,63)</f>
        <v>1928</v>
      </c>
      <c r="N84" s="51">
        <f>VLOOKUP($A84,'Data Vlaue (Cr)'!$C:$FB,64)</f>
        <v>2011</v>
      </c>
      <c r="O84" s="51">
        <f>VLOOKUP($A84,'Data Vlaue (Cr)'!$C:$FB,66)*100</f>
        <v>-4.1300000000000008</v>
      </c>
    </row>
    <row r="85" spans="1:15" x14ac:dyDescent="0.25">
      <c r="A85" s="101" t="str">
        <f>'Data Vlaue (Cr)'!C80</f>
        <v>HINDPETRO</v>
      </c>
      <c r="B85" s="50">
        <f>VLOOKUP($A85,'Data Vlaue (Cr)'!$C:$FB,8)</f>
        <v>427.7</v>
      </c>
      <c r="C85" s="50">
        <f>VLOOKUP($A85,'Data Vlaue (Cr)'!$C:$FB,11)*100</f>
        <v>-0.31</v>
      </c>
      <c r="D85" s="50">
        <f>VLOOKUP($A85,'Data Vlaue (Cr)'!$C:$FB,143)</f>
        <v>4299.04</v>
      </c>
      <c r="E85" s="50">
        <f>VLOOKUP($A85,'Data Vlaue (Cr)'!$C:$FB,144)</f>
        <v>4195.58</v>
      </c>
      <c r="F85" s="50">
        <f>VLOOKUP($A85,'Data Vlaue (Cr)'!$C:$FB,146)*100</f>
        <v>2.4699999999999998</v>
      </c>
      <c r="G85" s="49">
        <f>VLOOKUP($A85,'Data Vlaue (Cr)'!$C:$FB,43)</f>
        <v>1146</v>
      </c>
      <c r="H85" s="49">
        <f>VLOOKUP($A85,'Data Vlaue (Cr)'!$C:$FB,44)</f>
        <v>899</v>
      </c>
      <c r="I85" s="49">
        <f>VLOOKUP($A85,'Data Vlaue (Cr)'!$C:$FB,46)*100</f>
        <v>27.389999999999997</v>
      </c>
      <c r="J85" s="51">
        <f>VLOOKUP($A85,'Data Vlaue (Cr)'!$C:$FB,59)</f>
        <v>1867</v>
      </c>
      <c r="K85" s="51">
        <f>VLOOKUP($A85,'Data Vlaue (Cr)'!$C:$FB,60)</f>
        <v>1917</v>
      </c>
      <c r="L85" s="51">
        <f>VLOOKUP($A85,'Data Vlaue (Cr)'!$C:$FB,62)*100</f>
        <v>-2.65</v>
      </c>
      <c r="M85" s="51">
        <f>VLOOKUP($A85,'Data Vlaue (Cr)'!$C:$FB,63)</f>
        <v>1176</v>
      </c>
      <c r="N85" s="51">
        <f>VLOOKUP($A85,'Data Vlaue (Cr)'!$C:$FB,64)</f>
        <v>1207</v>
      </c>
      <c r="O85" s="51">
        <f>VLOOKUP($A85,'Data Vlaue (Cr)'!$C:$FB,66)*100</f>
        <v>-2.5700000000000003</v>
      </c>
    </row>
    <row r="86" spans="1:15" x14ac:dyDescent="0.25">
      <c r="A86" s="101" t="str">
        <f>'Data Vlaue (Cr)'!C81</f>
        <v>HINDUNILVR</v>
      </c>
      <c r="B86" s="50">
        <f>VLOOKUP($A86,'Data Vlaue (Cr)'!$C:$FB,8)</f>
        <v>2390.6</v>
      </c>
      <c r="C86" s="50">
        <f>VLOOKUP($A86,'Data Vlaue (Cr)'!$C:$FB,11)*100</f>
        <v>0.95</v>
      </c>
      <c r="D86" s="50">
        <f>VLOOKUP($A86,'Data Vlaue (Cr)'!$C:$FB,143)</f>
        <v>8393.3700000000008</v>
      </c>
      <c r="E86" s="50">
        <f>VLOOKUP($A86,'Data Vlaue (Cr)'!$C:$FB,144)</f>
        <v>8332.7900000000009</v>
      </c>
      <c r="F86" s="50">
        <f>VLOOKUP($A86,'Data Vlaue (Cr)'!$C:$FB,146)*100</f>
        <v>0.73</v>
      </c>
      <c r="G86" s="49">
        <f>VLOOKUP($A86,'Data Vlaue (Cr)'!$C:$FB,43)</f>
        <v>3142</v>
      </c>
      <c r="H86" s="49">
        <f>VLOOKUP($A86,'Data Vlaue (Cr)'!$C:$FB,44)</f>
        <v>2775</v>
      </c>
      <c r="I86" s="49">
        <f>VLOOKUP($A86,'Data Vlaue (Cr)'!$C:$FB,46)*100</f>
        <v>13.22</v>
      </c>
      <c r="J86" s="51">
        <f>VLOOKUP($A86,'Data Vlaue (Cr)'!$C:$FB,59)</f>
        <v>3486</v>
      </c>
      <c r="K86" s="51">
        <f>VLOOKUP($A86,'Data Vlaue (Cr)'!$C:$FB,60)</f>
        <v>3459</v>
      </c>
      <c r="L86" s="51">
        <f>VLOOKUP($A86,'Data Vlaue (Cr)'!$C:$FB,62)*100</f>
        <v>0.8</v>
      </c>
      <c r="M86" s="51">
        <f>VLOOKUP($A86,'Data Vlaue (Cr)'!$C:$FB,63)</f>
        <v>1753</v>
      </c>
      <c r="N86" s="51">
        <f>VLOOKUP($A86,'Data Vlaue (Cr)'!$C:$FB,64)</f>
        <v>2079</v>
      </c>
      <c r="O86" s="51">
        <f>VLOOKUP($A86,'Data Vlaue (Cr)'!$C:$FB,66)*100</f>
        <v>-15.65</v>
      </c>
    </row>
    <row r="87" spans="1:15" x14ac:dyDescent="0.25">
      <c r="A87" s="101" t="str">
        <f>'Data Vlaue (Cr)'!C82</f>
        <v>HINDZINC</v>
      </c>
      <c r="B87" s="50">
        <f>VLOOKUP($A87,'Data Vlaue (Cr)'!$C:$FB,8)</f>
        <v>668.25</v>
      </c>
      <c r="C87" s="50">
        <f>VLOOKUP($A87,'Data Vlaue (Cr)'!$C:$FB,11)*100</f>
        <v>-4.2</v>
      </c>
      <c r="D87" s="50">
        <f>VLOOKUP($A87,'Data Vlaue (Cr)'!$C:$FB,143)</f>
        <v>36325.72</v>
      </c>
      <c r="E87" s="50">
        <f>VLOOKUP($A87,'Data Vlaue (Cr)'!$C:$FB,144)</f>
        <v>31190.84</v>
      </c>
      <c r="F87" s="50">
        <f>VLOOKUP($A87,'Data Vlaue (Cr)'!$C:$FB,146)*100</f>
        <v>16.46</v>
      </c>
      <c r="G87" s="49">
        <f>VLOOKUP($A87,'Data Vlaue (Cr)'!$C:$FB,43)</f>
        <v>3641</v>
      </c>
      <c r="H87" s="49">
        <f>VLOOKUP($A87,'Data Vlaue (Cr)'!$C:$FB,44)</f>
        <v>2574</v>
      </c>
      <c r="I87" s="49">
        <f>VLOOKUP($A87,'Data Vlaue (Cr)'!$C:$FB,46)*100</f>
        <v>41.449999999999996</v>
      </c>
      <c r="J87" s="51">
        <f>VLOOKUP($A87,'Data Vlaue (Cr)'!$C:$FB,59)</f>
        <v>20600</v>
      </c>
      <c r="K87" s="51">
        <f>VLOOKUP($A87,'Data Vlaue (Cr)'!$C:$FB,60)</f>
        <v>20012</v>
      </c>
      <c r="L87" s="51">
        <f>VLOOKUP($A87,'Data Vlaue (Cr)'!$C:$FB,62)*100</f>
        <v>2.94</v>
      </c>
      <c r="M87" s="51">
        <f>VLOOKUP($A87,'Data Vlaue (Cr)'!$C:$FB,63)</f>
        <v>10800</v>
      </c>
      <c r="N87" s="51">
        <f>VLOOKUP($A87,'Data Vlaue (Cr)'!$C:$FB,64)</f>
        <v>6615</v>
      </c>
      <c r="O87" s="51">
        <f>VLOOKUP($A87,'Data Vlaue (Cr)'!$C:$FB,66)*100</f>
        <v>63.27</v>
      </c>
    </row>
    <row r="88" spans="1:15" x14ac:dyDescent="0.25">
      <c r="A88" s="101" t="str">
        <f>'Data Vlaue (Cr)'!C83</f>
        <v>HUDCO</v>
      </c>
      <c r="B88" s="50">
        <f>VLOOKUP($A88,'Data Vlaue (Cr)'!$C:$FB,8)</f>
        <v>207.11</v>
      </c>
      <c r="C88" s="50">
        <f>VLOOKUP($A88,'Data Vlaue (Cr)'!$C:$FB,11)*100</f>
        <v>1.95</v>
      </c>
      <c r="D88" s="50">
        <f>VLOOKUP($A88,'Data Vlaue (Cr)'!$C:$FB,143)</f>
        <v>1573.41</v>
      </c>
      <c r="E88" s="50">
        <f>VLOOKUP($A88,'Data Vlaue (Cr)'!$C:$FB,144)</f>
        <v>1539.87</v>
      </c>
      <c r="F88" s="50">
        <f>VLOOKUP($A88,'Data Vlaue (Cr)'!$C:$FB,146)*100</f>
        <v>2.1800000000000002</v>
      </c>
      <c r="G88" s="49">
        <f>VLOOKUP($A88,'Data Vlaue (Cr)'!$C:$FB,43)</f>
        <v>591</v>
      </c>
      <c r="H88" s="49">
        <f>VLOOKUP($A88,'Data Vlaue (Cr)'!$C:$FB,44)</f>
        <v>399</v>
      </c>
      <c r="I88" s="49">
        <f>VLOOKUP($A88,'Data Vlaue (Cr)'!$C:$FB,46)*100</f>
        <v>48.16</v>
      </c>
      <c r="J88" s="51">
        <f>VLOOKUP($A88,'Data Vlaue (Cr)'!$C:$FB,59)</f>
        <v>635</v>
      </c>
      <c r="K88" s="51">
        <f>VLOOKUP($A88,'Data Vlaue (Cr)'!$C:$FB,60)</f>
        <v>646</v>
      </c>
      <c r="L88" s="51">
        <f>VLOOKUP($A88,'Data Vlaue (Cr)'!$C:$FB,62)*100</f>
        <v>-1.69</v>
      </c>
      <c r="M88" s="51">
        <f>VLOOKUP($A88,'Data Vlaue (Cr)'!$C:$FB,63)</f>
        <v>301</v>
      </c>
      <c r="N88" s="51">
        <f>VLOOKUP($A88,'Data Vlaue (Cr)'!$C:$FB,64)</f>
        <v>462</v>
      </c>
      <c r="O88" s="51">
        <f>VLOOKUP($A88,'Data Vlaue (Cr)'!$C:$FB,66)*100</f>
        <v>-35</v>
      </c>
    </row>
    <row r="89" spans="1:15" x14ac:dyDescent="0.25">
      <c r="A89" s="101" t="str">
        <f>'Data Vlaue (Cr)'!C84</f>
        <v>ICICIBANK</v>
      </c>
      <c r="B89" s="50">
        <f>VLOOKUP($A89,'Data Vlaue (Cr)'!$C:$FB,8)</f>
        <v>1345.5</v>
      </c>
      <c r="C89" s="50">
        <f>VLOOKUP($A89,'Data Vlaue (Cr)'!$C:$FB,11)*100</f>
        <v>-0.26</v>
      </c>
      <c r="D89" s="50">
        <f>VLOOKUP($A89,'Data Vlaue (Cr)'!$C:$FB,143)</f>
        <v>27721.02</v>
      </c>
      <c r="E89" s="50">
        <f>VLOOKUP($A89,'Data Vlaue (Cr)'!$C:$FB,144)</f>
        <v>42062.85</v>
      </c>
      <c r="F89" s="50">
        <f>VLOOKUP($A89,'Data Vlaue (Cr)'!$C:$FB,146)*100</f>
        <v>-34.1</v>
      </c>
      <c r="G89" s="49">
        <f>VLOOKUP($A89,'Data Vlaue (Cr)'!$C:$FB,43)</f>
        <v>8710</v>
      </c>
      <c r="H89" s="49">
        <f>VLOOKUP($A89,'Data Vlaue (Cr)'!$C:$FB,44)</f>
        <v>8629</v>
      </c>
      <c r="I89" s="49">
        <f>VLOOKUP($A89,'Data Vlaue (Cr)'!$C:$FB,46)*100</f>
        <v>0.94000000000000006</v>
      </c>
      <c r="J89" s="51">
        <f>VLOOKUP($A89,'Data Vlaue (Cr)'!$C:$FB,59)</f>
        <v>10582</v>
      </c>
      <c r="K89" s="51">
        <f>VLOOKUP($A89,'Data Vlaue (Cr)'!$C:$FB,60)</f>
        <v>18679</v>
      </c>
      <c r="L89" s="51">
        <f>VLOOKUP($A89,'Data Vlaue (Cr)'!$C:$FB,62)*100</f>
        <v>-43.35</v>
      </c>
      <c r="M89" s="51">
        <f>VLOOKUP($A89,'Data Vlaue (Cr)'!$C:$FB,63)</f>
        <v>8173</v>
      </c>
      <c r="N89" s="51">
        <f>VLOOKUP($A89,'Data Vlaue (Cr)'!$C:$FB,64)</f>
        <v>14126</v>
      </c>
      <c r="O89" s="51">
        <f>VLOOKUP($A89,'Data Vlaue (Cr)'!$C:$FB,66)*100</f>
        <v>-42.14</v>
      </c>
    </row>
    <row r="90" spans="1:15" x14ac:dyDescent="0.25">
      <c r="A90" s="101" t="str">
        <f>'Data Vlaue (Cr)'!C85</f>
        <v>ICICIGI</v>
      </c>
      <c r="B90" s="50">
        <f>VLOOKUP($A90,'Data Vlaue (Cr)'!$C:$FB,8)</f>
        <v>1824.7</v>
      </c>
      <c r="C90" s="50">
        <f>VLOOKUP($A90,'Data Vlaue (Cr)'!$C:$FB,11)*100</f>
        <v>-0.54</v>
      </c>
      <c r="D90" s="50">
        <f>VLOOKUP($A90,'Data Vlaue (Cr)'!$C:$FB,143)</f>
        <v>1255.3</v>
      </c>
      <c r="E90" s="50">
        <f>VLOOKUP($A90,'Data Vlaue (Cr)'!$C:$FB,144)</f>
        <v>1472.29</v>
      </c>
      <c r="F90" s="50">
        <f>VLOOKUP($A90,'Data Vlaue (Cr)'!$C:$FB,146)*100</f>
        <v>-14.74</v>
      </c>
      <c r="G90" s="49">
        <f>VLOOKUP($A90,'Data Vlaue (Cr)'!$C:$FB,43)</f>
        <v>862</v>
      </c>
      <c r="H90" s="49">
        <f>VLOOKUP($A90,'Data Vlaue (Cr)'!$C:$FB,44)</f>
        <v>755</v>
      </c>
      <c r="I90" s="49">
        <f>VLOOKUP($A90,'Data Vlaue (Cr)'!$C:$FB,46)*100</f>
        <v>14.16</v>
      </c>
      <c r="J90" s="51">
        <f>VLOOKUP($A90,'Data Vlaue (Cr)'!$C:$FB,59)</f>
        <v>241</v>
      </c>
      <c r="K90" s="51">
        <f>VLOOKUP($A90,'Data Vlaue (Cr)'!$C:$FB,60)</f>
        <v>442</v>
      </c>
      <c r="L90" s="51">
        <f>VLOOKUP($A90,'Data Vlaue (Cr)'!$C:$FB,62)*100</f>
        <v>-45.61</v>
      </c>
      <c r="M90" s="51">
        <f>VLOOKUP($A90,'Data Vlaue (Cr)'!$C:$FB,63)</f>
        <v>138</v>
      </c>
      <c r="N90" s="51">
        <f>VLOOKUP($A90,'Data Vlaue (Cr)'!$C:$FB,64)</f>
        <v>248</v>
      </c>
      <c r="O90" s="51">
        <f>VLOOKUP($A90,'Data Vlaue (Cr)'!$C:$FB,66)*100</f>
        <v>-44.230000000000004</v>
      </c>
    </row>
    <row r="91" spans="1:15" x14ac:dyDescent="0.25">
      <c r="A91" s="101" t="str">
        <f>'Data Vlaue (Cr)'!C86</f>
        <v>ICICIPRULI</v>
      </c>
      <c r="B91" s="50">
        <f>VLOOKUP($A91,'Data Vlaue (Cr)'!$C:$FB,8)</f>
        <v>653.15</v>
      </c>
      <c r="C91" s="50">
        <f>VLOOKUP($A91,'Data Vlaue (Cr)'!$C:$FB,11)*100</f>
        <v>0.92999999999999994</v>
      </c>
      <c r="D91" s="50">
        <f>VLOOKUP($A91,'Data Vlaue (Cr)'!$C:$FB,143)</f>
        <v>1665.33</v>
      </c>
      <c r="E91" s="50">
        <f>VLOOKUP($A91,'Data Vlaue (Cr)'!$C:$FB,144)</f>
        <v>1080.78</v>
      </c>
      <c r="F91" s="50">
        <f>VLOOKUP($A91,'Data Vlaue (Cr)'!$C:$FB,146)*100</f>
        <v>54.09</v>
      </c>
      <c r="G91" s="49">
        <f>VLOOKUP($A91,'Data Vlaue (Cr)'!$C:$FB,43)</f>
        <v>1205</v>
      </c>
      <c r="H91" s="49">
        <f>VLOOKUP($A91,'Data Vlaue (Cr)'!$C:$FB,44)</f>
        <v>534</v>
      </c>
      <c r="I91" s="49">
        <f>VLOOKUP($A91,'Data Vlaue (Cr)'!$C:$FB,46)*100</f>
        <v>125.4</v>
      </c>
      <c r="J91" s="51">
        <f>VLOOKUP($A91,'Data Vlaue (Cr)'!$C:$FB,59)</f>
        <v>294</v>
      </c>
      <c r="K91" s="51">
        <f>VLOOKUP($A91,'Data Vlaue (Cr)'!$C:$FB,60)</f>
        <v>346</v>
      </c>
      <c r="L91" s="51">
        <f>VLOOKUP($A91,'Data Vlaue (Cr)'!$C:$FB,62)*100</f>
        <v>-15</v>
      </c>
      <c r="M91" s="51">
        <f>VLOOKUP($A91,'Data Vlaue (Cr)'!$C:$FB,63)</f>
        <v>154</v>
      </c>
      <c r="N91" s="51">
        <f>VLOOKUP($A91,'Data Vlaue (Cr)'!$C:$FB,64)</f>
        <v>195</v>
      </c>
      <c r="O91" s="51">
        <f>VLOOKUP($A91,'Data Vlaue (Cr)'!$C:$FB,66)*100</f>
        <v>-21.310000000000002</v>
      </c>
    </row>
    <row r="92" spans="1:15" x14ac:dyDescent="0.25">
      <c r="A92" s="101" t="str">
        <f>'Data Vlaue (Cr)'!C87</f>
        <v>IDEA</v>
      </c>
      <c r="B92" s="50">
        <f>VLOOKUP($A92,'Data Vlaue (Cr)'!$C:$FB,8)</f>
        <v>10.18</v>
      </c>
      <c r="C92" s="50">
        <f>VLOOKUP($A92,'Data Vlaue (Cr)'!$C:$FB,11)*100</f>
        <v>0.59</v>
      </c>
      <c r="D92" s="50">
        <f>VLOOKUP($A92,'Data Vlaue (Cr)'!$C:$FB,143)</f>
        <v>4536.09</v>
      </c>
      <c r="E92" s="50">
        <f>VLOOKUP($A92,'Data Vlaue (Cr)'!$C:$FB,144)</f>
        <v>7682.57</v>
      </c>
      <c r="F92" s="50">
        <f>VLOOKUP($A92,'Data Vlaue (Cr)'!$C:$FB,146)*100</f>
        <v>-40.96</v>
      </c>
      <c r="G92" s="49">
        <f>VLOOKUP($A92,'Data Vlaue (Cr)'!$C:$FB,43)</f>
        <v>2695</v>
      </c>
      <c r="H92" s="49">
        <f>VLOOKUP($A92,'Data Vlaue (Cr)'!$C:$FB,44)</f>
        <v>4282</v>
      </c>
      <c r="I92" s="49">
        <f>VLOOKUP($A92,'Data Vlaue (Cr)'!$C:$FB,46)*100</f>
        <v>-37.059999999999995</v>
      </c>
      <c r="J92" s="51">
        <f>VLOOKUP($A92,'Data Vlaue (Cr)'!$C:$FB,59)</f>
        <v>1095</v>
      </c>
      <c r="K92" s="51">
        <f>VLOOKUP($A92,'Data Vlaue (Cr)'!$C:$FB,60)</f>
        <v>2134</v>
      </c>
      <c r="L92" s="51">
        <f>VLOOKUP($A92,'Data Vlaue (Cr)'!$C:$FB,62)*100</f>
        <v>-48.69</v>
      </c>
      <c r="M92" s="51">
        <f>VLOOKUP($A92,'Data Vlaue (Cr)'!$C:$FB,63)</f>
        <v>528</v>
      </c>
      <c r="N92" s="51">
        <f>VLOOKUP($A92,'Data Vlaue (Cr)'!$C:$FB,64)</f>
        <v>1010</v>
      </c>
      <c r="O92" s="51">
        <f>VLOOKUP($A92,'Data Vlaue (Cr)'!$C:$FB,66)*100</f>
        <v>-47.71</v>
      </c>
    </row>
    <row r="93" spans="1:15" x14ac:dyDescent="0.25">
      <c r="A93" s="101" t="str">
        <f>'Data Vlaue (Cr)'!C88</f>
        <v>IDFCFIRSTB</v>
      </c>
      <c r="B93" s="50">
        <f>VLOOKUP($A93,'Data Vlaue (Cr)'!$C:$FB,8)</f>
        <v>84.2</v>
      </c>
      <c r="C93" s="50">
        <f>VLOOKUP($A93,'Data Vlaue (Cr)'!$C:$FB,11)*100</f>
        <v>3.3000000000000003</v>
      </c>
      <c r="D93" s="50">
        <f>VLOOKUP($A93,'Data Vlaue (Cr)'!$C:$FB,143)</f>
        <v>4005.48</v>
      </c>
      <c r="E93" s="50">
        <f>VLOOKUP($A93,'Data Vlaue (Cr)'!$C:$FB,144)</f>
        <v>3838.52</v>
      </c>
      <c r="F93" s="50">
        <f>VLOOKUP($A93,'Data Vlaue (Cr)'!$C:$FB,146)*100</f>
        <v>4.3499999999999996</v>
      </c>
      <c r="G93" s="49">
        <f>VLOOKUP($A93,'Data Vlaue (Cr)'!$C:$FB,43)</f>
        <v>1742</v>
      </c>
      <c r="H93" s="49">
        <f>VLOOKUP($A93,'Data Vlaue (Cr)'!$C:$FB,44)</f>
        <v>1854</v>
      </c>
      <c r="I93" s="49">
        <f>VLOOKUP($A93,'Data Vlaue (Cr)'!$C:$FB,46)*100</f>
        <v>-6.03</v>
      </c>
      <c r="J93" s="51">
        <f>VLOOKUP($A93,'Data Vlaue (Cr)'!$C:$FB,59)</f>
        <v>1565</v>
      </c>
      <c r="K93" s="51">
        <f>VLOOKUP($A93,'Data Vlaue (Cr)'!$C:$FB,60)</f>
        <v>1247</v>
      </c>
      <c r="L93" s="51">
        <f>VLOOKUP($A93,'Data Vlaue (Cr)'!$C:$FB,62)*100</f>
        <v>25.480000000000004</v>
      </c>
      <c r="M93" s="51">
        <f>VLOOKUP($A93,'Data Vlaue (Cr)'!$C:$FB,63)</f>
        <v>672</v>
      </c>
      <c r="N93" s="51">
        <f>VLOOKUP($A93,'Data Vlaue (Cr)'!$C:$FB,64)</f>
        <v>799</v>
      </c>
      <c r="O93" s="51">
        <f>VLOOKUP($A93,'Data Vlaue (Cr)'!$C:$FB,66)*100</f>
        <v>-15.870000000000001</v>
      </c>
    </row>
    <row r="94" spans="1:15" x14ac:dyDescent="0.25">
      <c r="A94" s="101" t="str">
        <f>'Data Vlaue (Cr)'!C89</f>
        <v>IEX</v>
      </c>
      <c r="B94" s="50">
        <f>VLOOKUP($A94,'Data Vlaue (Cr)'!$C:$FB,8)</f>
        <v>131.06</v>
      </c>
      <c r="C94" s="50">
        <f>VLOOKUP($A94,'Data Vlaue (Cr)'!$C:$FB,11)*100</f>
        <v>2.06</v>
      </c>
      <c r="D94" s="50">
        <f>VLOOKUP($A94,'Data Vlaue (Cr)'!$C:$FB,143)</f>
        <v>2512.62</v>
      </c>
      <c r="E94" s="50">
        <f>VLOOKUP($A94,'Data Vlaue (Cr)'!$C:$FB,144)</f>
        <v>3121.72</v>
      </c>
      <c r="F94" s="50">
        <f>VLOOKUP($A94,'Data Vlaue (Cr)'!$C:$FB,146)*100</f>
        <v>-19.509999999999998</v>
      </c>
      <c r="G94" s="49">
        <f>VLOOKUP($A94,'Data Vlaue (Cr)'!$C:$FB,43)</f>
        <v>864</v>
      </c>
      <c r="H94" s="49">
        <f>VLOOKUP($A94,'Data Vlaue (Cr)'!$C:$FB,44)</f>
        <v>756</v>
      </c>
      <c r="I94" s="49">
        <f>VLOOKUP($A94,'Data Vlaue (Cr)'!$C:$FB,46)*100</f>
        <v>14.29</v>
      </c>
      <c r="J94" s="51">
        <f>VLOOKUP($A94,'Data Vlaue (Cr)'!$C:$FB,59)</f>
        <v>1024</v>
      </c>
      <c r="K94" s="51">
        <f>VLOOKUP($A94,'Data Vlaue (Cr)'!$C:$FB,60)</f>
        <v>1397</v>
      </c>
      <c r="L94" s="51">
        <f>VLOOKUP($A94,'Data Vlaue (Cr)'!$C:$FB,62)*100</f>
        <v>-26.72</v>
      </c>
      <c r="M94" s="51">
        <f>VLOOKUP($A94,'Data Vlaue (Cr)'!$C:$FB,63)</f>
        <v>514</v>
      </c>
      <c r="N94" s="51">
        <f>VLOOKUP($A94,'Data Vlaue (Cr)'!$C:$FB,64)</f>
        <v>840</v>
      </c>
      <c r="O94" s="51">
        <f>VLOOKUP($A94,'Data Vlaue (Cr)'!$C:$FB,66)*100</f>
        <v>-38.78</v>
      </c>
    </row>
    <row r="95" spans="1:15" x14ac:dyDescent="0.25">
      <c r="A95" s="101" t="str">
        <f>'Data Vlaue (Cr)'!C90</f>
        <v>IIFL</v>
      </c>
      <c r="B95" s="50">
        <f>VLOOKUP($A95,'Data Vlaue (Cr)'!$C:$FB,8)</f>
        <v>538.75</v>
      </c>
      <c r="C95" s="50">
        <f>VLOOKUP($A95,'Data Vlaue (Cr)'!$C:$FB,11)*100</f>
        <v>-13.5</v>
      </c>
      <c r="D95" s="50">
        <f>VLOOKUP($A95,'Data Vlaue (Cr)'!$C:$FB,143)</f>
        <v>13657.25</v>
      </c>
      <c r="E95" s="50">
        <f>VLOOKUP($A95,'Data Vlaue (Cr)'!$C:$FB,144)</f>
        <v>2579.08</v>
      </c>
      <c r="F95" s="50">
        <f>VLOOKUP($A95,'Data Vlaue (Cr)'!$C:$FB,146)*100</f>
        <v>429.53999999999996</v>
      </c>
      <c r="G95" s="49">
        <f>VLOOKUP($A95,'Data Vlaue (Cr)'!$C:$FB,43)</f>
        <v>1518</v>
      </c>
      <c r="H95" s="49">
        <f>VLOOKUP($A95,'Data Vlaue (Cr)'!$C:$FB,44)</f>
        <v>291</v>
      </c>
      <c r="I95" s="49">
        <f>VLOOKUP($A95,'Data Vlaue (Cr)'!$C:$FB,46)*100</f>
        <v>421.31</v>
      </c>
      <c r="J95" s="51">
        <f>VLOOKUP($A95,'Data Vlaue (Cr)'!$C:$FB,59)</f>
        <v>5383</v>
      </c>
      <c r="K95" s="51">
        <f>VLOOKUP($A95,'Data Vlaue (Cr)'!$C:$FB,60)</f>
        <v>1144</v>
      </c>
      <c r="L95" s="51">
        <f>VLOOKUP($A95,'Data Vlaue (Cr)'!$C:$FB,62)*100</f>
        <v>370.67</v>
      </c>
      <c r="M95" s="51">
        <f>VLOOKUP($A95,'Data Vlaue (Cr)'!$C:$FB,63)</f>
        <v>5691</v>
      </c>
      <c r="N95" s="51">
        <f>VLOOKUP($A95,'Data Vlaue (Cr)'!$C:$FB,64)</f>
        <v>765</v>
      </c>
      <c r="O95" s="51">
        <f>VLOOKUP($A95,'Data Vlaue (Cr)'!$C:$FB,66)*100</f>
        <v>644.20000000000005</v>
      </c>
    </row>
    <row r="96" spans="1:15" x14ac:dyDescent="0.25">
      <c r="A96" s="101" t="str">
        <f>'Data Vlaue (Cr)'!C91</f>
        <v>INDHOTEL</v>
      </c>
      <c r="B96" s="50">
        <f>VLOOKUP($A96,'Data Vlaue (Cr)'!$C:$FB,8)</f>
        <v>656.55</v>
      </c>
      <c r="C96" s="50">
        <f>VLOOKUP($A96,'Data Vlaue (Cr)'!$C:$FB,11)*100</f>
        <v>0.44999999999999996</v>
      </c>
      <c r="D96" s="50">
        <f>VLOOKUP($A96,'Data Vlaue (Cr)'!$C:$FB,143)</f>
        <v>3121.49</v>
      </c>
      <c r="E96" s="50">
        <f>VLOOKUP($A96,'Data Vlaue (Cr)'!$C:$FB,144)</f>
        <v>3286.43</v>
      </c>
      <c r="F96" s="50">
        <f>VLOOKUP($A96,'Data Vlaue (Cr)'!$C:$FB,146)*100</f>
        <v>-5.0200000000000005</v>
      </c>
      <c r="G96" s="49">
        <f>VLOOKUP($A96,'Data Vlaue (Cr)'!$C:$FB,43)</f>
        <v>1542</v>
      </c>
      <c r="H96" s="49">
        <f>VLOOKUP($A96,'Data Vlaue (Cr)'!$C:$FB,44)</f>
        <v>1037</v>
      </c>
      <c r="I96" s="49">
        <f>VLOOKUP($A96,'Data Vlaue (Cr)'!$C:$FB,46)*100</f>
        <v>48.69</v>
      </c>
      <c r="J96" s="51">
        <f>VLOOKUP($A96,'Data Vlaue (Cr)'!$C:$FB,59)</f>
        <v>1072</v>
      </c>
      <c r="K96" s="51">
        <f>VLOOKUP($A96,'Data Vlaue (Cr)'!$C:$FB,60)</f>
        <v>1438</v>
      </c>
      <c r="L96" s="51">
        <f>VLOOKUP($A96,'Data Vlaue (Cr)'!$C:$FB,62)*100</f>
        <v>-25.46</v>
      </c>
      <c r="M96" s="51">
        <f>VLOOKUP($A96,'Data Vlaue (Cr)'!$C:$FB,63)</f>
        <v>446</v>
      </c>
      <c r="N96" s="51">
        <f>VLOOKUP($A96,'Data Vlaue (Cr)'!$C:$FB,64)</f>
        <v>766</v>
      </c>
      <c r="O96" s="51">
        <f>VLOOKUP($A96,'Data Vlaue (Cr)'!$C:$FB,66)*100</f>
        <v>-41.81</v>
      </c>
    </row>
    <row r="97" spans="1:15" x14ac:dyDescent="0.25">
      <c r="A97" s="101" t="str">
        <f>'Data Vlaue (Cr)'!C92</f>
        <v>INDIANB</v>
      </c>
      <c r="B97" s="50">
        <f>VLOOKUP($A97,'Data Vlaue (Cr)'!$C:$FB,8)</f>
        <v>896.75</v>
      </c>
      <c r="C97" s="50">
        <f>VLOOKUP($A97,'Data Vlaue (Cr)'!$C:$FB,11)*100</f>
        <v>5.43</v>
      </c>
      <c r="D97" s="50">
        <f>VLOOKUP($A97,'Data Vlaue (Cr)'!$C:$FB,143)</f>
        <v>8086.33</v>
      </c>
      <c r="E97" s="50">
        <f>VLOOKUP($A97,'Data Vlaue (Cr)'!$C:$FB,144)</f>
        <v>1696.66</v>
      </c>
      <c r="F97" s="50">
        <f>VLOOKUP($A97,'Data Vlaue (Cr)'!$C:$FB,146)*100</f>
        <v>376.6</v>
      </c>
      <c r="G97" s="49">
        <f>VLOOKUP($A97,'Data Vlaue (Cr)'!$C:$FB,43)</f>
        <v>1756</v>
      </c>
      <c r="H97" s="49">
        <f>VLOOKUP($A97,'Data Vlaue (Cr)'!$C:$FB,44)</f>
        <v>705</v>
      </c>
      <c r="I97" s="49">
        <f>VLOOKUP($A97,'Data Vlaue (Cr)'!$C:$FB,46)*100</f>
        <v>149.03</v>
      </c>
      <c r="J97" s="51">
        <f>VLOOKUP($A97,'Data Vlaue (Cr)'!$C:$FB,59)</f>
        <v>4825</v>
      </c>
      <c r="K97" s="51">
        <f>VLOOKUP($A97,'Data Vlaue (Cr)'!$C:$FB,60)</f>
        <v>711</v>
      </c>
      <c r="L97" s="51">
        <f>VLOOKUP($A97,'Data Vlaue (Cr)'!$C:$FB,62)*100</f>
        <v>578.75</v>
      </c>
      <c r="M97" s="51">
        <f>VLOOKUP($A97,'Data Vlaue (Cr)'!$C:$FB,63)</f>
        <v>1556</v>
      </c>
      <c r="N97" s="51">
        <f>VLOOKUP($A97,'Data Vlaue (Cr)'!$C:$FB,64)</f>
        <v>357</v>
      </c>
      <c r="O97" s="51">
        <f>VLOOKUP($A97,'Data Vlaue (Cr)'!$C:$FB,66)*100</f>
        <v>336.12</v>
      </c>
    </row>
    <row r="98" spans="1:15" x14ac:dyDescent="0.25">
      <c r="A98" s="101" t="str">
        <f>'Data Vlaue (Cr)'!C93</f>
        <v>INDIAVIX</v>
      </c>
      <c r="B98" s="50">
        <f>VLOOKUP($A98,'Data Vlaue (Cr)'!$C:$FB,8)</f>
        <v>13.35</v>
      </c>
      <c r="C98" s="50">
        <f>VLOOKUP($A98,'Data Vlaue (Cr)'!$C:$FB,11)*100</f>
        <v>-3.1199999999999997</v>
      </c>
      <c r="D98" s="50">
        <f>VLOOKUP($A98,'Data Vlaue (Cr)'!$C:$FB,143)</f>
        <v>0</v>
      </c>
      <c r="E98" s="50">
        <f>VLOOKUP($A98,'Data Vlaue (Cr)'!$C:$FB,144)</f>
        <v>0</v>
      </c>
      <c r="F98" s="50">
        <f>VLOOKUP($A98,'Data Vlaue (Cr)'!$C:$FB,146)*100</f>
        <v>0</v>
      </c>
      <c r="G98" s="49">
        <f>VLOOKUP($A98,'Data Vlaue (Cr)'!$C:$FB,43)</f>
        <v>0</v>
      </c>
      <c r="H98" s="49">
        <f>VLOOKUP($A98,'Data Vlaue (Cr)'!$C:$FB,44)</f>
        <v>0</v>
      </c>
      <c r="I98" s="49">
        <f>VLOOKUP($A98,'Data Vlaue (Cr)'!$C:$FB,46)*100</f>
        <v>0</v>
      </c>
      <c r="J98" s="51">
        <f>VLOOKUP($A98,'Data Vlaue (Cr)'!$C:$FB,59)</f>
        <v>0</v>
      </c>
      <c r="K98" s="51">
        <f>VLOOKUP($A98,'Data Vlaue (Cr)'!$C:$FB,60)</f>
        <v>0</v>
      </c>
      <c r="L98" s="51">
        <f>VLOOKUP($A98,'Data Vlaue (Cr)'!$C:$FB,62)*100</f>
        <v>0</v>
      </c>
      <c r="M98" s="51">
        <f>VLOOKUP($A98,'Data Vlaue (Cr)'!$C:$FB,63)</f>
        <v>0</v>
      </c>
      <c r="N98" s="51">
        <f>VLOOKUP($A98,'Data Vlaue (Cr)'!$C:$FB,64)</f>
        <v>0</v>
      </c>
      <c r="O98" s="51">
        <f>VLOOKUP($A98,'Data Vlaue (Cr)'!$C:$FB,66)*100</f>
        <v>0</v>
      </c>
    </row>
    <row r="99" spans="1:15" x14ac:dyDescent="0.25">
      <c r="A99" s="101" t="str">
        <f>'Data Vlaue (Cr)'!C94</f>
        <v>INDIGO</v>
      </c>
      <c r="B99" s="50">
        <f>VLOOKUP($A99,'Data Vlaue (Cr)'!$C:$FB,8)</f>
        <v>4909</v>
      </c>
      <c r="C99" s="50">
        <f>VLOOKUP($A99,'Data Vlaue (Cr)'!$C:$FB,11)*100</f>
        <v>1.06</v>
      </c>
      <c r="D99" s="50">
        <f>VLOOKUP($A99,'Data Vlaue (Cr)'!$C:$FB,143)</f>
        <v>10882.22</v>
      </c>
      <c r="E99" s="50">
        <f>VLOOKUP($A99,'Data Vlaue (Cr)'!$C:$FB,144)</f>
        <v>14503.09</v>
      </c>
      <c r="F99" s="50">
        <f>VLOOKUP($A99,'Data Vlaue (Cr)'!$C:$FB,146)*100</f>
        <v>-24.97</v>
      </c>
      <c r="G99" s="49">
        <f>VLOOKUP($A99,'Data Vlaue (Cr)'!$C:$FB,43)</f>
        <v>2765</v>
      </c>
      <c r="H99" s="49">
        <f>VLOOKUP($A99,'Data Vlaue (Cr)'!$C:$FB,44)</f>
        <v>3025</v>
      </c>
      <c r="I99" s="49">
        <f>VLOOKUP($A99,'Data Vlaue (Cr)'!$C:$FB,46)*100</f>
        <v>-8.6</v>
      </c>
      <c r="J99" s="51">
        <f>VLOOKUP($A99,'Data Vlaue (Cr)'!$C:$FB,59)</f>
        <v>4246</v>
      </c>
      <c r="K99" s="51">
        <f>VLOOKUP($A99,'Data Vlaue (Cr)'!$C:$FB,60)</f>
        <v>6872</v>
      </c>
      <c r="L99" s="51">
        <f>VLOOKUP($A99,'Data Vlaue (Cr)'!$C:$FB,62)*100</f>
        <v>-38.21</v>
      </c>
      <c r="M99" s="51">
        <f>VLOOKUP($A99,'Data Vlaue (Cr)'!$C:$FB,63)</f>
        <v>3753</v>
      </c>
      <c r="N99" s="51">
        <f>VLOOKUP($A99,'Data Vlaue (Cr)'!$C:$FB,64)</f>
        <v>4552</v>
      </c>
      <c r="O99" s="51">
        <f>VLOOKUP($A99,'Data Vlaue (Cr)'!$C:$FB,66)*100</f>
        <v>-17.560000000000002</v>
      </c>
    </row>
    <row r="100" spans="1:15" x14ac:dyDescent="0.25">
      <c r="A100" s="101" t="str">
        <f>'Data Vlaue (Cr)'!C95</f>
        <v>INDUSINDBK</v>
      </c>
      <c r="B100" s="50">
        <f>VLOOKUP($A100,'Data Vlaue (Cr)'!$C:$FB,8)</f>
        <v>902.45</v>
      </c>
      <c r="C100" s="50">
        <f>VLOOKUP($A100,'Data Vlaue (Cr)'!$C:$FB,11)*100</f>
        <v>-0.52</v>
      </c>
      <c r="D100" s="50">
        <f>VLOOKUP($A100,'Data Vlaue (Cr)'!$C:$FB,143)</f>
        <v>4623.2</v>
      </c>
      <c r="E100" s="50">
        <f>VLOOKUP($A100,'Data Vlaue (Cr)'!$C:$FB,144)</f>
        <v>4676.05</v>
      </c>
      <c r="F100" s="50">
        <f>VLOOKUP($A100,'Data Vlaue (Cr)'!$C:$FB,146)*100</f>
        <v>-1.1299999999999999</v>
      </c>
      <c r="G100" s="49">
        <f>VLOOKUP($A100,'Data Vlaue (Cr)'!$C:$FB,43)</f>
        <v>1971</v>
      </c>
      <c r="H100" s="49">
        <f>VLOOKUP($A100,'Data Vlaue (Cr)'!$C:$FB,44)</f>
        <v>1976</v>
      </c>
      <c r="I100" s="49">
        <f>VLOOKUP($A100,'Data Vlaue (Cr)'!$C:$FB,46)*100</f>
        <v>-0.21</v>
      </c>
      <c r="J100" s="51">
        <f>VLOOKUP($A100,'Data Vlaue (Cr)'!$C:$FB,59)</f>
        <v>1525</v>
      </c>
      <c r="K100" s="51">
        <f>VLOOKUP($A100,'Data Vlaue (Cr)'!$C:$FB,60)</f>
        <v>1510</v>
      </c>
      <c r="L100" s="51">
        <f>VLOOKUP($A100,'Data Vlaue (Cr)'!$C:$FB,62)*100</f>
        <v>0.97</v>
      </c>
      <c r="M100" s="51">
        <f>VLOOKUP($A100,'Data Vlaue (Cr)'!$C:$FB,63)</f>
        <v>1060</v>
      </c>
      <c r="N100" s="51">
        <f>VLOOKUP($A100,'Data Vlaue (Cr)'!$C:$FB,64)</f>
        <v>1112</v>
      </c>
      <c r="O100" s="51">
        <f>VLOOKUP($A100,'Data Vlaue (Cr)'!$C:$FB,66)*100</f>
        <v>-4.68</v>
      </c>
    </row>
    <row r="101" spans="1:15" x14ac:dyDescent="0.25">
      <c r="A101" s="101" t="str">
        <f>'Data Vlaue (Cr)'!C96</f>
        <v>INDUSTOWER</v>
      </c>
      <c r="B101" s="50">
        <f>VLOOKUP($A101,'Data Vlaue (Cr)'!$C:$FB,8)</f>
        <v>419.2</v>
      </c>
      <c r="C101" s="50">
        <f>VLOOKUP($A101,'Data Vlaue (Cr)'!$C:$FB,11)*100</f>
        <v>1.26</v>
      </c>
      <c r="D101" s="50">
        <f>VLOOKUP($A101,'Data Vlaue (Cr)'!$C:$FB,143)</f>
        <v>4076.95</v>
      </c>
      <c r="E101" s="50">
        <f>VLOOKUP($A101,'Data Vlaue (Cr)'!$C:$FB,144)</f>
        <v>6634.08</v>
      </c>
      <c r="F101" s="50">
        <f>VLOOKUP($A101,'Data Vlaue (Cr)'!$C:$FB,146)*100</f>
        <v>-38.550000000000004</v>
      </c>
      <c r="G101" s="49">
        <f>VLOOKUP($A101,'Data Vlaue (Cr)'!$C:$FB,43)</f>
        <v>1998</v>
      </c>
      <c r="H101" s="49">
        <f>VLOOKUP($A101,'Data Vlaue (Cr)'!$C:$FB,44)</f>
        <v>2574</v>
      </c>
      <c r="I101" s="49">
        <f>VLOOKUP($A101,'Data Vlaue (Cr)'!$C:$FB,46)*100</f>
        <v>-22.39</v>
      </c>
      <c r="J101" s="51">
        <f>VLOOKUP($A101,'Data Vlaue (Cr)'!$C:$FB,59)</f>
        <v>1324</v>
      </c>
      <c r="K101" s="51">
        <f>VLOOKUP($A101,'Data Vlaue (Cr)'!$C:$FB,60)</f>
        <v>2269</v>
      </c>
      <c r="L101" s="51">
        <f>VLOOKUP($A101,'Data Vlaue (Cr)'!$C:$FB,62)*100</f>
        <v>-41.64</v>
      </c>
      <c r="M101" s="51">
        <f>VLOOKUP($A101,'Data Vlaue (Cr)'!$C:$FB,63)</f>
        <v>718</v>
      </c>
      <c r="N101" s="51">
        <f>VLOOKUP($A101,'Data Vlaue (Cr)'!$C:$FB,64)</f>
        <v>1812</v>
      </c>
      <c r="O101" s="51">
        <f>VLOOKUP($A101,'Data Vlaue (Cr)'!$C:$FB,66)*100</f>
        <v>-60.39</v>
      </c>
    </row>
    <row r="102" spans="1:15" x14ac:dyDescent="0.25">
      <c r="A102" s="101" t="str">
        <f>'Data Vlaue (Cr)'!C97</f>
        <v>INFY</v>
      </c>
      <c r="B102" s="50">
        <f>VLOOKUP($A102,'Data Vlaue (Cr)'!$C:$FB,8)</f>
        <v>1663.5</v>
      </c>
      <c r="C102" s="50">
        <f>VLOOKUP($A102,'Data Vlaue (Cr)'!$C:$FB,11)*100</f>
        <v>0.54999999999999993</v>
      </c>
      <c r="D102" s="50">
        <f>VLOOKUP($A102,'Data Vlaue (Cr)'!$C:$FB,143)</f>
        <v>24383.83</v>
      </c>
      <c r="E102" s="50">
        <f>VLOOKUP($A102,'Data Vlaue (Cr)'!$C:$FB,144)</f>
        <v>23246.18</v>
      </c>
      <c r="F102" s="50">
        <f>VLOOKUP($A102,'Data Vlaue (Cr)'!$C:$FB,146)*100</f>
        <v>4.8899999999999997</v>
      </c>
      <c r="G102" s="49">
        <f>VLOOKUP($A102,'Data Vlaue (Cr)'!$C:$FB,43)</f>
        <v>7640</v>
      </c>
      <c r="H102" s="49">
        <f>VLOOKUP($A102,'Data Vlaue (Cr)'!$C:$FB,44)</f>
        <v>8781</v>
      </c>
      <c r="I102" s="49">
        <f>VLOOKUP($A102,'Data Vlaue (Cr)'!$C:$FB,46)*100</f>
        <v>-12.989999999999998</v>
      </c>
      <c r="J102" s="51">
        <f>VLOOKUP($A102,'Data Vlaue (Cr)'!$C:$FB,59)</f>
        <v>10596</v>
      </c>
      <c r="K102" s="51">
        <f>VLOOKUP($A102,'Data Vlaue (Cr)'!$C:$FB,60)</f>
        <v>7733</v>
      </c>
      <c r="L102" s="51">
        <f>VLOOKUP($A102,'Data Vlaue (Cr)'!$C:$FB,62)*100</f>
        <v>37.019999999999996</v>
      </c>
      <c r="M102" s="51">
        <f>VLOOKUP($A102,'Data Vlaue (Cr)'!$C:$FB,63)</f>
        <v>6075</v>
      </c>
      <c r="N102" s="51">
        <f>VLOOKUP($A102,'Data Vlaue (Cr)'!$C:$FB,64)</f>
        <v>6858</v>
      </c>
      <c r="O102" s="51">
        <f>VLOOKUP($A102,'Data Vlaue (Cr)'!$C:$FB,66)*100</f>
        <v>-11.42</v>
      </c>
    </row>
    <row r="103" spans="1:15" x14ac:dyDescent="0.25">
      <c r="A103" s="101" t="str">
        <f>'Data Vlaue (Cr)'!C98</f>
        <v>INOXWIND</v>
      </c>
      <c r="B103" s="50">
        <f>VLOOKUP($A103,'Data Vlaue (Cr)'!$C:$FB,8)</f>
        <v>106.89</v>
      </c>
      <c r="C103" s="50">
        <f>VLOOKUP($A103,'Data Vlaue (Cr)'!$C:$FB,11)*100</f>
        <v>2.1</v>
      </c>
      <c r="D103" s="50">
        <f>VLOOKUP($A103,'Data Vlaue (Cr)'!$C:$FB,143)</f>
        <v>1138.31</v>
      </c>
      <c r="E103" s="50">
        <f>VLOOKUP($A103,'Data Vlaue (Cr)'!$C:$FB,144)</f>
        <v>1672</v>
      </c>
      <c r="F103" s="50">
        <f>VLOOKUP($A103,'Data Vlaue (Cr)'!$C:$FB,146)*100</f>
        <v>-31.919999999999998</v>
      </c>
      <c r="G103" s="49">
        <f>VLOOKUP($A103,'Data Vlaue (Cr)'!$C:$FB,43)</f>
        <v>595</v>
      </c>
      <c r="H103" s="49">
        <f>VLOOKUP($A103,'Data Vlaue (Cr)'!$C:$FB,44)</f>
        <v>483</v>
      </c>
      <c r="I103" s="49">
        <f>VLOOKUP($A103,'Data Vlaue (Cr)'!$C:$FB,46)*100</f>
        <v>23.34</v>
      </c>
      <c r="J103" s="51">
        <f>VLOOKUP($A103,'Data Vlaue (Cr)'!$C:$FB,59)</f>
        <v>335</v>
      </c>
      <c r="K103" s="51">
        <f>VLOOKUP($A103,'Data Vlaue (Cr)'!$C:$FB,60)</f>
        <v>726</v>
      </c>
      <c r="L103" s="51">
        <f>VLOOKUP($A103,'Data Vlaue (Cr)'!$C:$FB,62)*100</f>
        <v>-53.800000000000004</v>
      </c>
      <c r="M103" s="51">
        <f>VLOOKUP($A103,'Data Vlaue (Cr)'!$C:$FB,63)</f>
        <v>173</v>
      </c>
      <c r="N103" s="51">
        <f>VLOOKUP($A103,'Data Vlaue (Cr)'!$C:$FB,64)</f>
        <v>417</v>
      </c>
      <c r="O103" s="51">
        <f>VLOOKUP($A103,'Data Vlaue (Cr)'!$C:$FB,66)*100</f>
        <v>-58.56</v>
      </c>
    </row>
    <row r="104" spans="1:15" x14ac:dyDescent="0.25">
      <c r="A104" s="101" t="str">
        <f>'Data Vlaue (Cr)'!C99</f>
        <v>IOC</v>
      </c>
      <c r="B104" s="50">
        <f>VLOOKUP($A104,'Data Vlaue (Cr)'!$C:$FB,8)</f>
        <v>159.05000000000001</v>
      </c>
      <c r="C104" s="50">
        <f>VLOOKUP($A104,'Data Vlaue (Cr)'!$C:$FB,11)*100</f>
        <v>0.13999999999999999</v>
      </c>
      <c r="D104" s="50">
        <f>VLOOKUP($A104,'Data Vlaue (Cr)'!$C:$FB,143)</f>
        <v>2523.1</v>
      </c>
      <c r="E104" s="50">
        <f>VLOOKUP($A104,'Data Vlaue (Cr)'!$C:$FB,144)</f>
        <v>2647.01</v>
      </c>
      <c r="F104" s="50">
        <f>VLOOKUP($A104,'Data Vlaue (Cr)'!$C:$FB,146)*100</f>
        <v>-4.68</v>
      </c>
      <c r="G104" s="49">
        <f>VLOOKUP($A104,'Data Vlaue (Cr)'!$C:$FB,43)</f>
        <v>1001</v>
      </c>
      <c r="H104" s="49">
        <f>VLOOKUP($A104,'Data Vlaue (Cr)'!$C:$FB,44)</f>
        <v>902</v>
      </c>
      <c r="I104" s="49">
        <f>VLOOKUP($A104,'Data Vlaue (Cr)'!$C:$FB,46)*100</f>
        <v>11.01</v>
      </c>
      <c r="J104" s="51">
        <f>VLOOKUP($A104,'Data Vlaue (Cr)'!$C:$FB,59)</f>
        <v>941</v>
      </c>
      <c r="K104" s="51">
        <f>VLOOKUP($A104,'Data Vlaue (Cr)'!$C:$FB,60)</f>
        <v>993</v>
      </c>
      <c r="L104" s="51">
        <f>VLOOKUP($A104,'Data Vlaue (Cr)'!$C:$FB,62)*100</f>
        <v>-5.24</v>
      </c>
      <c r="M104" s="51">
        <f>VLOOKUP($A104,'Data Vlaue (Cr)'!$C:$FB,63)</f>
        <v>530</v>
      </c>
      <c r="N104" s="51">
        <f>VLOOKUP($A104,'Data Vlaue (Cr)'!$C:$FB,64)</f>
        <v>712</v>
      </c>
      <c r="O104" s="51">
        <f>VLOOKUP($A104,'Data Vlaue (Cr)'!$C:$FB,66)*100</f>
        <v>-25.569999999999997</v>
      </c>
    </row>
    <row r="105" spans="1:15" x14ac:dyDescent="0.25">
      <c r="A105" s="101" t="str">
        <f>'Data Vlaue (Cr)'!C100</f>
        <v>IRCTC</v>
      </c>
      <c r="B105" s="50">
        <f>VLOOKUP($A105,'Data Vlaue (Cr)'!$C:$FB,8)</f>
        <v>628.85</v>
      </c>
      <c r="C105" s="50">
        <f>VLOOKUP($A105,'Data Vlaue (Cr)'!$C:$FB,11)*100</f>
        <v>2.4699999999999998</v>
      </c>
      <c r="D105" s="50">
        <f>VLOOKUP($A105,'Data Vlaue (Cr)'!$C:$FB,143)</f>
        <v>3714.45</v>
      </c>
      <c r="E105" s="50">
        <f>VLOOKUP($A105,'Data Vlaue (Cr)'!$C:$FB,144)</f>
        <v>3789.35</v>
      </c>
      <c r="F105" s="50">
        <f>VLOOKUP($A105,'Data Vlaue (Cr)'!$C:$FB,146)*100</f>
        <v>-1.9800000000000002</v>
      </c>
      <c r="G105" s="49">
        <f>VLOOKUP($A105,'Data Vlaue (Cr)'!$C:$FB,43)</f>
        <v>1490</v>
      </c>
      <c r="H105" s="49">
        <f>VLOOKUP($A105,'Data Vlaue (Cr)'!$C:$FB,44)</f>
        <v>1352</v>
      </c>
      <c r="I105" s="49">
        <f>VLOOKUP($A105,'Data Vlaue (Cr)'!$C:$FB,46)*100</f>
        <v>10.24</v>
      </c>
      <c r="J105" s="51">
        <f>VLOOKUP($A105,'Data Vlaue (Cr)'!$C:$FB,59)</f>
        <v>1518</v>
      </c>
      <c r="K105" s="51">
        <f>VLOOKUP($A105,'Data Vlaue (Cr)'!$C:$FB,60)</f>
        <v>1776</v>
      </c>
      <c r="L105" s="51">
        <f>VLOOKUP($A105,'Data Vlaue (Cr)'!$C:$FB,62)*100</f>
        <v>-14.510000000000002</v>
      </c>
      <c r="M105" s="51">
        <f>VLOOKUP($A105,'Data Vlaue (Cr)'!$C:$FB,63)</f>
        <v>660</v>
      </c>
      <c r="N105" s="51">
        <f>VLOOKUP($A105,'Data Vlaue (Cr)'!$C:$FB,64)</f>
        <v>683</v>
      </c>
      <c r="O105" s="51">
        <f>VLOOKUP($A105,'Data Vlaue (Cr)'!$C:$FB,66)*100</f>
        <v>-3.47</v>
      </c>
    </row>
    <row r="106" spans="1:15" x14ac:dyDescent="0.25">
      <c r="A106" s="101" t="str">
        <f>'Data Vlaue (Cr)'!C101</f>
        <v>IREDA</v>
      </c>
      <c r="B106" s="50">
        <f>VLOOKUP($A106,'Data Vlaue (Cr)'!$C:$FB,8)</f>
        <v>129.93</v>
      </c>
      <c r="C106" s="50">
        <f>VLOOKUP($A106,'Data Vlaue (Cr)'!$C:$FB,11)*100</f>
        <v>2</v>
      </c>
      <c r="D106" s="50">
        <f>VLOOKUP($A106,'Data Vlaue (Cr)'!$C:$FB,143)</f>
        <v>1821.32</v>
      </c>
      <c r="E106" s="50">
        <f>VLOOKUP($A106,'Data Vlaue (Cr)'!$C:$FB,144)</f>
        <v>1836.52</v>
      </c>
      <c r="F106" s="50">
        <f>VLOOKUP($A106,'Data Vlaue (Cr)'!$C:$FB,146)*100</f>
        <v>-0.83</v>
      </c>
      <c r="G106" s="49">
        <f>VLOOKUP($A106,'Data Vlaue (Cr)'!$C:$FB,43)</f>
        <v>885</v>
      </c>
      <c r="H106" s="49">
        <f>VLOOKUP($A106,'Data Vlaue (Cr)'!$C:$FB,44)</f>
        <v>605</v>
      </c>
      <c r="I106" s="49">
        <f>VLOOKUP($A106,'Data Vlaue (Cr)'!$C:$FB,46)*100</f>
        <v>46.42</v>
      </c>
      <c r="J106" s="51">
        <f>VLOOKUP($A106,'Data Vlaue (Cr)'!$C:$FB,59)</f>
        <v>674</v>
      </c>
      <c r="K106" s="51">
        <f>VLOOKUP($A106,'Data Vlaue (Cr)'!$C:$FB,60)</f>
        <v>828</v>
      </c>
      <c r="L106" s="51">
        <f>VLOOKUP($A106,'Data Vlaue (Cr)'!$C:$FB,62)*100</f>
        <v>-18.63</v>
      </c>
      <c r="M106" s="51">
        <f>VLOOKUP($A106,'Data Vlaue (Cr)'!$C:$FB,63)</f>
        <v>224</v>
      </c>
      <c r="N106" s="51">
        <f>VLOOKUP($A106,'Data Vlaue (Cr)'!$C:$FB,64)</f>
        <v>363</v>
      </c>
      <c r="O106" s="51">
        <f>VLOOKUP($A106,'Data Vlaue (Cr)'!$C:$FB,66)*100</f>
        <v>-38.25</v>
      </c>
    </row>
    <row r="107" spans="1:15" x14ac:dyDescent="0.25">
      <c r="A107" s="101" t="str">
        <f>'Data Vlaue (Cr)'!C102</f>
        <v>IRFC</v>
      </c>
      <c r="B107" s="50">
        <f>VLOOKUP($A107,'Data Vlaue (Cr)'!$C:$FB,8)</f>
        <v>117.02</v>
      </c>
      <c r="C107" s="50">
        <f>VLOOKUP($A107,'Data Vlaue (Cr)'!$C:$FB,11)*100</f>
        <v>1.63</v>
      </c>
      <c r="D107" s="50">
        <f>VLOOKUP($A107,'Data Vlaue (Cr)'!$C:$FB,143)</f>
        <v>3443.74</v>
      </c>
      <c r="E107" s="50">
        <f>VLOOKUP($A107,'Data Vlaue (Cr)'!$C:$FB,144)</f>
        <v>3314.65</v>
      </c>
      <c r="F107" s="50">
        <f>VLOOKUP($A107,'Data Vlaue (Cr)'!$C:$FB,146)*100</f>
        <v>3.8899999999999997</v>
      </c>
      <c r="G107" s="49">
        <f>VLOOKUP($A107,'Data Vlaue (Cr)'!$C:$FB,43)</f>
        <v>659</v>
      </c>
      <c r="H107" s="49">
        <f>VLOOKUP($A107,'Data Vlaue (Cr)'!$C:$FB,44)</f>
        <v>591</v>
      </c>
      <c r="I107" s="49">
        <f>VLOOKUP($A107,'Data Vlaue (Cr)'!$C:$FB,46)*100</f>
        <v>11.4</v>
      </c>
      <c r="J107" s="51">
        <f>VLOOKUP($A107,'Data Vlaue (Cr)'!$C:$FB,59)</f>
        <v>2208</v>
      </c>
      <c r="K107" s="51">
        <f>VLOOKUP($A107,'Data Vlaue (Cr)'!$C:$FB,60)</f>
        <v>2022</v>
      </c>
      <c r="L107" s="51">
        <f>VLOOKUP($A107,'Data Vlaue (Cr)'!$C:$FB,62)*100</f>
        <v>9.2299999999999986</v>
      </c>
      <c r="M107" s="51">
        <f>VLOOKUP($A107,'Data Vlaue (Cr)'!$C:$FB,63)</f>
        <v>442</v>
      </c>
      <c r="N107" s="51">
        <f>VLOOKUP($A107,'Data Vlaue (Cr)'!$C:$FB,64)</f>
        <v>611</v>
      </c>
      <c r="O107" s="51">
        <f>VLOOKUP($A107,'Data Vlaue (Cr)'!$C:$FB,66)*100</f>
        <v>-27.61</v>
      </c>
    </row>
    <row r="108" spans="1:15" x14ac:dyDescent="0.25">
      <c r="A108" s="101" t="str">
        <f>'Data Vlaue (Cr)'!C103</f>
        <v>ITC</v>
      </c>
      <c r="B108" s="50">
        <f>VLOOKUP($A108,'Data Vlaue (Cr)'!$C:$FB,8)</f>
        <v>324.85000000000002</v>
      </c>
      <c r="C108" s="50">
        <f>VLOOKUP($A108,'Data Vlaue (Cr)'!$C:$FB,11)*100</f>
        <v>0.03</v>
      </c>
      <c r="D108" s="50">
        <f>VLOOKUP($A108,'Data Vlaue (Cr)'!$C:$FB,143)</f>
        <v>17268.919999999998</v>
      </c>
      <c r="E108" s="50">
        <f>VLOOKUP($A108,'Data Vlaue (Cr)'!$C:$FB,144)</f>
        <v>14872.5</v>
      </c>
      <c r="F108" s="50">
        <f>VLOOKUP($A108,'Data Vlaue (Cr)'!$C:$FB,146)*100</f>
        <v>16.11</v>
      </c>
      <c r="G108" s="49">
        <f>VLOOKUP($A108,'Data Vlaue (Cr)'!$C:$FB,43)</f>
        <v>3117</v>
      </c>
      <c r="H108" s="49">
        <f>VLOOKUP($A108,'Data Vlaue (Cr)'!$C:$FB,44)</f>
        <v>2006</v>
      </c>
      <c r="I108" s="49">
        <f>VLOOKUP($A108,'Data Vlaue (Cr)'!$C:$FB,46)*100</f>
        <v>55.35</v>
      </c>
      <c r="J108" s="51">
        <f>VLOOKUP($A108,'Data Vlaue (Cr)'!$C:$FB,59)</f>
        <v>8079</v>
      </c>
      <c r="K108" s="51">
        <f>VLOOKUP($A108,'Data Vlaue (Cr)'!$C:$FB,60)</f>
        <v>8112</v>
      </c>
      <c r="L108" s="51">
        <f>VLOOKUP($A108,'Data Vlaue (Cr)'!$C:$FB,62)*100</f>
        <v>-0.41000000000000003</v>
      </c>
      <c r="M108" s="51">
        <f>VLOOKUP($A108,'Data Vlaue (Cr)'!$C:$FB,63)</f>
        <v>5566</v>
      </c>
      <c r="N108" s="51">
        <f>VLOOKUP($A108,'Data Vlaue (Cr)'!$C:$FB,64)</f>
        <v>4093</v>
      </c>
      <c r="O108" s="51">
        <f>VLOOKUP($A108,'Data Vlaue (Cr)'!$C:$FB,66)*100</f>
        <v>35.980000000000004</v>
      </c>
    </row>
    <row r="109" spans="1:15" x14ac:dyDescent="0.25">
      <c r="A109" s="101" t="str">
        <f>'Data Vlaue (Cr)'!C104</f>
        <v>JINDALSTEL</v>
      </c>
      <c r="B109" s="50">
        <f>VLOOKUP($A109,'Data Vlaue (Cr)'!$C:$FB,8)</f>
        <v>1076</v>
      </c>
      <c r="C109" s="50">
        <f>VLOOKUP($A109,'Data Vlaue (Cr)'!$C:$FB,11)*100</f>
        <v>3.32</v>
      </c>
      <c r="D109" s="50">
        <f>VLOOKUP($A109,'Data Vlaue (Cr)'!$C:$FB,143)</f>
        <v>2875</v>
      </c>
      <c r="E109" s="50">
        <f>VLOOKUP($A109,'Data Vlaue (Cr)'!$C:$FB,144)</f>
        <v>1838.29</v>
      </c>
      <c r="F109" s="50">
        <f>VLOOKUP($A109,'Data Vlaue (Cr)'!$C:$FB,146)*100</f>
        <v>56.399999999999991</v>
      </c>
      <c r="G109" s="49">
        <f>VLOOKUP($A109,'Data Vlaue (Cr)'!$C:$FB,43)</f>
        <v>908</v>
      </c>
      <c r="H109" s="49">
        <f>VLOOKUP($A109,'Data Vlaue (Cr)'!$C:$FB,44)</f>
        <v>816</v>
      </c>
      <c r="I109" s="49">
        <f>VLOOKUP($A109,'Data Vlaue (Cr)'!$C:$FB,46)*100</f>
        <v>11.31</v>
      </c>
      <c r="J109" s="51">
        <f>VLOOKUP($A109,'Data Vlaue (Cr)'!$C:$FB,59)</f>
        <v>1331</v>
      </c>
      <c r="K109" s="51">
        <f>VLOOKUP($A109,'Data Vlaue (Cr)'!$C:$FB,60)</f>
        <v>628</v>
      </c>
      <c r="L109" s="51">
        <f>VLOOKUP($A109,'Data Vlaue (Cr)'!$C:$FB,62)*100</f>
        <v>111.88</v>
      </c>
      <c r="M109" s="51">
        <f>VLOOKUP($A109,'Data Vlaue (Cr)'!$C:$FB,63)</f>
        <v>626</v>
      </c>
      <c r="N109" s="51">
        <f>VLOOKUP($A109,'Data Vlaue (Cr)'!$C:$FB,64)</f>
        <v>433</v>
      </c>
      <c r="O109" s="51">
        <f>VLOOKUP($A109,'Data Vlaue (Cr)'!$C:$FB,66)*100</f>
        <v>44.67</v>
      </c>
    </row>
    <row r="110" spans="1:15" x14ac:dyDescent="0.25">
      <c r="A110" s="101" t="str">
        <f>'Data Vlaue (Cr)'!C105</f>
        <v>JIOFIN</v>
      </c>
      <c r="B110" s="50">
        <f>VLOOKUP($A110,'Data Vlaue (Cr)'!$C:$FB,8)</f>
        <v>262.60000000000002</v>
      </c>
      <c r="C110" s="50">
        <f>VLOOKUP($A110,'Data Vlaue (Cr)'!$C:$FB,11)*100</f>
        <v>-0.25</v>
      </c>
      <c r="D110" s="50">
        <f>VLOOKUP($A110,'Data Vlaue (Cr)'!$C:$FB,143)</f>
        <v>6857.82</v>
      </c>
      <c r="E110" s="50">
        <f>VLOOKUP($A110,'Data Vlaue (Cr)'!$C:$FB,144)</f>
        <v>7913.69</v>
      </c>
      <c r="F110" s="50">
        <f>VLOOKUP($A110,'Data Vlaue (Cr)'!$C:$FB,146)*100</f>
        <v>-13.34</v>
      </c>
      <c r="G110" s="49">
        <f>VLOOKUP($A110,'Data Vlaue (Cr)'!$C:$FB,43)</f>
        <v>2382</v>
      </c>
      <c r="H110" s="49">
        <f>VLOOKUP($A110,'Data Vlaue (Cr)'!$C:$FB,44)</f>
        <v>1612</v>
      </c>
      <c r="I110" s="49">
        <f>VLOOKUP($A110,'Data Vlaue (Cr)'!$C:$FB,46)*100</f>
        <v>47.760000000000005</v>
      </c>
      <c r="J110" s="51">
        <f>VLOOKUP($A110,'Data Vlaue (Cr)'!$C:$FB,59)</f>
        <v>2654</v>
      </c>
      <c r="K110" s="51">
        <f>VLOOKUP($A110,'Data Vlaue (Cr)'!$C:$FB,60)</f>
        <v>3661</v>
      </c>
      <c r="L110" s="51">
        <f>VLOOKUP($A110,'Data Vlaue (Cr)'!$C:$FB,62)*100</f>
        <v>-27.49</v>
      </c>
      <c r="M110" s="51">
        <f>VLOOKUP($A110,'Data Vlaue (Cr)'!$C:$FB,63)</f>
        <v>1515</v>
      </c>
      <c r="N110" s="51">
        <f>VLOOKUP($A110,'Data Vlaue (Cr)'!$C:$FB,64)</f>
        <v>2258</v>
      </c>
      <c r="O110" s="51">
        <f>VLOOKUP($A110,'Data Vlaue (Cr)'!$C:$FB,66)*100</f>
        <v>-32.92</v>
      </c>
    </row>
    <row r="111" spans="1:15" x14ac:dyDescent="0.25">
      <c r="A111" s="101" t="str">
        <f>'Data Vlaue (Cr)'!C106</f>
        <v>JSWENERGY</v>
      </c>
      <c r="B111" s="50">
        <f>VLOOKUP($A111,'Data Vlaue (Cr)'!$C:$FB,8)</f>
        <v>492.35</v>
      </c>
      <c r="C111" s="50">
        <f>VLOOKUP($A111,'Data Vlaue (Cr)'!$C:$FB,11)*100</f>
        <v>3.05</v>
      </c>
      <c r="D111" s="50">
        <f>VLOOKUP($A111,'Data Vlaue (Cr)'!$C:$FB,143)</f>
        <v>1462.22</v>
      </c>
      <c r="E111" s="50">
        <f>VLOOKUP($A111,'Data Vlaue (Cr)'!$C:$FB,144)</f>
        <v>1554.73</v>
      </c>
      <c r="F111" s="50">
        <f>VLOOKUP($A111,'Data Vlaue (Cr)'!$C:$FB,146)*100</f>
        <v>-5.9499999999999993</v>
      </c>
      <c r="G111" s="49">
        <f>VLOOKUP($A111,'Data Vlaue (Cr)'!$C:$FB,43)</f>
        <v>694</v>
      </c>
      <c r="H111" s="49">
        <f>VLOOKUP($A111,'Data Vlaue (Cr)'!$C:$FB,44)</f>
        <v>968</v>
      </c>
      <c r="I111" s="49">
        <f>VLOOKUP($A111,'Data Vlaue (Cr)'!$C:$FB,46)*100</f>
        <v>-28.29</v>
      </c>
      <c r="J111" s="51">
        <f>VLOOKUP($A111,'Data Vlaue (Cr)'!$C:$FB,59)</f>
        <v>510</v>
      </c>
      <c r="K111" s="51">
        <f>VLOOKUP($A111,'Data Vlaue (Cr)'!$C:$FB,60)</f>
        <v>341</v>
      </c>
      <c r="L111" s="51">
        <f>VLOOKUP($A111,'Data Vlaue (Cr)'!$C:$FB,62)*100</f>
        <v>49.51</v>
      </c>
      <c r="M111" s="51">
        <f>VLOOKUP($A111,'Data Vlaue (Cr)'!$C:$FB,63)</f>
        <v>230</v>
      </c>
      <c r="N111" s="51">
        <f>VLOOKUP($A111,'Data Vlaue (Cr)'!$C:$FB,64)</f>
        <v>273</v>
      </c>
      <c r="O111" s="51">
        <f>VLOOKUP($A111,'Data Vlaue (Cr)'!$C:$FB,66)*100</f>
        <v>-15.78</v>
      </c>
    </row>
    <row r="112" spans="1:15" x14ac:dyDescent="0.25">
      <c r="A112" s="101" t="str">
        <f>'Data Vlaue (Cr)'!C107</f>
        <v>JSWSTEEL</v>
      </c>
      <c r="B112" s="50">
        <f>VLOOKUP($A112,'Data Vlaue (Cr)'!$C:$FB,8)</f>
        <v>1184.4000000000001</v>
      </c>
      <c r="C112" s="50">
        <f>VLOOKUP($A112,'Data Vlaue (Cr)'!$C:$FB,11)*100</f>
        <v>0.83</v>
      </c>
      <c r="D112" s="50">
        <f>VLOOKUP($A112,'Data Vlaue (Cr)'!$C:$FB,143)</f>
        <v>5872.49</v>
      </c>
      <c r="E112" s="50">
        <f>VLOOKUP($A112,'Data Vlaue (Cr)'!$C:$FB,144)</f>
        <v>4963.28</v>
      </c>
      <c r="F112" s="50">
        <f>VLOOKUP($A112,'Data Vlaue (Cr)'!$C:$FB,146)*100</f>
        <v>18.32</v>
      </c>
      <c r="G112" s="49">
        <f>VLOOKUP($A112,'Data Vlaue (Cr)'!$C:$FB,43)</f>
        <v>3531</v>
      </c>
      <c r="H112" s="49">
        <f>VLOOKUP($A112,'Data Vlaue (Cr)'!$C:$FB,44)</f>
        <v>2851</v>
      </c>
      <c r="I112" s="49">
        <f>VLOOKUP($A112,'Data Vlaue (Cr)'!$C:$FB,46)*100</f>
        <v>23.849999999999998</v>
      </c>
      <c r="J112" s="51">
        <f>VLOOKUP($A112,'Data Vlaue (Cr)'!$C:$FB,59)</f>
        <v>1548</v>
      </c>
      <c r="K112" s="51">
        <f>VLOOKUP($A112,'Data Vlaue (Cr)'!$C:$FB,60)</f>
        <v>1344</v>
      </c>
      <c r="L112" s="51">
        <f>VLOOKUP($A112,'Data Vlaue (Cr)'!$C:$FB,62)*100</f>
        <v>15.21</v>
      </c>
      <c r="M112" s="51">
        <f>VLOOKUP($A112,'Data Vlaue (Cr)'!$C:$FB,63)</f>
        <v>770</v>
      </c>
      <c r="N112" s="51">
        <f>VLOOKUP($A112,'Data Vlaue (Cr)'!$C:$FB,64)</f>
        <v>797</v>
      </c>
      <c r="O112" s="51">
        <f>VLOOKUP($A112,'Data Vlaue (Cr)'!$C:$FB,66)*100</f>
        <v>-3.4099999999999997</v>
      </c>
    </row>
    <row r="113" spans="1:15" x14ac:dyDescent="0.25">
      <c r="A113" s="101" t="str">
        <f>'Data Vlaue (Cr)'!C108</f>
        <v>JUBLFOOD</v>
      </c>
      <c r="B113" s="50">
        <f>VLOOKUP($A113,'Data Vlaue (Cr)'!$C:$FB,8)</f>
        <v>501</v>
      </c>
      <c r="C113" s="50">
        <f>VLOOKUP($A113,'Data Vlaue (Cr)'!$C:$FB,11)*100</f>
        <v>-1.28</v>
      </c>
      <c r="D113" s="50">
        <f>VLOOKUP($A113,'Data Vlaue (Cr)'!$C:$FB,143)</f>
        <v>2183.9499999999998</v>
      </c>
      <c r="E113" s="50">
        <f>VLOOKUP($A113,'Data Vlaue (Cr)'!$C:$FB,144)</f>
        <v>1916.67</v>
      </c>
      <c r="F113" s="50">
        <f>VLOOKUP($A113,'Data Vlaue (Cr)'!$C:$FB,146)*100</f>
        <v>13.950000000000001</v>
      </c>
      <c r="G113" s="49">
        <f>VLOOKUP($A113,'Data Vlaue (Cr)'!$C:$FB,43)</f>
        <v>1243</v>
      </c>
      <c r="H113" s="49">
        <f>VLOOKUP($A113,'Data Vlaue (Cr)'!$C:$FB,44)</f>
        <v>981</v>
      </c>
      <c r="I113" s="49">
        <f>VLOOKUP($A113,'Data Vlaue (Cr)'!$C:$FB,46)*100</f>
        <v>26.69</v>
      </c>
      <c r="J113" s="51">
        <f>VLOOKUP($A113,'Data Vlaue (Cr)'!$C:$FB,59)</f>
        <v>601</v>
      </c>
      <c r="K113" s="51">
        <f>VLOOKUP($A113,'Data Vlaue (Cr)'!$C:$FB,60)</f>
        <v>584</v>
      </c>
      <c r="L113" s="51">
        <f>VLOOKUP($A113,'Data Vlaue (Cr)'!$C:$FB,62)*100</f>
        <v>2.93</v>
      </c>
      <c r="M113" s="51">
        <f>VLOOKUP($A113,'Data Vlaue (Cr)'!$C:$FB,63)</f>
        <v>299</v>
      </c>
      <c r="N113" s="51">
        <f>VLOOKUP($A113,'Data Vlaue (Cr)'!$C:$FB,64)</f>
        <v>305</v>
      </c>
      <c r="O113" s="51">
        <f>VLOOKUP($A113,'Data Vlaue (Cr)'!$C:$FB,66)*100</f>
        <v>-1.7999999999999998</v>
      </c>
    </row>
    <row r="114" spans="1:15" x14ac:dyDescent="0.25">
      <c r="A114" s="101" t="str">
        <f>'Data Vlaue (Cr)'!C109</f>
        <v>KALYANKJIL</v>
      </c>
      <c r="B114" s="50">
        <f>VLOOKUP($A114,'Data Vlaue (Cr)'!$C:$FB,8)</f>
        <v>373.55</v>
      </c>
      <c r="C114" s="50">
        <f>VLOOKUP($A114,'Data Vlaue (Cr)'!$C:$FB,11)*100</f>
        <v>-5.8000000000000007</v>
      </c>
      <c r="D114" s="50">
        <f>VLOOKUP($A114,'Data Vlaue (Cr)'!$C:$FB,143)</f>
        <v>10330.31</v>
      </c>
      <c r="E114" s="50">
        <f>VLOOKUP($A114,'Data Vlaue (Cr)'!$C:$FB,144)</f>
        <v>17171.79</v>
      </c>
      <c r="F114" s="50">
        <f>VLOOKUP($A114,'Data Vlaue (Cr)'!$C:$FB,146)*100</f>
        <v>-39.839999999999996</v>
      </c>
      <c r="G114" s="49">
        <f>VLOOKUP($A114,'Data Vlaue (Cr)'!$C:$FB,43)</f>
        <v>1608</v>
      </c>
      <c r="H114" s="49">
        <f>VLOOKUP($A114,'Data Vlaue (Cr)'!$C:$FB,44)</f>
        <v>1847</v>
      </c>
      <c r="I114" s="49">
        <f>VLOOKUP($A114,'Data Vlaue (Cr)'!$C:$FB,46)*100</f>
        <v>-12.950000000000001</v>
      </c>
      <c r="J114" s="51">
        <f>VLOOKUP($A114,'Data Vlaue (Cr)'!$C:$FB,59)</f>
        <v>3741</v>
      </c>
      <c r="K114" s="51">
        <f>VLOOKUP($A114,'Data Vlaue (Cr)'!$C:$FB,60)</f>
        <v>6827</v>
      </c>
      <c r="L114" s="51">
        <f>VLOOKUP($A114,'Data Vlaue (Cr)'!$C:$FB,62)*100</f>
        <v>-45.21</v>
      </c>
      <c r="M114" s="51">
        <f>VLOOKUP($A114,'Data Vlaue (Cr)'!$C:$FB,63)</f>
        <v>4333</v>
      </c>
      <c r="N114" s="51">
        <f>VLOOKUP($A114,'Data Vlaue (Cr)'!$C:$FB,64)</f>
        <v>6420</v>
      </c>
      <c r="O114" s="51">
        <f>VLOOKUP($A114,'Data Vlaue (Cr)'!$C:$FB,66)*100</f>
        <v>-32.5</v>
      </c>
    </row>
    <row r="115" spans="1:15" x14ac:dyDescent="0.25">
      <c r="A115" s="101" t="str">
        <f>'Data Vlaue (Cr)'!C110</f>
        <v>KAYNES</v>
      </c>
      <c r="B115" s="50">
        <f>VLOOKUP($A115,'Data Vlaue (Cr)'!$C:$FB,8)</f>
        <v>3527.2</v>
      </c>
      <c r="C115" s="50">
        <f>VLOOKUP($A115,'Data Vlaue (Cr)'!$C:$FB,11)*100</f>
        <v>1.04</v>
      </c>
      <c r="D115" s="50">
        <f>VLOOKUP($A115,'Data Vlaue (Cr)'!$C:$FB,143)</f>
        <v>2929.2</v>
      </c>
      <c r="E115" s="50">
        <f>VLOOKUP($A115,'Data Vlaue (Cr)'!$C:$FB,144)</f>
        <v>3419.1</v>
      </c>
      <c r="F115" s="50">
        <f>VLOOKUP($A115,'Data Vlaue (Cr)'!$C:$FB,146)*100</f>
        <v>-14.330000000000002</v>
      </c>
      <c r="G115" s="49">
        <f>VLOOKUP($A115,'Data Vlaue (Cr)'!$C:$FB,43)</f>
        <v>1115</v>
      </c>
      <c r="H115" s="49">
        <f>VLOOKUP($A115,'Data Vlaue (Cr)'!$C:$FB,44)</f>
        <v>819</v>
      </c>
      <c r="I115" s="49">
        <f>VLOOKUP($A115,'Data Vlaue (Cr)'!$C:$FB,46)*100</f>
        <v>36.130000000000003</v>
      </c>
      <c r="J115" s="51">
        <f>VLOOKUP($A115,'Data Vlaue (Cr)'!$C:$FB,59)</f>
        <v>1189</v>
      </c>
      <c r="K115" s="51">
        <f>VLOOKUP($A115,'Data Vlaue (Cr)'!$C:$FB,60)</f>
        <v>1624</v>
      </c>
      <c r="L115" s="51">
        <f>VLOOKUP($A115,'Data Vlaue (Cr)'!$C:$FB,62)*100</f>
        <v>-26.82</v>
      </c>
      <c r="M115" s="51">
        <f>VLOOKUP($A115,'Data Vlaue (Cr)'!$C:$FB,63)</f>
        <v>515</v>
      </c>
      <c r="N115" s="51">
        <f>VLOOKUP($A115,'Data Vlaue (Cr)'!$C:$FB,64)</f>
        <v>860</v>
      </c>
      <c r="O115" s="51">
        <f>VLOOKUP($A115,'Data Vlaue (Cr)'!$C:$FB,66)*100</f>
        <v>-40.089999999999996</v>
      </c>
    </row>
    <row r="116" spans="1:15" x14ac:dyDescent="0.25">
      <c r="A116" s="101" t="str">
        <f>'Data Vlaue (Cr)'!C111</f>
        <v>KEI</v>
      </c>
      <c r="B116" s="50">
        <f>VLOOKUP($A116,'Data Vlaue (Cr)'!$C:$FB,8)</f>
        <v>3848.4</v>
      </c>
      <c r="C116" s="50">
        <f>VLOOKUP($A116,'Data Vlaue (Cr)'!$C:$FB,11)*100</f>
        <v>-2.31</v>
      </c>
      <c r="D116" s="50">
        <f>VLOOKUP($A116,'Data Vlaue (Cr)'!$C:$FB,143)</f>
        <v>6863.06</v>
      </c>
      <c r="E116" s="50">
        <f>VLOOKUP($A116,'Data Vlaue (Cr)'!$C:$FB,144)</f>
        <v>2837.35</v>
      </c>
      <c r="F116" s="50">
        <f>VLOOKUP($A116,'Data Vlaue (Cr)'!$C:$FB,146)*100</f>
        <v>141.88</v>
      </c>
      <c r="G116" s="49">
        <f>VLOOKUP($A116,'Data Vlaue (Cr)'!$C:$FB,43)</f>
        <v>1257</v>
      </c>
      <c r="H116" s="49">
        <f>VLOOKUP($A116,'Data Vlaue (Cr)'!$C:$FB,44)</f>
        <v>542</v>
      </c>
      <c r="I116" s="49">
        <f>VLOOKUP($A116,'Data Vlaue (Cr)'!$C:$FB,46)*100</f>
        <v>131.62</v>
      </c>
      <c r="J116" s="51">
        <f>VLOOKUP($A116,'Data Vlaue (Cr)'!$C:$FB,59)</f>
        <v>3045</v>
      </c>
      <c r="K116" s="51">
        <f>VLOOKUP($A116,'Data Vlaue (Cr)'!$C:$FB,60)</f>
        <v>1131</v>
      </c>
      <c r="L116" s="51">
        <f>VLOOKUP($A116,'Data Vlaue (Cr)'!$C:$FB,62)*100</f>
        <v>169.34</v>
      </c>
      <c r="M116" s="51">
        <f>VLOOKUP($A116,'Data Vlaue (Cr)'!$C:$FB,63)</f>
        <v>2436</v>
      </c>
      <c r="N116" s="51">
        <f>VLOOKUP($A116,'Data Vlaue (Cr)'!$C:$FB,64)</f>
        <v>1012</v>
      </c>
      <c r="O116" s="51">
        <f>VLOOKUP($A116,'Data Vlaue (Cr)'!$C:$FB,66)*100</f>
        <v>140.76999999999998</v>
      </c>
    </row>
    <row r="117" spans="1:15" x14ac:dyDescent="0.25">
      <c r="A117" s="101" t="str">
        <f>'Data Vlaue (Cr)'!C112</f>
        <v>KFINTECH</v>
      </c>
      <c r="B117" s="50">
        <f>VLOOKUP($A117,'Data Vlaue (Cr)'!$C:$FB,8)</f>
        <v>1033.5</v>
      </c>
      <c r="C117" s="50">
        <f>VLOOKUP($A117,'Data Vlaue (Cr)'!$C:$FB,11)*100</f>
        <v>3.3099999999999996</v>
      </c>
      <c r="D117" s="50">
        <f>VLOOKUP($A117,'Data Vlaue (Cr)'!$C:$FB,143)</f>
        <v>1627.7</v>
      </c>
      <c r="E117" s="50">
        <f>VLOOKUP($A117,'Data Vlaue (Cr)'!$C:$FB,144)</f>
        <v>1364.2</v>
      </c>
      <c r="F117" s="50">
        <f>VLOOKUP($A117,'Data Vlaue (Cr)'!$C:$FB,146)*100</f>
        <v>19.32</v>
      </c>
      <c r="G117" s="49">
        <f>VLOOKUP($A117,'Data Vlaue (Cr)'!$C:$FB,43)</f>
        <v>746</v>
      </c>
      <c r="H117" s="49">
        <f>VLOOKUP($A117,'Data Vlaue (Cr)'!$C:$FB,44)</f>
        <v>609</v>
      </c>
      <c r="I117" s="49">
        <f>VLOOKUP($A117,'Data Vlaue (Cr)'!$C:$FB,46)*100</f>
        <v>22.45</v>
      </c>
      <c r="J117" s="51">
        <f>VLOOKUP($A117,'Data Vlaue (Cr)'!$C:$FB,59)</f>
        <v>596</v>
      </c>
      <c r="K117" s="51">
        <f>VLOOKUP($A117,'Data Vlaue (Cr)'!$C:$FB,60)</f>
        <v>300</v>
      </c>
      <c r="L117" s="51">
        <f>VLOOKUP($A117,'Data Vlaue (Cr)'!$C:$FB,62)*100</f>
        <v>98.6</v>
      </c>
      <c r="M117" s="51">
        <f>VLOOKUP($A117,'Data Vlaue (Cr)'!$C:$FB,63)</f>
        <v>286</v>
      </c>
      <c r="N117" s="51">
        <f>VLOOKUP($A117,'Data Vlaue (Cr)'!$C:$FB,64)</f>
        <v>497</v>
      </c>
      <c r="O117" s="51">
        <f>VLOOKUP($A117,'Data Vlaue (Cr)'!$C:$FB,66)*100</f>
        <v>-42.36</v>
      </c>
    </row>
    <row r="118" spans="1:15" x14ac:dyDescent="0.25">
      <c r="A118" s="101" t="str">
        <f>'Data Vlaue (Cr)'!C113</f>
        <v>KOTAKBANK</v>
      </c>
      <c r="B118" s="50">
        <f>VLOOKUP($A118,'Data Vlaue (Cr)'!$C:$FB,8)</f>
        <v>426</v>
      </c>
      <c r="C118" s="50">
        <f>VLOOKUP($A118,'Data Vlaue (Cr)'!$C:$FB,11)*100</f>
        <v>1.04</v>
      </c>
      <c r="D118" s="50">
        <f>VLOOKUP($A118,'Data Vlaue (Cr)'!$C:$FB,143)</f>
        <v>6809.87</v>
      </c>
      <c r="E118" s="50">
        <f>VLOOKUP($A118,'Data Vlaue (Cr)'!$C:$FB,144)</f>
        <v>7551.72</v>
      </c>
      <c r="F118" s="50">
        <f>VLOOKUP($A118,'Data Vlaue (Cr)'!$C:$FB,146)*100</f>
        <v>-9.82</v>
      </c>
      <c r="G118" s="49">
        <f>VLOOKUP($A118,'Data Vlaue (Cr)'!$C:$FB,43)</f>
        <v>4406</v>
      </c>
      <c r="H118" s="49">
        <f>VLOOKUP($A118,'Data Vlaue (Cr)'!$C:$FB,44)</f>
        <v>4727</v>
      </c>
      <c r="I118" s="49">
        <f>VLOOKUP($A118,'Data Vlaue (Cr)'!$C:$FB,46)*100</f>
        <v>-6.78</v>
      </c>
      <c r="J118" s="51">
        <f>VLOOKUP($A118,'Data Vlaue (Cr)'!$C:$FB,59)</f>
        <v>1445</v>
      </c>
      <c r="K118" s="51">
        <f>VLOOKUP($A118,'Data Vlaue (Cr)'!$C:$FB,60)</f>
        <v>1811</v>
      </c>
      <c r="L118" s="51">
        <f>VLOOKUP($A118,'Data Vlaue (Cr)'!$C:$FB,62)*100</f>
        <v>-20.239999999999998</v>
      </c>
      <c r="M118" s="51">
        <f>VLOOKUP($A118,'Data Vlaue (Cr)'!$C:$FB,63)</f>
        <v>923</v>
      </c>
      <c r="N118" s="51">
        <f>VLOOKUP($A118,'Data Vlaue (Cr)'!$C:$FB,64)</f>
        <v>993</v>
      </c>
      <c r="O118" s="51">
        <f>VLOOKUP($A118,'Data Vlaue (Cr)'!$C:$FB,66)*100</f>
        <v>-7.08</v>
      </c>
    </row>
    <row r="119" spans="1:15" x14ac:dyDescent="0.25">
      <c r="A119" s="101" t="str">
        <f>'Data Vlaue (Cr)'!C114</f>
        <v>KPITTECH</v>
      </c>
      <c r="B119" s="50">
        <f>VLOOKUP($A119,'Data Vlaue (Cr)'!$C:$FB,8)</f>
        <v>1109.2</v>
      </c>
      <c r="C119" s="50">
        <f>VLOOKUP($A119,'Data Vlaue (Cr)'!$C:$FB,11)*100</f>
        <v>-0.51</v>
      </c>
      <c r="D119" s="50">
        <f>VLOOKUP($A119,'Data Vlaue (Cr)'!$C:$FB,143)</f>
        <v>1023.45</v>
      </c>
      <c r="E119" s="50">
        <f>VLOOKUP($A119,'Data Vlaue (Cr)'!$C:$FB,144)</f>
        <v>1344.77</v>
      </c>
      <c r="F119" s="50">
        <f>VLOOKUP($A119,'Data Vlaue (Cr)'!$C:$FB,146)*100</f>
        <v>-23.89</v>
      </c>
      <c r="G119" s="49">
        <f>VLOOKUP($A119,'Data Vlaue (Cr)'!$C:$FB,43)</f>
        <v>419</v>
      </c>
      <c r="H119" s="49">
        <f>VLOOKUP($A119,'Data Vlaue (Cr)'!$C:$FB,44)</f>
        <v>422</v>
      </c>
      <c r="I119" s="49">
        <f>VLOOKUP($A119,'Data Vlaue (Cr)'!$C:$FB,46)*100</f>
        <v>-0.77999999999999992</v>
      </c>
      <c r="J119" s="51">
        <f>VLOOKUP($A119,'Data Vlaue (Cr)'!$C:$FB,59)</f>
        <v>408</v>
      </c>
      <c r="K119" s="51">
        <f>VLOOKUP($A119,'Data Vlaue (Cr)'!$C:$FB,60)</f>
        <v>477</v>
      </c>
      <c r="L119" s="51">
        <f>VLOOKUP($A119,'Data Vlaue (Cr)'!$C:$FB,62)*100</f>
        <v>-14.330000000000002</v>
      </c>
      <c r="M119" s="51">
        <f>VLOOKUP($A119,'Data Vlaue (Cr)'!$C:$FB,63)</f>
        <v>171</v>
      </c>
      <c r="N119" s="51">
        <f>VLOOKUP($A119,'Data Vlaue (Cr)'!$C:$FB,64)</f>
        <v>424</v>
      </c>
      <c r="O119" s="51">
        <f>VLOOKUP($A119,'Data Vlaue (Cr)'!$C:$FB,66)*100</f>
        <v>-59.72</v>
      </c>
    </row>
    <row r="120" spans="1:15" x14ac:dyDescent="0.25">
      <c r="A120" s="101" t="str">
        <f>'Data Vlaue (Cr)'!C115</f>
        <v>LAURUSLABS</v>
      </c>
      <c r="B120" s="50">
        <f>VLOOKUP($A120,'Data Vlaue (Cr)'!$C:$FB,8)</f>
        <v>1005.8</v>
      </c>
      <c r="C120" s="50">
        <f>VLOOKUP($A120,'Data Vlaue (Cr)'!$C:$FB,11)*100</f>
        <v>1.81</v>
      </c>
      <c r="D120" s="50">
        <f>VLOOKUP($A120,'Data Vlaue (Cr)'!$C:$FB,143)</f>
        <v>4355.47</v>
      </c>
      <c r="E120" s="50">
        <f>VLOOKUP($A120,'Data Vlaue (Cr)'!$C:$FB,144)</f>
        <v>5736.33</v>
      </c>
      <c r="F120" s="50">
        <f>VLOOKUP($A120,'Data Vlaue (Cr)'!$C:$FB,146)*100</f>
        <v>-24.07</v>
      </c>
      <c r="G120" s="49">
        <f>VLOOKUP($A120,'Data Vlaue (Cr)'!$C:$FB,43)</f>
        <v>1307</v>
      </c>
      <c r="H120" s="49">
        <f>VLOOKUP($A120,'Data Vlaue (Cr)'!$C:$FB,44)</f>
        <v>1243</v>
      </c>
      <c r="I120" s="49">
        <f>VLOOKUP($A120,'Data Vlaue (Cr)'!$C:$FB,46)*100</f>
        <v>5.09</v>
      </c>
      <c r="J120" s="51">
        <f>VLOOKUP($A120,'Data Vlaue (Cr)'!$C:$FB,59)</f>
        <v>2058</v>
      </c>
      <c r="K120" s="51">
        <f>VLOOKUP($A120,'Data Vlaue (Cr)'!$C:$FB,60)</f>
        <v>2607</v>
      </c>
      <c r="L120" s="51">
        <f>VLOOKUP($A120,'Data Vlaue (Cr)'!$C:$FB,62)*100</f>
        <v>-21.08</v>
      </c>
      <c r="M120" s="51">
        <f>VLOOKUP($A120,'Data Vlaue (Cr)'!$C:$FB,63)</f>
        <v>878</v>
      </c>
      <c r="N120" s="51">
        <f>VLOOKUP($A120,'Data Vlaue (Cr)'!$C:$FB,64)</f>
        <v>1718</v>
      </c>
      <c r="O120" s="51">
        <f>VLOOKUP($A120,'Data Vlaue (Cr)'!$C:$FB,66)*100</f>
        <v>-48.9</v>
      </c>
    </row>
    <row r="121" spans="1:15" x14ac:dyDescent="0.25">
      <c r="A121" s="101" t="str">
        <f>'Data Vlaue (Cr)'!C116</f>
        <v>LICHSGFIN</v>
      </c>
      <c r="B121" s="50">
        <f>VLOOKUP($A121,'Data Vlaue (Cr)'!$C:$FB,8)</f>
        <v>517.1</v>
      </c>
      <c r="C121" s="50">
        <f>VLOOKUP($A121,'Data Vlaue (Cr)'!$C:$FB,11)*100</f>
        <v>2.02</v>
      </c>
      <c r="D121" s="50">
        <f>VLOOKUP($A121,'Data Vlaue (Cr)'!$C:$FB,143)</f>
        <v>1841.54</v>
      </c>
      <c r="E121" s="50">
        <f>VLOOKUP($A121,'Data Vlaue (Cr)'!$C:$FB,144)</f>
        <v>2091.65</v>
      </c>
      <c r="F121" s="50">
        <f>VLOOKUP($A121,'Data Vlaue (Cr)'!$C:$FB,146)*100</f>
        <v>-11.959999999999999</v>
      </c>
      <c r="G121" s="49">
        <f>VLOOKUP($A121,'Data Vlaue (Cr)'!$C:$FB,43)</f>
        <v>826</v>
      </c>
      <c r="H121" s="49">
        <f>VLOOKUP($A121,'Data Vlaue (Cr)'!$C:$FB,44)</f>
        <v>996</v>
      </c>
      <c r="I121" s="49">
        <f>VLOOKUP($A121,'Data Vlaue (Cr)'!$C:$FB,46)*100</f>
        <v>-17.100000000000001</v>
      </c>
      <c r="J121" s="51">
        <f>VLOOKUP($A121,'Data Vlaue (Cr)'!$C:$FB,59)</f>
        <v>528</v>
      </c>
      <c r="K121" s="51">
        <f>VLOOKUP($A121,'Data Vlaue (Cr)'!$C:$FB,60)</f>
        <v>626</v>
      </c>
      <c r="L121" s="51">
        <f>VLOOKUP($A121,'Data Vlaue (Cr)'!$C:$FB,62)*100</f>
        <v>-15.57</v>
      </c>
      <c r="M121" s="51">
        <f>VLOOKUP($A121,'Data Vlaue (Cr)'!$C:$FB,63)</f>
        <v>458</v>
      </c>
      <c r="N121" s="51">
        <f>VLOOKUP($A121,'Data Vlaue (Cr)'!$C:$FB,64)</f>
        <v>445</v>
      </c>
      <c r="O121" s="51">
        <f>VLOOKUP($A121,'Data Vlaue (Cr)'!$C:$FB,66)*100</f>
        <v>2.86</v>
      </c>
    </row>
    <row r="122" spans="1:15" x14ac:dyDescent="0.25">
      <c r="A122" s="101" t="str">
        <f>'Data Vlaue (Cr)'!C117</f>
        <v>LICI</v>
      </c>
      <c r="B122" s="50">
        <f>VLOOKUP($A122,'Data Vlaue (Cr)'!$C:$FB,8)</f>
        <v>819.3</v>
      </c>
      <c r="C122" s="50">
        <f>VLOOKUP($A122,'Data Vlaue (Cr)'!$C:$FB,11)*100</f>
        <v>1.2</v>
      </c>
      <c r="D122" s="50">
        <f>VLOOKUP($A122,'Data Vlaue (Cr)'!$C:$FB,143)</f>
        <v>4325.79</v>
      </c>
      <c r="E122" s="50">
        <f>VLOOKUP($A122,'Data Vlaue (Cr)'!$C:$FB,144)</f>
        <v>1384.59</v>
      </c>
      <c r="F122" s="50">
        <f>VLOOKUP($A122,'Data Vlaue (Cr)'!$C:$FB,146)*100</f>
        <v>212.42000000000002</v>
      </c>
      <c r="G122" s="49">
        <f>VLOOKUP($A122,'Data Vlaue (Cr)'!$C:$FB,43)</f>
        <v>1362</v>
      </c>
      <c r="H122" s="49">
        <f>VLOOKUP($A122,'Data Vlaue (Cr)'!$C:$FB,44)</f>
        <v>530</v>
      </c>
      <c r="I122" s="49">
        <f>VLOOKUP($A122,'Data Vlaue (Cr)'!$C:$FB,46)*100</f>
        <v>156.88</v>
      </c>
      <c r="J122" s="51">
        <f>VLOOKUP($A122,'Data Vlaue (Cr)'!$C:$FB,59)</f>
        <v>1757</v>
      </c>
      <c r="K122" s="51">
        <f>VLOOKUP($A122,'Data Vlaue (Cr)'!$C:$FB,60)</f>
        <v>507</v>
      </c>
      <c r="L122" s="51">
        <f>VLOOKUP($A122,'Data Vlaue (Cr)'!$C:$FB,62)*100</f>
        <v>246.17</v>
      </c>
      <c r="M122" s="51">
        <f>VLOOKUP($A122,'Data Vlaue (Cr)'!$C:$FB,63)</f>
        <v>1180</v>
      </c>
      <c r="N122" s="51">
        <f>VLOOKUP($A122,'Data Vlaue (Cr)'!$C:$FB,64)</f>
        <v>347</v>
      </c>
      <c r="O122" s="51">
        <f>VLOOKUP($A122,'Data Vlaue (Cr)'!$C:$FB,66)*100</f>
        <v>239.78000000000003</v>
      </c>
    </row>
    <row r="123" spans="1:15" x14ac:dyDescent="0.25">
      <c r="A123" s="101" t="str">
        <f>'Data Vlaue (Cr)'!C118</f>
        <v>LODHA</v>
      </c>
      <c r="B123" s="50">
        <f>VLOOKUP($A123,'Data Vlaue (Cr)'!$C:$FB,8)</f>
        <v>945.5</v>
      </c>
      <c r="C123" s="50">
        <f>VLOOKUP($A123,'Data Vlaue (Cr)'!$C:$FB,11)*100</f>
        <v>-3.54</v>
      </c>
      <c r="D123" s="50">
        <f>VLOOKUP($A123,'Data Vlaue (Cr)'!$C:$FB,143)</f>
        <v>2067.8000000000002</v>
      </c>
      <c r="E123" s="50">
        <f>VLOOKUP($A123,'Data Vlaue (Cr)'!$C:$FB,144)</f>
        <v>1788.29</v>
      </c>
      <c r="F123" s="50">
        <f>VLOOKUP($A123,'Data Vlaue (Cr)'!$C:$FB,146)*100</f>
        <v>15.629999999999999</v>
      </c>
      <c r="G123" s="49">
        <f>VLOOKUP($A123,'Data Vlaue (Cr)'!$C:$FB,43)</f>
        <v>671</v>
      </c>
      <c r="H123" s="49">
        <f>VLOOKUP($A123,'Data Vlaue (Cr)'!$C:$FB,44)</f>
        <v>774</v>
      </c>
      <c r="I123" s="49">
        <f>VLOOKUP($A123,'Data Vlaue (Cr)'!$C:$FB,46)*100</f>
        <v>-13.370000000000001</v>
      </c>
      <c r="J123" s="51">
        <f>VLOOKUP($A123,'Data Vlaue (Cr)'!$C:$FB,59)</f>
        <v>708</v>
      </c>
      <c r="K123" s="51">
        <f>VLOOKUP($A123,'Data Vlaue (Cr)'!$C:$FB,60)</f>
        <v>567</v>
      </c>
      <c r="L123" s="51">
        <f>VLOOKUP($A123,'Data Vlaue (Cr)'!$C:$FB,62)*100</f>
        <v>24.88</v>
      </c>
      <c r="M123" s="51">
        <f>VLOOKUP($A123,'Data Vlaue (Cr)'!$C:$FB,63)</f>
        <v>603</v>
      </c>
      <c r="N123" s="51">
        <f>VLOOKUP($A123,'Data Vlaue (Cr)'!$C:$FB,64)</f>
        <v>353</v>
      </c>
      <c r="O123" s="51">
        <f>VLOOKUP($A123,'Data Vlaue (Cr)'!$C:$FB,66)*100</f>
        <v>70.66</v>
      </c>
    </row>
    <row r="124" spans="1:15" x14ac:dyDescent="0.25">
      <c r="A124" s="101" t="str">
        <f>'Data Vlaue (Cr)'!C119</f>
        <v>LT</v>
      </c>
      <c r="B124" s="50">
        <f>VLOOKUP($A124,'Data Vlaue (Cr)'!$C:$FB,8)</f>
        <v>3793.8</v>
      </c>
      <c r="C124" s="50">
        <f>VLOOKUP($A124,'Data Vlaue (Cr)'!$C:$FB,11)*100</f>
        <v>0.72</v>
      </c>
      <c r="D124" s="50">
        <f>VLOOKUP($A124,'Data Vlaue (Cr)'!$C:$FB,143)</f>
        <v>8832.86</v>
      </c>
      <c r="E124" s="50">
        <f>VLOOKUP($A124,'Data Vlaue (Cr)'!$C:$FB,144)</f>
        <v>9319</v>
      </c>
      <c r="F124" s="50">
        <f>VLOOKUP($A124,'Data Vlaue (Cr)'!$C:$FB,146)*100</f>
        <v>-5.2200000000000006</v>
      </c>
      <c r="G124" s="49">
        <f>VLOOKUP($A124,'Data Vlaue (Cr)'!$C:$FB,43)</f>
        <v>3565</v>
      </c>
      <c r="H124" s="49">
        <f>VLOOKUP($A124,'Data Vlaue (Cr)'!$C:$FB,44)</f>
        <v>2552</v>
      </c>
      <c r="I124" s="49">
        <f>VLOOKUP($A124,'Data Vlaue (Cr)'!$C:$FB,46)*100</f>
        <v>39.69</v>
      </c>
      <c r="J124" s="51">
        <f>VLOOKUP($A124,'Data Vlaue (Cr)'!$C:$FB,59)</f>
        <v>3773</v>
      </c>
      <c r="K124" s="51">
        <f>VLOOKUP($A124,'Data Vlaue (Cr)'!$C:$FB,60)</f>
        <v>4448</v>
      </c>
      <c r="L124" s="51">
        <f>VLOOKUP($A124,'Data Vlaue (Cr)'!$C:$FB,62)*100</f>
        <v>-15.190000000000001</v>
      </c>
      <c r="M124" s="51">
        <f>VLOOKUP($A124,'Data Vlaue (Cr)'!$C:$FB,63)</f>
        <v>1376</v>
      </c>
      <c r="N124" s="51">
        <f>VLOOKUP($A124,'Data Vlaue (Cr)'!$C:$FB,64)</f>
        <v>2200</v>
      </c>
      <c r="O124" s="51">
        <f>VLOOKUP($A124,'Data Vlaue (Cr)'!$C:$FB,66)*100</f>
        <v>-37.480000000000004</v>
      </c>
    </row>
    <row r="125" spans="1:15" x14ac:dyDescent="0.25">
      <c r="A125" s="101" t="str">
        <f>'Data Vlaue (Cr)'!C120</f>
        <v>LTF</v>
      </c>
      <c r="B125" s="50">
        <f>VLOOKUP($A125,'Data Vlaue (Cr)'!$C:$FB,8)</f>
        <v>287.3</v>
      </c>
      <c r="C125" s="50">
        <f>VLOOKUP($A125,'Data Vlaue (Cr)'!$C:$FB,11)*100</f>
        <v>2.11</v>
      </c>
      <c r="D125" s="50">
        <f>VLOOKUP($A125,'Data Vlaue (Cr)'!$C:$FB,143)</f>
        <v>4158.6899999999996</v>
      </c>
      <c r="E125" s="50">
        <f>VLOOKUP($A125,'Data Vlaue (Cr)'!$C:$FB,144)</f>
        <v>10991.62</v>
      </c>
      <c r="F125" s="50">
        <f>VLOOKUP($A125,'Data Vlaue (Cr)'!$C:$FB,146)*100</f>
        <v>-62.160000000000004</v>
      </c>
      <c r="G125" s="49">
        <f>VLOOKUP($A125,'Data Vlaue (Cr)'!$C:$FB,43)</f>
        <v>1544</v>
      </c>
      <c r="H125" s="49">
        <f>VLOOKUP($A125,'Data Vlaue (Cr)'!$C:$FB,44)</f>
        <v>1816</v>
      </c>
      <c r="I125" s="49">
        <f>VLOOKUP($A125,'Data Vlaue (Cr)'!$C:$FB,46)*100</f>
        <v>-14.97</v>
      </c>
      <c r="J125" s="51">
        <f>VLOOKUP($A125,'Data Vlaue (Cr)'!$C:$FB,59)</f>
        <v>1870</v>
      </c>
      <c r="K125" s="51">
        <f>VLOOKUP($A125,'Data Vlaue (Cr)'!$C:$FB,60)</f>
        <v>5889</v>
      </c>
      <c r="L125" s="51">
        <f>VLOOKUP($A125,'Data Vlaue (Cr)'!$C:$FB,62)*100</f>
        <v>-68.25</v>
      </c>
      <c r="M125" s="51">
        <f>VLOOKUP($A125,'Data Vlaue (Cr)'!$C:$FB,63)</f>
        <v>645</v>
      </c>
      <c r="N125" s="51">
        <f>VLOOKUP($A125,'Data Vlaue (Cr)'!$C:$FB,64)</f>
        <v>3031</v>
      </c>
      <c r="O125" s="51">
        <f>VLOOKUP($A125,'Data Vlaue (Cr)'!$C:$FB,66)*100</f>
        <v>-78.710000000000008</v>
      </c>
    </row>
    <row r="126" spans="1:15" x14ac:dyDescent="0.25">
      <c r="A126" s="101" t="str">
        <f>'Data Vlaue (Cr)'!C121</f>
        <v>LTIM</v>
      </c>
      <c r="B126" s="50">
        <f>VLOOKUP($A126,'Data Vlaue (Cr)'!$C:$FB,8)</f>
        <v>5947</v>
      </c>
      <c r="C126" s="50">
        <f>VLOOKUP($A126,'Data Vlaue (Cr)'!$C:$FB,11)*100</f>
        <v>1.76</v>
      </c>
      <c r="D126" s="50">
        <f>VLOOKUP($A126,'Data Vlaue (Cr)'!$C:$FB,143)</f>
        <v>7834.35</v>
      </c>
      <c r="E126" s="50">
        <f>VLOOKUP($A126,'Data Vlaue (Cr)'!$C:$FB,144)</f>
        <v>12188.13</v>
      </c>
      <c r="F126" s="50">
        <f>VLOOKUP($A126,'Data Vlaue (Cr)'!$C:$FB,146)*100</f>
        <v>-35.72</v>
      </c>
      <c r="G126" s="49">
        <f>VLOOKUP($A126,'Data Vlaue (Cr)'!$C:$FB,43)</f>
        <v>1442</v>
      </c>
      <c r="H126" s="49">
        <f>VLOOKUP($A126,'Data Vlaue (Cr)'!$C:$FB,44)</f>
        <v>1455</v>
      </c>
      <c r="I126" s="49">
        <f>VLOOKUP($A126,'Data Vlaue (Cr)'!$C:$FB,46)*100</f>
        <v>-0.88</v>
      </c>
      <c r="J126" s="51">
        <f>VLOOKUP($A126,'Data Vlaue (Cr)'!$C:$FB,59)</f>
        <v>4296</v>
      </c>
      <c r="K126" s="51">
        <f>VLOOKUP($A126,'Data Vlaue (Cr)'!$C:$FB,60)</f>
        <v>5929</v>
      </c>
      <c r="L126" s="51">
        <f>VLOOKUP($A126,'Data Vlaue (Cr)'!$C:$FB,62)*100</f>
        <v>-27.54</v>
      </c>
      <c r="M126" s="51">
        <f>VLOOKUP($A126,'Data Vlaue (Cr)'!$C:$FB,63)</f>
        <v>1963</v>
      </c>
      <c r="N126" s="51">
        <f>VLOOKUP($A126,'Data Vlaue (Cr)'!$C:$FB,64)</f>
        <v>4768</v>
      </c>
      <c r="O126" s="51">
        <f>VLOOKUP($A126,'Data Vlaue (Cr)'!$C:$FB,66)*100</f>
        <v>-58.830000000000005</v>
      </c>
    </row>
    <row r="127" spans="1:15" x14ac:dyDescent="0.25">
      <c r="A127" s="101" t="str">
        <f>'Data Vlaue (Cr)'!C122</f>
        <v>LUPIN</v>
      </c>
      <c r="B127" s="50">
        <f>VLOOKUP($A127,'Data Vlaue (Cr)'!$C:$FB,8)</f>
        <v>2163.1999999999998</v>
      </c>
      <c r="C127" s="50">
        <f>VLOOKUP($A127,'Data Vlaue (Cr)'!$C:$FB,11)*100</f>
        <v>1.05</v>
      </c>
      <c r="D127" s="50">
        <f>VLOOKUP($A127,'Data Vlaue (Cr)'!$C:$FB,143)</f>
        <v>2262.5100000000002</v>
      </c>
      <c r="E127" s="50">
        <f>VLOOKUP($A127,'Data Vlaue (Cr)'!$C:$FB,144)</f>
        <v>2956.94</v>
      </c>
      <c r="F127" s="50">
        <f>VLOOKUP($A127,'Data Vlaue (Cr)'!$C:$FB,146)*100</f>
        <v>-23.48</v>
      </c>
      <c r="G127" s="49">
        <f>VLOOKUP($A127,'Data Vlaue (Cr)'!$C:$FB,43)</f>
        <v>1082</v>
      </c>
      <c r="H127" s="49">
        <f>VLOOKUP($A127,'Data Vlaue (Cr)'!$C:$FB,44)</f>
        <v>872</v>
      </c>
      <c r="I127" s="49">
        <f>VLOOKUP($A127,'Data Vlaue (Cr)'!$C:$FB,46)*100</f>
        <v>24.07</v>
      </c>
      <c r="J127" s="51">
        <f>VLOOKUP($A127,'Data Vlaue (Cr)'!$C:$FB,59)</f>
        <v>746</v>
      </c>
      <c r="K127" s="51">
        <f>VLOOKUP($A127,'Data Vlaue (Cr)'!$C:$FB,60)</f>
        <v>1447</v>
      </c>
      <c r="L127" s="51">
        <f>VLOOKUP($A127,'Data Vlaue (Cr)'!$C:$FB,62)*100</f>
        <v>-48.44</v>
      </c>
      <c r="M127" s="51">
        <f>VLOOKUP($A127,'Data Vlaue (Cr)'!$C:$FB,63)</f>
        <v>407</v>
      </c>
      <c r="N127" s="51">
        <f>VLOOKUP($A127,'Data Vlaue (Cr)'!$C:$FB,64)</f>
        <v>580</v>
      </c>
      <c r="O127" s="51">
        <f>VLOOKUP($A127,'Data Vlaue (Cr)'!$C:$FB,66)*100</f>
        <v>-29.87</v>
      </c>
    </row>
    <row r="128" spans="1:15" x14ac:dyDescent="0.25">
      <c r="A128" s="101" t="str">
        <f>'Data Vlaue (Cr)'!C123</f>
        <v>M&amp;M</v>
      </c>
      <c r="B128" s="50">
        <f>VLOOKUP($A128,'Data Vlaue (Cr)'!$C:$FB,8)</f>
        <v>3573.7</v>
      </c>
      <c r="C128" s="50">
        <f>VLOOKUP($A128,'Data Vlaue (Cr)'!$C:$FB,11)*100</f>
        <v>0.57000000000000006</v>
      </c>
      <c r="D128" s="50">
        <f>VLOOKUP($A128,'Data Vlaue (Cr)'!$C:$FB,143)</f>
        <v>10577.13</v>
      </c>
      <c r="E128" s="50">
        <f>VLOOKUP($A128,'Data Vlaue (Cr)'!$C:$FB,144)</f>
        <v>7920.69</v>
      </c>
      <c r="F128" s="50">
        <f>VLOOKUP($A128,'Data Vlaue (Cr)'!$C:$FB,146)*100</f>
        <v>33.54</v>
      </c>
      <c r="G128" s="49">
        <f>VLOOKUP($A128,'Data Vlaue (Cr)'!$C:$FB,43)</f>
        <v>5893</v>
      </c>
      <c r="H128" s="49">
        <f>VLOOKUP($A128,'Data Vlaue (Cr)'!$C:$FB,44)</f>
        <v>2946</v>
      </c>
      <c r="I128" s="49">
        <f>VLOOKUP($A128,'Data Vlaue (Cr)'!$C:$FB,46)*100</f>
        <v>100.03</v>
      </c>
      <c r="J128" s="51">
        <f>VLOOKUP($A128,'Data Vlaue (Cr)'!$C:$FB,59)</f>
        <v>3075</v>
      </c>
      <c r="K128" s="51">
        <f>VLOOKUP($A128,'Data Vlaue (Cr)'!$C:$FB,60)</f>
        <v>2887</v>
      </c>
      <c r="L128" s="51">
        <f>VLOOKUP($A128,'Data Vlaue (Cr)'!$C:$FB,62)*100</f>
        <v>6.5299999999999994</v>
      </c>
      <c r="M128" s="51">
        <f>VLOOKUP($A128,'Data Vlaue (Cr)'!$C:$FB,63)</f>
        <v>1507</v>
      </c>
      <c r="N128" s="51">
        <f>VLOOKUP($A128,'Data Vlaue (Cr)'!$C:$FB,64)</f>
        <v>2000</v>
      </c>
      <c r="O128" s="51">
        <f>VLOOKUP($A128,'Data Vlaue (Cr)'!$C:$FB,66)*100</f>
        <v>-24.68</v>
      </c>
    </row>
    <row r="129" spans="1:15" x14ac:dyDescent="0.25">
      <c r="A129" s="101" t="str">
        <f>'Data Vlaue (Cr)'!C124</f>
        <v>MANAPPURAM</v>
      </c>
      <c r="B129" s="50">
        <f>VLOOKUP($A129,'Data Vlaue (Cr)'!$C:$FB,8)</f>
        <v>300.2</v>
      </c>
      <c r="C129" s="50">
        <f>VLOOKUP($A129,'Data Vlaue (Cr)'!$C:$FB,11)*100</f>
        <v>0.54999999999999993</v>
      </c>
      <c r="D129" s="50">
        <f>VLOOKUP($A129,'Data Vlaue (Cr)'!$C:$FB,143)</f>
        <v>3142.2</v>
      </c>
      <c r="E129" s="50">
        <f>VLOOKUP($A129,'Data Vlaue (Cr)'!$C:$FB,144)</f>
        <v>3957.29</v>
      </c>
      <c r="F129" s="50">
        <f>VLOOKUP($A129,'Data Vlaue (Cr)'!$C:$FB,146)*100</f>
        <v>-20.599999999999998</v>
      </c>
      <c r="G129" s="49">
        <f>VLOOKUP($A129,'Data Vlaue (Cr)'!$C:$FB,43)</f>
        <v>996</v>
      </c>
      <c r="H129" s="49">
        <f>VLOOKUP($A129,'Data Vlaue (Cr)'!$C:$FB,44)</f>
        <v>1103</v>
      </c>
      <c r="I129" s="49">
        <f>VLOOKUP($A129,'Data Vlaue (Cr)'!$C:$FB,46)*100</f>
        <v>-9.66</v>
      </c>
      <c r="J129" s="51">
        <f>VLOOKUP($A129,'Data Vlaue (Cr)'!$C:$FB,59)</f>
        <v>1482</v>
      </c>
      <c r="K129" s="51">
        <f>VLOOKUP($A129,'Data Vlaue (Cr)'!$C:$FB,60)</f>
        <v>1933</v>
      </c>
      <c r="L129" s="51">
        <f>VLOOKUP($A129,'Data Vlaue (Cr)'!$C:$FB,62)*100</f>
        <v>-23.35</v>
      </c>
      <c r="M129" s="51">
        <f>VLOOKUP($A129,'Data Vlaue (Cr)'!$C:$FB,63)</f>
        <v>615</v>
      </c>
      <c r="N129" s="51">
        <f>VLOOKUP($A129,'Data Vlaue (Cr)'!$C:$FB,64)</f>
        <v>837</v>
      </c>
      <c r="O129" s="51">
        <f>VLOOKUP($A129,'Data Vlaue (Cr)'!$C:$FB,66)*100</f>
        <v>-26.490000000000002</v>
      </c>
    </row>
    <row r="130" spans="1:15" x14ac:dyDescent="0.25">
      <c r="A130" s="101" t="str">
        <f>'Data Vlaue (Cr)'!C125</f>
        <v>MANKIND</v>
      </c>
      <c r="B130" s="50">
        <f>VLOOKUP($A130,'Data Vlaue (Cr)'!$C:$FB,8)</f>
        <v>2147</v>
      </c>
      <c r="C130" s="50">
        <f>VLOOKUP($A130,'Data Vlaue (Cr)'!$C:$FB,11)*100</f>
        <v>2.2800000000000002</v>
      </c>
      <c r="D130" s="50">
        <f>VLOOKUP($A130,'Data Vlaue (Cr)'!$C:$FB,143)</f>
        <v>784.36</v>
      </c>
      <c r="E130" s="50">
        <f>VLOOKUP($A130,'Data Vlaue (Cr)'!$C:$FB,144)</f>
        <v>723.27</v>
      </c>
      <c r="F130" s="50">
        <f>VLOOKUP($A130,'Data Vlaue (Cr)'!$C:$FB,146)*100</f>
        <v>8.4500000000000011</v>
      </c>
      <c r="G130" s="49">
        <f>VLOOKUP($A130,'Data Vlaue (Cr)'!$C:$FB,43)</f>
        <v>488</v>
      </c>
      <c r="H130" s="49">
        <f>VLOOKUP($A130,'Data Vlaue (Cr)'!$C:$FB,44)</f>
        <v>367</v>
      </c>
      <c r="I130" s="49">
        <f>VLOOKUP($A130,'Data Vlaue (Cr)'!$C:$FB,46)*100</f>
        <v>33.17</v>
      </c>
      <c r="J130" s="51">
        <f>VLOOKUP($A130,'Data Vlaue (Cr)'!$C:$FB,59)</f>
        <v>214</v>
      </c>
      <c r="K130" s="51">
        <f>VLOOKUP($A130,'Data Vlaue (Cr)'!$C:$FB,60)</f>
        <v>204</v>
      </c>
      <c r="L130" s="51">
        <f>VLOOKUP($A130,'Data Vlaue (Cr)'!$C:$FB,62)*100</f>
        <v>4.55</v>
      </c>
      <c r="M130" s="51">
        <f>VLOOKUP($A130,'Data Vlaue (Cr)'!$C:$FB,63)</f>
        <v>80</v>
      </c>
      <c r="N130" s="51">
        <f>VLOOKUP($A130,'Data Vlaue (Cr)'!$C:$FB,64)</f>
        <v>155</v>
      </c>
      <c r="O130" s="51">
        <f>VLOOKUP($A130,'Data Vlaue (Cr)'!$C:$FB,66)*100</f>
        <v>-48.72</v>
      </c>
    </row>
    <row r="131" spans="1:15" x14ac:dyDescent="0.25">
      <c r="A131" s="101" t="str">
        <f>'Data Vlaue (Cr)'!C126</f>
        <v>MARICO</v>
      </c>
      <c r="B131" s="50">
        <f>VLOOKUP($A131,'Data Vlaue (Cr)'!$C:$FB,8)</f>
        <v>751.75</v>
      </c>
      <c r="C131" s="50">
        <f>VLOOKUP($A131,'Data Vlaue (Cr)'!$C:$FB,11)*100</f>
        <v>0.51</v>
      </c>
      <c r="D131" s="50">
        <f>VLOOKUP($A131,'Data Vlaue (Cr)'!$C:$FB,143)</f>
        <v>2681.27</v>
      </c>
      <c r="E131" s="50">
        <f>VLOOKUP($A131,'Data Vlaue (Cr)'!$C:$FB,144)</f>
        <v>1969.98</v>
      </c>
      <c r="F131" s="50">
        <f>VLOOKUP($A131,'Data Vlaue (Cr)'!$C:$FB,146)*100</f>
        <v>36.11</v>
      </c>
      <c r="G131" s="49">
        <f>VLOOKUP($A131,'Data Vlaue (Cr)'!$C:$FB,43)</f>
        <v>1991</v>
      </c>
      <c r="H131" s="49">
        <f>VLOOKUP($A131,'Data Vlaue (Cr)'!$C:$FB,44)</f>
        <v>1336</v>
      </c>
      <c r="I131" s="49">
        <f>VLOOKUP($A131,'Data Vlaue (Cr)'!$C:$FB,46)*100</f>
        <v>49.01</v>
      </c>
      <c r="J131" s="51">
        <f>VLOOKUP($A131,'Data Vlaue (Cr)'!$C:$FB,59)</f>
        <v>513</v>
      </c>
      <c r="K131" s="51">
        <f>VLOOKUP($A131,'Data Vlaue (Cr)'!$C:$FB,60)</f>
        <v>449</v>
      </c>
      <c r="L131" s="51">
        <f>VLOOKUP($A131,'Data Vlaue (Cr)'!$C:$FB,62)*100</f>
        <v>14.27</v>
      </c>
      <c r="M131" s="51">
        <f>VLOOKUP($A131,'Data Vlaue (Cr)'!$C:$FB,63)</f>
        <v>161</v>
      </c>
      <c r="N131" s="51">
        <f>VLOOKUP($A131,'Data Vlaue (Cr)'!$C:$FB,64)</f>
        <v>179</v>
      </c>
      <c r="O131" s="51">
        <f>VLOOKUP($A131,'Data Vlaue (Cr)'!$C:$FB,66)*100</f>
        <v>-10.01</v>
      </c>
    </row>
    <row r="132" spans="1:15" x14ac:dyDescent="0.25">
      <c r="A132" s="101" t="str">
        <f>'Data Vlaue (Cr)'!C127</f>
        <v>MARUTI</v>
      </c>
      <c r="B132" s="50">
        <f>VLOOKUP($A132,'Data Vlaue (Cr)'!$C:$FB,8)</f>
        <v>15765</v>
      </c>
      <c r="C132" s="50">
        <f>VLOOKUP($A132,'Data Vlaue (Cr)'!$C:$FB,11)*100</f>
        <v>-0.03</v>
      </c>
      <c r="D132" s="50">
        <f>VLOOKUP($A132,'Data Vlaue (Cr)'!$C:$FB,143)</f>
        <v>17731.009999999998</v>
      </c>
      <c r="E132" s="50">
        <f>VLOOKUP($A132,'Data Vlaue (Cr)'!$C:$FB,144)</f>
        <v>17217.91</v>
      </c>
      <c r="F132" s="50">
        <f>VLOOKUP($A132,'Data Vlaue (Cr)'!$C:$FB,146)*100</f>
        <v>2.98</v>
      </c>
      <c r="G132" s="49">
        <f>VLOOKUP($A132,'Data Vlaue (Cr)'!$C:$FB,43)</f>
        <v>3818</v>
      </c>
      <c r="H132" s="49">
        <f>VLOOKUP($A132,'Data Vlaue (Cr)'!$C:$FB,44)</f>
        <v>2879</v>
      </c>
      <c r="I132" s="49">
        <f>VLOOKUP($A132,'Data Vlaue (Cr)'!$C:$FB,46)*100</f>
        <v>32.590000000000003</v>
      </c>
      <c r="J132" s="51">
        <f>VLOOKUP($A132,'Data Vlaue (Cr)'!$C:$FB,59)</f>
        <v>9473</v>
      </c>
      <c r="K132" s="51">
        <f>VLOOKUP($A132,'Data Vlaue (Cr)'!$C:$FB,60)</f>
        <v>8949</v>
      </c>
      <c r="L132" s="51">
        <f>VLOOKUP($A132,'Data Vlaue (Cr)'!$C:$FB,62)*100</f>
        <v>5.8500000000000005</v>
      </c>
      <c r="M132" s="51">
        <f>VLOOKUP($A132,'Data Vlaue (Cr)'!$C:$FB,63)</f>
        <v>4054</v>
      </c>
      <c r="N132" s="51">
        <f>VLOOKUP($A132,'Data Vlaue (Cr)'!$C:$FB,64)</f>
        <v>4948</v>
      </c>
      <c r="O132" s="51">
        <f>VLOOKUP($A132,'Data Vlaue (Cr)'!$C:$FB,66)*100</f>
        <v>-18.07</v>
      </c>
    </row>
    <row r="133" spans="1:15" x14ac:dyDescent="0.25">
      <c r="A133" s="101" t="str">
        <f>'Data Vlaue (Cr)'!C128</f>
        <v>MAXHEALTH</v>
      </c>
      <c r="B133" s="50">
        <f>VLOOKUP($A133,'Data Vlaue (Cr)'!$C:$FB,8)</f>
        <v>998.8</v>
      </c>
      <c r="C133" s="50">
        <f>VLOOKUP($A133,'Data Vlaue (Cr)'!$C:$FB,11)*100</f>
        <v>-0.54</v>
      </c>
      <c r="D133" s="50">
        <f>VLOOKUP($A133,'Data Vlaue (Cr)'!$C:$FB,143)</f>
        <v>2235.2399999999998</v>
      </c>
      <c r="E133" s="50">
        <f>VLOOKUP($A133,'Data Vlaue (Cr)'!$C:$FB,144)</f>
        <v>2209.62</v>
      </c>
      <c r="F133" s="50">
        <f>VLOOKUP($A133,'Data Vlaue (Cr)'!$C:$FB,146)*100</f>
        <v>1.1599999999999999</v>
      </c>
      <c r="G133" s="49">
        <f>VLOOKUP($A133,'Data Vlaue (Cr)'!$C:$FB,43)</f>
        <v>1544</v>
      </c>
      <c r="H133" s="49">
        <f>VLOOKUP($A133,'Data Vlaue (Cr)'!$C:$FB,44)</f>
        <v>1272</v>
      </c>
      <c r="I133" s="49">
        <f>VLOOKUP($A133,'Data Vlaue (Cr)'!$C:$FB,46)*100</f>
        <v>21.42</v>
      </c>
      <c r="J133" s="51">
        <f>VLOOKUP($A133,'Data Vlaue (Cr)'!$C:$FB,59)</f>
        <v>472</v>
      </c>
      <c r="K133" s="51">
        <f>VLOOKUP($A133,'Data Vlaue (Cr)'!$C:$FB,60)</f>
        <v>577</v>
      </c>
      <c r="L133" s="51">
        <f>VLOOKUP($A133,'Data Vlaue (Cr)'!$C:$FB,62)*100</f>
        <v>-18.170000000000002</v>
      </c>
      <c r="M133" s="51">
        <f>VLOOKUP($A133,'Data Vlaue (Cr)'!$C:$FB,63)</f>
        <v>197</v>
      </c>
      <c r="N133" s="51">
        <f>VLOOKUP($A133,'Data Vlaue (Cr)'!$C:$FB,64)</f>
        <v>326</v>
      </c>
      <c r="O133" s="51">
        <f>VLOOKUP($A133,'Data Vlaue (Cr)'!$C:$FB,66)*100</f>
        <v>-39.450000000000003</v>
      </c>
    </row>
    <row r="134" spans="1:15" x14ac:dyDescent="0.25">
      <c r="A134" s="101" t="str">
        <f>'Data Vlaue (Cr)'!C129</f>
        <v>MAZDOCK</v>
      </c>
      <c r="B134" s="50">
        <f>VLOOKUP($A134,'Data Vlaue (Cr)'!$C:$FB,8)</f>
        <v>2369</v>
      </c>
      <c r="C134" s="50">
        <f>VLOOKUP($A134,'Data Vlaue (Cr)'!$C:$FB,11)*100</f>
        <v>1.6099999999999999</v>
      </c>
      <c r="D134" s="50">
        <f>VLOOKUP($A134,'Data Vlaue (Cr)'!$C:$FB,143)</f>
        <v>2597.9</v>
      </c>
      <c r="E134" s="50">
        <f>VLOOKUP($A134,'Data Vlaue (Cr)'!$C:$FB,144)</f>
        <v>2365.48</v>
      </c>
      <c r="F134" s="50">
        <f>VLOOKUP($A134,'Data Vlaue (Cr)'!$C:$FB,146)*100</f>
        <v>9.83</v>
      </c>
      <c r="G134" s="49">
        <f>VLOOKUP($A134,'Data Vlaue (Cr)'!$C:$FB,43)</f>
        <v>926</v>
      </c>
      <c r="H134" s="49">
        <f>VLOOKUP($A134,'Data Vlaue (Cr)'!$C:$FB,44)</f>
        <v>538</v>
      </c>
      <c r="I134" s="49">
        <f>VLOOKUP($A134,'Data Vlaue (Cr)'!$C:$FB,46)*100</f>
        <v>71.97</v>
      </c>
      <c r="J134" s="51">
        <f>VLOOKUP($A134,'Data Vlaue (Cr)'!$C:$FB,59)</f>
        <v>1245</v>
      </c>
      <c r="K134" s="51">
        <f>VLOOKUP($A134,'Data Vlaue (Cr)'!$C:$FB,60)</f>
        <v>1297</v>
      </c>
      <c r="L134" s="51">
        <f>VLOOKUP($A134,'Data Vlaue (Cr)'!$C:$FB,62)*100</f>
        <v>-4</v>
      </c>
      <c r="M134" s="51">
        <f>VLOOKUP($A134,'Data Vlaue (Cr)'!$C:$FB,63)</f>
        <v>339</v>
      </c>
      <c r="N134" s="51">
        <f>VLOOKUP($A134,'Data Vlaue (Cr)'!$C:$FB,64)</f>
        <v>469</v>
      </c>
      <c r="O134" s="51">
        <f>VLOOKUP($A134,'Data Vlaue (Cr)'!$C:$FB,66)*100</f>
        <v>-27.82</v>
      </c>
    </row>
    <row r="135" spans="1:15" x14ac:dyDescent="0.25">
      <c r="A135" s="101" t="str">
        <f>'Data Vlaue (Cr)'!C130</f>
        <v>MCX</v>
      </c>
      <c r="B135" s="50">
        <f>VLOOKUP($A135,'Data Vlaue (Cr)'!$C:$FB,8)</f>
        <v>2314</v>
      </c>
      <c r="C135" s="50">
        <f>VLOOKUP($A135,'Data Vlaue (Cr)'!$C:$FB,11)*100</f>
        <v>-0.26</v>
      </c>
      <c r="D135" s="50">
        <f>VLOOKUP($A135,'Data Vlaue (Cr)'!$C:$FB,143)</f>
        <v>22548.81</v>
      </c>
      <c r="E135" s="50">
        <f>VLOOKUP($A135,'Data Vlaue (Cr)'!$C:$FB,144)</f>
        <v>14714.27</v>
      </c>
      <c r="F135" s="50">
        <f>VLOOKUP($A135,'Data Vlaue (Cr)'!$C:$FB,146)*100</f>
        <v>53.239999999999995</v>
      </c>
      <c r="G135" s="49">
        <f>VLOOKUP($A135,'Data Vlaue (Cr)'!$C:$FB,43)</f>
        <v>4956</v>
      </c>
      <c r="H135" s="49">
        <f>VLOOKUP($A135,'Data Vlaue (Cr)'!$C:$FB,44)</f>
        <v>2539</v>
      </c>
      <c r="I135" s="49">
        <f>VLOOKUP($A135,'Data Vlaue (Cr)'!$C:$FB,46)*100</f>
        <v>95.15</v>
      </c>
      <c r="J135" s="51">
        <f>VLOOKUP($A135,'Data Vlaue (Cr)'!$C:$FB,59)</f>
        <v>11704</v>
      </c>
      <c r="K135" s="51">
        <f>VLOOKUP($A135,'Data Vlaue (Cr)'!$C:$FB,60)</f>
        <v>7818</v>
      </c>
      <c r="L135" s="51">
        <f>VLOOKUP($A135,'Data Vlaue (Cr)'!$C:$FB,62)*100</f>
        <v>49.7</v>
      </c>
      <c r="M135" s="51">
        <f>VLOOKUP($A135,'Data Vlaue (Cr)'!$C:$FB,63)</f>
        <v>5170</v>
      </c>
      <c r="N135" s="51">
        <f>VLOOKUP($A135,'Data Vlaue (Cr)'!$C:$FB,64)</f>
        <v>3672</v>
      </c>
      <c r="O135" s="51">
        <f>VLOOKUP($A135,'Data Vlaue (Cr)'!$C:$FB,66)*100</f>
        <v>40.799999999999997</v>
      </c>
    </row>
    <row r="136" spans="1:15" x14ac:dyDescent="0.25">
      <c r="A136" s="101" t="str">
        <f>'Data Vlaue (Cr)'!C131</f>
        <v>MFSL</v>
      </c>
      <c r="B136" s="50">
        <f>VLOOKUP($A136,'Data Vlaue (Cr)'!$C:$FB,8)</f>
        <v>1627.7</v>
      </c>
      <c r="C136" s="50">
        <f>VLOOKUP($A136,'Data Vlaue (Cr)'!$C:$FB,11)*100</f>
        <v>0.49</v>
      </c>
      <c r="D136" s="50">
        <f>VLOOKUP($A136,'Data Vlaue (Cr)'!$C:$FB,143)</f>
        <v>1685.5</v>
      </c>
      <c r="E136" s="50">
        <f>VLOOKUP($A136,'Data Vlaue (Cr)'!$C:$FB,144)</f>
        <v>1620.14</v>
      </c>
      <c r="F136" s="50">
        <f>VLOOKUP($A136,'Data Vlaue (Cr)'!$C:$FB,146)*100</f>
        <v>4.03</v>
      </c>
      <c r="G136" s="49">
        <f>VLOOKUP($A136,'Data Vlaue (Cr)'!$C:$FB,43)</f>
        <v>1267</v>
      </c>
      <c r="H136" s="49">
        <f>VLOOKUP($A136,'Data Vlaue (Cr)'!$C:$FB,44)</f>
        <v>1108</v>
      </c>
      <c r="I136" s="49">
        <f>VLOOKUP($A136,'Data Vlaue (Cr)'!$C:$FB,46)*100</f>
        <v>14.38</v>
      </c>
      <c r="J136" s="51">
        <f>VLOOKUP($A136,'Data Vlaue (Cr)'!$C:$FB,59)</f>
        <v>260</v>
      </c>
      <c r="K136" s="51">
        <f>VLOOKUP($A136,'Data Vlaue (Cr)'!$C:$FB,60)</f>
        <v>256</v>
      </c>
      <c r="L136" s="51">
        <f>VLOOKUP($A136,'Data Vlaue (Cr)'!$C:$FB,62)*100</f>
        <v>1.7000000000000002</v>
      </c>
      <c r="M136" s="51">
        <f>VLOOKUP($A136,'Data Vlaue (Cr)'!$C:$FB,63)</f>
        <v>146</v>
      </c>
      <c r="N136" s="51">
        <f>VLOOKUP($A136,'Data Vlaue (Cr)'!$C:$FB,64)</f>
        <v>259</v>
      </c>
      <c r="O136" s="51">
        <f>VLOOKUP($A136,'Data Vlaue (Cr)'!$C:$FB,66)*100</f>
        <v>-43.61</v>
      </c>
    </row>
    <row r="137" spans="1:15" x14ac:dyDescent="0.25">
      <c r="A137" s="101" t="str">
        <f>'Data Vlaue (Cr)'!C132</f>
        <v>MIDCPNIFTY</v>
      </c>
      <c r="B137" s="50">
        <f>VLOOKUP($A137,'Data Vlaue (Cr)'!$C:$FB,8)</f>
        <v>13325.45</v>
      </c>
      <c r="C137" s="50">
        <f>VLOOKUP($A137,'Data Vlaue (Cr)'!$C:$FB,11)*100</f>
        <v>1.3</v>
      </c>
      <c r="D137" s="50">
        <f>VLOOKUP($A137,'Data Vlaue (Cr)'!$C:$FB,143)</f>
        <v>215818.01</v>
      </c>
      <c r="E137" s="50">
        <f>VLOOKUP($A137,'Data Vlaue (Cr)'!$C:$FB,144)</f>
        <v>307096.18</v>
      </c>
      <c r="F137" s="50">
        <f>VLOOKUP($A137,'Data Vlaue (Cr)'!$C:$FB,146)*100</f>
        <v>-29.720000000000002</v>
      </c>
      <c r="G137" s="49">
        <f>VLOOKUP($A137,'Data Vlaue (Cr)'!$C:$FB,43)</f>
        <v>4205</v>
      </c>
      <c r="H137" s="49">
        <f>VLOOKUP($A137,'Data Vlaue (Cr)'!$C:$FB,44)</f>
        <v>2313</v>
      </c>
      <c r="I137" s="49">
        <f>VLOOKUP($A137,'Data Vlaue (Cr)'!$C:$FB,46)*100</f>
        <v>81.8</v>
      </c>
      <c r="J137" s="51">
        <f>VLOOKUP($A137,'Data Vlaue (Cr)'!$C:$FB,59)</f>
        <v>115031</v>
      </c>
      <c r="K137" s="51">
        <f>VLOOKUP($A137,'Data Vlaue (Cr)'!$C:$FB,60)</f>
        <v>161590</v>
      </c>
      <c r="L137" s="51">
        <f>VLOOKUP($A137,'Data Vlaue (Cr)'!$C:$FB,62)*100</f>
        <v>-28.810000000000002</v>
      </c>
      <c r="M137" s="51">
        <f>VLOOKUP($A137,'Data Vlaue (Cr)'!$C:$FB,63)</f>
        <v>95571</v>
      </c>
      <c r="N137" s="51">
        <f>VLOOKUP($A137,'Data Vlaue (Cr)'!$C:$FB,64)</f>
        <v>143196</v>
      </c>
      <c r="O137" s="51">
        <f>VLOOKUP($A137,'Data Vlaue (Cr)'!$C:$FB,66)*100</f>
        <v>-33.26</v>
      </c>
    </row>
    <row r="138" spans="1:15" x14ac:dyDescent="0.25">
      <c r="A138" s="101" t="str">
        <f>'Data Vlaue (Cr)'!C133</f>
        <v>MOTHERSON</v>
      </c>
      <c r="B138" s="50">
        <f>VLOOKUP($A138,'Data Vlaue (Cr)'!$C:$FB,8)</f>
        <v>111.33</v>
      </c>
      <c r="C138" s="50">
        <f>VLOOKUP($A138,'Data Vlaue (Cr)'!$C:$FB,11)*100</f>
        <v>1.51</v>
      </c>
      <c r="D138" s="50">
        <f>VLOOKUP($A138,'Data Vlaue (Cr)'!$C:$FB,143)</f>
        <v>3032.04</v>
      </c>
      <c r="E138" s="50">
        <f>VLOOKUP($A138,'Data Vlaue (Cr)'!$C:$FB,144)</f>
        <v>3461.9</v>
      </c>
      <c r="F138" s="50">
        <f>VLOOKUP($A138,'Data Vlaue (Cr)'!$C:$FB,146)*100</f>
        <v>-12.42</v>
      </c>
      <c r="G138" s="49">
        <f>VLOOKUP($A138,'Data Vlaue (Cr)'!$C:$FB,43)</f>
        <v>1481</v>
      </c>
      <c r="H138" s="49">
        <f>VLOOKUP($A138,'Data Vlaue (Cr)'!$C:$FB,44)</f>
        <v>1293</v>
      </c>
      <c r="I138" s="49">
        <f>VLOOKUP($A138,'Data Vlaue (Cr)'!$C:$FB,46)*100</f>
        <v>14.59</v>
      </c>
      <c r="J138" s="51">
        <f>VLOOKUP($A138,'Data Vlaue (Cr)'!$C:$FB,59)</f>
        <v>1086</v>
      </c>
      <c r="K138" s="51">
        <f>VLOOKUP($A138,'Data Vlaue (Cr)'!$C:$FB,60)</f>
        <v>1527</v>
      </c>
      <c r="L138" s="51">
        <f>VLOOKUP($A138,'Data Vlaue (Cr)'!$C:$FB,62)*100</f>
        <v>-28.860000000000003</v>
      </c>
      <c r="M138" s="51">
        <f>VLOOKUP($A138,'Data Vlaue (Cr)'!$C:$FB,63)</f>
        <v>390</v>
      </c>
      <c r="N138" s="51">
        <f>VLOOKUP($A138,'Data Vlaue (Cr)'!$C:$FB,64)</f>
        <v>622</v>
      </c>
      <c r="O138" s="51">
        <f>VLOOKUP($A138,'Data Vlaue (Cr)'!$C:$FB,66)*100</f>
        <v>-37.299999999999997</v>
      </c>
    </row>
    <row r="139" spans="1:15" x14ac:dyDescent="0.25">
      <c r="A139" s="101" t="str">
        <f>'Data Vlaue (Cr)'!C134</f>
        <v>MPHASIS</v>
      </c>
      <c r="B139" s="50">
        <f>VLOOKUP($A139,'Data Vlaue (Cr)'!$C:$FB,8)</f>
        <v>2810.1</v>
      </c>
      <c r="C139" s="50">
        <f>VLOOKUP($A139,'Data Vlaue (Cr)'!$C:$FB,11)*100</f>
        <v>0.4</v>
      </c>
      <c r="D139" s="50">
        <f>VLOOKUP($A139,'Data Vlaue (Cr)'!$C:$FB,143)</f>
        <v>3093.86</v>
      </c>
      <c r="E139" s="50">
        <f>VLOOKUP($A139,'Data Vlaue (Cr)'!$C:$FB,144)</f>
        <v>3096.38</v>
      </c>
      <c r="F139" s="50">
        <f>VLOOKUP($A139,'Data Vlaue (Cr)'!$C:$FB,146)*100</f>
        <v>-0.08</v>
      </c>
      <c r="G139" s="49">
        <f>VLOOKUP($A139,'Data Vlaue (Cr)'!$C:$FB,43)</f>
        <v>1412</v>
      </c>
      <c r="H139" s="49">
        <f>VLOOKUP($A139,'Data Vlaue (Cr)'!$C:$FB,44)</f>
        <v>1686</v>
      </c>
      <c r="I139" s="49">
        <f>VLOOKUP($A139,'Data Vlaue (Cr)'!$C:$FB,46)*100</f>
        <v>-16.239999999999998</v>
      </c>
      <c r="J139" s="51">
        <f>VLOOKUP($A139,'Data Vlaue (Cr)'!$C:$FB,59)</f>
        <v>921</v>
      </c>
      <c r="K139" s="51">
        <f>VLOOKUP($A139,'Data Vlaue (Cr)'!$C:$FB,60)</f>
        <v>553</v>
      </c>
      <c r="L139" s="51">
        <f>VLOOKUP($A139,'Data Vlaue (Cr)'!$C:$FB,62)*100</f>
        <v>66.62</v>
      </c>
      <c r="M139" s="51">
        <f>VLOOKUP($A139,'Data Vlaue (Cr)'!$C:$FB,63)</f>
        <v>695</v>
      </c>
      <c r="N139" s="51">
        <f>VLOOKUP($A139,'Data Vlaue (Cr)'!$C:$FB,64)</f>
        <v>870</v>
      </c>
      <c r="O139" s="51">
        <f>VLOOKUP($A139,'Data Vlaue (Cr)'!$C:$FB,66)*100</f>
        <v>-20.04</v>
      </c>
    </row>
    <row r="140" spans="1:15" x14ac:dyDescent="0.25">
      <c r="A140" s="101" t="str">
        <f>'Data Vlaue (Cr)'!C135</f>
        <v>MUTHOOTFIN</v>
      </c>
      <c r="B140" s="50">
        <f>VLOOKUP($A140,'Data Vlaue (Cr)'!$C:$FB,8)</f>
        <v>3861.9</v>
      </c>
      <c r="C140" s="50">
        <f>VLOOKUP($A140,'Data Vlaue (Cr)'!$C:$FB,11)*100</f>
        <v>-1.1400000000000001</v>
      </c>
      <c r="D140" s="50">
        <f>VLOOKUP($A140,'Data Vlaue (Cr)'!$C:$FB,143)</f>
        <v>8645.5</v>
      </c>
      <c r="E140" s="50">
        <f>VLOOKUP($A140,'Data Vlaue (Cr)'!$C:$FB,144)</f>
        <v>9151.2999999999993</v>
      </c>
      <c r="F140" s="50">
        <f>VLOOKUP($A140,'Data Vlaue (Cr)'!$C:$FB,146)*100</f>
        <v>-5.53</v>
      </c>
      <c r="G140" s="49">
        <f>VLOOKUP($A140,'Data Vlaue (Cr)'!$C:$FB,43)</f>
        <v>2121</v>
      </c>
      <c r="H140" s="49">
        <f>VLOOKUP($A140,'Data Vlaue (Cr)'!$C:$FB,44)</f>
        <v>1604</v>
      </c>
      <c r="I140" s="49">
        <f>VLOOKUP($A140,'Data Vlaue (Cr)'!$C:$FB,46)*100</f>
        <v>32.200000000000003</v>
      </c>
      <c r="J140" s="51">
        <f>VLOOKUP($A140,'Data Vlaue (Cr)'!$C:$FB,59)</f>
        <v>3204</v>
      </c>
      <c r="K140" s="51">
        <f>VLOOKUP($A140,'Data Vlaue (Cr)'!$C:$FB,60)</f>
        <v>5093</v>
      </c>
      <c r="L140" s="51">
        <f>VLOOKUP($A140,'Data Vlaue (Cr)'!$C:$FB,62)*100</f>
        <v>-37.08</v>
      </c>
      <c r="M140" s="51">
        <f>VLOOKUP($A140,'Data Vlaue (Cr)'!$C:$FB,63)</f>
        <v>3256</v>
      </c>
      <c r="N140" s="51">
        <f>VLOOKUP($A140,'Data Vlaue (Cr)'!$C:$FB,64)</f>
        <v>2099</v>
      </c>
      <c r="O140" s="51">
        <f>VLOOKUP($A140,'Data Vlaue (Cr)'!$C:$FB,66)*100</f>
        <v>55.14</v>
      </c>
    </row>
    <row r="141" spans="1:15" x14ac:dyDescent="0.25">
      <c r="A141" s="101" t="str">
        <f>'Data Vlaue (Cr)'!C136</f>
        <v>NATIONALUM</v>
      </c>
      <c r="B141" s="50">
        <f>VLOOKUP($A141,'Data Vlaue (Cr)'!$C:$FB,8)</f>
        <v>364.6</v>
      </c>
      <c r="C141" s="50">
        <f>VLOOKUP($A141,'Data Vlaue (Cr)'!$C:$FB,11)*100</f>
        <v>0.86</v>
      </c>
      <c r="D141" s="50">
        <f>VLOOKUP($A141,'Data Vlaue (Cr)'!$C:$FB,143)</f>
        <v>6337</v>
      </c>
      <c r="E141" s="50">
        <f>VLOOKUP($A141,'Data Vlaue (Cr)'!$C:$FB,144)</f>
        <v>8354.9500000000007</v>
      </c>
      <c r="F141" s="50">
        <f>VLOOKUP($A141,'Data Vlaue (Cr)'!$C:$FB,146)*100</f>
        <v>-24.15</v>
      </c>
      <c r="G141" s="49">
        <f>VLOOKUP($A141,'Data Vlaue (Cr)'!$C:$FB,43)</f>
        <v>2163</v>
      </c>
      <c r="H141" s="49">
        <f>VLOOKUP($A141,'Data Vlaue (Cr)'!$C:$FB,44)</f>
        <v>1399</v>
      </c>
      <c r="I141" s="49">
        <f>VLOOKUP($A141,'Data Vlaue (Cr)'!$C:$FB,46)*100</f>
        <v>54.65</v>
      </c>
      <c r="J141" s="51">
        <f>VLOOKUP($A141,'Data Vlaue (Cr)'!$C:$FB,59)</f>
        <v>2471</v>
      </c>
      <c r="K141" s="51">
        <f>VLOOKUP($A141,'Data Vlaue (Cr)'!$C:$FB,60)</f>
        <v>4579</v>
      </c>
      <c r="L141" s="51">
        <f>VLOOKUP($A141,'Data Vlaue (Cr)'!$C:$FB,62)*100</f>
        <v>-46.050000000000004</v>
      </c>
      <c r="M141" s="51">
        <f>VLOOKUP($A141,'Data Vlaue (Cr)'!$C:$FB,63)</f>
        <v>1675</v>
      </c>
      <c r="N141" s="51">
        <f>VLOOKUP($A141,'Data Vlaue (Cr)'!$C:$FB,64)</f>
        <v>2359</v>
      </c>
      <c r="O141" s="51">
        <f>VLOOKUP($A141,'Data Vlaue (Cr)'!$C:$FB,66)*100</f>
        <v>-28.970000000000002</v>
      </c>
    </row>
    <row r="142" spans="1:15" x14ac:dyDescent="0.25">
      <c r="A142" s="101" t="str">
        <f>'Data Vlaue (Cr)'!C137</f>
        <v>NAUKRI</v>
      </c>
      <c r="B142" s="50">
        <f>VLOOKUP($A142,'Data Vlaue (Cr)'!$C:$FB,8)</f>
        <v>1319.5</v>
      </c>
      <c r="C142" s="50">
        <f>VLOOKUP($A142,'Data Vlaue (Cr)'!$C:$FB,11)*100</f>
        <v>-1.01</v>
      </c>
      <c r="D142" s="50">
        <f>VLOOKUP($A142,'Data Vlaue (Cr)'!$C:$FB,143)</f>
        <v>2641.86</v>
      </c>
      <c r="E142" s="50">
        <f>VLOOKUP($A142,'Data Vlaue (Cr)'!$C:$FB,144)</f>
        <v>3360.88</v>
      </c>
      <c r="F142" s="50">
        <f>VLOOKUP($A142,'Data Vlaue (Cr)'!$C:$FB,146)*100</f>
        <v>-21.39</v>
      </c>
      <c r="G142" s="49">
        <f>VLOOKUP($A142,'Data Vlaue (Cr)'!$C:$FB,43)</f>
        <v>1191</v>
      </c>
      <c r="H142" s="49">
        <f>VLOOKUP($A142,'Data Vlaue (Cr)'!$C:$FB,44)</f>
        <v>1399</v>
      </c>
      <c r="I142" s="49">
        <f>VLOOKUP($A142,'Data Vlaue (Cr)'!$C:$FB,46)*100</f>
        <v>-14.81</v>
      </c>
      <c r="J142" s="51">
        <f>VLOOKUP($A142,'Data Vlaue (Cr)'!$C:$FB,59)</f>
        <v>801</v>
      </c>
      <c r="K142" s="51">
        <f>VLOOKUP($A142,'Data Vlaue (Cr)'!$C:$FB,60)</f>
        <v>1164</v>
      </c>
      <c r="L142" s="51">
        <f>VLOOKUP($A142,'Data Vlaue (Cr)'!$C:$FB,62)*100</f>
        <v>-31.180000000000003</v>
      </c>
      <c r="M142" s="51">
        <f>VLOOKUP($A142,'Data Vlaue (Cr)'!$C:$FB,63)</f>
        <v>595</v>
      </c>
      <c r="N142" s="51">
        <f>VLOOKUP($A142,'Data Vlaue (Cr)'!$C:$FB,64)</f>
        <v>765</v>
      </c>
      <c r="O142" s="51">
        <f>VLOOKUP($A142,'Data Vlaue (Cr)'!$C:$FB,66)*100</f>
        <v>-22.259999999999998</v>
      </c>
    </row>
    <row r="143" spans="1:15" x14ac:dyDescent="0.25">
      <c r="A143" s="101" t="str">
        <f>'Data Vlaue (Cr)'!C138</f>
        <v>NBCC</v>
      </c>
      <c r="B143" s="50">
        <f>VLOOKUP($A143,'Data Vlaue (Cr)'!$C:$FB,8)</f>
        <v>98.68</v>
      </c>
      <c r="C143" s="50">
        <f>VLOOKUP($A143,'Data Vlaue (Cr)'!$C:$FB,11)*100</f>
        <v>2.06</v>
      </c>
      <c r="D143" s="50">
        <f>VLOOKUP($A143,'Data Vlaue (Cr)'!$C:$FB,143)</f>
        <v>1345.37</v>
      </c>
      <c r="E143" s="50">
        <f>VLOOKUP($A143,'Data Vlaue (Cr)'!$C:$FB,144)</f>
        <v>1544.86</v>
      </c>
      <c r="F143" s="50">
        <f>VLOOKUP($A143,'Data Vlaue (Cr)'!$C:$FB,146)*100</f>
        <v>-12.91</v>
      </c>
      <c r="G143" s="49">
        <f>VLOOKUP($A143,'Data Vlaue (Cr)'!$C:$FB,43)</f>
        <v>510</v>
      </c>
      <c r="H143" s="49">
        <f>VLOOKUP($A143,'Data Vlaue (Cr)'!$C:$FB,44)</f>
        <v>497</v>
      </c>
      <c r="I143" s="49">
        <f>VLOOKUP($A143,'Data Vlaue (Cr)'!$C:$FB,46)*100</f>
        <v>2.54</v>
      </c>
      <c r="J143" s="51">
        <f>VLOOKUP($A143,'Data Vlaue (Cr)'!$C:$FB,59)</f>
        <v>590</v>
      </c>
      <c r="K143" s="51">
        <f>VLOOKUP($A143,'Data Vlaue (Cr)'!$C:$FB,60)</f>
        <v>705</v>
      </c>
      <c r="L143" s="51">
        <f>VLOOKUP($A143,'Data Vlaue (Cr)'!$C:$FB,62)*100</f>
        <v>-16.259999999999998</v>
      </c>
      <c r="M143" s="51">
        <f>VLOOKUP($A143,'Data Vlaue (Cr)'!$C:$FB,63)</f>
        <v>183</v>
      </c>
      <c r="N143" s="51">
        <f>VLOOKUP($A143,'Data Vlaue (Cr)'!$C:$FB,64)</f>
        <v>282</v>
      </c>
      <c r="O143" s="51">
        <f>VLOOKUP($A143,'Data Vlaue (Cr)'!$C:$FB,66)*100</f>
        <v>-35.24</v>
      </c>
    </row>
    <row r="144" spans="1:15" x14ac:dyDescent="0.25">
      <c r="A144" s="101" t="str">
        <f>'Data Vlaue (Cr)'!C139</f>
        <v>NESTLEIND</v>
      </c>
      <c r="B144" s="50">
        <f>VLOOKUP($A144,'Data Vlaue (Cr)'!$C:$FB,8)</f>
        <v>1306</v>
      </c>
      <c r="C144" s="50">
        <f>VLOOKUP($A144,'Data Vlaue (Cr)'!$C:$FB,11)*100</f>
        <v>1.78</v>
      </c>
      <c r="D144" s="50">
        <f>VLOOKUP($A144,'Data Vlaue (Cr)'!$C:$FB,143)</f>
        <v>2662.83</v>
      </c>
      <c r="E144" s="50">
        <f>VLOOKUP($A144,'Data Vlaue (Cr)'!$C:$FB,144)</f>
        <v>2357.9699999999998</v>
      </c>
      <c r="F144" s="50">
        <f>VLOOKUP($A144,'Data Vlaue (Cr)'!$C:$FB,146)*100</f>
        <v>12.93</v>
      </c>
      <c r="G144" s="49">
        <f>VLOOKUP($A144,'Data Vlaue (Cr)'!$C:$FB,43)</f>
        <v>1684</v>
      </c>
      <c r="H144" s="49">
        <f>VLOOKUP($A144,'Data Vlaue (Cr)'!$C:$FB,44)</f>
        <v>1435</v>
      </c>
      <c r="I144" s="49">
        <f>VLOOKUP($A144,'Data Vlaue (Cr)'!$C:$FB,46)*100</f>
        <v>17.299999999999997</v>
      </c>
      <c r="J144" s="51">
        <f>VLOOKUP($A144,'Data Vlaue (Cr)'!$C:$FB,59)</f>
        <v>629</v>
      </c>
      <c r="K144" s="51">
        <f>VLOOKUP($A144,'Data Vlaue (Cr)'!$C:$FB,60)</f>
        <v>583</v>
      </c>
      <c r="L144" s="51">
        <f>VLOOKUP($A144,'Data Vlaue (Cr)'!$C:$FB,62)*100</f>
        <v>7.82</v>
      </c>
      <c r="M144" s="51">
        <f>VLOOKUP($A144,'Data Vlaue (Cr)'!$C:$FB,63)</f>
        <v>360</v>
      </c>
      <c r="N144" s="51">
        <f>VLOOKUP($A144,'Data Vlaue (Cr)'!$C:$FB,64)</f>
        <v>355</v>
      </c>
      <c r="O144" s="51">
        <f>VLOOKUP($A144,'Data Vlaue (Cr)'!$C:$FB,66)*100</f>
        <v>1.68</v>
      </c>
    </row>
    <row r="145" spans="1:15" x14ac:dyDescent="0.25">
      <c r="A145" s="101" t="str">
        <f>'Data Vlaue (Cr)'!C140</f>
        <v>NHPC</v>
      </c>
      <c r="B145" s="50">
        <f>VLOOKUP($A145,'Data Vlaue (Cr)'!$C:$FB,8)</f>
        <v>77.45</v>
      </c>
      <c r="C145" s="50">
        <f>VLOOKUP($A145,'Data Vlaue (Cr)'!$C:$FB,11)*100</f>
        <v>1.7500000000000002</v>
      </c>
      <c r="D145" s="50">
        <f>VLOOKUP($A145,'Data Vlaue (Cr)'!$C:$FB,143)</f>
        <v>885.86</v>
      </c>
      <c r="E145" s="50">
        <f>VLOOKUP($A145,'Data Vlaue (Cr)'!$C:$FB,144)</f>
        <v>1269.78</v>
      </c>
      <c r="F145" s="50">
        <f>VLOOKUP($A145,'Data Vlaue (Cr)'!$C:$FB,146)*100</f>
        <v>-30.240000000000002</v>
      </c>
      <c r="G145" s="49">
        <f>VLOOKUP($A145,'Data Vlaue (Cr)'!$C:$FB,43)</f>
        <v>479</v>
      </c>
      <c r="H145" s="49">
        <f>VLOOKUP($A145,'Data Vlaue (Cr)'!$C:$FB,44)</f>
        <v>443</v>
      </c>
      <c r="I145" s="49">
        <f>VLOOKUP($A145,'Data Vlaue (Cr)'!$C:$FB,46)*100</f>
        <v>8.08</v>
      </c>
      <c r="J145" s="51">
        <f>VLOOKUP($A145,'Data Vlaue (Cr)'!$C:$FB,59)</f>
        <v>283</v>
      </c>
      <c r="K145" s="51">
        <f>VLOOKUP($A145,'Data Vlaue (Cr)'!$C:$FB,60)</f>
        <v>496</v>
      </c>
      <c r="L145" s="51">
        <f>VLOOKUP($A145,'Data Vlaue (Cr)'!$C:$FB,62)*100</f>
        <v>-42.970000000000006</v>
      </c>
      <c r="M145" s="51">
        <f>VLOOKUP($A145,'Data Vlaue (Cr)'!$C:$FB,63)</f>
        <v>115</v>
      </c>
      <c r="N145" s="51">
        <f>VLOOKUP($A145,'Data Vlaue (Cr)'!$C:$FB,64)</f>
        <v>322</v>
      </c>
      <c r="O145" s="51">
        <f>VLOOKUP($A145,'Data Vlaue (Cr)'!$C:$FB,66)*100</f>
        <v>-64.41</v>
      </c>
    </row>
    <row r="146" spans="1:15" x14ac:dyDescent="0.25">
      <c r="A146" s="101" t="str">
        <f>'Data Vlaue (Cr)'!C141</f>
        <v>NIFTY</v>
      </c>
      <c r="B146" s="50">
        <f>VLOOKUP($A146,'Data Vlaue (Cr)'!$C:$FB,8)</f>
        <v>25289.9</v>
      </c>
      <c r="C146" s="50">
        <f>VLOOKUP($A146,'Data Vlaue (Cr)'!$C:$FB,11)*100</f>
        <v>0.53</v>
      </c>
      <c r="D146" s="50">
        <f>VLOOKUP($A146,'Data Vlaue (Cr)'!$C:$FB,143)</f>
        <v>15328018.24</v>
      </c>
      <c r="E146" s="50">
        <f>VLOOKUP($A146,'Data Vlaue (Cr)'!$C:$FB,144)</f>
        <v>16970972.239999998</v>
      </c>
      <c r="F146" s="50">
        <f>VLOOKUP($A146,'Data Vlaue (Cr)'!$C:$FB,146)*100</f>
        <v>-9.68</v>
      </c>
      <c r="G146" s="49">
        <f>VLOOKUP($A146,'Data Vlaue (Cr)'!$C:$FB,43)</f>
        <v>41019</v>
      </c>
      <c r="H146" s="49">
        <f>VLOOKUP($A146,'Data Vlaue (Cr)'!$C:$FB,44)</f>
        <v>35913</v>
      </c>
      <c r="I146" s="49">
        <f>VLOOKUP($A146,'Data Vlaue (Cr)'!$C:$FB,46)*100</f>
        <v>14.219999999999999</v>
      </c>
      <c r="J146" s="51">
        <f>VLOOKUP($A146,'Data Vlaue (Cr)'!$C:$FB,59)</f>
        <v>7472094</v>
      </c>
      <c r="K146" s="51">
        <f>VLOOKUP($A146,'Data Vlaue (Cr)'!$C:$FB,60)</f>
        <v>8303580</v>
      </c>
      <c r="L146" s="51">
        <f>VLOOKUP($A146,'Data Vlaue (Cr)'!$C:$FB,62)*100</f>
        <v>-10.01</v>
      </c>
      <c r="M146" s="51">
        <f>VLOOKUP($A146,'Data Vlaue (Cr)'!$C:$FB,63)</f>
        <v>7808358</v>
      </c>
      <c r="N146" s="51">
        <f>VLOOKUP($A146,'Data Vlaue (Cr)'!$C:$FB,64)</f>
        <v>8633727</v>
      </c>
      <c r="O146" s="51">
        <f>VLOOKUP($A146,'Data Vlaue (Cr)'!$C:$FB,66)*100</f>
        <v>-9.56</v>
      </c>
    </row>
    <row r="147" spans="1:15" x14ac:dyDescent="0.25">
      <c r="A147" s="101" t="str">
        <f>'Data Vlaue (Cr)'!C142</f>
        <v>NIFTYNXT50</v>
      </c>
      <c r="B147" s="50">
        <f>VLOOKUP($A147,'Data Vlaue (Cr)'!$C:$FB,8)</f>
        <v>67592.800000000003</v>
      </c>
      <c r="C147" s="50">
        <f>VLOOKUP($A147,'Data Vlaue (Cr)'!$C:$FB,11)*100</f>
        <v>1.0900000000000001</v>
      </c>
      <c r="D147" s="50">
        <f>VLOOKUP($A147,'Data Vlaue (Cr)'!$C:$FB,143)</f>
        <v>337.57</v>
      </c>
      <c r="E147" s="50">
        <f>VLOOKUP($A147,'Data Vlaue (Cr)'!$C:$FB,144)</f>
        <v>242.99</v>
      </c>
      <c r="F147" s="50">
        <f>VLOOKUP($A147,'Data Vlaue (Cr)'!$C:$FB,146)*100</f>
        <v>38.93</v>
      </c>
      <c r="G147" s="49">
        <f>VLOOKUP($A147,'Data Vlaue (Cr)'!$C:$FB,43)</f>
        <v>93</v>
      </c>
      <c r="H147" s="49">
        <f>VLOOKUP($A147,'Data Vlaue (Cr)'!$C:$FB,44)</f>
        <v>92</v>
      </c>
      <c r="I147" s="49">
        <f>VLOOKUP($A147,'Data Vlaue (Cr)'!$C:$FB,46)*100</f>
        <v>1.8499999999999999</v>
      </c>
      <c r="J147" s="51">
        <f>VLOOKUP($A147,'Data Vlaue (Cr)'!$C:$FB,59)</f>
        <v>172</v>
      </c>
      <c r="K147" s="51">
        <f>VLOOKUP($A147,'Data Vlaue (Cr)'!$C:$FB,60)</f>
        <v>110</v>
      </c>
      <c r="L147" s="51">
        <f>VLOOKUP($A147,'Data Vlaue (Cr)'!$C:$FB,62)*100</f>
        <v>55.98</v>
      </c>
      <c r="M147" s="51">
        <f>VLOOKUP($A147,'Data Vlaue (Cr)'!$C:$FB,63)</f>
        <v>70</v>
      </c>
      <c r="N147" s="51">
        <f>VLOOKUP($A147,'Data Vlaue (Cr)'!$C:$FB,64)</f>
        <v>40</v>
      </c>
      <c r="O147" s="51">
        <f>VLOOKUP($A147,'Data Vlaue (Cr)'!$C:$FB,66)*100</f>
        <v>71.97</v>
      </c>
    </row>
    <row r="148" spans="1:15" x14ac:dyDescent="0.25">
      <c r="A148" s="101" t="str">
        <f>'Data Vlaue (Cr)'!C143</f>
        <v>NMDC</v>
      </c>
      <c r="B148" s="50">
        <f>VLOOKUP($A148,'Data Vlaue (Cr)'!$C:$FB,8)</f>
        <v>78.23</v>
      </c>
      <c r="C148" s="50">
        <f>VLOOKUP($A148,'Data Vlaue (Cr)'!$C:$FB,11)*100</f>
        <v>-0.52</v>
      </c>
      <c r="D148" s="50">
        <f>VLOOKUP($A148,'Data Vlaue (Cr)'!$C:$FB,143)</f>
        <v>2343.86</v>
      </c>
      <c r="E148" s="50">
        <f>VLOOKUP($A148,'Data Vlaue (Cr)'!$C:$FB,144)</f>
        <v>2835.74</v>
      </c>
      <c r="F148" s="50">
        <f>VLOOKUP($A148,'Data Vlaue (Cr)'!$C:$FB,146)*100</f>
        <v>-17.349999999999998</v>
      </c>
      <c r="G148" s="49">
        <f>VLOOKUP($A148,'Data Vlaue (Cr)'!$C:$FB,43)</f>
        <v>1167</v>
      </c>
      <c r="H148" s="49">
        <f>VLOOKUP($A148,'Data Vlaue (Cr)'!$C:$FB,44)</f>
        <v>959</v>
      </c>
      <c r="I148" s="49">
        <f>VLOOKUP($A148,'Data Vlaue (Cr)'!$C:$FB,46)*100</f>
        <v>21.63</v>
      </c>
      <c r="J148" s="51">
        <f>VLOOKUP($A148,'Data Vlaue (Cr)'!$C:$FB,59)</f>
        <v>794</v>
      </c>
      <c r="K148" s="51">
        <f>VLOOKUP($A148,'Data Vlaue (Cr)'!$C:$FB,60)</f>
        <v>1195</v>
      </c>
      <c r="L148" s="51">
        <f>VLOOKUP($A148,'Data Vlaue (Cr)'!$C:$FB,62)*100</f>
        <v>-33.58</v>
      </c>
      <c r="M148" s="51">
        <f>VLOOKUP($A148,'Data Vlaue (Cr)'!$C:$FB,63)</f>
        <v>319</v>
      </c>
      <c r="N148" s="51">
        <f>VLOOKUP($A148,'Data Vlaue (Cr)'!$C:$FB,64)</f>
        <v>616</v>
      </c>
      <c r="O148" s="51">
        <f>VLOOKUP($A148,'Data Vlaue (Cr)'!$C:$FB,66)*100</f>
        <v>-48.24</v>
      </c>
    </row>
    <row r="149" spans="1:15" x14ac:dyDescent="0.25">
      <c r="A149" s="101" t="str">
        <f>'Data Vlaue (Cr)'!C144</f>
        <v>NTPC</v>
      </c>
      <c r="B149" s="50">
        <f>VLOOKUP($A149,'Data Vlaue (Cr)'!$C:$FB,8)</f>
        <v>342.45</v>
      </c>
      <c r="C149" s="50">
        <f>VLOOKUP($A149,'Data Vlaue (Cr)'!$C:$FB,11)*100</f>
        <v>1.1100000000000001</v>
      </c>
      <c r="D149" s="50">
        <f>VLOOKUP($A149,'Data Vlaue (Cr)'!$C:$FB,143)</f>
        <v>5426.9</v>
      </c>
      <c r="E149" s="50">
        <f>VLOOKUP($A149,'Data Vlaue (Cr)'!$C:$FB,144)</f>
        <v>5110.26</v>
      </c>
      <c r="F149" s="50">
        <f>VLOOKUP($A149,'Data Vlaue (Cr)'!$C:$FB,146)*100</f>
        <v>6.2</v>
      </c>
      <c r="G149" s="49">
        <f>VLOOKUP($A149,'Data Vlaue (Cr)'!$C:$FB,43)</f>
        <v>1848</v>
      </c>
      <c r="H149" s="49">
        <f>VLOOKUP($A149,'Data Vlaue (Cr)'!$C:$FB,44)</f>
        <v>1369</v>
      </c>
      <c r="I149" s="49">
        <f>VLOOKUP($A149,'Data Vlaue (Cr)'!$C:$FB,46)*100</f>
        <v>34.979999999999997</v>
      </c>
      <c r="J149" s="51">
        <f>VLOOKUP($A149,'Data Vlaue (Cr)'!$C:$FB,59)</f>
        <v>2166</v>
      </c>
      <c r="K149" s="51">
        <f>VLOOKUP($A149,'Data Vlaue (Cr)'!$C:$FB,60)</f>
        <v>2275</v>
      </c>
      <c r="L149" s="51">
        <f>VLOOKUP($A149,'Data Vlaue (Cr)'!$C:$FB,62)*100</f>
        <v>-4.8</v>
      </c>
      <c r="M149" s="51">
        <f>VLOOKUP($A149,'Data Vlaue (Cr)'!$C:$FB,63)</f>
        <v>1401</v>
      </c>
      <c r="N149" s="51">
        <f>VLOOKUP($A149,'Data Vlaue (Cr)'!$C:$FB,64)</f>
        <v>1469</v>
      </c>
      <c r="O149" s="51">
        <f>VLOOKUP($A149,'Data Vlaue (Cr)'!$C:$FB,66)*100</f>
        <v>-4.5699999999999994</v>
      </c>
    </row>
    <row r="150" spans="1:15" x14ac:dyDescent="0.25">
      <c r="A150" s="101" t="str">
        <f>'Data Vlaue (Cr)'!C145</f>
        <v>NUVAMA</v>
      </c>
      <c r="B150" s="50">
        <f>VLOOKUP($A150,'Data Vlaue (Cr)'!$C:$FB,8)</f>
        <v>1383.3</v>
      </c>
      <c r="C150" s="50">
        <f>VLOOKUP($A150,'Data Vlaue (Cr)'!$C:$FB,11)*100</f>
        <v>1.3599999999999999</v>
      </c>
      <c r="D150" s="50">
        <f>VLOOKUP($A150,'Data Vlaue (Cr)'!$C:$FB,143)</f>
        <v>520</v>
      </c>
      <c r="E150" s="50">
        <f>VLOOKUP($A150,'Data Vlaue (Cr)'!$C:$FB,144)</f>
        <v>695.71</v>
      </c>
      <c r="F150" s="50">
        <f>VLOOKUP($A150,'Data Vlaue (Cr)'!$C:$FB,146)*100</f>
        <v>-25.259999999999998</v>
      </c>
      <c r="G150" s="49">
        <f>VLOOKUP($A150,'Data Vlaue (Cr)'!$C:$FB,43)</f>
        <v>270</v>
      </c>
      <c r="H150" s="49">
        <f>VLOOKUP($A150,'Data Vlaue (Cr)'!$C:$FB,44)</f>
        <v>250</v>
      </c>
      <c r="I150" s="49">
        <f>VLOOKUP($A150,'Data Vlaue (Cr)'!$C:$FB,46)*100</f>
        <v>7.9600000000000009</v>
      </c>
      <c r="J150" s="51">
        <f>VLOOKUP($A150,'Data Vlaue (Cr)'!$C:$FB,59)</f>
        <v>151</v>
      </c>
      <c r="K150" s="51">
        <f>VLOOKUP($A150,'Data Vlaue (Cr)'!$C:$FB,60)</f>
        <v>260</v>
      </c>
      <c r="L150" s="51">
        <f>VLOOKUP($A150,'Data Vlaue (Cr)'!$C:$FB,62)*100</f>
        <v>-42</v>
      </c>
      <c r="M150" s="51">
        <f>VLOOKUP($A150,'Data Vlaue (Cr)'!$C:$FB,63)</f>
        <v>88</v>
      </c>
      <c r="N150" s="51">
        <f>VLOOKUP($A150,'Data Vlaue (Cr)'!$C:$FB,64)</f>
        <v>163</v>
      </c>
      <c r="O150" s="51">
        <f>VLOOKUP($A150,'Data Vlaue (Cr)'!$C:$FB,66)*100</f>
        <v>-46.47</v>
      </c>
    </row>
    <row r="151" spans="1:15" x14ac:dyDescent="0.25">
      <c r="A151" s="101" t="str">
        <f>'Data Vlaue (Cr)'!C146</f>
        <v>NYKAA</v>
      </c>
      <c r="B151" s="50">
        <f>VLOOKUP($A151,'Data Vlaue (Cr)'!$C:$FB,8)</f>
        <v>239.45</v>
      </c>
      <c r="C151" s="50">
        <f>VLOOKUP($A151,'Data Vlaue (Cr)'!$C:$FB,11)*100</f>
        <v>-0.91</v>
      </c>
      <c r="D151" s="50">
        <f>VLOOKUP($A151,'Data Vlaue (Cr)'!$C:$FB,143)</f>
        <v>1920.28</v>
      </c>
      <c r="E151" s="50">
        <f>VLOOKUP($A151,'Data Vlaue (Cr)'!$C:$FB,144)</f>
        <v>1433.52</v>
      </c>
      <c r="F151" s="50">
        <f>VLOOKUP($A151,'Data Vlaue (Cr)'!$C:$FB,146)*100</f>
        <v>33.96</v>
      </c>
      <c r="G151" s="49">
        <f>VLOOKUP($A151,'Data Vlaue (Cr)'!$C:$FB,43)</f>
        <v>979</v>
      </c>
      <c r="H151" s="49">
        <f>VLOOKUP($A151,'Data Vlaue (Cr)'!$C:$FB,44)</f>
        <v>578</v>
      </c>
      <c r="I151" s="49">
        <f>VLOOKUP($A151,'Data Vlaue (Cr)'!$C:$FB,46)*100</f>
        <v>69.3</v>
      </c>
      <c r="J151" s="51">
        <f>VLOOKUP($A151,'Data Vlaue (Cr)'!$C:$FB,59)</f>
        <v>525</v>
      </c>
      <c r="K151" s="51">
        <f>VLOOKUP($A151,'Data Vlaue (Cr)'!$C:$FB,60)</f>
        <v>530</v>
      </c>
      <c r="L151" s="51">
        <f>VLOOKUP($A151,'Data Vlaue (Cr)'!$C:$FB,62)*100</f>
        <v>-0.85000000000000009</v>
      </c>
      <c r="M151" s="51">
        <f>VLOOKUP($A151,'Data Vlaue (Cr)'!$C:$FB,63)</f>
        <v>374</v>
      </c>
      <c r="N151" s="51">
        <f>VLOOKUP($A151,'Data Vlaue (Cr)'!$C:$FB,64)</f>
        <v>277</v>
      </c>
      <c r="O151" s="51">
        <f>VLOOKUP($A151,'Data Vlaue (Cr)'!$C:$FB,66)*100</f>
        <v>34.93</v>
      </c>
    </row>
    <row r="152" spans="1:15" x14ac:dyDescent="0.25">
      <c r="A152" s="101" t="str">
        <f>'Data Vlaue (Cr)'!C147</f>
        <v>OBEROIRLTY</v>
      </c>
      <c r="B152" s="50">
        <f>VLOOKUP($A152,'Data Vlaue (Cr)'!$C:$FB,8)</f>
        <v>1480.2</v>
      </c>
      <c r="C152" s="50">
        <f>VLOOKUP($A152,'Data Vlaue (Cr)'!$C:$FB,11)*100</f>
        <v>-1.49</v>
      </c>
      <c r="D152" s="50">
        <f>VLOOKUP($A152,'Data Vlaue (Cr)'!$C:$FB,143)</f>
        <v>1970.18</v>
      </c>
      <c r="E152" s="50">
        <f>VLOOKUP($A152,'Data Vlaue (Cr)'!$C:$FB,144)</f>
        <v>3558.77</v>
      </c>
      <c r="F152" s="50">
        <f>VLOOKUP($A152,'Data Vlaue (Cr)'!$C:$FB,146)*100</f>
        <v>-44.64</v>
      </c>
      <c r="G152" s="49">
        <f>VLOOKUP($A152,'Data Vlaue (Cr)'!$C:$FB,43)</f>
        <v>702</v>
      </c>
      <c r="H152" s="49">
        <f>VLOOKUP($A152,'Data Vlaue (Cr)'!$C:$FB,44)</f>
        <v>822</v>
      </c>
      <c r="I152" s="49">
        <f>VLOOKUP($A152,'Data Vlaue (Cr)'!$C:$FB,46)*100</f>
        <v>-14.610000000000001</v>
      </c>
      <c r="J152" s="51">
        <f>VLOOKUP($A152,'Data Vlaue (Cr)'!$C:$FB,59)</f>
        <v>759</v>
      </c>
      <c r="K152" s="51">
        <f>VLOOKUP($A152,'Data Vlaue (Cr)'!$C:$FB,60)</f>
        <v>1525</v>
      </c>
      <c r="L152" s="51">
        <f>VLOOKUP($A152,'Data Vlaue (Cr)'!$C:$FB,62)*100</f>
        <v>-50.249999999999993</v>
      </c>
      <c r="M152" s="51">
        <f>VLOOKUP($A152,'Data Vlaue (Cr)'!$C:$FB,63)</f>
        <v>458</v>
      </c>
      <c r="N152" s="51">
        <f>VLOOKUP($A152,'Data Vlaue (Cr)'!$C:$FB,64)</f>
        <v>1046</v>
      </c>
      <c r="O152" s="51">
        <f>VLOOKUP($A152,'Data Vlaue (Cr)'!$C:$FB,66)*100</f>
        <v>-56.230000000000004</v>
      </c>
    </row>
    <row r="153" spans="1:15" x14ac:dyDescent="0.25">
      <c r="A153" s="101" t="str">
        <f>'Data Vlaue (Cr)'!C148</f>
        <v>OFSS</v>
      </c>
      <c r="B153" s="50">
        <f>VLOOKUP($A153,'Data Vlaue (Cr)'!$C:$FB,8)</f>
        <v>7897</v>
      </c>
      <c r="C153" s="50">
        <f>VLOOKUP($A153,'Data Vlaue (Cr)'!$C:$FB,11)*100</f>
        <v>2.91</v>
      </c>
      <c r="D153" s="50">
        <f>VLOOKUP($A153,'Data Vlaue (Cr)'!$C:$FB,143)</f>
        <v>6904.83</v>
      </c>
      <c r="E153" s="50">
        <f>VLOOKUP($A153,'Data Vlaue (Cr)'!$C:$FB,144)</f>
        <v>4388.7299999999996</v>
      </c>
      <c r="F153" s="50">
        <f>VLOOKUP($A153,'Data Vlaue (Cr)'!$C:$FB,146)*100</f>
        <v>57.330000000000005</v>
      </c>
      <c r="G153" s="49">
        <f>VLOOKUP($A153,'Data Vlaue (Cr)'!$C:$FB,43)</f>
        <v>1381</v>
      </c>
      <c r="H153" s="49">
        <f>VLOOKUP($A153,'Data Vlaue (Cr)'!$C:$FB,44)</f>
        <v>1693</v>
      </c>
      <c r="I153" s="49">
        <f>VLOOKUP($A153,'Data Vlaue (Cr)'!$C:$FB,46)*100</f>
        <v>-18.420000000000002</v>
      </c>
      <c r="J153" s="51">
        <f>VLOOKUP($A153,'Data Vlaue (Cr)'!$C:$FB,59)</f>
        <v>3725</v>
      </c>
      <c r="K153" s="51">
        <f>VLOOKUP($A153,'Data Vlaue (Cr)'!$C:$FB,60)</f>
        <v>1492</v>
      </c>
      <c r="L153" s="51">
        <f>VLOOKUP($A153,'Data Vlaue (Cr)'!$C:$FB,62)*100</f>
        <v>149.70000000000002</v>
      </c>
      <c r="M153" s="51">
        <f>VLOOKUP($A153,'Data Vlaue (Cr)'!$C:$FB,63)</f>
        <v>1693</v>
      </c>
      <c r="N153" s="51">
        <f>VLOOKUP($A153,'Data Vlaue (Cr)'!$C:$FB,64)</f>
        <v>1240</v>
      </c>
      <c r="O153" s="51">
        <f>VLOOKUP($A153,'Data Vlaue (Cr)'!$C:$FB,66)*100</f>
        <v>36.559999999999995</v>
      </c>
    </row>
    <row r="154" spans="1:15" x14ac:dyDescent="0.25">
      <c r="A154" s="101" t="str">
        <f>'Data Vlaue (Cr)'!C149</f>
        <v>OIL</v>
      </c>
      <c r="B154" s="50">
        <f>VLOOKUP($A154,'Data Vlaue (Cr)'!$C:$FB,8)</f>
        <v>436.45</v>
      </c>
      <c r="C154" s="50">
        <f>VLOOKUP($A154,'Data Vlaue (Cr)'!$C:$FB,11)*100</f>
        <v>0.67</v>
      </c>
      <c r="D154" s="50">
        <f>VLOOKUP($A154,'Data Vlaue (Cr)'!$C:$FB,143)</f>
        <v>1482.37</v>
      </c>
      <c r="E154" s="50">
        <f>VLOOKUP($A154,'Data Vlaue (Cr)'!$C:$FB,144)</f>
        <v>1279.3</v>
      </c>
      <c r="F154" s="50">
        <f>VLOOKUP($A154,'Data Vlaue (Cr)'!$C:$FB,146)*100</f>
        <v>15.870000000000001</v>
      </c>
      <c r="G154" s="49">
        <f>VLOOKUP($A154,'Data Vlaue (Cr)'!$C:$FB,43)</f>
        <v>818</v>
      </c>
      <c r="H154" s="49">
        <f>VLOOKUP($A154,'Data Vlaue (Cr)'!$C:$FB,44)</f>
        <v>467</v>
      </c>
      <c r="I154" s="49">
        <f>VLOOKUP($A154,'Data Vlaue (Cr)'!$C:$FB,46)*100</f>
        <v>74.97</v>
      </c>
      <c r="J154" s="51">
        <f>VLOOKUP($A154,'Data Vlaue (Cr)'!$C:$FB,59)</f>
        <v>481</v>
      </c>
      <c r="K154" s="51">
        <f>VLOOKUP($A154,'Data Vlaue (Cr)'!$C:$FB,60)</f>
        <v>568</v>
      </c>
      <c r="L154" s="51">
        <f>VLOOKUP($A154,'Data Vlaue (Cr)'!$C:$FB,62)*100</f>
        <v>-15.290000000000001</v>
      </c>
      <c r="M154" s="51">
        <f>VLOOKUP($A154,'Data Vlaue (Cr)'!$C:$FB,63)</f>
        <v>166</v>
      </c>
      <c r="N154" s="51">
        <f>VLOOKUP($A154,'Data Vlaue (Cr)'!$C:$FB,64)</f>
        <v>243</v>
      </c>
      <c r="O154" s="51">
        <f>VLOOKUP($A154,'Data Vlaue (Cr)'!$C:$FB,66)*100</f>
        <v>-31.759999999999998</v>
      </c>
    </row>
    <row r="155" spans="1:15" x14ac:dyDescent="0.25">
      <c r="A155" s="101" t="str">
        <f>'Data Vlaue (Cr)'!C150</f>
        <v>ONGC</v>
      </c>
      <c r="B155" s="50">
        <f>VLOOKUP($A155,'Data Vlaue (Cr)'!$C:$FB,8)</f>
        <v>244.01</v>
      </c>
      <c r="C155" s="50">
        <f>VLOOKUP($A155,'Data Vlaue (Cr)'!$C:$FB,11)*100</f>
        <v>0.67999999999999994</v>
      </c>
      <c r="D155" s="50">
        <f>VLOOKUP($A155,'Data Vlaue (Cr)'!$C:$FB,143)</f>
        <v>4801.1499999999996</v>
      </c>
      <c r="E155" s="50">
        <f>VLOOKUP($A155,'Data Vlaue (Cr)'!$C:$FB,144)</f>
        <v>4682.78</v>
      </c>
      <c r="F155" s="50">
        <f>VLOOKUP($A155,'Data Vlaue (Cr)'!$C:$FB,146)*100</f>
        <v>2.5299999999999998</v>
      </c>
      <c r="G155" s="49">
        <f>VLOOKUP($A155,'Data Vlaue (Cr)'!$C:$FB,43)</f>
        <v>1380</v>
      </c>
      <c r="H155" s="49">
        <f>VLOOKUP($A155,'Data Vlaue (Cr)'!$C:$FB,44)</f>
        <v>1052</v>
      </c>
      <c r="I155" s="49">
        <f>VLOOKUP($A155,'Data Vlaue (Cr)'!$C:$FB,46)*100</f>
        <v>31.22</v>
      </c>
      <c r="J155" s="51">
        <f>VLOOKUP($A155,'Data Vlaue (Cr)'!$C:$FB,59)</f>
        <v>2002</v>
      </c>
      <c r="K155" s="51">
        <f>VLOOKUP($A155,'Data Vlaue (Cr)'!$C:$FB,60)</f>
        <v>2134</v>
      </c>
      <c r="L155" s="51">
        <f>VLOOKUP($A155,'Data Vlaue (Cr)'!$C:$FB,62)*100</f>
        <v>-6.16</v>
      </c>
      <c r="M155" s="51">
        <f>VLOOKUP($A155,'Data Vlaue (Cr)'!$C:$FB,63)</f>
        <v>1384</v>
      </c>
      <c r="N155" s="51">
        <f>VLOOKUP($A155,'Data Vlaue (Cr)'!$C:$FB,64)</f>
        <v>1489</v>
      </c>
      <c r="O155" s="51">
        <f>VLOOKUP($A155,'Data Vlaue (Cr)'!$C:$FB,66)*100</f>
        <v>-7.06</v>
      </c>
    </row>
    <row r="156" spans="1:15" x14ac:dyDescent="0.25">
      <c r="A156" s="101" t="str">
        <f>'Data Vlaue (Cr)'!C151</f>
        <v>PAGEIND</v>
      </c>
      <c r="B156" s="50">
        <f>VLOOKUP($A156,'Data Vlaue (Cr)'!$C:$FB,8)</f>
        <v>32875</v>
      </c>
      <c r="C156" s="50">
        <f>VLOOKUP($A156,'Data Vlaue (Cr)'!$C:$FB,11)*100</f>
        <v>-0.71000000000000008</v>
      </c>
      <c r="D156" s="50">
        <f>VLOOKUP($A156,'Data Vlaue (Cr)'!$C:$FB,143)</f>
        <v>1928.14</v>
      </c>
      <c r="E156" s="50">
        <f>VLOOKUP($A156,'Data Vlaue (Cr)'!$C:$FB,144)</f>
        <v>1841.49</v>
      </c>
      <c r="F156" s="50">
        <f>VLOOKUP($A156,'Data Vlaue (Cr)'!$C:$FB,146)*100</f>
        <v>4.71</v>
      </c>
      <c r="G156" s="49">
        <f>VLOOKUP($A156,'Data Vlaue (Cr)'!$C:$FB,43)</f>
        <v>1034</v>
      </c>
      <c r="H156" s="49">
        <f>VLOOKUP($A156,'Data Vlaue (Cr)'!$C:$FB,44)</f>
        <v>882</v>
      </c>
      <c r="I156" s="49">
        <f>VLOOKUP($A156,'Data Vlaue (Cr)'!$C:$FB,46)*100</f>
        <v>17.2</v>
      </c>
      <c r="J156" s="51">
        <f>VLOOKUP($A156,'Data Vlaue (Cr)'!$C:$FB,59)</f>
        <v>629</v>
      </c>
      <c r="K156" s="51">
        <f>VLOOKUP($A156,'Data Vlaue (Cr)'!$C:$FB,60)</f>
        <v>669</v>
      </c>
      <c r="L156" s="51">
        <f>VLOOKUP($A156,'Data Vlaue (Cr)'!$C:$FB,62)*100</f>
        <v>-6.02</v>
      </c>
      <c r="M156" s="51">
        <f>VLOOKUP($A156,'Data Vlaue (Cr)'!$C:$FB,63)</f>
        <v>231</v>
      </c>
      <c r="N156" s="51">
        <f>VLOOKUP($A156,'Data Vlaue (Cr)'!$C:$FB,64)</f>
        <v>249</v>
      </c>
      <c r="O156" s="51">
        <f>VLOOKUP($A156,'Data Vlaue (Cr)'!$C:$FB,66)*100</f>
        <v>-7.1999999999999993</v>
      </c>
    </row>
    <row r="157" spans="1:15" x14ac:dyDescent="0.25">
      <c r="A157" s="101" t="str">
        <f>'Data Vlaue (Cr)'!C152</f>
        <v>PATANJALI</v>
      </c>
      <c r="B157" s="50">
        <f>VLOOKUP($A157,'Data Vlaue (Cr)'!$C:$FB,8)</f>
        <v>511</v>
      </c>
      <c r="C157" s="50">
        <f>VLOOKUP($A157,'Data Vlaue (Cr)'!$C:$FB,11)*100</f>
        <v>1.1900000000000002</v>
      </c>
      <c r="D157" s="50">
        <f>VLOOKUP($A157,'Data Vlaue (Cr)'!$C:$FB,143)</f>
        <v>1641.11</v>
      </c>
      <c r="E157" s="50">
        <f>VLOOKUP($A157,'Data Vlaue (Cr)'!$C:$FB,144)</f>
        <v>2059.31</v>
      </c>
      <c r="F157" s="50">
        <f>VLOOKUP($A157,'Data Vlaue (Cr)'!$C:$FB,146)*100</f>
        <v>-20.309999999999999</v>
      </c>
      <c r="G157" s="49">
        <f>VLOOKUP($A157,'Data Vlaue (Cr)'!$C:$FB,43)</f>
        <v>1129</v>
      </c>
      <c r="H157" s="49">
        <f>VLOOKUP($A157,'Data Vlaue (Cr)'!$C:$FB,44)</f>
        <v>1155</v>
      </c>
      <c r="I157" s="49">
        <f>VLOOKUP($A157,'Data Vlaue (Cr)'!$C:$FB,46)*100</f>
        <v>-2.19</v>
      </c>
      <c r="J157" s="51">
        <f>VLOOKUP($A157,'Data Vlaue (Cr)'!$C:$FB,59)</f>
        <v>353</v>
      </c>
      <c r="K157" s="51">
        <f>VLOOKUP($A157,'Data Vlaue (Cr)'!$C:$FB,60)</f>
        <v>571</v>
      </c>
      <c r="L157" s="51">
        <f>VLOOKUP($A157,'Data Vlaue (Cr)'!$C:$FB,62)*100</f>
        <v>-38.21</v>
      </c>
      <c r="M157" s="51">
        <f>VLOOKUP($A157,'Data Vlaue (Cr)'!$C:$FB,63)</f>
        <v>139</v>
      </c>
      <c r="N157" s="51">
        <f>VLOOKUP($A157,'Data Vlaue (Cr)'!$C:$FB,64)</f>
        <v>341</v>
      </c>
      <c r="O157" s="51">
        <f>VLOOKUP($A157,'Data Vlaue (Cr)'!$C:$FB,66)*100</f>
        <v>-59.3</v>
      </c>
    </row>
    <row r="158" spans="1:15" x14ac:dyDescent="0.25">
      <c r="A158" s="101" t="str">
        <f>'Data Vlaue (Cr)'!C153</f>
        <v>PAYTM</v>
      </c>
      <c r="B158" s="50">
        <f>VLOOKUP($A158,'Data Vlaue (Cr)'!$C:$FB,8)</f>
        <v>1260.5</v>
      </c>
      <c r="C158" s="50">
        <f>VLOOKUP($A158,'Data Vlaue (Cr)'!$C:$FB,11)*100</f>
        <v>1.9900000000000002</v>
      </c>
      <c r="D158" s="50">
        <f>VLOOKUP($A158,'Data Vlaue (Cr)'!$C:$FB,143)</f>
        <v>3842.92</v>
      </c>
      <c r="E158" s="50">
        <f>VLOOKUP($A158,'Data Vlaue (Cr)'!$C:$FB,144)</f>
        <v>7007.37</v>
      </c>
      <c r="F158" s="50">
        <f>VLOOKUP($A158,'Data Vlaue (Cr)'!$C:$FB,146)*100</f>
        <v>-45.16</v>
      </c>
      <c r="G158" s="49">
        <f>VLOOKUP($A158,'Data Vlaue (Cr)'!$C:$FB,43)</f>
        <v>1613</v>
      </c>
      <c r="H158" s="49">
        <f>VLOOKUP($A158,'Data Vlaue (Cr)'!$C:$FB,44)</f>
        <v>1691</v>
      </c>
      <c r="I158" s="49">
        <f>VLOOKUP($A158,'Data Vlaue (Cr)'!$C:$FB,46)*100</f>
        <v>-4.62</v>
      </c>
      <c r="J158" s="51">
        <f>VLOOKUP($A158,'Data Vlaue (Cr)'!$C:$FB,59)</f>
        <v>1345</v>
      </c>
      <c r="K158" s="51">
        <f>VLOOKUP($A158,'Data Vlaue (Cr)'!$C:$FB,60)</f>
        <v>2760</v>
      </c>
      <c r="L158" s="51">
        <f>VLOOKUP($A158,'Data Vlaue (Cr)'!$C:$FB,62)*100</f>
        <v>-51.27</v>
      </c>
      <c r="M158" s="51">
        <f>VLOOKUP($A158,'Data Vlaue (Cr)'!$C:$FB,63)</f>
        <v>854</v>
      </c>
      <c r="N158" s="51">
        <f>VLOOKUP($A158,'Data Vlaue (Cr)'!$C:$FB,64)</f>
        <v>2476</v>
      </c>
      <c r="O158" s="51">
        <f>VLOOKUP($A158,'Data Vlaue (Cr)'!$C:$FB,66)*100</f>
        <v>-65.53</v>
      </c>
    </row>
    <row r="159" spans="1:15" x14ac:dyDescent="0.25">
      <c r="A159" s="101" t="str">
        <f>'Data Vlaue (Cr)'!C154</f>
        <v>PERSISTENT</v>
      </c>
      <c r="B159" s="50">
        <f>VLOOKUP($A159,'Data Vlaue (Cr)'!$C:$FB,8)</f>
        <v>6320.5</v>
      </c>
      <c r="C159" s="50">
        <f>VLOOKUP($A159,'Data Vlaue (Cr)'!$C:$FB,11)*100</f>
        <v>1.26</v>
      </c>
      <c r="D159" s="50">
        <f>VLOOKUP($A159,'Data Vlaue (Cr)'!$C:$FB,143)</f>
        <v>6024.15</v>
      </c>
      <c r="E159" s="50">
        <f>VLOOKUP($A159,'Data Vlaue (Cr)'!$C:$FB,144)</f>
        <v>20065.88</v>
      </c>
      <c r="F159" s="50">
        <f>VLOOKUP($A159,'Data Vlaue (Cr)'!$C:$FB,146)*100</f>
        <v>-69.98</v>
      </c>
      <c r="G159" s="49">
        <f>VLOOKUP($A159,'Data Vlaue (Cr)'!$C:$FB,43)</f>
        <v>1288</v>
      </c>
      <c r="H159" s="49">
        <f>VLOOKUP($A159,'Data Vlaue (Cr)'!$C:$FB,44)</f>
        <v>2831</v>
      </c>
      <c r="I159" s="49">
        <f>VLOOKUP($A159,'Data Vlaue (Cr)'!$C:$FB,46)*100</f>
        <v>-54.49</v>
      </c>
      <c r="J159" s="51">
        <f>VLOOKUP($A159,'Data Vlaue (Cr)'!$C:$FB,59)</f>
        <v>2722</v>
      </c>
      <c r="K159" s="51">
        <f>VLOOKUP($A159,'Data Vlaue (Cr)'!$C:$FB,60)</f>
        <v>8439</v>
      </c>
      <c r="L159" s="51">
        <f>VLOOKUP($A159,'Data Vlaue (Cr)'!$C:$FB,62)*100</f>
        <v>-67.75</v>
      </c>
      <c r="M159" s="51">
        <f>VLOOKUP($A159,'Data Vlaue (Cr)'!$C:$FB,63)</f>
        <v>1979</v>
      </c>
      <c r="N159" s="51">
        <f>VLOOKUP($A159,'Data Vlaue (Cr)'!$C:$FB,64)</f>
        <v>8880</v>
      </c>
      <c r="O159" s="51">
        <f>VLOOKUP($A159,'Data Vlaue (Cr)'!$C:$FB,66)*100</f>
        <v>-77.72</v>
      </c>
    </row>
    <row r="160" spans="1:15" x14ac:dyDescent="0.25">
      <c r="A160" s="101" t="str">
        <f>'Data Vlaue (Cr)'!C155</f>
        <v>PETRONET</v>
      </c>
      <c r="B160" s="50">
        <f>VLOOKUP($A160,'Data Vlaue (Cr)'!$C:$FB,8)</f>
        <v>275.05</v>
      </c>
      <c r="C160" s="50">
        <f>VLOOKUP($A160,'Data Vlaue (Cr)'!$C:$FB,11)*100</f>
        <v>-0.28999999999999998</v>
      </c>
      <c r="D160" s="50">
        <f>VLOOKUP($A160,'Data Vlaue (Cr)'!$C:$FB,143)</f>
        <v>1152.05</v>
      </c>
      <c r="E160" s="50">
        <f>VLOOKUP($A160,'Data Vlaue (Cr)'!$C:$FB,144)</f>
        <v>1245.79</v>
      </c>
      <c r="F160" s="50">
        <f>VLOOKUP($A160,'Data Vlaue (Cr)'!$C:$FB,146)*100</f>
        <v>-7.5200000000000005</v>
      </c>
      <c r="G160" s="49">
        <f>VLOOKUP($A160,'Data Vlaue (Cr)'!$C:$FB,43)</f>
        <v>716</v>
      </c>
      <c r="H160" s="49">
        <f>VLOOKUP($A160,'Data Vlaue (Cr)'!$C:$FB,44)</f>
        <v>620</v>
      </c>
      <c r="I160" s="49">
        <f>VLOOKUP($A160,'Data Vlaue (Cr)'!$C:$FB,46)*100</f>
        <v>15.509999999999998</v>
      </c>
      <c r="J160" s="51">
        <f>VLOOKUP($A160,'Data Vlaue (Cr)'!$C:$FB,59)</f>
        <v>185</v>
      </c>
      <c r="K160" s="51">
        <f>VLOOKUP($A160,'Data Vlaue (Cr)'!$C:$FB,60)</f>
        <v>383</v>
      </c>
      <c r="L160" s="51">
        <f>VLOOKUP($A160,'Data Vlaue (Cr)'!$C:$FB,62)*100</f>
        <v>-51.61</v>
      </c>
      <c r="M160" s="51">
        <f>VLOOKUP($A160,'Data Vlaue (Cr)'!$C:$FB,63)</f>
        <v>238</v>
      </c>
      <c r="N160" s="51">
        <f>VLOOKUP($A160,'Data Vlaue (Cr)'!$C:$FB,64)</f>
        <v>235</v>
      </c>
      <c r="O160" s="51">
        <f>VLOOKUP($A160,'Data Vlaue (Cr)'!$C:$FB,66)*100</f>
        <v>1.2</v>
      </c>
    </row>
    <row r="161" spans="1:15" x14ac:dyDescent="0.25">
      <c r="A161" s="101" t="str">
        <f>'Data Vlaue (Cr)'!C156</f>
        <v>PFC</v>
      </c>
      <c r="B161" s="50">
        <f>VLOOKUP($A161,'Data Vlaue (Cr)'!$C:$FB,8)</f>
        <v>364.7</v>
      </c>
      <c r="C161" s="50">
        <f>VLOOKUP($A161,'Data Vlaue (Cr)'!$C:$FB,11)*100</f>
        <v>1.97</v>
      </c>
      <c r="D161" s="50">
        <f>VLOOKUP($A161,'Data Vlaue (Cr)'!$C:$FB,143)</f>
        <v>3579.74</v>
      </c>
      <c r="E161" s="50">
        <f>VLOOKUP($A161,'Data Vlaue (Cr)'!$C:$FB,144)</f>
        <v>4619.3</v>
      </c>
      <c r="F161" s="50">
        <f>VLOOKUP($A161,'Data Vlaue (Cr)'!$C:$FB,146)*100</f>
        <v>-22.5</v>
      </c>
      <c r="G161" s="49">
        <f>VLOOKUP($A161,'Data Vlaue (Cr)'!$C:$FB,43)</f>
        <v>1373</v>
      </c>
      <c r="H161" s="49">
        <f>VLOOKUP($A161,'Data Vlaue (Cr)'!$C:$FB,44)</f>
        <v>1384</v>
      </c>
      <c r="I161" s="49">
        <f>VLOOKUP($A161,'Data Vlaue (Cr)'!$C:$FB,46)*100</f>
        <v>-0.8</v>
      </c>
      <c r="J161" s="51">
        <f>VLOOKUP($A161,'Data Vlaue (Cr)'!$C:$FB,59)</f>
        <v>1330</v>
      </c>
      <c r="K161" s="51">
        <f>VLOOKUP($A161,'Data Vlaue (Cr)'!$C:$FB,60)</f>
        <v>1932</v>
      </c>
      <c r="L161" s="51">
        <f>VLOOKUP($A161,'Data Vlaue (Cr)'!$C:$FB,62)*100</f>
        <v>-31.16</v>
      </c>
      <c r="M161" s="51">
        <f>VLOOKUP($A161,'Data Vlaue (Cr)'!$C:$FB,63)</f>
        <v>825</v>
      </c>
      <c r="N161" s="51">
        <f>VLOOKUP($A161,'Data Vlaue (Cr)'!$C:$FB,64)</f>
        <v>1305</v>
      </c>
      <c r="O161" s="51">
        <f>VLOOKUP($A161,'Data Vlaue (Cr)'!$C:$FB,66)*100</f>
        <v>-36.799999999999997</v>
      </c>
    </row>
    <row r="162" spans="1:15" x14ac:dyDescent="0.25">
      <c r="A162" s="101" t="str">
        <f>'Data Vlaue (Cr)'!C157</f>
        <v>PGEL</v>
      </c>
      <c r="B162" s="50">
        <f>VLOOKUP($A162,'Data Vlaue (Cr)'!$C:$FB,8)</f>
        <v>530.4</v>
      </c>
      <c r="C162" s="50">
        <f>VLOOKUP($A162,'Data Vlaue (Cr)'!$C:$FB,11)*100</f>
        <v>-0.49</v>
      </c>
      <c r="D162" s="50">
        <f>VLOOKUP($A162,'Data Vlaue (Cr)'!$C:$FB,143)</f>
        <v>1773.65</v>
      </c>
      <c r="E162" s="50">
        <f>VLOOKUP($A162,'Data Vlaue (Cr)'!$C:$FB,144)</f>
        <v>3031.03</v>
      </c>
      <c r="F162" s="50">
        <f>VLOOKUP($A162,'Data Vlaue (Cr)'!$C:$FB,146)*100</f>
        <v>-41.48</v>
      </c>
      <c r="G162" s="49">
        <f>VLOOKUP($A162,'Data Vlaue (Cr)'!$C:$FB,43)</f>
        <v>554</v>
      </c>
      <c r="H162" s="49">
        <f>VLOOKUP($A162,'Data Vlaue (Cr)'!$C:$FB,44)</f>
        <v>645</v>
      </c>
      <c r="I162" s="49">
        <f>VLOOKUP($A162,'Data Vlaue (Cr)'!$C:$FB,46)*100</f>
        <v>-14.12</v>
      </c>
      <c r="J162" s="51">
        <f>VLOOKUP($A162,'Data Vlaue (Cr)'!$C:$FB,59)</f>
        <v>766</v>
      </c>
      <c r="K162" s="51">
        <f>VLOOKUP($A162,'Data Vlaue (Cr)'!$C:$FB,60)</f>
        <v>1095</v>
      </c>
      <c r="L162" s="51">
        <f>VLOOKUP($A162,'Data Vlaue (Cr)'!$C:$FB,62)*100</f>
        <v>-30.049999999999997</v>
      </c>
      <c r="M162" s="51">
        <f>VLOOKUP($A162,'Data Vlaue (Cr)'!$C:$FB,63)</f>
        <v>386</v>
      </c>
      <c r="N162" s="51">
        <f>VLOOKUP($A162,'Data Vlaue (Cr)'!$C:$FB,64)</f>
        <v>1191</v>
      </c>
      <c r="O162" s="51">
        <f>VLOOKUP($A162,'Data Vlaue (Cr)'!$C:$FB,66)*100</f>
        <v>-67.61</v>
      </c>
    </row>
    <row r="163" spans="1:15" x14ac:dyDescent="0.25">
      <c r="A163" s="101" t="str">
        <f>'Data Vlaue (Cr)'!C158</f>
        <v>PHOENIXLTD</v>
      </c>
      <c r="B163" s="50">
        <f>VLOOKUP($A163,'Data Vlaue (Cr)'!$C:$FB,8)</f>
        <v>1768.2</v>
      </c>
      <c r="C163" s="50">
        <f>VLOOKUP($A163,'Data Vlaue (Cr)'!$C:$FB,11)*100</f>
        <v>1.23</v>
      </c>
      <c r="D163" s="50">
        <f>VLOOKUP($A163,'Data Vlaue (Cr)'!$C:$FB,143)</f>
        <v>1218.19</v>
      </c>
      <c r="E163" s="50">
        <f>VLOOKUP($A163,'Data Vlaue (Cr)'!$C:$FB,144)</f>
        <v>1188.3699999999999</v>
      </c>
      <c r="F163" s="50">
        <f>VLOOKUP($A163,'Data Vlaue (Cr)'!$C:$FB,146)*100</f>
        <v>2.5100000000000002</v>
      </c>
      <c r="G163" s="49">
        <f>VLOOKUP($A163,'Data Vlaue (Cr)'!$C:$FB,43)</f>
        <v>538</v>
      </c>
      <c r="H163" s="49">
        <f>VLOOKUP($A163,'Data Vlaue (Cr)'!$C:$FB,44)</f>
        <v>450</v>
      </c>
      <c r="I163" s="49">
        <f>VLOOKUP($A163,'Data Vlaue (Cr)'!$C:$FB,46)*100</f>
        <v>19.420000000000002</v>
      </c>
      <c r="J163" s="51">
        <f>VLOOKUP($A163,'Data Vlaue (Cr)'!$C:$FB,59)</f>
        <v>525</v>
      </c>
      <c r="K163" s="51">
        <f>VLOOKUP($A163,'Data Vlaue (Cr)'!$C:$FB,60)</f>
        <v>346</v>
      </c>
      <c r="L163" s="51">
        <f>VLOOKUP($A163,'Data Vlaue (Cr)'!$C:$FB,62)*100</f>
        <v>52</v>
      </c>
      <c r="M163" s="51">
        <f>VLOOKUP($A163,'Data Vlaue (Cr)'!$C:$FB,63)</f>
        <v>132</v>
      </c>
      <c r="N163" s="51">
        <f>VLOOKUP($A163,'Data Vlaue (Cr)'!$C:$FB,64)</f>
        <v>389</v>
      </c>
      <c r="O163" s="51">
        <f>VLOOKUP($A163,'Data Vlaue (Cr)'!$C:$FB,66)*100</f>
        <v>-66.080000000000013</v>
      </c>
    </row>
    <row r="164" spans="1:15" x14ac:dyDescent="0.25">
      <c r="A164" s="101" t="str">
        <f>'Data Vlaue (Cr)'!C159</f>
        <v>PIDILITIND</v>
      </c>
      <c r="B164" s="50">
        <f>VLOOKUP($A164,'Data Vlaue (Cr)'!$C:$FB,8)</f>
        <v>1452.8</v>
      </c>
      <c r="C164" s="50">
        <f>VLOOKUP($A164,'Data Vlaue (Cr)'!$C:$FB,11)*100</f>
        <v>2.1800000000000002</v>
      </c>
      <c r="D164" s="50">
        <f>VLOOKUP($A164,'Data Vlaue (Cr)'!$C:$FB,143)</f>
        <v>1533.87</v>
      </c>
      <c r="E164" s="50">
        <f>VLOOKUP($A164,'Data Vlaue (Cr)'!$C:$FB,144)</f>
        <v>1237.74</v>
      </c>
      <c r="F164" s="50">
        <f>VLOOKUP($A164,'Data Vlaue (Cr)'!$C:$FB,146)*100</f>
        <v>23.93</v>
      </c>
      <c r="G164" s="49">
        <f>VLOOKUP($A164,'Data Vlaue (Cr)'!$C:$FB,43)</f>
        <v>1059</v>
      </c>
      <c r="H164" s="49">
        <f>VLOOKUP($A164,'Data Vlaue (Cr)'!$C:$FB,44)</f>
        <v>723</v>
      </c>
      <c r="I164" s="49">
        <f>VLOOKUP($A164,'Data Vlaue (Cr)'!$C:$FB,46)*100</f>
        <v>46.53</v>
      </c>
      <c r="J164" s="51">
        <f>VLOOKUP($A164,'Data Vlaue (Cr)'!$C:$FB,59)</f>
        <v>240</v>
      </c>
      <c r="K164" s="51">
        <f>VLOOKUP($A164,'Data Vlaue (Cr)'!$C:$FB,60)</f>
        <v>266</v>
      </c>
      <c r="L164" s="51">
        <f>VLOOKUP($A164,'Data Vlaue (Cr)'!$C:$FB,62)*100</f>
        <v>-9.51</v>
      </c>
      <c r="M164" s="51">
        <f>VLOOKUP($A164,'Data Vlaue (Cr)'!$C:$FB,63)</f>
        <v>239</v>
      </c>
      <c r="N164" s="51">
        <f>VLOOKUP($A164,'Data Vlaue (Cr)'!$C:$FB,64)</f>
        <v>262</v>
      </c>
      <c r="O164" s="51">
        <f>VLOOKUP($A164,'Data Vlaue (Cr)'!$C:$FB,66)*100</f>
        <v>-8.7099999999999991</v>
      </c>
    </row>
    <row r="165" spans="1:15" x14ac:dyDescent="0.25">
      <c r="A165" s="101" t="str">
        <f>'Data Vlaue (Cr)'!C160</f>
        <v>PIIND</v>
      </c>
      <c r="B165" s="50">
        <f>VLOOKUP($A165,'Data Vlaue (Cr)'!$C:$FB,8)</f>
        <v>3170.4</v>
      </c>
      <c r="C165" s="50">
        <f>VLOOKUP($A165,'Data Vlaue (Cr)'!$C:$FB,11)*100</f>
        <v>1.8499999999999999</v>
      </c>
      <c r="D165" s="50">
        <f>VLOOKUP($A165,'Data Vlaue (Cr)'!$C:$FB,143)</f>
        <v>1229.6600000000001</v>
      </c>
      <c r="E165" s="50">
        <f>VLOOKUP($A165,'Data Vlaue (Cr)'!$C:$FB,144)</f>
        <v>1081.57</v>
      </c>
      <c r="F165" s="50">
        <f>VLOOKUP($A165,'Data Vlaue (Cr)'!$C:$FB,146)*100</f>
        <v>13.69</v>
      </c>
      <c r="G165" s="49">
        <f>VLOOKUP($A165,'Data Vlaue (Cr)'!$C:$FB,43)</f>
        <v>921</v>
      </c>
      <c r="H165" s="49">
        <f>VLOOKUP($A165,'Data Vlaue (Cr)'!$C:$FB,44)</f>
        <v>721</v>
      </c>
      <c r="I165" s="49">
        <f>VLOOKUP($A165,'Data Vlaue (Cr)'!$C:$FB,46)*100</f>
        <v>27.67</v>
      </c>
      <c r="J165" s="51">
        <f>VLOOKUP($A165,'Data Vlaue (Cr)'!$C:$FB,59)</f>
        <v>203</v>
      </c>
      <c r="K165" s="51">
        <f>VLOOKUP($A165,'Data Vlaue (Cr)'!$C:$FB,60)</f>
        <v>204</v>
      </c>
      <c r="L165" s="51">
        <f>VLOOKUP($A165,'Data Vlaue (Cr)'!$C:$FB,62)*100</f>
        <v>-0.13999999999999999</v>
      </c>
      <c r="M165" s="51">
        <f>VLOOKUP($A165,'Data Vlaue (Cr)'!$C:$FB,63)</f>
        <v>106</v>
      </c>
      <c r="N165" s="51">
        <f>VLOOKUP($A165,'Data Vlaue (Cr)'!$C:$FB,64)</f>
        <v>163</v>
      </c>
      <c r="O165" s="51">
        <f>VLOOKUP($A165,'Data Vlaue (Cr)'!$C:$FB,66)*100</f>
        <v>-35.270000000000003</v>
      </c>
    </row>
    <row r="166" spans="1:15" x14ac:dyDescent="0.25">
      <c r="A166" s="101" t="str">
        <f>'Data Vlaue (Cr)'!C161</f>
        <v>PNB</v>
      </c>
      <c r="B166" s="50">
        <f>VLOOKUP($A166,'Data Vlaue (Cr)'!$C:$FB,8)</f>
        <v>125.16</v>
      </c>
      <c r="C166" s="50">
        <f>VLOOKUP($A166,'Data Vlaue (Cr)'!$C:$FB,11)*100</f>
        <v>0.94000000000000006</v>
      </c>
      <c r="D166" s="50">
        <f>VLOOKUP($A166,'Data Vlaue (Cr)'!$C:$FB,143)</f>
        <v>5760.6</v>
      </c>
      <c r="E166" s="50">
        <f>VLOOKUP($A166,'Data Vlaue (Cr)'!$C:$FB,144)</f>
        <v>7433.24</v>
      </c>
      <c r="F166" s="50">
        <f>VLOOKUP($A166,'Data Vlaue (Cr)'!$C:$FB,146)*100</f>
        <v>-22.5</v>
      </c>
      <c r="G166" s="49">
        <f>VLOOKUP($A166,'Data Vlaue (Cr)'!$C:$FB,43)</f>
        <v>1833</v>
      </c>
      <c r="H166" s="49">
        <f>VLOOKUP($A166,'Data Vlaue (Cr)'!$C:$FB,44)</f>
        <v>1287</v>
      </c>
      <c r="I166" s="49">
        <f>VLOOKUP($A166,'Data Vlaue (Cr)'!$C:$FB,46)*100</f>
        <v>42.46</v>
      </c>
      <c r="J166" s="51">
        <f>VLOOKUP($A166,'Data Vlaue (Cr)'!$C:$FB,59)</f>
        <v>2454</v>
      </c>
      <c r="K166" s="51">
        <f>VLOOKUP($A166,'Data Vlaue (Cr)'!$C:$FB,60)</f>
        <v>3525</v>
      </c>
      <c r="L166" s="51">
        <f>VLOOKUP($A166,'Data Vlaue (Cr)'!$C:$FB,62)*100</f>
        <v>-30.380000000000003</v>
      </c>
      <c r="M166" s="51">
        <f>VLOOKUP($A166,'Data Vlaue (Cr)'!$C:$FB,63)</f>
        <v>1388</v>
      </c>
      <c r="N166" s="51">
        <f>VLOOKUP($A166,'Data Vlaue (Cr)'!$C:$FB,64)</f>
        <v>2503</v>
      </c>
      <c r="O166" s="51">
        <f>VLOOKUP($A166,'Data Vlaue (Cr)'!$C:$FB,66)*100</f>
        <v>-44.54</v>
      </c>
    </row>
    <row r="167" spans="1:15" x14ac:dyDescent="0.25">
      <c r="A167" s="101" t="str">
        <f>'Data Vlaue (Cr)'!C162</f>
        <v>PNBHOUSING</v>
      </c>
      <c r="B167" s="50">
        <f>VLOOKUP($A167,'Data Vlaue (Cr)'!$C:$FB,8)</f>
        <v>860.25</v>
      </c>
      <c r="C167" s="50">
        <f>VLOOKUP($A167,'Data Vlaue (Cr)'!$C:$FB,11)*100</f>
        <v>-7.55</v>
      </c>
      <c r="D167" s="50">
        <f>VLOOKUP($A167,'Data Vlaue (Cr)'!$C:$FB,143)</f>
        <v>8800.1299999999992</v>
      </c>
      <c r="E167" s="50">
        <f>VLOOKUP($A167,'Data Vlaue (Cr)'!$C:$FB,144)</f>
        <v>2406.15</v>
      </c>
      <c r="F167" s="50">
        <f>VLOOKUP($A167,'Data Vlaue (Cr)'!$C:$FB,146)*100</f>
        <v>265.73</v>
      </c>
      <c r="G167" s="49">
        <f>VLOOKUP($A167,'Data Vlaue (Cr)'!$C:$FB,43)</f>
        <v>1800</v>
      </c>
      <c r="H167" s="49">
        <f>VLOOKUP($A167,'Data Vlaue (Cr)'!$C:$FB,44)</f>
        <v>647</v>
      </c>
      <c r="I167" s="49">
        <f>VLOOKUP($A167,'Data Vlaue (Cr)'!$C:$FB,46)*100</f>
        <v>178.38</v>
      </c>
      <c r="J167" s="51">
        <f>VLOOKUP($A167,'Data Vlaue (Cr)'!$C:$FB,59)</f>
        <v>3238</v>
      </c>
      <c r="K167" s="51">
        <f>VLOOKUP($A167,'Data Vlaue (Cr)'!$C:$FB,60)</f>
        <v>902</v>
      </c>
      <c r="L167" s="51">
        <f>VLOOKUP($A167,'Data Vlaue (Cr)'!$C:$FB,62)*100</f>
        <v>258.81</v>
      </c>
      <c r="M167" s="51">
        <f>VLOOKUP($A167,'Data Vlaue (Cr)'!$C:$FB,63)</f>
        <v>3494</v>
      </c>
      <c r="N167" s="51">
        <f>VLOOKUP($A167,'Data Vlaue (Cr)'!$C:$FB,64)</f>
        <v>616</v>
      </c>
      <c r="O167" s="51">
        <f>VLOOKUP($A167,'Data Vlaue (Cr)'!$C:$FB,66)*100</f>
        <v>467.42999999999995</v>
      </c>
    </row>
    <row r="168" spans="1:15" x14ac:dyDescent="0.25">
      <c r="A168" s="101" t="str">
        <f>'Data Vlaue (Cr)'!C163</f>
        <v>POLICYBZR</v>
      </c>
      <c r="B168" s="50">
        <f>VLOOKUP($A168,'Data Vlaue (Cr)'!$C:$FB,8)</f>
        <v>1714.6</v>
      </c>
      <c r="C168" s="50">
        <f>VLOOKUP($A168,'Data Vlaue (Cr)'!$C:$FB,11)*100</f>
        <v>3.06</v>
      </c>
      <c r="D168" s="50">
        <f>VLOOKUP($A168,'Data Vlaue (Cr)'!$C:$FB,143)</f>
        <v>2218.84</v>
      </c>
      <c r="E168" s="50">
        <f>VLOOKUP($A168,'Data Vlaue (Cr)'!$C:$FB,144)</f>
        <v>1613.13</v>
      </c>
      <c r="F168" s="50">
        <f>VLOOKUP($A168,'Data Vlaue (Cr)'!$C:$FB,146)*100</f>
        <v>37.549999999999997</v>
      </c>
      <c r="G168" s="49">
        <f>VLOOKUP($A168,'Data Vlaue (Cr)'!$C:$FB,43)</f>
        <v>1226</v>
      </c>
      <c r="H168" s="49">
        <f>VLOOKUP($A168,'Data Vlaue (Cr)'!$C:$FB,44)</f>
        <v>802</v>
      </c>
      <c r="I168" s="49">
        <f>VLOOKUP($A168,'Data Vlaue (Cr)'!$C:$FB,46)*100</f>
        <v>52.94</v>
      </c>
      <c r="J168" s="51">
        <f>VLOOKUP($A168,'Data Vlaue (Cr)'!$C:$FB,59)</f>
        <v>688</v>
      </c>
      <c r="K168" s="51">
        <f>VLOOKUP($A168,'Data Vlaue (Cr)'!$C:$FB,60)</f>
        <v>513</v>
      </c>
      <c r="L168" s="51">
        <f>VLOOKUP($A168,'Data Vlaue (Cr)'!$C:$FB,62)*100</f>
        <v>34.06</v>
      </c>
      <c r="M168" s="51">
        <f>VLOOKUP($A168,'Data Vlaue (Cr)'!$C:$FB,63)</f>
        <v>301</v>
      </c>
      <c r="N168" s="51">
        <f>VLOOKUP($A168,'Data Vlaue (Cr)'!$C:$FB,64)</f>
        <v>337</v>
      </c>
      <c r="O168" s="51">
        <f>VLOOKUP($A168,'Data Vlaue (Cr)'!$C:$FB,66)*100</f>
        <v>-10.47</v>
      </c>
    </row>
    <row r="169" spans="1:15" x14ac:dyDescent="0.25">
      <c r="A169" s="101" t="str">
        <f>'Data Vlaue (Cr)'!C164</f>
        <v>POLYCAB</v>
      </c>
      <c r="B169" s="50">
        <f>VLOOKUP($A169,'Data Vlaue (Cr)'!$C:$FB,8)</f>
        <v>6999</v>
      </c>
      <c r="C169" s="50">
        <f>VLOOKUP($A169,'Data Vlaue (Cr)'!$C:$FB,11)*100</f>
        <v>0.33999999999999997</v>
      </c>
      <c r="D169" s="50">
        <f>VLOOKUP($A169,'Data Vlaue (Cr)'!$C:$FB,143)</f>
        <v>6396.84</v>
      </c>
      <c r="E169" s="50">
        <f>VLOOKUP($A169,'Data Vlaue (Cr)'!$C:$FB,144)</f>
        <v>11065.45</v>
      </c>
      <c r="F169" s="50">
        <f>VLOOKUP($A169,'Data Vlaue (Cr)'!$C:$FB,146)*100</f>
        <v>-42.19</v>
      </c>
      <c r="G169" s="49">
        <f>VLOOKUP($A169,'Data Vlaue (Cr)'!$C:$FB,43)</f>
        <v>2247</v>
      </c>
      <c r="H169" s="49">
        <f>VLOOKUP($A169,'Data Vlaue (Cr)'!$C:$FB,44)</f>
        <v>2066</v>
      </c>
      <c r="I169" s="49">
        <f>VLOOKUP($A169,'Data Vlaue (Cr)'!$C:$FB,46)*100</f>
        <v>8.7800000000000011</v>
      </c>
      <c r="J169" s="51">
        <f>VLOOKUP($A169,'Data Vlaue (Cr)'!$C:$FB,59)</f>
        <v>2717</v>
      </c>
      <c r="K169" s="51">
        <f>VLOOKUP($A169,'Data Vlaue (Cr)'!$C:$FB,60)</f>
        <v>5228</v>
      </c>
      <c r="L169" s="51">
        <f>VLOOKUP($A169,'Data Vlaue (Cr)'!$C:$FB,62)*100</f>
        <v>-48.04</v>
      </c>
      <c r="M169" s="51">
        <f>VLOOKUP($A169,'Data Vlaue (Cr)'!$C:$FB,63)</f>
        <v>1295</v>
      </c>
      <c r="N169" s="51">
        <f>VLOOKUP($A169,'Data Vlaue (Cr)'!$C:$FB,64)</f>
        <v>3559</v>
      </c>
      <c r="O169" s="51">
        <f>VLOOKUP($A169,'Data Vlaue (Cr)'!$C:$FB,66)*100</f>
        <v>-63.61</v>
      </c>
    </row>
    <row r="170" spans="1:15" x14ac:dyDescent="0.25">
      <c r="A170" s="101" t="str">
        <f>'Data Vlaue (Cr)'!C165</f>
        <v>POWERGRID</v>
      </c>
      <c r="B170" s="50">
        <f>VLOOKUP($A170,'Data Vlaue (Cr)'!$C:$FB,8)</f>
        <v>259.25</v>
      </c>
      <c r="C170" s="50">
        <f>VLOOKUP($A170,'Data Vlaue (Cr)'!$C:$FB,11)*100</f>
        <v>1.35</v>
      </c>
      <c r="D170" s="50">
        <f>VLOOKUP($A170,'Data Vlaue (Cr)'!$C:$FB,143)</f>
        <v>2095.87</v>
      </c>
      <c r="E170" s="50">
        <f>VLOOKUP($A170,'Data Vlaue (Cr)'!$C:$FB,144)</f>
        <v>3092.24</v>
      </c>
      <c r="F170" s="50">
        <f>VLOOKUP($A170,'Data Vlaue (Cr)'!$C:$FB,146)*100</f>
        <v>-32.22</v>
      </c>
      <c r="G170" s="49">
        <f>VLOOKUP($A170,'Data Vlaue (Cr)'!$C:$FB,43)</f>
        <v>1041</v>
      </c>
      <c r="H170" s="49">
        <f>VLOOKUP($A170,'Data Vlaue (Cr)'!$C:$FB,44)</f>
        <v>1100</v>
      </c>
      <c r="I170" s="49">
        <f>VLOOKUP($A170,'Data Vlaue (Cr)'!$C:$FB,46)*100</f>
        <v>-5.3199999999999994</v>
      </c>
      <c r="J170" s="51">
        <f>VLOOKUP($A170,'Data Vlaue (Cr)'!$C:$FB,59)</f>
        <v>688</v>
      </c>
      <c r="K170" s="51">
        <f>VLOOKUP($A170,'Data Vlaue (Cr)'!$C:$FB,60)</f>
        <v>1240</v>
      </c>
      <c r="L170" s="51">
        <f>VLOOKUP($A170,'Data Vlaue (Cr)'!$C:$FB,62)*100</f>
        <v>-44.529999999999994</v>
      </c>
      <c r="M170" s="51">
        <f>VLOOKUP($A170,'Data Vlaue (Cr)'!$C:$FB,63)</f>
        <v>356</v>
      </c>
      <c r="N170" s="51">
        <f>VLOOKUP($A170,'Data Vlaue (Cr)'!$C:$FB,64)</f>
        <v>746</v>
      </c>
      <c r="O170" s="51">
        <f>VLOOKUP($A170,'Data Vlaue (Cr)'!$C:$FB,66)*100</f>
        <v>-52.25</v>
      </c>
    </row>
    <row r="171" spans="1:15" x14ac:dyDescent="0.25">
      <c r="A171" s="101" t="str">
        <f>'Data Vlaue (Cr)'!C166</f>
        <v>POWERINDIA</v>
      </c>
      <c r="B171" s="50">
        <f>VLOOKUP($A171,'Data Vlaue (Cr)'!$C:$FB,8)</f>
        <v>16847</v>
      </c>
      <c r="C171" s="50">
        <f>VLOOKUP($A171,'Data Vlaue (Cr)'!$C:$FB,11)*100</f>
        <v>0.95</v>
      </c>
      <c r="D171" s="50">
        <f>VLOOKUP($A171,'Data Vlaue (Cr)'!$C:$FB,143)</f>
        <v>1760.66</v>
      </c>
      <c r="E171" s="50">
        <f>VLOOKUP($A171,'Data Vlaue (Cr)'!$C:$FB,144)</f>
        <v>2239.3200000000002</v>
      </c>
      <c r="F171" s="50">
        <f>VLOOKUP($A171,'Data Vlaue (Cr)'!$C:$FB,146)*100</f>
        <v>-21.38</v>
      </c>
      <c r="G171" s="49">
        <f>VLOOKUP($A171,'Data Vlaue (Cr)'!$C:$FB,43)</f>
        <v>457</v>
      </c>
      <c r="H171" s="49">
        <f>VLOOKUP($A171,'Data Vlaue (Cr)'!$C:$FB,44)</f>
        <v>375</v>
      </c>
      <c r="I171" s="49">
        <f>VLOOKUP($A171,'Data Vlaue (Cr)'!$C:$FB,46)*100</f>
        <v>21.75</v>
      </c>
      <c r="J171" s="51">
        <f>VLOOKUP($A171,'Data Vlaue (Cr)'!$C:$FB,59)</f>
        <v>949</v>
      </c>
      <c r="K171" s="51">
        <f>VLOOKUP($A171,'Data Vlaue (Cr)'!$C:$FB,60)</f>
        <v>1321</v>
      </c>
      <c r="L171" s="51">
        <f>VLOOKUP($A171,'Data Vlaue (Cr)'!$C:$FB,62)*100</f>
        <v>-28.110000000000003</v>
      </c>
      <c r="M171" s="51">
        <f>VLOOKUP($A171,'Data Vlaue (Cr)'!$C:$FB,63)</f>
        <v>275</v>
      </c>
      <c r="N171" s="51">
        <f>VLOOKUP($A171,'Data Vlaue (Cr)'!$C:$FB,64)</f>
        <v>422</v>
      </c>
      <c r="O171" s="51">
        <f>VLOOKUP($A171,'Data Vlaue (Cr)'!$C:$FB,66)*100</f>
        <v>-34.760000000000005</v>
      </c>
    </row>
    <row r="172" spans="1:15" x14ac:dyDescent="0.25">
      <c r="A172" s="101" t="str">
        <f>'Data Vlaue (Cr)'!C167</f>
        <v>PPLPHARMA</v>
      </c>
      <c r="B172" s="50">
        <f>VLOOKUP($A172,'Data Vlaue (Cr)'!$C:$FB,8)</f>
        <v>156.5</v>
      </c>
      <c r="C172" s="50">
        <f>VLOOKUP($A172,'Data Vlaue (Cr)'!$C:$FB,11)*100</f>
        <v>0.89999999999999991</v>
      </c>
      <c r="D172" s="50">
        <f>VLOOKUP($A172,'Data Vlaue (Cr)'!$C:$FB,143)</f>
        <v>527.9</v>
      </c>
      <c r="E172" s="50">
        <f>VLOOKUP($A172,'Data Vlaue (Cr)'!$C:$FB,144)</f>
        <v>726.16</v>
      </c>
      <c r="F172" s="50">
        <f>VLOOKUP($A172,'Data Vlaue (Cr)'!$C:$FB,146)*100</f>
        <v>-27.3</v>
      </c>
      <c r="G172" s="49">
        <f>VLOOKUP($A172,'Data Vlaue (Cr)'!$C:$FB,43)</f>
        <v>308</v>
      </c>
      <c r="H172" s="49">
        <f>VLOOKUP($A172,'Data Vlaue (Cr)'!$C:$FB,44)</f>
        <v>338</v>
      </c>
      <c r="I172" s="49">
        <f>VLOOKUP($A172,'Data Vlaue (Cr)'!$C:$FB,46)*100</f>
        <v>-8.870000000000001</v>
      </c>
      <c r="J172" s="51">
        <f>VLOOKUP($A172,'Data Vlaue (Cr)'!$C:$FB,59)</f>
        <v>140</v>
      </c>
      <c r="K172" s="51">
        <f>VLOOKUP($A172,'Data Vlaue (Cr)'!$C:$FB,60)</f>
        <v>210</v>
      </c>
      <c r="L172" s="51">
        <f>VLOOKUP($A172,'Data Vlaue (Cr)'!$C:$FB,62)*100</f>
        <v>-33.32</v>
      </c>
      <c r="M172" s="51">
        <f>VLOOKUP($A172,'Data Vlaue (Cr)'!$C:$FB,63)</f>
        <v>60</v>
      </c>
      <c r="N172" s="51">
        <f>VLOOKUP($A172,'Data Vlaue (Cr)'!$C:$FB,64)</f>
        <v>158</v>
      </c>
      <c r="O172" s="51">
        <f>VLOOKUP($A172,'Data Vlaue (Cr)'!$C:$FB,66)*100</f>
        <v>-62.129999999999995</v>
      </c>
    </row>
    <row r="173" spans="1:15" x14ac:dyDescent="0.25">
      <c r="A173" s="101" t="str">
        <f>'Data Vlaue (Cr)'!C168</f>
        <v>PREMIERENE</v>
      </c>
      <c r="B173" s="50">
        <f>VLOOKUP($A173,'Data Vlaue (Cr)'!$C:$FB,8)</f>
        <v>739.75</v>
      </c>
      <c r="C173" s="50">
        <f>VLOOKUP($A173,'Data Vlaue (Cr)'!$C:$FB,11)*100</f>
        <v>4.01</v>
      </c>
      <c r="D173" s="50">
        <f>VLOOKUP($A173,'Data Vlaue (Cr)'!$C:$FB,143)</f>
        <v>2486.42</v>
      </c>
      <c r="E173" s="50">
        <f>VLOOKUP($A173,'Data Vlaue (Cr)'!$C:$FB,144)</f>
        <v>631.25</v>
      </c>
      <c r="F173" s="50">
        <f>VLOOKUP($A173,'Data Vlaue (Cr)'!$C:$FB,146)*100</f>
        <v>293.89</v>
      </c>
      <c r="G173" s="49">
        <f>VLOOKUP($A173,'Data Vlaue (Cr)'!$C:$FB,43)</f>
        <v>689</v>
      </c>
      <c r="H173" s="49">
        <f>VLOOKUP($A173,'Data Vlaue (Cr)'!$C:$FB,44)</f>
        <v>238</v>
      </c>
      <c r="I173" s="49">
        <f>VLOOKUP($A173,'Data Vlaue (Cr)'!$C:$FB,46)*100</f>
        <v>189.56</v>
      </c>
      <c r="J173" s="51">
        <f>VLOOKUP($A173,'Data Vlaue (Cr)'!$C:$FB,59)</f>
        <v>1215</v>
      </c>
      <c r="K173" s="51">
        <f>VLOOKUP($A173,'Data Vlaue (Cr)'!$C:$FB,60)</f>
        <v>187</v>
      </c>
      <c r="L173" s="51">
        <f>VLOOKUP($A173,'Data Vlaue (Cr)'!$C:$FB,62)*100</f>
        <v>548.94999999999993</v>
      </c>
      <c r="M173" s="51">
        <f>VLOOKUP($A173,'Data Vlaue (Cr)'!$C:$FB,63)</f>
        <v>539</v>
      </c>
      <c r="N173" s="51">
        <f>VLOOKUP($A173,'Data Vlaue (Cr)'!$C:$FB,64)</f>
        <v>211</v>
      </c>
      <c r="O173" s="51">
        <f>VLOOKUP($A173,'Data Vlaue (Cr)'!$C:$FB,66)*100</f>
        <v>155.65</v>
      </c>
    </row>
    <row r="174" spans="1:15" x14ac:dyDescent="0.25">
      <c r="A174" s="101" t="str">
        <f>'Data Vlaue (Cr)'!C169</f>
        <v>PRESTIGE</v>
      </c>
      <c r="B174" s="50">
        <f>VLOOKUP($A174,'Data Vlaue (Cr)'!$C:$FB,8)</f>
        <v>1422.6</v>
      </c>
      <c r="C174" s="50">
        <f>VLOOKUP($A174,'Data Vlaue (Cr)'!$C:$FB,11)*100</f>
        <v>-1.1499999999999999</v>
      </c>
      <c r="D174" s="50">
        <f>VLOOKUP($A174,'Data Vlaue (Cr)'!$C:$FB,143)</f>
        <v>1009.25</v>
      </c>
      <c r="E174" s="50">
        <f>VLOOKUP($A174,'Data Vlaue (Cr)'!$C:$FB,144)</f>
        <v>1344.41</v>
      </c>
      <c r="F174" s="50">
        <f>VLOOKUP($A174,'Data Vlaue (Cr)'!$C:$FB,146)*100</f>
        <v>-24.93</v>
      </c>
      <c r="G174" s="49">
        <f>VLOOKUP($A174,'Data Vlaue (Cr)'!$C:$FB,43)</f>
        <v>491</v>
      </c>
      <c r="H174" s="49">
        <f>VLOOKUP($A174,'Data Vlaue (Cr)'!$C:$FB,44)</f>
        <v>447</v>
      </c>
      <c r="I174" s="49">
        <f>VLOOKUP($A174,'Data Vlaue (Cr)'!$C:$FB,46)*100</f>
        <v>9.74</v>
      </c>
      <c r="J174" s="51">
        <f>VLOOKUP($A174,'Data Vlaue (Cr)'!$C:$FB,59)</f>
        <v>358</v>
      </c>
      <c r="K174" s="51">
        <f>VLOOKUP($A174,'Data Vlaue (Cr)'!$C:$FB,60)</f>
        <v>521</v>
      </c>
      <c r="L174" s="51">
        <f>VLOOKUP($A174,'Data Vlaue (Cr)'!$C:$FB,62)*100</f>
        <v>-31.36</v>
      </c>
      <c r="M174" s="51">
        <f>VLOOKUP($A174,'Data Vlaue (Cr)'!$C:$FB,63)</f>
        <v>137</v>
      </c>
      <c r="N174" s="51">
        <f>VLOOKUP($A174,'Data Vlaue (Cr)'!$C:$FB,64)</f>
        <v>343</v>
      </c>
      <c r="O174" s="51">
        <f>VLOOKUP($A174,'Data Vlaue (Cr)'!$C:$FB,66)*100</f>
        <v>-60.19</v>
      </c>
    </row>
    <row r="175" spans="1:15" x14ac:dyDescent="0.25">
      <c r="A175" s="101" t="str">
        <f>'Data Vlaue (Cr)'!C170</f>
        <v>RBLBANK</v>
      </c>
      <c r="B175" s="50">
        <f>VLOOKUP($A175,'Data Vlaue (Cr)'!$C:$FB,8)</f>
        <v>296.2</v>
      </c>
      <c r="C175" s="50">
        <f>VLOOKUP($A175,'Data Vlaue (Cr)'!$C:$FB,11)*100</f>
        <v>-0.44</v>
      </c>
      <c r="D175" s="50">
        <f>VLOOKUP($A175,'Data Vlaue (Cr)'!$C:$FB,143)</f>
        <v>3066.32</v>
      </c>
      <c r="E175" s="50">
        <f>VLOOKUP($A175,'Data Vlaue (Cr)'!$C:$FB,144)</f>
        <v>5400.75</v>
      </c>
      <c r="F175" s="50">
        <f>VLOOKUP($A175,'Data Vlaue (Cr)'!$C:$FB,146)*100</f>
        <v>-43.22</v>
      </c>
      <c r="G175" s="49">
        <f>VLOOKUP($A175,'Data Vlaue (Cr)'!$C:$FB,43)</f>
        <v>1200</v>
      </c>
      <c r="H175" s="49">
        <f>VLOOKUP($A175,'Data Vlaue (Cr)'!$C:$FB,44)</f>
        <v>1798</v>
      </c>
      <c r="I175" s="49">
        <f>VLOOKUP($A175,'Data Vlaue (Cr)'!$C:$FB,46)*100</f>
        <v>-33.269999999999996</v>
      </c>
      <c r="J175" s="51">
        <f>VLOOKUP($A175,'Data Vlaue (Cr)'!$C:$FB,59)</f>
        <v>1154</v>
      </c>
      <c r="K175" s="51">
        <f>VLOOKUP($A175,'Data Vlaue (Cr)'!$C:$FB,60)</f>
        <v>2312</v>
      </c>
      <c r="L175" s="51">
        <f>VLOOKUP($A175,'Data Vlaue (Cr)'!$C:$FB,62)*100</f>
        <v>-50.09</v>
      </c>
      <c r="M175" s="51">
        <f>VLOOKUP($A175,'Data Vlaue (Cr)'!$C:$FB,63)</f>
        <v>648</v>
      </c>
      <c r="N175" s="51">
        <f>VLOOKUP($A175,'Data Vlaue (Cr)'!$C:$FB,64)</f>
        <v>1189</v>
      </c>
      <c r="O175" s="51">
        <f>VLOOKUP($A175,'Data Vlaue (Cr)'!$C:$FB,66)*100</f>
        <v>-45.51</v>
      </c>
    </row>
    <row r="176" spans="1:15" x14ac:dyDescent="0.25">
      <c r="A176" s="101" t="str">
        <f>'Data Vlaue (Cr)'!C171</f>
        <v>RECLTD</v>
      </c>
      <c r="B176" s="50">
        <f>VLOOKUP($A176,'Data Vlaue (Cr)'!$C:$FB,8)</f>
        <v>366.2</v>
      </c>
      <c r="C176" s="50">
        <f>VLOOKUP($A176,'Data Vlaue (Cr)'!$C:$FB,11)*100</f>
        <v>2.92</v>
      </c>
      <c r="D176" s="50">
        <f>VLOOKUP($A176,'Data Vlaue (Cr)'!$C:$FB,143)</f>
        <v>5230.3999999999996</v>
      </c>
      <c r="E176" s="50">
        <f>VLOOKUP($A176,'Data Vlaue (Cr)'!$C:$FB,144)</f>
        <v>5507.19</v>
      </c>
      <c r="F176" s="50">
        <f>VLOOKUP($A176,'Data Vlaue (Cr)'!$C:$FB,146)*100</f>
        <v>-5.0299999999999994</v>
      </c>
      <c r="G176" s="49">
        <f>VLOOKUP($A176,'Data Vlaue (Cr)'!$C:$FB,43)</f>
        <v>1502</v>
      </c>
      <c r="H176" s="49">
        <f>VLOOKUP($A176,'Data Vlaue (Cr)'!$C:$FB,44)</f>
        <v>1633</v>
      </c>
      <c r="I176" s="49">
        <f>VLOOKUP($A176,'Data Vlaue (Cr)'!$C:$FB,46)*100</f>
        <v>-8.02</v>
      </c>
      <c r="J176" s="51">
        <f>VLOOKUP($A176,'Data Vlaue (Cr)'!$C:$FB,59)</f>
        <v>2054</v>
      </c>
      <c r="K176" s="51">
        <f>VLOOKUP($A176,'Data Vlaue (Cr)'!$C:$FB,60)</f>
        <v>2275</v>
      </c>
      <c r="L176" s="51">
        <f>VLOOKUP($A176,'Data Vlaue (Cr)'!$C:$FB,62)*100</f>
        <v>-9.74</v>
      </c>
      <c r="M176" s="51">
        <f>VLOOKUP($A176,'Data Vlaue (Cr)'!$C:$FB,63)</f>
        <v>1625</v>
      </c>
      <c r="N176" s="51">
        <f>VLOOKUP($A176,'Data Vlaue (Cr)'!$C:$FB,64)</f>
        <v>1635</v>
      </c>
      <c r="O176" s="51">
        <f>VLOOKUP($A176,'Data Vlaue (Cr)'!$C:$FB,66)*100</f>
        <v>-0.61</v>
      </c>
    </row>
    <row r="177" spans="1:15" x14ac:dyDescent="0.25">
      <c r="A177" s="101" t="str">
        <f>'Data Vlaue (Cr)'!C172</f>
        <v>RELIANCE</v>
      </c>
      <c r="B177" s="50">
        <f>VLOOKUP($A177,'Data Vlaue (Cr)'!$C:$FB,8)</f>
        <v>1402.5</v>
      </c>
      <c r="C177" s="50">
        <f>VLOOKUP($A177,'Data Vlaue (Cr)'!$C:$FB,11)*100</f>
        <v>-0.15</v>
      </c>
      <c r="D177" s="50">
        <f>VLOOKUP($A177,'Data Vlaue (Cr)'!$C:$FB,143)</f>
        <v>43475.27</v>
      </c>
      <c r="E177" s="50">
        <f>VLOOKUP($A177,'Data Vlaue (Cr)'!$C:$FB,144)</f>
        <v>56096.97</v>
      </c>
      <c r="F177" s="50">
        <f>VLOOKUP($A177,'Data Vlaue (Cr)'!$C:$FB,146)*100</f>
        <v>-22.5</v>
      </c>
      <c r="G177" s="49">
        <f>VLOOKUP($A177,'Data Vlaue (Cr)'!$C:$FB,43)</f>
        <v>9246</v>
      </c>
      <c r="H177" s="49">
        <f>VLOOKUP($A177,'Data Vlaue (Cr)'!$C:$FB,44)</f>
        <v>6676</v>
      </c>
      <c r="I177" s="49">
        <f>VLOOKUP($A177,'Data Vlaue (Cr)'!$C:$FB,46)*100</f>
        <v>38.5</v>
      </c>
      <c r="J177" s="51">
        <f>VLOOKUP($A177,'Data Vlaue (Cr)'!$C:$FB,59)</f>
        <v>21780</v>
      </c>
      <c r="K177" s="51">
        <f>VLOOKUP($A177,'Data Vlaue (Cr)'!$C:$FB,60)</f>
        <v>32250</v>
      </c>
      <c r="L177" s="51">
        <f>VLOOKUP($A177,'Data Vlaue (Cr)'!$C:$FB,62)*100</f>
        <v>-32.46</v>
      </c>
      <c r="M177" s="51">
        <f>VLOOKUP($A177,'Data Vlaue (Cr)'!$C:$FB,63)</f>
        <v>11516</v>
      </c>
      <c r="N177" s="51">
        <f>VLOOKUP($A177,'Data Vlaue (Cr)'!$C:$FB,64)</f>
        <v>16050</v>
      </c>
      <c r="O177" s="51">
        <f>VLOOKUP($A177,'Data Vlaue (Cr)'!$C:$FB,66)*100</f>
        <v>-28.249999999999996</v>
      </c>
    </row>
    <row r="178" spans="1:15" x14ac:dyDescent="0.25">
      <c r="A178" s="101" t="str">
        <f>'Data Vlaue (Cr)'!C173</f>
        <v>RVNL</v>
      </c>
      <c r="B178" s="50">
        <f>VLOOKUP($A178,'Data Vlaue (Cr)'!$C:$FB,8)</f>
        <v>329</v>
      </c>
      <c r="C178" s="50">
        <f>VLOOKUP($A178,'Data Vlaue (Cr)'!$C:$FB,11)*100</f>
        <v>3.75</v>
      </c>
      <c r="D178" s="50">
        <f>VLOOKUP($A178,'Data Vlaue (Cr)'!$C:$FB,143)</f>
        <v>4525.9399999999996</v>
      </c>
      <c r="E178" s="50">
        <f>VLOOKUP($A178,'Data Vlaue (Cr)'!$C:$FB,144)</f>
        <v>3799.62</v>
      </c>
      <c r="F178" s="50">
        <f>VLOOKUP($A178,'Data Vlaue (Cr)'!$C:$FB,146)*100</f>
        <v>19.12</v>
      </c>
      <c r="G178" s="49">
        <f>VLOOKUP($A178,'Data Vlaue (Cr)'!$C:$FB,43)</f>
        <v>1797</v>
      </c>
      <c r="H178" s="49">
        <f>VLOOKUP($A178,'Data Vlaue (Cr)'!$C:$FB,44)</f>
        <v>1340</v>
      </c>
      <c r="I178" s="49">
        <f>VLOOKUP($A178,'Data Vlaue (Cr)'!$C:$FB,46)*100</f>
        <v>34.07</v>
      </c>
      <c r="J178" s="51">
        <f>VLOOKUP($A178,'Data Vlaue (Cr)'!$C:$FB,59)</f>
        <v>2184</v>
      </c>
      <c r="K178" s="51">
        <f>VLOOKUP($A178,'Data Vlaue (Cr)'!$C:$FB,60)</f>
        <v>1745</v>
      </c>
      <c r="L178" s="51">
        <f>VLOOKUP($A178,'Data Vlaue (Cr)'!$C:$FB,62)*100</f>
        <v>25.16</v>
      </c>
      <c r="M178" s="51">
        <f>VLOOKUP($A178,'Data Vlaue (Cr)'!$C:$FB,63)</f>
        <v>508</v>
      </c>
      <c r="N178" s="51">
        <f>VLOOKUP($A178,'Data Vlaue (Cr)'!$C:$FB,64)</f>
        <v>726</v>
      </c>
      <c r="O178" s="51">
        <f>VLOOKUP($A178,'Data Vlaue (Cr)'!$C:$FB,66)*100</f>
        <v>-30.09</v>
      </c>
    </row>
    <row r="179" spans="1:15" x14ac:dyDescent="0.25">
      <c r="A179" s="101" t="str">
        <f>'Data Vlaue (Cr)'!C174</f>
        <v>SAIL</v>
      </c>
      <c r="B179" s="50">
        <f>VLOOKUP($A179,'Data Vlaue (Cr)'!$C:$FB,8)</f>
        <v>151.65</v>
      </c>
      <c r="C179" s="50">
        <f>VLOOKUP($A179,'Data Vlaue (Cr)'!$C:$FB,11)*100</f>
        <v>3.55</v>
      </c>
      <c r="D179" s="50">
        <f>VLOOKUP($A179,'Data Vlaue (Cr)'!$C:$FB,143)</f>
        <v>7387.79</v>
      </c>
      <c r="E179" s="50">
        <f>VLOOKUP($A179,'Data Vlaue (Cr)'!$C:$FB,144)</f>
        <v>292.45</v>
      </c>
      <c r="F179" s="50">
        <f>VLOOKUP($A179,'Data Vlaue (Cr)'!$C:$FB,146)*100</f>
        <v>2426.21</v>
      </c>
      <c r="G179" s="49">
        <f>VLOOKUP($A179,'Data Vlaue (Cr)'!$C:$FB,43)</f>
        <v>4746</v>
      </c>
      <c r="H179" s="49">
        <f>VLOOKUP($A179,'Data Vlaue (Cr)'!$C:$FB,44)</f>
        <v>217</v>
      </c>
      <c r="I179" s="49">
        <f>VLOOKUP($A179,'Data Vlaue (Cr)'!$C:$FB,46)*100</f>
        <v>2083.4900000000002</v>
      </c>
      <c r="J179" s="51">
        <f>VLOOKUP($A179,'Data Vlaue (Cr)'!$C:$FB,59)</f>
        <v>1725</v>
      </c>
      <c r="K179" s="51">
        <f>VLOOKUP($A179,'Data Vlaue (Cr)'!$C:$FB,60)</f>
        <v>48</v>
      </c>
      <c r="L179" s="51">
        <f>VLOOKUP($A179,'Data Vlaue (Cr)'!$C:$FB,62)*100</f>
        <v>3479.9700000000003</v>
      </c>
      <c r="M179" s="51">
        <f>VLOOKUP($A179,'Data Vlaue (Cr)'!$C:$FB,63)</f>
        <v>919</v>
      </c>
      <c r="N179" s="51">
        <f>VLOOKUP($A179,'Data Vlaue (Cr)'!$C:$FB,64)</f>
        <v>39</v>
      </c>
      <c r="O179" s="51">
        <f>VLOOKUP($A179,'Data Vlaue (Cr)'!$C:$FB,66)*100</f>
        <v>2255.31</v>
      </c>
    </row>
    <row r="180" spans="1:15" x14ac:dyDescent="0.25">
      <c r="A180" s="101" t="str">
        <f>'Data Vlaue (Cr)'!C175</f>
        <v>SAMMAANCAP</v>
      </c>
      <c r="B180" s="50">
        <f>VLOOKUP($A180,'Data Vlaue (Cr)'!$C:$FB,8)</f>
        <v>139.97</v>
      </c>
      <c r="C180" s="50">
        <f>VLOOKUP($A180,'Data Vlaue (Cr)'!$C:$FB,11)*100</f>
        <v>1.37</v>
      </c>
      <c r="D180" s="50">
        <f>VLOOKUP($A180,'Data Vlaue (Cr)'!$C:$FB,143)</f>
        <v>162.99</v>
      </c>
      <c r="E180" s="50">
        <f>VLOOKUP($A180,'Data Vlaue (Cr)'!$C:$FB,144)</f>
        <v>110.29</v>
      </c>
      <c r="F180" s="50">
        <f>VLOOKUP($A180,'Data Vlaue (Cr)'!$C:$FB,146)*100</f>
        <v>47.78</v>
      </c>
      <c r="G180" s="49">
        <f>VLOOKUP($A180,'Data Vlaue (Cr)'!$C:$FB,43)</f>
        <v>146</v>
      </c>
      <c r="H180" s="49">
        <f>VLOOKUP($A180,'Data Vlaue (Cr)'!$C:$FB,44)</f>
        <v>89</v>
      </c>
      <c r="I180" s="49">
        <f>VLOOKUP($A180,'Data Vlaue (Cr)'!$C:$FB,46)*100</f>
        <v>64.759999999999991</v>
      </c>
      <c r="J180" s="51">
        <f>VLOOKUP($A180,'Data Vlaue (Cr)'!$C:$FB,59)</f>
        <v>11</v>
      </c>
      <c r="K180" s="51">
        <f>VLOOKUP($A180,'Data Vlaue (Cr)'!$C:$FB,60)</f>
        <v>13</v>
      </c>
      <c r="L180" s="51">
        <f>VLOOKUP($A180,'Data Vlaue (Cr)'!$C:$FB,62)*100</f>
        <v>-16.82</v>
      </c>
      <c r="M180" s="51">
        <f>VLOOKUP($A180,'Data Vlaue (Cr)'!$C:$FB,63)</f>
        <v>6</v>
      </c>
      <c r="N180" s="51">
        <f>VLOOKUP($A180,'Data Vlaue (Cr)'!$C:$FB,64)</f>
        <v>8</v>
      </c>
      <c r="O180" s="51">
        <f>VLOOKUP($A180,'Data Vlaue (Cr)'!$C:$FB,66)*100</f>
        <v>-33.090000000000003</v>
      </c>
    </row>
    <row r="181" spans="1:15" x14ac:dyDescent="0.25">
      <c r="A181" s="101" t="str">
        <f>'Data Vlaue (Cr)'!C176</f>
        <v>SBICARD</v>
      </c>
      <c r="B181" s="50">
        <f>VLOOKUP($A181,'Data Vlaue (Cr)'!$C:$FB,8)</f>
        <v>789.1</v>
      </c>
      <c r="C181" s="50">
        <f>VLOOKUP($A181,'Data Vlaue (Cr)'!$C:$FB,11)*100</f>
        <v>0.69</v>
      </c>
      <c r="D181" s="50">
        <f>VLOOKUP($A181,'Data Vlaue (Cr)'!$C:$FB,143)</f>
        <v>2633.5</v>
      </c>
      <c r="E181" s="50">
        <f>VLOOKUP($A181,'Data Vlaue (Cr)'!$C:$FB,144)</f>
        <v>2972.74</v>
      </c>
      <c r="F181" s="50">
        <f>VLOOKUP($A181,'Data Vlaue (Cr)'!$C:$FB,146)*100</f>
        <v>-11.41</v>
      </c>
      <c r="G181" s="49">
        <f>VLOOKUP($A181,'Data Vlaue (Cr)'!$C:$FB,43)</f>
        <v>1579</v>
      </c>
      <c r="H181" s="49">
        <f>VLOOKUP($A181,'Data Vlaue (Cr)'!$C:$FB,44)</f>
        <v>1254</v>
      </c>
      <c r="I181" s="49">
        <f>VLOOKUP($A181,'Data Vlaue (Cr)'!$C:$FB,46)*100</f>
        <v>25.89</v>
      </c>
      <c r="J181" s="51">
        <f>VLOOKUP($A181,'Data Vlaue (Cr)'!$C:$FB,59)</f>
        <v>603</v>
      </c>
      <c r="K181" s="51">
        <f>VLOOKUP($A181,'Data Vlaue (Cr)'!$C:$FB,60)</f>
        <v>931</v>
      </c>
      <c r="L181" s="51">
        <f>VLOOKUP($A181,'Data Vlaue (Cr)'!$C:$FB,62)*100</f>
        <v>-35.29</v>
      </c>
      <c r="M181" s="51">
        <f>VLOOKUP($A181,'Data Vlaue (Cr)'!$C:$FB,63)</f>
        <v>417</v>
      </c>
      <c r="N181" s="51">
        <f>VLOOKUP($A181,'Data Vlaue (Cr)'!$C:$FB,64)</f>
        <v>710</v>
      </c>
      <c r="O181" s="51">
        <f>VLOOKUP($A181,'Data Vlaue (Cr)'!$C:$FB,66)*100</f>
        <v>-41.27</v>
      </c>
    </row>
    <row r="182" spans="1:15" x14ac:dyDescent="0.25">
      <c r="A182" s="101" t="str">
        <f>'Data Vlaue (Cr)'!C177</f>
        <v>SBILIFE</v>
      </c>
      <c r="B182" s="50">
        <f>VLOOKUP($A182,'Data Vlaue (Cr)'!$C:$FB,8)</f>
        <v>2022</v>
      </c>
      <c r="C182" s="50">
        <f>VLOOKUP($A182,'Data Vlaue (Cr)'!$C:$FB,11)*100</f>
        <v>-1.6199999999999999</v>
      </c>
      <c r="D182" s="50">
        <f>VLOOKUP($A182,'Data Vlaue (Cr)'!$C:$FB,143)</f>
        <v>5616.36</v>
      </c>
      <c r="E182" s="50">
        <f>VLOOKUP($A182,'Data Vlaue (Cr)'!$C:$FB,144)</f>
        <v>4091.5</v>
      </c>
      <c r="F182" s="50">
        <f>VLOOKUP($A182,'Data Vlaue (Cr)'!$C:$FB,146)*100</f>
        <v>37.269999999999996</v>
      </c>
      <c r="G182" s="49">
        <f>VLOOKUP($A182,'Data Vlaue (Cr)'!$C:$FB,43)</f>
        <v>2026</v>
      </c>
      <c r="H182" s="49">
        <f>VLOOKUP($A182,'Data Vlaue (Cr)'!$C:$FB,44)</f>
        <v>1026</v>
      </c>
      <c r="I182" s="49">
        <f>VLOOKUP($A182,'Data Vlaue (Cr)'!$C:$FB,46)*100</f>
        <v>97.34</v>
      </c>
      <c r="J182" s="51">
        <f>VLOOKUP($A182,'Data Vlaue (Cr)'!$C:$FB,59)</f>
        <v>1855</v>
      </c>
      <c r="K182" s="51">
        <f>VLOOKUP($A182,'Data Vlaue (Cr)'!$C:$FB,60)</f>
        <v>1966</v>
      </c>
      <c r="L182" s="51">
        <f>VLOOKUP($A182,'Data Vlaue (Cr)'!$C:$FB,62)*100</f>
        <v>-5.63</v>
      </c>
      <c r="M182" s="51">
        <f>VLOOKUP($A182,'Data Vlaue (Cr)'!$C:$FB,63)</f>
        <v>1677</v>
      </c>
      <c r="N182" s="51">
        <f>VLOOKUP($A182,'Data Vlaue (Cr)'!$C:$FB,64)</f>
        <v>995</v>
      </c>
      <c r="O182" s="51">
        <f>VLOOKUP($A182,'Data Vlaue (Cr)'!$C:$FB,66)*100</f>
        <v>68.58</v>
      </c>
    </row>
    <row r="183" spans="1:15" x14ac:dyDescent="0.25">
      <c r="A183" s="101" t="str">
        <f>'Data Vlaue (Cr)'!C178</f>
        <v>SBIN</v>
      </c>
      <c r="B183" s="50">
        <f>VLOOKUP($A183,'Data Vlaue (Cr)'!$C:$FB,8)</f>
        <v>1048.3499999999999</v>
      </c>
      <c r="C183" s="50">
        <f>VLOOKUP($A183,'Data Vlaue (Cr)'!$C:$FB,11)*100</f>
        <v>1.92</v>
      </c>
      <c r="D183" s="50">
        <f>VLOOKUP($A183,'Data Vlaue (Cr)'!$C:$FB,143)</f>
        <v>31936.799999999999</v>
      </c>
      <c r="E183" s="50">
        <f>VLOOKUP($A183,'Data Vlaue (Cr)'!$C:$FB,144)</f>
        <v>30678.09</v>
      </c>
      <c r="F183" s="50">
        <f>VLOOKUP($A183,'Data Vlaue (Cr)'!$C:$FB,146)*100</f>
        <v>4.1000000000000005</v>
      </c>
      <c r="G183" s="49">
        <f>VLOOKUP($A183,'Data Vlaue (Cr)'!$C:$FB,43)</f>
        <v>5910</v>
      </c>
      <c r="H183" s="49">
        <f>VLOOKUP($A183,'Data Vlaue (Cr)'!$C:$FB,44)</f>
        <v>4957</v>
      </c>
      <c r="I183" s="49">
        <f>VLOOKUP($A183,'Data Vlaue (Cr)'!$C:$FB,46)*100</f>
        <v>19.23</v>
      </c>
      <c r="J183" s="51">
        <f>VLOOKUP($A183,'Data Vlaue (Cr)'!$C:$FB,59)</f>
        <v>15272</v>
      </c>
      <c r="K183" s="51">
        <f>VLOOKUP($A183,'Data Vlaue (Cr)'!$C:$FB,60)</f>
        <v>14203</v>
      </c>
      <c r="L183" s="51">
        <f>VLOOKUP($A183,'Data Vlaue (Cr)'!$C:$FB,62)*100</f>
        <v>7.5200000000000005</v>
      </c>
      <c r="M183" s="51">
        <f>VLOOKUP($A183,'Data Vlaue (Cr)'!$C:$FB,63)</f>
        <v>10651</v>
      </c>
      <c r="N183" s="51">
        <f>VLOOKUP($A183,'Data Vlaue (Cr)'!$C:$FB,64)</f>
        <v>11820</v>
      </c>
      <c r="O183" s="51">
        <f>VLOOKUP($A183,'Data Vlaue (Cr)'!$C:$FB,66)*100</f>
        <v>-9.89</v>
      </c>
    </row>
    <row r="184" spans="1:15" x14ac:dyDescent="0.25">
      <c r="A184" s="101" t="str">
        <f>'Data Vlaue (Cr)'!C179</f>
        <v>SHREECEM</v>
      </c>
      <c r="B184" s="50">
        <f>VLOOKUP($A184,'Data Vlaue (Cr)'!$C:$FB,8)</f>
        <v>27430</v>
      </c>
      <c r="C184" s="50">
        <f>VLOOKUP($A184,'Data Vlaue (Cr)'!$C:$FB,11)*100</f>
        <v>0.22</v>
      </c>
      <c r="D184" s="50">
        <f>VLOOKUP($A184,'Data Vlaue (Cr)'!$C:$FB,143)</f>
        <v>1075.25</v>
      </c>
      <c r="E184" s="50">
        <f>VLOOKUP($A184,'Data Vlaue (Cr)'!$C:$FB,144)</f>
        <v>1271.1300000000001</v>
      </c>
      <c r="F184" s="50">
        <f>VLOOKUP($A184,'Data Vlaue (Cr)'!$C:$FB,146)*100</f>
        <v>-15.409999999999998</v>
      </c>
      <c r="G184" s="49">
        <f>VLOOKUP($A184,'Data Vlaue (Cr)'!$C:$FB,43)</f>
        <v>626</v>
      </c>
      <c r="H184" s="49">
        <f>VLOOKUP($A184,'Data Vlaue (Cr)'!$C:$FB,44)</f>
        <v>522</v>
      </c>
      <c r="I184" s="49">
        <f>VLOOKUP($A184,'Data Vlaue (Cr)'!$C:$FB,46)*100</f>
        <v>19.900000000000002</v>
      </c>
      <c r="J184" s="51">
        <f>VLOOKUP($A184,'Data Vlaue (Cr)'!$C:$FB,59)</f>
        <v>289</v>
      </c>
      <c r="K184" s="51">
        <f>VLOOKUP($A184,'Data Vlaue (Cr)'!$C:$FB,60)</f>
        <v>493</v>
      </c>
      <c r="L184" s="51">
        <f>VLOOKUP($A184,'Data Vlaue (Cr)'!$C:$FB,62)*100</f>
        <v>-41.48</v>
      </c>
      <c r="M184" s="51">
        <f>VLOOKUP($A184,'Data Vlaue (Cr)'!$C:$FB,63)</f>
        <v>156</v>
      </c>
      <c r="N184" s="51">
        <f>VLOOKUP($A184,'Data Vlaue (Cr)'!$C:$FB,64)</f>
        <v>255</v>
      </c>
      <c r="O184" s="51">
        <f>VLOOKUP($A184,'Data Vlaue (Cr)'!$C:$FB,66)*100</f>
        <v>-38.93</v>
      </c>
    </row>
    <row r="185" spans="1:15" x14ac:dyDescent="0.25">
      <c r="A185" s="101" t="str">
        <f>'Data Vlaue (Cr)'!C180</f>
        <v>SHRIRAMFIN</v>
      </c>
      <c r="B185" s="50">
        <f>VLOOKUP($A185,'Data Vlaue (Cr)'!$C:$FB,8)</f>
        <v>1005.5</v>
      </c>
      <c r="C185" s="50">
        <f>VLOOKUP($A185,'Data Vlaue (Cr)'!$C:$FB,11)*100</f>
        <v>1.9800000000000002</v>
      </c>
      <c r="D185" s="50">
        <f>VLOOKUP($A185,'Data Vlaue (Cr)'!$C:$FB,143)</f>
        <v>7806.99</v>
      </c>
      <c r="E185" s="50">
        <f>VLOOKUP($A185,'Data Vlaue (Cr)'!$C:$FB,144)</f>
        <v>5698.85</v>
      </c>
      <c r="F185" s="50">
        <f>VLOOKUP($A185,'Data Vlaue (Cr)'!$C:$FB,146)*100</f>
        <v>36.99</v>
      </c>
      <c r="G185" s="49">
        <f>VLOOKUP($A185,'Data Vlaue (Cr)'!$C:$FB,43)</f>
        <v>3463</v>
      </c>
      <c r="H185" s="49">
        <f>VLOOKUP($A185,'Data Vlaue (Cr)'!$C:$FB,44)</f>
        <v>2271</v>
      </c>
      <c r="I185" s="49">
        <f>VLOOKUP($A185,'Data Vlaue (Cr)'!$C:$FB,46)*100</f>
        <v>52.51</v>
      </c>
      <c r="J185" s="51">
        <f>VLOOKUP($A185,'Data Vlaue (Cr)'!$C:$FB,59)</f>
        <v>2916</v>
      </c>
      <c r="K185" s="51">
        <f>VLOOKUP($A185,'Data Vlaue (Cr)'!$C:$FB,60)</f>
        <v>2239</v>
      </c>
      <c r="L185" s="51">
        <f>VLOOKUP($A185,'Data Vlaue (Cr)'!$C:$FB,62)*100</f>
        <v>30.19</v>
      </c>
      <c r="M185" s="51">
        <f>VLOOKUP($A185,'Data Vlaue (Cr)'!$C:$FB,63)</f>
        <v>1374</v>
      </c>
      <c r="N185" s="51">
        <f>VLOOKUP($A185,'Data Vlaue (Cr)'!$C:$FB,64)</f>
        <v>1210</v>
      </c>
      <c r="O185" s="51">
        <f>VLOOKUP($A185,'Data Vlaue (Cr)'!$C:$FB,66)*100</f>
        <v>13.55</v>
      </c>
    </row>
    <row r="186" spans="1:15" x14ac:dyDescent="0.25">
      <c r="A186" s="101" t="str">
        <f>'Data Vlaue (Cr)'!C181</f>
        <v>SIEMENS</v>
      </c>
      <c r="B186" s="50">
        <f>VLOOKUP($A186,'Data Vlaue (Cr)'!$C:$FB,8)</f>
        <v>2928.2</v>
      </c>
      <c r="C186" s="50">
        <f>VLOOKUP($A186,'Data Vlaue (Cr)'!$C:$FB,11)*100</f>
        <v>1.51</v>
      </c>
      <c r="D186" s="50">
        <f>VLOOKUP($A186,'Data Vlaue (Cr)'!$C:$FB,143)</f>
        <v>1303.57</v>
      </c>
      <c r="E186" s="50">
        <f>VLOOKUP($A186,'Data Vlaue (Cr)'!$C:$FB,144)</f>
        <v>1501.89</v>
      </c>
      <c r="F186" s="50">
        <f>VLOOKUP($A186,'Data Vlaue (Cr)'!$C:$FB,146)*100</f>
        <v>-13.209999999999999</v>
      </c>
      <c r="G186" s="49">
        <f>VLOOKUP($A186,'Data Vlaue (Cr)'!$C:$FB,43)</f>
        <v>411</v>
      </c>
      <c r="H186" s="49">
        <f>VLOOKUP($A186,'Data Vlaue (Cr)'!$C:$FB,44)</f>
        <v>647</v>
      </c>
      <c r="I186" s="49">
        <f>VLOOKUP($A186,'Data Vlaue (Cr)'!$C:$FB,46)*100</f>
        <v>-36.44</v>
      </c>
      <c r="J186" s="51">
        <f>VLOOKUP($A186,'Data Vlaue (Cr)'!$C:$FB,59)</f>
        <v>626</v>
      </c>
      <c r="K186" s="51">
        <f>VLOOKUP($A186,'Data Vlaue (Cr)'!$C:$FB,60)</f>
        <v>596</v>
      </c>
      <c r="L186" s="51">
        <f>VLOOKUP($A186,'Data Vlaue (Cr)'!$C:$FB,62)*100</f>
        <v>4.99</v>
      </c>
      <c r="M186" s="51">
        <f>VLOOKUP($A186,'Data Vlaue (Cr)'!$C:$FB,63)</f>
        <v>248</v>
      </c>
      <c r="N186" s="51">
        <f>VLOOKUP($A186,'Data Vlaue (Cr)'!$C:$FB,64)</f>
        <v>260</v>
      </c>
      <c r="O186" s="51">
        <f>VLOOKUP($A186,'Data Vlaue (Cr)'!$C:$FB,66)*100</f>
        <v>-4.87</v>
      </c>
    </row>
    <row r="187" spans="1:15" x14ac:dyDescent="0.25">
      <c r="A187" s="101" t="str">
        <f>'Data Vlaue (Cr)'!C182</f>
        <v>SOLARINDS</v>
      </c>
      <c r="B187" s="50">
        <f>VLOOKUP($A187,'Data Vlaue (Cr)'!$C:$FB,8)</f>
        <v>12901</v>
      </c>
      <c r="C187" s="50">
        <f>VLOOKUP($A187,'Data Vlaue (Cr)'!$C:$FB,11)*100</f>
        <v>2.8899999999999997</v>
      </c>
      <c r="D187" s="50">
        <f>VLOOKUP($A187,'Data Vlaue (Cr)'!$C:$FB,143)</f>
        <v>1981.26</v>
      </c>
      <c r="E187" s="50">
        <f>VLOOKUP($A187,'Data Vlaue (Cr)'!$C:$FB,144)</f>
        <v>1394.64</v>
      </c>
      <c r="F187" s="50">
        <f>VLOOKUP($A187,'Data Vlaue (Cr)'!$C:$FB,146)*100</f>
        <v>42.059999999999995</v>
      </c>
      <c r="G187" s="49">
        <f>VLOOKUP($A187,'Data Vlaue (Cr)'!$C:$FB,43)</f>
        <v>733</v>
      </c>
      <c r="H187" s="49">
        <f>VLOOKUP($A187,'Data Vlaue (Cr)'!$C:$FB,44)</f>
        <v>499</v>
      </c>
      <c r="I187" s="49">
        <f>VLOOKUP($A187,'Data Vlaue (Cr)'!$C:$FB,46)*100</f>
        <v>46.87</v>
      </c>
      <c r="J187" s="51">
        <f>VLOOKUP($A187,'Data Vlaue (Cr)'!$C:$FB,59)</f>
        <v>848</v>
      </c>
      <c r="K187" s="51">
        <f>VLOOKUP($A187,'Data Vlaue (Cr)'!$C:$FB,60)</f>
        <v>675</v>
      </c>
      <c r="L187" s="51">
        <f>VLOOKUP($A187,'Data Vlaue (Cr)'!$C:$FB,62)*100</f>
        <v>25.590000000000003</v>
      </c>
      <c r="M187" s="51">
        <f>VLOOKUP($A187,'Data Vlaue (Cr)'!$C:$FB,63)</f>
        <v>393</v>
      </c>
      <c r="N187" s="51">
        <f>VLOOKUP($A187,'Data Vlaue (Cr)'!$C:$FB,64)</f>
        <v>219</v>
      </c>
      <c r="O187" s="51">
        <f>VLOOKUP($A187,'Data Vlaue (Cr)'!$C:$FB,66)*100</f>
        <v>79.72</v>
      </c>
    </row>
    <row r="188" spans="1:15" x14ac:dyDescent="0.25">
      <c r="A188" s="101" t="str">
        <f>'Data Vlaue (Cr)'!C183</f>
        <v>SONACOMS</v>
      </c>
      <c r="B188" s="50">
        <f>VLOOKUP($A188,'Data Vlaue (Cr)'!$C:$FB,8)</f>
        <v>469.1</v>
      </c>
      <c r="C188" s="50">
        <f>VLOOKUP($A188,'Data Vlaue (Cr)'!$C:$FB,11)*100</f>
        <v>5.55</v>
      </c>
      <c r="D188" s="50">
        <f>VLOOKUP($A188,'Data Vlaue (Cr)'!$C:$FB,143)</f>
        <v>1864.23</v>
      </c>
      <c r="E188" s="50">
        <f>VLOOKUP($A188,'Data Vlaue (Cr)'!$C:$FB,144)</f>
        <v>713.56</v>
      </c>
      <c r="F188" s="50">
        <f>VLOOKUP($A188,'Data Vlaue (Cr)'!$C:$FB,146)*100</f>
        <v>161.26</v>
      </c>
      <c r="G188" s="49">
        <f>VLOOKUP($A188,'Data Vlaue (Cr)'!$C:$FB,43)</f>
        <v>732</v>
      </c>
      <c r="H188" s="49">
        <f>VLOOKUP($A188,'Data Vlaue (Cr)'!$C:$FB,44)</f>
        <v>486</v>
      </c>
      <c r="I188" s="49">
        <f>VLOOKUP($A188,'Data Vlaue (Cr)'!$C:$FB,46)*100</f>
        <v>50.529999999999994</v>
      </c>
      <c r="J188" s="51">
        <f>VLOOKUP($A188,'Data Vlaue (Cr)'!$C:$FB,59)</f>
        <v>780</v>
      </c>
      <c r="K188" s="51">
        <f>VLOOKUP($A188,'Data Vlaue (Cr)'!$C:$FB,60)</f>
        <v>172</v>
      </c>
      <c r="L188" s="51">
        <f>VLOOKUP($A188,'Data Vlaue (Cr)'!$C:$FB,62)*100</f>
        <v>352.47</v>
      </c>
      <c r="M188" s="51">
        <f>VLOOKUP($A188,'Data Vlaue (Cr)'!$C:$FB,63)</f>
        <v>351</v>
      </c>
      <c r="N188" s="51">
        <f>VLOOKUP($A188,'Data Vlaue (Cr)'!$C:$FB,64)</f>
        <v>86</v>
      </c>
      <c r="O188" s="51">
        <f>VLOOKUP($A188,'Data Vlaue (Cr)'!$C:$FB,66)*100</f>
        <v>308.23</v>
      </c>
    </row>
    <row r="189" spans="1:15" x14ac:dyDescent="0.25">
      <c r="A189" s="101" t="str">
        <f>'Data Vlaue (Cr)'!C184</f>
        <v>SRF</v>
      </c>
      <c r="B189" s="50">
        <f>VLOOKUP($A189,'Data Vlaue (Cr)'!$C:$FB,8)</f>
        <v>2735.9</v>
      </c>
      <c r="C189" s="50">
        <f>VLOOKUP($A189,'Data Vlaue (Cr)'!$C:$FB,11)*100</f>
        <v>2.1999999999999997</v>
      </c>
      <c r="D189" s="50">
        <f>VLOOKUP($A189,'Data Vlaue (Cr)'!$C:$FB,143)</f>
        <v>3369.77</v>
      </c>
      <c r="E189" s="50">
        <f>VLOOKUP($A189,'Data Vlaue (Cr)'!$C:$FB,144)</f>
        <v>12513.69</v>
      </c>
      <c r="F189" s="50">
        <f>VLOOKUP($A189,'Data Vlaue (Cr)'!$C:$FB,146)*100</f>
        <v>-73.070000000000007</v>
      </c>
      <c r="G189" s="49">
        <f>VLOOKUP($A189,'Data Vlaue (Cr)'!$C:$FB,43)</f>
        <v>764</v>
      </c>
      <c r="H189" s="49">
        <f>VLOOKUP($A189,'Data Vlaue (Cr)'!$C:$FB,44)</f>
        <v>1283</v>
      </c>
      <c r="I189" s="49">
        <f>VLOOKUP($A189,'Data Vlaue (Cr)'!$C:$FB,46)*100</f>
        <v>-40.479999999999997</v>
      </c>
      <c r="J189" s="51">
        <f>VLOOKUP($A189,'Data Vlaue (Cr)'!$C:$FB,59)</f>
        <v>1653</v>
      </c>
      <c r="K189" s="51">
        <f>VLOOKUP($A189,'Data Vlaue (Cr)'!$C:$FB,60)</f>
        <v>5163</v>
      </c>
      <c r="L189" s="51">
        <f>VLOOKUP($A189,'Data Vlaue (Cr)'!$C:$FB,62)*100</f>
        <v>-67.989999999999995</v>
      </c>
      <c r="M189" s="51">
        <f>VLOOKUP($A189,'Data Vlaue (Cr)'!$C:$FB,63)</f>
        <v>892</v>
      </c>
      <c r="N189" s="51">
        <f>VLOOKUP($A189,'Data Vlaue (Cr)'!$C:$FB,64)</f>
        <v>5687</v>
      </c>
      <c r="O189" s="51">
        <f>VLOOKUP($A189,'Data Vlaue (Cr)'!$C:$FB,66)*100</f>
        <v>-84.31</v>
      </c>
    </row>
    <row r="190" spans="1:15" x14ac:dyDescent="0.25">
      <c r="A190" s="101" t="str">
        <f>'Data Vlaue (Cr)'!C185</f>
        <v>SUNPHARMA</v>
      </c>
      <c r="B190" s="50">
        <f>VLOOKUP($A190,'Data Vlaue (Cr)'!$C:$FB,8)</f>
        <v>1634.2</v>
      </c>
      <c r="C190" s="50">
        <f>VLOOKUP($A190,'Data Vlaue (Cr)'!$C:$FB,11)*100</f>
        <v>1.32</v>
      </c>
      <c r="D190" s="50">
        <f>VLOOKUP($A190,'Data Vlaue (Cr)'!$C:$FB,143)</f>
        <v>5279.89</v>
      </c>
      <c r="E190" s="50">
        <f>VLOOKUP($A190,'Data Vlaue (Cr)'!$C:$FB,144)</f>
        <v>5587.52</v>
      </c>
      <c r="F190" s="50">
        <f>VLOOKUP($A190,'Data Vlaue (Cr)'!$C:$FB,146)*100</f>
        <v>-5.5100000000000007</v>
      </c>
      <c r="G190" s="49">
        <f>VLOOKUP($A190,'Data Vlaue (Cr)'!$C:$FB,43)</f>
        <v>2329</v>
      </c>
      <c r="H190" s="49">
        <f>VLOOKUP($A190,'Data Vlaue (Cr)'!$C:$FB,44)</f>
        <v>1450</v>
      </c>
      <c r="I190" s="49">
        <f>VLOOKUP($A190,'Data Vlaue (Cr)'!$C:$FB,46)*100</f>
        <v>60.58</v>
      </c>
      <c r="J190" s="51">
        <f>VLOOKUP($A190,'Data Vlaue (Cr)'!$C:$FB,59)</f>
        <v>1550</v>
      </c>
      <c r="K190" s="51">
        <f>VLOOKUP($A190,'Data Vlaue (Cr)'!$C:$FB,60)</f>
        <v>2620</v>
      </c>
      <c r="L190" s="51">
        <f>VLOOKUP($A190,'Data Vlaue (Cr)'!$C:$FB,62)*100</f>
        <v>-40.86</v>
      </c>
      <c r="M190" s="51">
        <f>VLOOKUP($A190,'Data Vlaue (Cr)'!$C:$FB,63)</f>
        <v>1378</v>
      </c>
      <c r="N190" s="51">
        <f>VLOOKUP($A190,'Data Vlaue (Cr)'!$C:$FB,64)</f>
        <v>1472</v>
      </c>
      <c r="O190" s="51">
        <f>VLOOKUP($A190,'Data Vlaue (Cr)'!$C:$FB,66)*100</f>
        <v>-6.38</v>
      </c>
    </row>
    <row r="191" spans="1:15" x14ac:dyDescent="0.25">
      <c r="A191" s="101" t="str">
        <f>'Data Vlaue (Cr)'!C186</f>
        <v>SUPREMEIND</v>
      </c>
      <c r="B191" s="50">
        <f>VLOOKUP($A191,'Data Vlaue (Cr)'!$C:$FB,8)</f>
        <v>3487.8</v>
      </c>
      <c r="C191" s="50">
        <f>VLOOKUP($A191,'Data Vlaue (Cr)'!$C:$FB,11)*100</f>
        <v>4.1500000000000004</v>
      </c>
      <c r="D191" s="50">
        <f>VLOOKUP($A191,'Data Vlaue (Cr)'!$C:$FB,143)</f>
        <v>3023.63</v>
      </c>
      <c r="E191" s="50">
        <f>VLOOKUP($A191,'Data Vlaue (Cr)'!$C:$FB,144)</f>
        <v>4876.4799999999996</v>
      </c>
      <c r="F191" s="50">
        <f>VLOOKUP($A191,'Data Vlaue (Cr)'!$C:$FB,146)*100</f>
        <v>-38</v>
      </c>
      <c r="G191" s="49">
        <f>VLOOKUP($A191,'Data Vlaue (Cr)'!$C:$FB,43)</f>
        <v>727</v>
      </c>
      <c r="H191" s="49">
        <f>VLOOKUP($A191,'Data Vlaue (Cr)'!$C:$FB,44)</f>
        <v>1061</v>
      </c>
      <c r="I191" s="49">
        <f>VLOOKUP($A191,'Data Vlaue (Cr)'!$C:$FB,46)*100</f>
        <v>-31.45</v>
      </c>
      <c r="J191" s="51">
        <f>VLOOKUP($A191,'Data Vlaue (Cr)'!$C:$FB,59)</f>
        <v>1457</v>
      </c>
      <c r="K191" s="51">
        <f>VLOOKUP($A191,'Data Vlaue (Cr)'!$C:$FB,60)</f>
        <v>2189</v>
      </c>
      <c r="L191" s="51">
        <f>VLOOKUP($A191,'Data Vlaue (Cr)'!$C:$FB,62)*100</f>
        <v>-33.46</v>
      </c>
      <c r="M191" s="51">
        <f>VLOOKUP($A191,'Data Vlaue (Cr)'!$C:$FB,63)</f>
        <v>845</v>
      </c>
      <c r="N191" s="51">
        <f>VLOOKUP($A191,'Data Vlaue (Cr)'!$C:$FB,64)</f>
        <v>1775</v>
      </c>
      <c r="O191" s="51">
        <f>VLOOKUP($A191,'Data Vlaue (Cr)'!$C:$FB,66)*100</f>
        <v>-52.400000000000006</v>
      </c>
    </row>
    <row r="192" spans="1:15" x14ac:dyDescent="0.25">
      <c r="A192" s="101" t="str">
        <f>'Data Vlaue (Cr)'!C187</f>
        <v>SUZLON</v>
      </c>
      <c r="B192" s="50">
        <f>VLOOKUP($A192,'Data Vlaue (Cr)'!$C:$FB,8)</f>
        <v>46.99</v>
      </c>
      <c r="C192" s="50">
        <f>VLOOKUP($A192,'Data Vlaue (Cr)'!$C:$FB,11)*100</f>
        <v>3.2099999999999995</v>
      </c>
      <c r="D192" s="50">
        <f>VLOOKUP($A192,'Data Vlaue (Cr)'!$C:$FB,143)</f>
        <v>1868.19</v>
      </c>
      <c r="E192" s="50">
        <f>VLOOKUP($A192,'Data Vlaue (Cr)'!$C:$FB,144)</f>
        <v>2253.3000000000002</v>
      </c>
      <c r="F192" s="50">
        <f>VLOOKUP($A192,'Data Vlaue (Cr)'!$C:$FB,146)*100</f>
        <v>-17.09</v>
      </c>
      <c r="G192" s="49">
        <f>VLOOKUP($A192,'Data Vlaue (Cr)'!$C:$FB,43)</f>
        <v>801</v>
      </c>
      <c r="H192" s="49">
        <f>VLOOKUP($A192,'Data Vlaue (Cr)'!$C:$FB,44)</f>
        <v>780</v>
      </c>
      <c r="I192" s="49">
        <f>VLOOKUP($A192,'Data Vlaue (Cr)'!$C:$FB,46)*100</f>
        <v>2.62</v>
      </c>
      <c r="J192" s="51">
        <f>VLOOKUP($A192,'Data Vlaue (Cr)'!$C:$FB,59)</f>
        <v>744</v>
      </c>
      <c r="K192" s="51">
        <f>VLOOKUP($A192,'Data Vlaue (Cr)'!$C:$FB,60)</f>
        <v>876</v>
      </c>
      <c r="L192" s="51">
        <f>VLOOKUP($A192,'Data Vlaue (Cr)'!$C:$FB,62)*100</f>
        <v>-15.129999999999999</v>
      </c>
      <c r="M192" s="51">
        <f>VLOOKUP($A192,'Data Vlaue (Cr)'!$C:$FB,63)</f>
        <v>268</v>
      </c>
      <c r="N192" s="51">
        <f>VLOOKUP($A192,'Data Vlaue (Cr)'!$C:$FB,64)</f>
        <v>547</v>
      </c>
      <c r="O192" s="51">
        <f>VLOOKUP($A192,'Data Vlaue (Cr)'!$C:$FB,66)*100</f>
        <v>-50.99</v>
      </c>
    </row>
    <row r="193" spans="1:15" x14ac:dyDescent="0.25">
      <c r="A193" s="101" t="str">
        <f>'Data Vlaue (Cr)'!C188</f>
        <v>SWIGGY</v>
      </c>
      <c r="B193" s="50">
        <f>VLOOKUP($A193,'Data Vlaue (Cr)'!$C:$FB,8)</f>
        <v>320.3</v>
      </c>
      <c r="C193" s="50">
        <f>VLOOKUP($A193,'Data Vlaue (Cr)'!$C:$FB,11)*100</f>
        <v>-4.26</v>
      </c>
      <c r="D193" s="50">
        <f>VLOOKUP($A193,'Data Vlaue (Cr)'!$C:$FB,143)</f>
        <v>2949.87</v>
      </c>
      <c r="E193" s="50">
        <f>VLOOKUP($A193,'Data Vlaue (Cr)'!$C:$FB,144)</f>
        <v>2085.04</v>
      </c>
      <c r="F193" s="50">
        <f>VLOOKUP($A193,'Data Vlaue (Cr)'!$C:$FB,146)*100</f>
        <v>41.48</v>
      </c>
      <c r="G193" s="49">
        <f>VLOOKUP($A193,'Data Vlaue (Cr)'!$C:$FB,43)</f>
        <v>1664</v>
      </c>
      <c r="H193" s="49">
        <f>VLOOKUP($A193,'Data Vlaue (Cr)'!$C:$FB,44)</f>
        <v>1089</v>
      </c>
      <c r="I193" s="49">
        <f>VLOOKUP($A193,'Data Vlaue (Cr)'!$C:$FB,46)*100</f>
        <v>52.75</v>
      </c>
      <c r="J193" s="51">
        <f>VLOOKUP($A193,'Data Vlaue (Cr)'!$C:$FB,59)</f>
        <v>647</v>
      </c>
      <c r="K193" s="51">
        <f>VLOOKUP($A193,'Data Vlaue (Cr)'!$C:$FB,60)</f>
        <v>613</v>
      </c>
      <c r="L193" s="51">
        <f>VLOOKUP($A193,'Data Vlaue (Cr)'!$C:$FB,62)*100</f>
        <v>5.6000000000000005</v>
      </c>
      <c r="M193" s="51">
        <f>VLOOKUP($A193,'Data Vlaue (Cr)'!$C:$FB,63)</f>
        <v>513</v>
      </c>
      <c r="N193" s="51">
        <f>VLOOKUP($A193,'Data Vlaue (Cr)'!$C:$FB,64)</f>
        <v>275</v>
      </c>
      <c r="O193" s="51">
        <f>VLOOKUP($A193,'Data Vlaue (Cr)'!$C:$FB,66)*100</f>
        <v>86.3</v>
      </c>
    </row>
    <row r="194" spans="1:15" x14ac:dyDescent="0.25">
      <c r="A194" s="101" t="str">
        <f>'Data Vlaue (Cr)'!C189</f>
        <v>SYNGENE</v>
      </c>
      <c r="B194" s="50">
        <f>VLOOKUP($A194,'Data Vlaue (Cr)'!$C:$FB,8)</f>
        <v>592.6</v>
      </c>
      <c r="C194" s="50">
        <f>VLOOKUP($A194,'Data Vlaue (Cr)'!$C:$FB,11)*100</f>
        <v>-1.37</v>
      </c>
      <c r="D194" s="50">
        <f>VLOOKUP($A194,'Data Vlaue (Cr)'!$C:$FB,143)</f>
        <v>1474.07</v>
      </c>
      <c r="E194" s="50">
        <f>VLOOKUP($A194,'Data Vlaue (Cr)'!$C:$FB,144)</f>
        <v>731.38</v>
      </c>
      <c r="F194" s="50">
        <f>VLOOKUP($A194,'Data Vlaue (Cr)'!$C:$FB,146)*100</f>
        <v>101.55000000000001</v>
      </c>
      <c r="G194" s="49">
        <f>VLOOKUP($A194,'Data Vlaue (Cr)'!$C:$FB,43)</f>
        <v>601</v>
      </c>
      <c r="H194" s="49">
        <f>VLOOKUP($A194,'Data Vlaue (Cr)'!$C:$FB,44)</f>
        <v>298</v>
      </c>
      <c r="I194" s="49">
        <f>VLOOKUP($A194,'Data Vlaue (Cr)'!$C:$FB,46)*100</f>
        <v>101.83</v>
      </c>
      <c r="J194" s="51">
        <f>VLOOKUP($A194,'Data Vlaue (Cr)'!$C:$FB,59)</f>
        <v>374</v>
      </c>
      <c r="K194" s="51">
        <f>VLOOKUP($A194,'Data Vlaue (Cr)'!$C:$FB,60)</f>
        <v>252</v>
      </c>
      <c r="L194" s="51">
        <f>VLOOKUP($A194,'Data Vlaue (Cr)'!$C:$FB,62)*100</f>
        <v>48.3</v>
      </c>
      <c r="M194" s="51">
        <f>VLOOKUP($A194,'Data Vlaue (Cr)'!$C:$FB,63)</f>
        <v>451</v>
      </c>
      <c r="N194" s="51">
        <f>VLOOKUP($A194,'Data Vlaue (Cr)'!$C:$FB,64)</f>
        <v>149</v>
      </c>
      <c r="O194" s="51">
        <f>VLOOKUP($A194,'Data Vlaue (Cr)'!$C:$FB,66)*100</f>
        <v>202.70000000000002</v>
      </c>
    </row>
    <row r="195" spans="1:15" x14ac:dyDescent="0.25">
      <c r="A195" s="101" t="str">
        <f>'Data Vlaue (Cr)'!C190</f>
        <v>TATACONSUM</v>
      </c>
      <c r="B195" s="50">
        <f>VLOOKUP($A195,'Data Vlaue (Cr)'!$C:$FB,8)</f>
        <v>1175.2</v>
      </c>
      <c r="C195" s="50">
        <f>VLOOKUP($A195,'Data Vlaue (Cr)'!$C:$FB,11)*100</f>
        <v>1</v>
      </c>
      <c r="D195" s="50">
        <f>VLOOKUP($A195,'Data Vlaue (Cr)'!$C:$FB,143)</f>
        <v>2329.4299999999998</v>
      </c>
      <c r="E195" s="50">
        <f>VLOOKUP($A195,'Data Vlaue (Cr)'!$C:$FB,144)</f>
        <v>2263.59</v>
      </c>
      <c r="F195" s="50">
        <f>VLOOKUP($A195,'Data Vlaue (Cr)'!$C:$FB,146)*100</f>
        <v>2.91</v>
      </c>
      <c r="G195" s="49">
        <f>VLOOKUP($A195,'Data Vlaue (Cr)'!$C:$FB,43)</f>
        <v>1174</v>
      </c>
      <c r="H195" s="49">
        <f>VLOOKUP($A195,'Data Vlaue (Cr)'!$C:$FB,44)</f>
        <v>905</v>
      </c>
      <c r="I195" s="49">
        <f>VLOOKUP($A195,'Data Vlaue (Cr)'!$C:$FB,46)*100</f>
        <v>29.709999999999997</v>
      </c>
      <c r="J195" s="51">
        <f>VLOOKUP($A195,'Data Vlaue (Cr)'!$C:$FB,59)</f>
        <v>698</v>
      </c>
      <c r="K195" s="51">
        <f>VLOOKUP($A195,'Data Vlaue (Cr)'!$C:$FB,60)</f>
        <v>909</v>
      </c>
      <c r="L195" s="51">
        <f>VLOOKUP($A195,'Data Vlaue (Cr)'!$C:$FB,62)*100</f>
        <v>-23.150000000000002</v>
      </c>
      <c r="M195" s="51">
        <f>VLOOKUP($A195,'Data Vlaue (Cr)'!$C:$FB,63)</f>
        <v>432</v>
      </c>
      <c r="N195" s="51">
        <f>VLOOKUP($A195,'Data Vlaue (Cr)'!$C:$FB,64)</f>
        <v>427</v>
      </c>
      <c r="O195" s="51">
        <f>VLOOKUP($A195,'Data Vlaue (Cr)'!$C:$FB,66)*100</f>
        <v>1.32</v>
      </c>
    </row>
    <row r="196" spans="1:15" x14ac:dyDescent="0.25">
      <c r="A196" s="101" t="str">
        <f>'Data Vlaue (Cr)'!C191</f>
        <v>TATAELXSI</v>
      </c>
      <c r="B196" s="50">
        <f>VLOOKUP($A196,'Data Vlaue (Cr)'!$C:$FB,8)</f>
        <v>5464</v>
      </c>
      <c r="C196" s="50">
        <f>VLOOKUP($A196,'Data Vlaue (Cr)'!$C:$FB,11)*100</f>
        <v>2.1800000000000002</v>
      </c>
      <c r="D196" s="50">
        <f>VLOOKUP($A196,'Data Vlaue (Cr)'!$C:$FB,143)</f>
        <v>4275.91</v>
      </c>
      <c r="E196" s="50">
        <f>VLOOKUP($A196,'Data Vlaue (Cr)'!$C:$FB,144)</f>
        <v>3671.12</v>
      </c>
      <c r="F196" s="50">
        <f>VLOOKUP($A196,'Data Vlaue (Cr)'!$C:$FB,146)*100</f>
        <v>16.470000000000002</v>
      </c>
      <c r="G196" s="49">
        <f>VLOOKUP($A196,'Data Vlaue (Cr)'!$C:$FB,43)</f>
        <v>849</v>
      </c>
      <c r="H196" s="49">
        <f>VLOOKUP($A196,'Data Vlaue (Cr)'!$C:$FB,44)</f>
        <v>672</v>
      </c>
      <c r="I196" s="49">
        <f>VLOOKUP($A196,'Data Vlaue (Cr)'!$C:$FB,46)*100</f>
        <v>26.340000000000003</v>
      </c>
      <c r="J196" s="51">
        <f>VLOOKUP($A196,'Data Vlaue (Cr)'!$C:$FB,59)</f>
        <v>2274</v>
      </c>
      <c r="K196" s="51">
        <f>VLOOKUP($A196,'Data Vlaue (Cr)'!$C:$FB,60)</f>
        <v>1858</v>
      </c>
      <c r="L196" s="51">
        <f>VLOOKUP($A196,'Data Vlaue (Cr)'!$C:$FB,62)*100</f>
        <v>22.42</v>
      </c>
      <c r="M196" s="51">
        <f>VLOOKUP($A196,'Data Vlaue (Cr)'!$C:$FB,63)</f>
        <v>1082</v>
      </c>
      <c r="N196" s="51">
        <f>VLOOKUP($A196,'Data Vlaue (Cr)'!$C:$FB,64)</f>
        <v>1118</v>
      </c>
      <c r="O196" s="51">
        <f>VLOOKUP($A196,'Data Vlaue (Cr)'!$C:$FB,66)*100</f>
        <v>-3.2099999999999995</v>
      </c>
    </row>
    <row r="197" spans="1:15" x14ac:dyDescent="0.25">
      <c r="A197" s="101" t="str">
        <f>'Data Vlaue (Cr)'!C192</f>
        <v>TATAPOWER</v>
      </c>
      <c r="B197" s="50">
        <f>VLOOKUP($A197,'Data Vlaue (Cr)'!$C:$FB,8)</f>
        <v>353.3</v>
      </c>
      <c r="C197" s="50">
        <f>VLOOKUP($A197,'Data Vlaue (Cr)'!$C:$FB,11)*100</f>
        <v>1.1299999999999999</v>
      </c>
      <c r="D197" s="50">
        <f>VLOOKUP($A197,'Data Vlaue (Cr)'!$C:$FB,143)</f>
        <v>3358.13</v>
      </c>
      <c r="E197" s="50">
        <f>VLOOKUP($A197,'Data Vlaue (Cr)'!$C:$FB,144)</f>
        <v>3629.94</v>
      </c>
      <c r="F197" s="50">
        <f>VLOOKUP($A197,'Data Vlaue (Cr)'!$C:$FB,146)*100</f>
        <v>-7.4899999999999993</v>
      </c>
      <c r="G197" s="49">
        <f>VLOOKUP($A197,'Data Vlaue (Cr)'!$C:$FB,43)</f>
        <v>1246</v>
      </c>
      <c r="H197" s="49">
        <f>VLOOKUP($A197,'Data Vlaue (Cr)'!$C:$FB,44)</f>
        <v>1088</v>
      </c>
      <c r="I197" s="49">
        <f>VLOOKUP($A197,'Data Vlaue (Cr)'!$C:$FB,46)*100</f>
        <v>14.6</v>
      </c>
      <c r="J197" s="51">
        <f>VLOOKUP($A197,'Data Vlaue (Cr)'!$C:$FB,59)</f>
        <v>1265</v>
      </c>
      <c r="K197" s="51">
        <f>VLOOKUP($A197,'Data Vlaue (Cr)'!$C:$FB,60)</f>
        <v>1546</v>
      </c>
      <c r="L197" s="51">
        <f>VLOOKUP($A197,'Data Vlaue (Cr)'!$C:$FB,62)*100</f>
        <v>-18.16</v>
      </c>
      <c r="M197" s="51">
        <f>VLOOKUP($A197,'Data Vlaue (Cr)'!$C:$FB,63)</f>
        <v>715</v>
      </c>
      <c r="N197" s="51">
        <f>VLOOKUP($A197,'Data Vlaue (Cr)'!$C:$FB,64)</f>
        <v>894</v>
      </c>
      <c r="O197" s="51">
        <f>VLOOKUP($A197,'Data Vlaue (Cr)'!$C:$FB,66)*100</f>
        <v>-20.080000000000002</v>
      </c>
    </row>
    <row r="198" spans="1:15" x14ac:dyDescent="0.25">
      <c r="A198" s="101" t="str">
        <f>'Data Vlaue (Cr)'!C193</f>
        <v>TATASTEEL</v>
      </c>
      <c r="B198" s="50">
        <f>VLOOKUP($A198,'Data Vlaue (Cr)'!$C:$FB,8)</f>
        <v>189.1</v>
      </c>
      <c r="C198" s="50">
        <f>VLOOKUP($A198,'Data Vlaue (Cr)'!$C:$FB,11)*100</f>
        <v>2.54</v>
      </c>
      <c r="D198" s="50">
        <f>VLOOKUP($A198,'Data Vlaue (Cr)'!$C:$FB,143)</f>
        <v>13832.07</v>
      </c>
      <c r="E198" s="50">
        <f>VLOOKUP($A198,'Data Vlaue (Cr)'!$C:$FB,144)</f>
        <v>9851.61</v>
      </c>
      <c r="F198" s="50">
        <f>VLOOKUP($A198,'Data Vlaue (Cr)'!$C:$FB,146)*100</f>
        <v>40.400000000000006</v>
      </c>
      <c r="G198" s="49">
        <f>VLOOKUP($A198,'Data Vlaue (Cr)'!$C:$FB,43)</f>
        <v>3794</v>
      </c>
      <c r="H198" s="49">
        <f>VLOOKUP($A198,'Data Vlaue (Cr)'!$C:$FB,44)</f>
        <v>2685</v>
      </c>
      <c r="I198" s="49">
        <f>VLOOKUP($A198,'Data Vlaue (Cr)'!$C:$FB,46)*100</f>
        <v>41.28</v>
      </c>
      <c r="J198" s="51">
        <f>VLOOKUP($A198,'Data Vlaue (Cr)'!$C:$FB,59)</f>
        <v>6363</v>
      </c>
      <c r="K198" s="51">
        <f>VLOOKUP($A198,'Data Vlaue (Cr)'!$C:$FB,60)</f>
        <v>4653</v>
      </c>
      <c r="L198" s="51">
        <f>VLOOKUP($A198,'Data Vlaue (Cr)'!$C:$FB,62)*100</f>
        <v>36.74</v>
      </c>
      <c r="M198" s="51">
        <f>VLOOKUP($A198,'Data Vlaue (Cr)'!$C:$FB,63)</f>
        <v>3626</v>
      </c>
      <c r="N198" s="51">
        <f>VLOOKUP($A198,'Data Vlaue (Cr)'!$C:$FB,64)</f>
        <v>2648</v>
      </c>
      <c r="O198" s="51">
        <f>VLOOKUP($A198,'Data Vlaue (Cr)'!$C:$FB,66)*100</f>
        <v>36.950000000000003</v>
      </c>
    </row>
    <row r="199" spans="1:15" x14ac:dyDescent="0.25">
      <c r="A199" s="101" t="str">
        <f>'Data Vlaue (Cr)'!C194</f>
        <v>TATATECH</v>
      </c>
      <c r="B199" s="50">
        <f>VLOOKUP($A199,'Data Vlaue (Cr)'!$C:$FB,8)</f>
        <v>652.15</v>
      </c>
      <c r="C199" s="50">
        <f>VLOOKUP($A199,'Data Vlaue (Cr)'!$C:$FB,11)*100</f>
        <v>1.3</v>
      </c>
      <c r="D199" s="50">
        <f>VLOOKUP($A199,'Data Vlaue (Cr)'!$C:$FB,143)</f>
        <v>1453.78</v>
      </c>
      <c r="E199" s="50">
        <f>VLOOKUP($A199,'Data Vlaue (Cr)'!$C:$FB,144)</f>
        <v>1710.59</v>
      </c>
      <c r="F199" s="50">
        <f>VLOOKUP($A199,'Data Vlaue (Cr)'!$C:$FB,146)*100</f>
        <v>-15.010000000000002</v>
      </c>
      <c r="G199" s="49">
        <f>VLOOKUP($A199,'Data Vlaue (Cr)'!$C:$FB,43)</f>
        <v>658</v>
      </c>
      <c r="H199" s="49">
        <f>VLOOKUP($A199,'Data Vlaue (Cr)'!$C:$FB,44)</f>
        <v>335</v>
      </c>
      <c r="I199" s="49">
        <f>VLOOKUP($A199,'Data Vlaue (Cr)'!$C:$FB,46)*100</f>
        <v>96.36</v>
      </c>
      <c r="J199" s="51">
        <f>VLOOKUP($A199,'Data Vlaue (Cr)'!$C:$FB,59)</f>
        <v>467</v>
      </c>
      <c r="K199" s="51">
        <f>VLOOKUP($A199,'Data Vlaue (Cr)'!$C:$FB,60)</f>
        <v>789</v>
      </c>
      <c r="L199" s="51">
        <f>VLOOKUP($A199,'Data Vlaue (Cr)'!$C:$FB,62)*100</f>
        <v>-40.739999999999995</v>
      </c>
      <c r="M199" s="51">
        <f>VLOOKUP($A199,'Data Vlaue (Cr)'!$C:$FB,63)</f>
        <v>304</v>
      </c>
      <c r="N199" s="51">
        <f>VLOOKUP($A199,'Data Vlaue (Cr)'!$C:$FB,64)</f>
        <v>584</v>
      </c>
      <c r="O199" s="51">
        <f>VLOOKUP($A199,'Data Vlaue (Cr)'!$C:$FB,66)*100</f>
        <v>-47.97</v>
      </c>
    </row>
    <row r="200" spans="1:15" x14ac:dyDescent="0.25">
      <c r="A200" s="101" t="str">
        <f>'Data Vlaue (Cr)'!C195</f>
        <v>TCS</v>
      </c>
      <c r="B200" s="50">
        <f>VLOOKUP($A200,'Data Vlaue (Cr)'!$C:$FB,8)</f>
        <v>3150.4</v>
      </c>
      <c r="C200" s="50">
        <f>VLOOKUP($A200,'Data Vlaue (Cr)'!$C:$FB,11)*100</f>
        <v>0.89</v>
      </c>
      <c r="D200" s="50">
        <f>VLOOKUP($A200,'Data Vlaue (Cr)'!$C:$FB,143)</f>
        <v>12989.47</v>
      </c>
      <c r="E200" s="50">
        <f>VLOOKUP($A200,'Data Vlaue (Cr)'!$C:$FB,144)</f>
        <v>18521.77</v>
      </c>
      <c r="F200" s="50">
        <f>VLOOKUP($A200,'Data Vlaue (Cr)'!$C:$FB,146)*100</f>
        <v>-29.87</v>
      </c>
      <c r="G200" s="49">
        <f>VLOOKUP($A200,'Data Vlaue (Cr)'!$C:$FB,43)</f>
        <v>3737</v>
      </c>
      <c r="H200" s="49">
        <f>VLOOKUP($A200,'Data Vlaue (Cr)'!$C:$FB,44)</f>
        <v>6464</v>
      </c>
      <c r="I200" s="49">
        <f>VLOOKUP($A200,'Data Vlaue (Cr)'!$C:$FB,46)*100</f>
        <v>-42.18</v>
      </c>
      <c r="J200" s="51">
        <f>VLOOKUP($A200,'Data Vlaue (Cr)'!$C:$FB,59)</f>
        <v>5711</v>
      </c>
      <c r="K200" s="51">
        <f>VLOOKUP($A200,'Data Vlaue (Cr)'!$C:$FB,60)</f>
        <v>7305</v>
      </c>
      <c r="L200" s="51">
        <f>VLOOKUP($A200,'Data Vlaue (Cr)'!$C:$FB,62)*100</f>
        <v>-21.83</v>
      </c>
      <c r="M200" s="51">
        <f>VLOOKUP($A200,'Data Vlaue (Cr)'!$C:$FB,63)</f>
        <v>3403</v>
      </c>
      <c r="N200" s="51">
        <f>VLOOKUP($A200,'Data Vlaue (Cr)'!$C:$FB,64)</f>
        <v>4768</v>
      </c>
      <c r="O200" s="51">
        <f>VLOOKUP($A200,'Data Vlaue (Cr)'!$C:$FB,66)*100</f>
        <v>-28.62</v>
      </c>
    </row>
    <row r="201" spans="1:15" x14ac:dyDescent="0.25">
      <c r="A201" s="101" t="str">
        <f>'Data Vlaue (Cr)'!C196</f>
        <v>TECHM</v>
      </c>
      <c r="B201" s="50">
        <f>VLOOKUP($A201,'Data Vlaue (Cr)'!$C:$FB,8)</f>
        <v>1687.4</v>
      </c>
      <c r="C201" s="50">
        <f>VLOOKUP($A201,'Data Vlaue (Cr)'!$C:$FB,11)*100</f>
        <v>0.04</v>
      </c>
      <c r="D201" s="50">
        <f>VLOOKUP($A201,'Data Vlaue (Cr)'!$C:$FB,143)</f>
        <v>7573.5</v>
      </c>
      <c r="E201" s="50">
        <f>VLOOKUP($A201,'Data Vlaue (Cr)'!$C:$FB,144)</f>
        <v>5176.47</v>
      </c>
      <c r="F201" s="50">
        <f>VLOOKUP($A201,'Data Vlaue (Cr)'!$C:$FB,146)*100</f>
        <v>46.31</v>
      </c>
      <c r="G201" s="49">
        <f>VLOOKUP($A201,'Data Vlaue (Cr)'!$C:$FB,43)</f>
        <v>3101</v>
      </c>
      <c r="H201" s="49">
        <f>VLOOKUP($A201,'Data Vlaue (Cr)'!$C:$FB,44)</f>
        <v>1718</v>
      </c>
      <c r="I201" s="49">
        <f>VLOOKUP($A201,'Data Vlaue (Cr)'!$C:$FB,46)*100</f>
        <v>80.540000000000006</v>
      </c>
      <c r="J201" s="51">
        <f>VLOOKUP($A201,'Data Vlaue (Cr)'!$C:$FB,59)</f>
        <v>2869</v>
      </c>
      <c r="K201" s="51">
        <f>VLOOKUP($A201,'Data Vlaue (Cr)'!$C:$FB,60)</f>
        <v>1982</v>
      </c>
      <c r="L201" s="51">
        <f>VLOOKUP($A201,'Data Vlaue (Cr)'!$C:$FB,62)*100</f>
        <v>44.79</v>
      </c>
      <c r="M201" s="51">
        <f>VLOOKUP($A201,'Data Vlaue (Cr)'!$C:$FB,63)</f>
        <v>1504</v>
      </c>
      <c r="N201" s="51">
        <f>VLOOKUP($A201,'Data Vlaue (Cr)'!$C:$FB,64)</f>
        <v>1471</v>
      </c>
      <c r="O201" s="51">
        <f>VLOOKUP($A201,'Data Vlaue (Cr)'!$C:$FB,66)*100</f>
        <v>2.1999999999999997</v>
      </c>
    </row>
    <row r="202" spans="1:15" x14ac:dyDescent="0.25">
      <c r="A202" s="101" t="str">
        <f>'Data Vlaue (Cr)'!C197</f>
        <v>TIINDIA</v>
      </c>
      <c r="B202" s="50">
        <f>VLOOKUP($A202,'Data Vlaue (Cr)'!$C:$FB,8)</f>
        <v>2296.8000000000002</v>
      </c>
      <c r="C202" s="50">
        <f>VLOOKUP($A202,'Data Vlaue (Cr)'!$C:$FB,11)*100</f>
        <v>1.05</v>
      </c>
      <c r="D202" s="50">
        <f>VLOOKUP($A202,'Data Vlaue (Cr)'!$C:$FB,143)</f>
        <v>890.74</v>
      </c>
      <c r="E202" s="50">
        <f>VLOOKUP($A202,'Data Vlaue (Cr)'!$C:$FB,144)</f>
        <v>956.28</v>
      </c>
      <c r="F202" s="50">
        <f>VLOOKUP($A202,'Data Vlaue (Cr)'!$C:$FB,146)*100</f>
        <v>-6.8500000000000005</v>
      </c>
      <c r="G202" s="49">
        <f>VLOOKUP($A202,'Data Vlaue (Cr)'!$C:$FB,43)</f>
        <v>611</v>
      </c>
      <c r="H202" s="49">
        <f>VLOOKUP($A202,'Data Vlaue (Cr)'!$C:$FB,44)</f>
        <v>485</v>
      </c>
      <c r="I202" s="49">
        <f>VLOOKUP($A202,'Data Vlaue (Cr)'!$C:$FB,46)*100</f>
        <v>26.029999999999998</v>
      </c>
      <c r="J202" s="51">
        <f>VLOOKUP($A202,'Data Vlaue (Cr)'!$C:$FB,59)</f>
        <v>180</v>
      </c>
      <c r="K202" s="51">
        <f>VLOOKUP($A202,'Data Vlaue (Cr)'!$C:$FB,60)</f>
        <v>275</v>
      </c>
      <c r="L202" s="51">
        <f>VLOOKUP($A202,'Data Vlaue (Cr)'!$C:$FB,62)*100</f>
        <v>-34.489999999999995</v>
      </c>
      <c r="M202" s="51">
        <f>VLOOKUP($A202,'Data Vlaue (Cr)'!$C:$FB,63)</f>
        <v>89</v>
      </c>
      <c r="N202" s="51">
        <f>VLOOKUP($A202,'Data Vlaue (Cr)'!$C:$FB,64)</f>
        <v>181</v>
      </c>
      <c r="O202" s="51">
        <f>VLOOKUP($A202,'Data Vlaue (Cr)'!$C:$FB,66)*100</f>
        <v>-50.839999999999996</v>
      </c>
    </row>
    <row r="203" spans="1:15" x14ac:dyDescent="0.25">
      <c r="A203" s="101" t="str">
        <f>'Data Vlaue (Cr)'!C198</f>
        <v>TITAN</v>
      </c>
      <c r="B203" s="50">
        <f>VLOOKUP($A203,'Data Vlaue (Cr)'!$C:$FB,8)</f>
        <v>4018.6</v>
      </c>
      <c r="C203" s="50">
        <f>VLOOKUP($A203,'Data Vlaue (Cr)'!$C:$FB,11)*100</f>
        <v>-1.49</v>
      </c>
      <c r="D203" s="50">
        <f>VLOOKUP($A203,'Data Vlaue (Cr)'!$C:$FB,143)</f>
        <v>10767.16</v>
      </c>
      <c r="E203" s="50">
        <f>VLOOKUP($A203,'Data Vlaue (Cr)'!$C:$FB,144)</f>
        <v>6281.97</v>
      </c>
      <c r="F203" s="50">
        <f>VLOOKUP($A203,'Data Vlaue (Cr)'!$C:$FB,146)*100</f>
        <v>71.399999999999991</v>
      </c>
      <c r="G203" s="49">
        <f>VLOOKUP($A203,'Data Vlaue (Cr)'!$C:$FB,43)</f>
        <v>2693</v>
      </c>
      <c r="H203" s="49">
        <f>VLOOKUP($A203,'Data Vlaue (Cr)'!$C:$FB,44)</f>
        <v>1953</v>
      </c>
      <c r="I203" s="49">
        <f>VLOOKUP($A203,'Data Vlaue (Cr)'!$C:$FB,46)*100</f>
        <v>37.86</v>
      </c>
      <c r="J203" s="51">
        <f>VLOOKUP($A203,'Data Vlaue (Cr)'!$C:$FB,59)</f>
        <v>4519</v>
      </c>
      <c r="K203" s="51">
        <f>VLOOKUP($A203,'Data Vlaue (Cr)'!$C:$FB,60)</f>
        <v>2337</v>
      </c>
      <c r="L203" s="51">
        <f>VLOOKUP($A203,'Data Vlaue (Cr)'!$C:$FB,62)*100</f>
        <v>93.4</v>
      </c>
      <c r="M203" s="51">
        <f>VLOOKUP($A203,'Data Vlaue (Cr)'!$C:$FB,63)</f>
        <v>3365</v>
      </c>
      <c r="N203" s="51">
        <f>VLOOKUP($A203,'Data Vlaue (Cr)'!$C:$FB,64)</f>
        <v>1830</v>
      </c>
      <c r="O203" s="51">
        <f>VLOOKUP($A203,'Data Vlaue (Cr)'!$C:$FB,66)*100</f>
        <v>83.899999999999991</v>
      </c>
    </row>
    <row r="204" spans="1:15" x14ac:dyDescent="0.25">
      <c r="A204" s="101" t="str">
        <f>'Data Vlaue (Cr)'!C199</f>
        <v>TMPV</v>
      </c>
      <c r="B204" s="50">
        <f>VLOOKUP($A204,'Data Vlaue (Cr)'!$C:$FB,8)</f>
        <v>347.3</v>
      </c>
      <c r="C204" s="50">
        <f>VLOOKUP($A204,'Data Vlaue (Cr)'!$C:$FB,11)*100</f>
        <v>2.37</v>
      </c>
      <c r="D204" s="50">
        <f>VLOOKUP($A204,'Data Vlaue (Cr)'!$C:$FB,143)</f>
        <v>7766.23</v>
      </c>
      <c r="E204" s="50">
        <f>VLOOKUP($A204,'Data Vlaue (Cr)'!$C:$FB,144)</f>
        <v>6059.59</v>
      </c>
      <c r="F204" s="50">
        <f>VLOOKUP($A204,'Data Vlaue (Cr)'!$C:$FB,146)*100</f>
        <v>28.16</v>
      </c>
      <c r="G204" s="49">
        <f>VLOOKUP($A204,'Data Vlaue (Cr)'!$C:$FB,43)</f>
        <v>2607</v>
      </c>
      <c r="H204" s="49">
        <f>VLOOKUP($A204,'Data Vlaue (Cr)'!$C:$FB,44)</f>
        <v>2113</v>
      </c>
      <c r="I204" s="49">
        <f>VLOOKUP($A204,'Data Vlaue (Cr)'!$C:$FB,46)*100</f>
        <v>23.34</v>
      </c>
      <c r="J204" s="51">
        <f>VLOOKUP($A204,'Data Vlaue (Cr)'!$C:$FB,59)</f>
        <v>3394</v>
      </c>
      <c r="K204" s="51">
        <f>VLOOKUP($A204,'Data Vlaue (Cr)'!$C:$FB,60)</f>
        <v>2463</v>
      </c>
      <c r="L204" s="51">
        <f>VLOOKUP($A204,'Data Vlaue (Cr)'!$C:$FB,62)*100</f>
        <v>37.81</v>
      </c>
      <c r="M204" s="51">
        <f>VLOOKUP($A204,'Data Vlaue (Cr)'!$C:$FB,63)</f>
        <v>1610</v>
      </c>
      <c r="N204" s="51">
        <f>VLOOKUP($A204,'Data Vlaue (Cr)'!$C:$FB,64)</f>
        <v>1500</v>
      </c>
      <c r="O204" s="51">
        <f>VLOOKUP($A204,'Data Vlaue (Cr)'!$C:$FB,66)*100</f>
        <v>7.37</v>
      </c>
    </row>
    <row r="205" spans="1:15" x14ac:dyDescent="0.25">
      <c r="A205" s="101" t="str">
        <f>'Data Vlaue (Cr)'!C200</f>
        <v>TORNTPHARM</v>
      </c>
      <c r="B205" s="50">
        <f>VLOOKUP($A205,'Data Vlaue (Cr)'!$C:$FB,8)</f>
        <v>4020.5</v>
      </c>
      <c r="C205" s="50">
        <f>VLOOKUP($A205,'Data Vlaue (Cr)'!$C:$FB,11)*100</f>
        <v>0.97</v>
      </c>
      <c r="D205" s="50">
        <f>VLOOKUP($A205,'Data Vlaue (Cr)'!$C:$FB,143)</f>
        <v>1136.58</v>
      </c>
      <c r="E205" s="50">
        <f>VLOOKUP($A205,'Data Vlaue (Cr)'!$C:$FB,144)</f>
        <v>1262.9000000000001</v>
      </c>
      <c r="F205" s="50">
        <f>VLOOKUP($A205,'Data Vlaue (Cr)'!$C:$FB,146)*100</f>
        <v>-10</v>
      </c>
      <c r="G205" s="49">
        <f>VLOOKUP($A205,'Data Vlaue (Cr)'!$C:$FB,43)</f>
        <v>735</v>
      </c>
      <c r="H205" s="49">
        <f>VLOOKUP($A205,'Data Vlaue (Cr)'!$C:$FB,44)</f>
        <v>770</v>
      </c>
      <c r="I205" s="49">
        <f>VLOOKUP($A205,'Data Vlaue (Cr)'!$C:$FB,46)*100</f>
        <v>-4.5699999999999994</v>
      </c>
      <c r="J205" s="51">
        <f>VLOOKUP($A205,'Data Vlaue (Cr)'!$C:$FB,59)</f>
        <v>230</v>
      </c>
      <c r="K205" s="51">
        <f>VLOOKUP($A205,'Data Vlaue (Cr)'!$C:$FB,60)</f>
        <v>323</v>
      </c>
      <c r="L205" s="51">
        <f>VLOOKUP($A205,'Data Vlaue (Cr)'!$C:$FB,62)*100</f>
        <v>-28.82</v>
      </c>
      <c r="M205" s="51">
        <f>VLOOKUP($A205,'Data Vlaue (Cr)'!$C:$FB,63)</f>
        <v>177</v>
      </c>
      <c r="N205" s="51">
        <f>VLOOKUP($A205,'Data Vlaue (Cr)'!$C:$FB,64)</f>
        <v>181</v>
      </c>
      <c r="O205" s="51">
        <f>VLOOKUP($A205,'Data Vlaue (Cr)'!$C:$FB,66)*100</f>
        <v>-2.06</v>
      </c>
    </row>
    <row r="206" spans="1:15" x14ac:dyDescent="0.25">
      <c r="A206" s="101" t="str">
        <f>'Data Vlaue (Cr)'!C201</f>
        <v>TORNTPOWER</v>
      </c>
      <c r="B206" s="50">
        <f>VLOOKUP($A206,'Data Vlaue (Cr)'!$C:$FB,8)</f>
        <v>1321.4</v>
      </c>
      <c r="C206" s="50">
        <f>VLOOKUP($A206,'Data Vlaue (Cr)'!$C:$FB,11)*100</f>
        <v>1.63</v>
      </c>
      <c r="D206" s="50">
        <f>VLOOKUP($A206,'Data Vlaue (Cr)'!$C:$FB,143)</f>
        <v>540.07000000000005</v>
      </c>
      <c r="E206" s="50">
        <f>VLOOKUP($A206,'Data Vlaue (Cr)'!$C:$FB,144)</f>
        <v>735.2</v>
      </c>
      <c r="F206" s="50">
        <f>VLOOKUP($A206,'Data Vlaue (Cr)'!$C:$FB,146)*100</f>
        <v>-26.540000000000003</v>
      </c>
      <c r="G206" s="49">
        <f>VLOOKUP($A206,'Data Vlaue (Cr)'!$C:$FB,43)</f>
        <v>391</v>
      </c>
      <c r="H206" s="49">
        <f>VLOOKUP($A206,'Data Vlaue (Cr)'!$C:$FB,44)</f>
        <v>426</v>
      </c>
      <c r="I206" s="49">
        <f>VLOOKUP($A206,'Data Vlaue (Cr)'!$C:$FB,46)*100</f>
        <v>-8.2900000000000009</v>
      </c>
      <c r="J206" s="51">
        <f>VLOOKUP($A206,'Data Vlaue (Cr)'!$C:$FB,59)</f>
        <v>107</v>
      </c>
      <c r="K206" s="51">
        <f>VLOOKUP($A206,'Data Vlaue (Cr)'!$C:$FB,60)</f>
        <v>166</v>
      </c>
      <c r="L206" s="51">
        <f>VLOOKUP($A206,'Data Vlaue (Cr)'!$C:$FB,62)*100</f>
        <v>-35.510000000000005</v>
      </c>
      <c r="M206" s="51">
        <f>VLOOKUP($A206,'Data Vlaue (Cr)'!$C:$FB,63)</f>
        <v>42</v>
      </c>
      <c r="N206" s="51">
        <f>VLOOKUP($A206,'Data Vlaue (Cr)'!$C:$FB,64)</f>
        <v>146</v>
      </c>
      <c r="O206" s="51">
        <f>VLOOKUP($A206,'Data Vlaue (Cr)'!$C:$FB,66)*100</f>
        <v>-71.44</v>
      </c>
    </row>
    <row r="207" spans="1:15" x14ac:dyDescent="0.25">
      <c r="A207" s="101" t="str">
        <f>'Data Vlaue (Cr)'!C202</f>
        <v>TRENT</v>
      </c>
      <c r="B207" s="50">
        <f>VLOOKUP($A207,'Data Vlaue (Cr)'!$C:$FB,8)</f>
        <v>3803.8</v>
      </c>
      <c r="C207" s="50">
        <f>VLOOKUP($A207,'Data Vlaue (Cr)'!$C:$FB,11)*100</f>
        <v>1.05</v>
      </c>
      <c r="D207" s="50">
        <f>VLOOKUP($A207,'Data Vlaue (Cr)'!$C:$FB,143)</f>
        <v>7545.56</v>
      </c>
      <c r="E207" s="50">
        <f>VLOOKUP($A207,'Data Vlaue (Cr)'!$C:$FB,144)</f>
        <v>8959.49</v>
      </c>
      <c r="F207" s="50">
        <f>VLOOKUP($A207,'Data Vlaue (Cr)'!$C:$FB,146)*100</f>
        <v>-15.78</v>
      </c>
      <c r="G207" s="49">
        <f>VLOOKUP($A207,'Data Vlaue (Cr)'!$C:$FB,43)</f>
        <v>2191</v>
      </c>
      <c r="H207" s="49">
        <f>VLOOKUP($A207,'Data Vlaue (Cr)'!$C:$FB,44)</f>
        <v>1735</v>
      </c>
      <c r="I207" s="49">
        <f>VLOOKUP($A207,'Data Vlaue (Cr)'!$C:$FB,46)*100</f>
        <v>26.32</v>
      </c>
      <c r="J207" s="51">
        <f>VLOOKUP($A207,'Data Vlaue (Cr)'!$C:$FB,59)</f>
        <v>3604</v>
      </c>
      <c r="K207" s="51">
        <f>VLOOKUP($A207,'Data Vlaue (Cr)'!$C:$FB,60)</f>
        <v>4283</v>
      </c>
      <c r="L207" s="51">
        <f>VLOOKUP($A207,'Data Vlaue (Cr)'!$C:$FB,62)*100</f>
        <v>-15.85</v>
      </c>
      <c r="M207" s="51">
        <f>VLOOKUP($A207,'Data Vlaue (Cr)'!$C:$FB,63)</f>
        <v>1581</v>
      </c>
      <c r="N207" s="51">
        <f>VLOOKUP($A207,'Data Vlaue (Cr)'!$C:$FB,64)</f>
        <v>2753</v>
      </c>
      <c r="O207" s="51">
        <f>VLOOKUP($A207,'Data Vlaue (Cr)'!$C:$FB,66)*100</f>
        <v>-42.57</v>
      </c>
    </row>
    <row r="208" spans="1:15" x14ac:dyDescent="0.25">
      <c r="A208" s="101" t="str">
        <f>'Data Vlaue (Cr)'!C203</f>
        <v>TVSMOTOR</v>
      </c>
      <c r="B208" s="50">
        <f>VLOOKUP($A208,'Data Vlaue (Cr)'!$C:$FB,8)</f>
        <v>3570.1</v>
      </c>
      <c r="C208" s="50">
        <f>VLOOKUP($A208,'Data Vlaue (Cr)'!$C:$FB,11)*100</f>
        <v>-0.89</v>
      </c>
      <c r="D208" s="50">
        <f>VLOOKUP($A208,'Data Vlaue (Cr)'!$C:$FB,143)</f>
        <v>3877.04</v>
      </c>
      <c r="E208" s="50">
        <f>VLOOKUP($A208,'Data Vlaue (Cr)'!$C:$FB,144)</f>
        <v>3795.9</v>
      </c>
      <c r="F208" s="50">
        <f>VLOOKUP($A208,'Data Vlaue (Cr)'!$C:$FB,146)*100</f>
        <v>2.1399999999999997</v>
      </c>
      <c r="G208" s="49">
        <f>VLOOKUP($A208,'Data Vlaue (Cr)'!$C:$FB,43)</f>
        <v>2438</v>
      </c>
      <c r="H208" s="49">
        <f>VLOOKUP($A208,'Data Vlaue (Cr)'!$C:$FB,44)</f>
        <v>1904</v>
      </c>
      <c r="I208" s="49">
        <f>VLOOKUP($A208,'Data Vlaue (Cr)'!$C:$FB,46)*100</f>
        <v>28.07</v>
      </c>
      <c r="J208" s="51">
        <f>VLOOKUP($A208,'Data Vlaue (Cr)'!$C:$FB,59)</f>
        <v>962</v>
      </c>
      <c r="K208" s="51">
        <f>VLOOKUP($A208,'Data Vlaue (Cr)'!$C:$FB,60)</f>
        <v>1216</v>
      </c>
      <c r="L208" s="51">
        <f>VLOOKUP($A208,'Data Vlaue (Cr)'!$C:$FB,62)*100</f>
        <v>-20.94</v>
      </c>
      <c r="M208" s="51">
        <f>VLOOKUP($A208,'Data Vlaue (Cr)'!$C:$FB,63)</f>
        <v>394</v>
      </c>
      <c r="N208" s="51">
        <f>VLOOKUP($A208,'Data Vlaue (Cr)'!$C:$FB,64)</f>
        <v>597</v>
      </c>
      <c r="O208" s="51">
        <f>VLOOKUP($A208,'Data Vlaue (Cr)'!$C:$FB,66)*100</f>
        <v>-34.11</v>
      </c>
    </row>
    <row r="209" spans="1:15" x14ac:dyDescent="0.25">
      <c r="A209" s="101" t="str">
        <f>'Data Vlaue (Cr)'!C204</f>
        <v>ULTRACEMCO</v>
      </c>
      <c r="B209" s="50">
        <f>VLOOKUP($A209,'Data Vlaue (Cr)'!$C:$FB,8)</f>
        <v>12364</v>
      </c>
      <c r="C209" s="50">
        <f>VLOOKUP($A209,'Data Vlaue (Cr)'!$C:$FB,11)*100</f>
        <v>1.0900000000000001</v>
      </c>
      <c r="D209" s="50">
        <f>VLOOKUP($A209,'Data Vlaue (Cr)'!$C:$FB,143)</f>
        <v>5858.39</v>
      </c>
      <c r="E209" s="50">
        <f>VLOOKUP($A209,'Data Vlaue (Cr)'!$C:$FB,144)</f>
        <v>4870.54</v>
      </c>
      <c r="F209" s="50">
        <f>VLOOKUP($A209,'Data Vlaue (Cr)'!$C:$FB,146)*100</f>
        <v>20.28</v>
      </c>
      <c r="G209" s="49">
        <f>VLOOKUP($A209,'Data Vlaue (Cr)'!$C:$FB,43)</f>
        <v>2949</v>
      </c>
      <c r="H209" s="49">
        <f>VLOOKUP($A209,'Data Vlaue (Cr)'!$C:$FB,44)</f>
        <v>1787</v>
      </c>
      <c r="I209" s="49">
        <f>VLOOKUP($A209,'Data Vlaue (Cr)'!$C:$FB,46)*100</f>
        <v>65.02</v>
      </c>
      <c r="J209" s="51">
        <f>VLOOKUP($A209,'Data Vlaue (Cr)'!$C:$FB,59)</f>
        <v>1995</v>
      </c>
      <c r="K209" s="51">
        <f>VLOOKUP($A209,'Data Vlaue (Cr)'!$C:$FB,60)</f>
        <v>1958</v>
      </c>
      <c r="L209" s="51">
        <f>VLOOKUP($A209,'Data Vlaue (Cr)'!$C:$FB,62)*100</f>
        <v>1.8900000000000001</v>
      </c>
      <c r="M209" s="51">
        <f>VLOOKUP($A209,'Data Vlaue (Cr)'!$C:$FB,63)</f>
        <v>876</v>
      </c>
      <c r="N209" s="51">
        <f>VLOOKUP($A209,'Data Vlaue (Cr)'!$C:$FB,64)</f>
        <v>1158</v>
      </c>
      <c r="O209" s="51">
        <f>VLOOKUP($A209,'Data Vlaue (Cr)'!$C:$FB,66)*100</f>
        <v>-24.33</v>
      </c>
    </row>
    <row r="210" spans="1:15" x14ac:dyDescent="0.25">
      <c r="A210" s="101" t="str">
        <f>'Data Vlaue (Cr)'!C205</f>
        <v>UNIONBANK</v>
      </c>
      <c r="B210" s="50">
        <f>VLOOKUP($A210,'Data Vlaue (Cr)'!$C:$FB,8)</f>
        <v>174.78</v>
      </c>
      <c r="C210" s="50">
        <f>VLOOKUP($A210,'Data Vlaue (Cr)'!$C:$FB,11)*100</f>
        <v>1.34</v>
      </c>
      <c r="D210" s="50">
        <f>VLOOKUP($A210,'Data Vlaue (Cr)'!$C:$FB,143)</f>
        <v>3879.83</v>
      </c>
      <c r="E210" s="50">
        <f>VLOOKUP($A210,'Data Vlaue (Cr)'!$C:$FB,144)</f>
        <v>4299.3100000000004</v>
      </c>
      <c r="F210" s="50">
        <f>VLOOKUP($A210,'Data Vlaue (Cr)'!$C:$FB,146)*100</f>
        <v>-9.76</v>
      </c>
      <c r="G210" s="49">
        <f>VLOOKUP($A210,'Data Vlaue (Cr)'!$C:$FB,43)</f>
        <v>1202</v>
      </c>
      <c r="H210" s="49">
        <f>VLOOKUP($A210,'Data Vlaue (Cr)'!$C:$FB,44)</f>
        <v>1002</v>
      </c>
      <c r="I210" s="49">
        <f>VLOOKUP($A210,'Data Vlaue (Cr)'!$C:$FB,46)*100</f>
        <v>19.96</v>
      </c>
      <c r="J210" s="51">
        <f>VLOOKUP($A210,'Data Vlaue (Cr)'!$C:$FB,59)</f>
        <v>1681</v>
      </c>
      <c r="K210" s="51">
        <f>VLOOKUP($A210,'Data Vlaue (Cr)'!$C:$FB,60)</f>
        <v>2001</v>
      </c>
      <c r="L210" s="51">
        <f>VLOOKUP($A210,'Data Vlaue (Cr)'!$C:$FB,62)*100</f>
        <v>-15.989999999999998</v>
      </c>
      <c r="M210" s="51">
        <f>VLOOKUP($A210,'Data Vlaue (Cr)'!$C:$FB,63)</f>
        <v>938</v>
      </c>
      <c r="N210" s="51">
        <f>VLOOKUP($A210,'Data Vlaue (Cr)'!$C:$FB,64)</f>
        <v>1249</v>
      </c>
      <c r="O210" s="51">
        <f>VLOOKUP($A210,'Data Vlaue (Cr)'!$C:$FB,66)*100</f>
        <v>-24.91</v>
      </c>
    </row>
    <row r="211" spans="1:15" x14ac:dyDescent="0.25">
      <c r="A211" s="101" t="str">
        <f>'Data Vlaue (Cr)'!C206</f>
        <v>UNITDSPR</v>
      </c>
      <c r="B211" s="50">
        <f>VLOOKUP($A211,'Data Vlaue (Cr)'!$C:$FB,8)</f>
        <v>1338.4</v>
      </c>
      <c r="C211" s="50">
        <f>VLOOKUP($A211,'Data Vlaue (Cr)'!$C:$FB,11)*100</f>
        <v>1.39</v>
      </c>
      <c r="D211" s="50">
        <f>VLOOKUP($A211,'Data Vlaue (Cr)'!$C:$FB,143)</f>
        <v>3177.95</v>
      </c>
      <c r="E211" s="50">
        <f>VLOOKUP($A211,'Data Vlaue (Cr)'!$C:$FB,144)</f>
        <v>4623.92</v>
      </c>
      <c r="F211" s="50">
        <f>VLOOKUP($A211,'Data Vlaue (Cr)'!$C:$FB,146)*100</f>
        <v>-31.269999999999996</v>
      </c>
      <c r="G211" s="49">
        <f>VLOOKUP($A211,'Data Vlaue (Cr)'!$C:$FB,43)</f>
        <v>1210</v>
      </c>
      <c r="H211" s="49">
        <f>VLOOKUP($A211,'Data Vlaue (Cr)'!$C:$FB,44)</f>
        <v>958</v>
      </c>
      <c r="I211" s="49">
        <f>VLOOKUP($A211,'Data Vlaue (Cr)'!$C:$FB,46)*100</f>
        <v>26.31</v>
      </c>
      <c r="J211" s="51">
        <f>VLOOKUP($A211,'Data Vlaue (Cr)'!$C:$FB,59)</f>
        <v>1230</v>
      </c>
      <c r="K211" s="51">
        <f>VLOOKUP($A211,'Data Vlaue (Cr)'!$C:$FB,60)</f>
        <v>2070</v>
      </c>
      <c r="L211" s="51">
        <f>VLOOKUP($A211,'Data Vlaue (Cr)'!$C:$FB,62)*100</f>
        <v>-40.54</v>
      </c>
      <c r="M211" s="51">
        <f>VLOOKUP($A211,'Data Vlaue (Cr)'!$C:$FB,63)</f>
        <v>705</v>
      </c>
      <c r="N211" s="51">
        <f>VLOOKUP($A211,'Data Vlaue (Cr)'!$C:$FB,64)</f>
        <v>1608</v>
      </c>
      <c r="O211" s="51">
        <f>VLOOKUP($A211,'Data Vlaue (Cr)'!$C:$FB,66)*100</f>
        <v>-56.16</v>
      </c>
    </row>
    <row r="212" spans="1:15" x14ac:dyDescent="0.25">
      <c r="A212" s="101" t="str">
        <f>'Data Vlaue (Cr)'!C207</f>
        <v>UNOMINDA</v>
      </c>
      <c r="B212" s="50">
        <f>VLOOKUP($A212,'Data Vlaue (Cr)'!$C:$FB,8)</f>
        <v>1173.5</v>
      </c>
      <c r="C212" s="50">
        <f>VLOOKUP($A212,'Data Vlaue (Cr)'!$C:$FB,11)*100</f>
        <v>4</v>
      </c>
      <c r="D212" s="50">
        <f>VLOOKUP($A212,'Data Vlaue (Cr)'!$C:$FB,143)</f>
        <v>1168.49</v>
      </c>
      <c r="E212" s="50">
        <f>VLOOKUP($A212,'Data Vlaue (Cr)'!$C:$FB,144)</f>
        <v>588.69000000000005</v>
      </c>
      <c r="F212" s="50">
        <f>VLOOKUP($A212,'Data Vlaue (Cr)'!$C:$FB,146)*100</f>
        <v>98.49</v>
      </c>
      <c r="G212" s="49">
        <f>VLOOKUP($A212,'Data Vlaue (Cr)'!$C:$FB,43)</f>
        <v>656</v>
      </c>
      <c r="H212" s="49">
        <f>VLOOKUP($A212,'Data Vlaue (Cr)'!$C:$FB,44)</f>
        <v>346</v>
      </c>
      <c r="I212" s="49">
        <f>VLOOKUP($A212,'Data Vlaue (Cr)'!$C:$FB,46)*100</f>
        <v>89.4</v>
      </c>
      <c r="J212" s="51">
        <f>VLOOKUP($A212,'Data Vlaue (Cr)'!$C:$FB,59)</f>
        <v>355</v>
      </c>
      <c r="K212" s="51">
        <f>VLOOKUP($A212,'Data Vlaue (Cr)'!$C:$FB,60)</f>
        <v>181</v>
      </c>
      <c r="L212" s="51">
        <f>VLOOKUP($A212,'Data Vlaue (Cr)'!$C:$FB,62)*100</f>
        <v>95.49</v>
      </c>
      <c r="M212" s="51">
        <f>VLOOKUP($A212,'Data Vlaue (Cr)'!$C:$FB,63)</f>
        <v>149</v>
      </c>
      <c r="N212" s="51">
        <f>VLOOKUP($A212,'Data Vlaue (Cr)'!$C:$FB,64)</f>
        <v>66</v>
      </c>
      <c r="O212" s="51">
        <f>VLOOKUP($A212,'Data Vlaue (Cr)'!$C:$FB,66)*100</f>
        <v>123.98</v>
      </c>
    </row>
    <row r="213" spans="1:15" x14ac:dyDescent="0.25">
      <c r="A213" s="101" t="str">
        <f>'Data Vlaue (Cr)'!C208</f>
        <v>UPL</v>
      </c>
      <c r="B213" s="50">
        <f>VLOOKUP($A213,'Data Vlaue (Cr)'!$C:$FB,8)</f>
        <v>700.5</v>
      </c>
      <c r="C213" s="50">
        <f>VLOOKUP($A213,'Data Vlaue (Cr)'!$C:$FB,11)*100</f>
        <v>1.27</v>
      </c>
      <c r="D213" s="50">
        <f>VLOOKUP($A213,'Data Vlaue (Cr)'!$C:$FB,143)</f>
        <v>5778.95</v>
      </c>
      <c r="E213" s="50">
        <f>VLOOKUP($A213,'Data Vlaue (Cr)'!$C:$FB,144)</f>
        <v>13780.09</v>
      </c>
      <c r="F213" s="50">
        <f>VLOOKUP($A213,'Data Vlaue (Cr)'!$C:$FB,146)*100</f>
        <v>-58.06</v>
      </c>
      <c r="G213" s="49">
        <f>VLOOKUP($A213,'Data Vlaue (Cr)'!$C:$FB,43)</f>
        <v>1758</v>
      </c>
      <c r="H213" s="49">
        <f>VLOOKUP($A213,'Data Vlaue (Cr)'!$C:$FB,44)</f>
        <v>2803</v>
      </c>
      <c r="I213" s="49">
        <f>VLOOKUP($A213,'Data Vlaue (Cr)'!$C:$FB,46)*100</f>
        <v>-37.29</v>
      </c>
      <c r="J213" s="51">
        <f>VLOOKUP($A213,'Data Vlaue (Cr)'!$C:$FB,59)</f>
        <v>2495</v>
      </c>
      <c r="K213" s="51">
        <f>VLOOKUP($A213,'Data Vlaue (Cr)'!$C:$FB,60)</f>
        <v>5688</v>
      </c>
      <c r="L213" s="51">
        <f>VLOOKUP($A213,'Data Vlaue (Cr)'!$C:$FB,62)*100</f>
        <v>-56.13</v>
      </c>
      <c r="M213" s="51">
        <f>VLOOKUP($A213,'Data Vlaue (Cr)'!$C:$FB,63)</f>
        <v>1392</v>
      </c>
      <c r="N213" s="51">
        <f>VLOOKUP($A213,'Data Vlaue (Cr)'!$C:$FB,64)</f>
        <v>4993</v>
      </c>
      <c r="O213" s="51">
        <f>VLOOKUP($A213,'Data Vlaue (Cr)'!$C:$FB,66)*100</f>
        <v>-72.11</v>
      </c>
    </row>
    <row r="214" spans="1:15" x14ac:dyDescent="0.25">
      <c r="A214" s="101" t="str">
        <f>'Data Vlaue (Cr)'!C209</f>
        <v>VBL</v>
      </c>
      <c r="B214" s="50">
        <f>VLOOKUP($A214,'Data Vlaue (Cr)'!$C:$FB,8)</f>
        <v>487.1</v>
      </c>
      <c r="C214" s="50">
        <f>VLOOKUP($A214,'Data Vlaue (Cr)'!$C:$FB,11)*100</f>
        <v>1.9</v>
      </c>
      <c r="D214" s="50">
        <f>VLOOKUP($A214,'Data Vlaue (Cr)'!$C:$FB,143)</f>
        <v>2721.33</v>
      </c>
      <c r="E214" s="50">
        <f>VLOOKUP($A214,'Data Vlaue (Cr)'!$C:$FB,144)</f>
        <v>3261.88</v>
      </c>
      <c r="F214" s="50">
        <f>VLOOKUP($A214,'Data Vlaue (Cr)'!$C:$FB,146)*100</f>
        <v>-16.57</v>
      </c>
      <c r="G214" s="49">
        <f>VLOOKUP($A214,'Data Vlaue (Cr)'!$C:$FB,43)</f>
        <v>1738</v>
      </c>
      <c r="H214" s="49">
        <f>VLOOKUP($A214,'Data Vlaue (Cr)'!$C:$FB,44)</f>
        <v>1360</v>
      </c>
      <c r="I214" s="49">
        <f>VLOOKUP($A214,'Data Vlaue (Cr)'!$C:$FB,46)*100</f>
        <v>27.83</v>
      </c>
      <c r="J214" s="51">
        <f>VLOOKUP($A214,'Data Vlaue (Cr)'!$C:$FB,59)</f>
        <v>577</v>
      </c>
      <c r="K214" s="51">
        <f>VLOOKUP($A214,'Data Vlaue (Cr)'!$C:$FB,60)</f>
        <v>1027</v>
      </c>
      <c r="L214" s="51">
        <f>VLOOKUP($A214,'Data Vlaue (Cr)'!$C:$FB,62)*100</f>
        <v>-43.82</v>
      </c>
      <c r="M214" s="51">
        <f>VLOOKUP($A214,'Data Vlaue (Cr)'!$C:$FB,63)</f>
        <v>398</v>
      </c>
      <c r="N214" s="51">
        <f>VLOOKUP($A214,'Data Vlaue (Cr)'!$C:$FB,64)</f>
        <v>876</v>
      </c>
      <c r="O214" s="51">
        <f>VLOOKUP($A214,'Data Vlaue (Cr)'!$C:$FB,66)*100</f>
        <v>-54.55</v>
      </c>
    </row>
    <row r="215" spans="1:15" x14ac:dyDescent="0.25">
      <c r="A215" s="101" t="str">
        <f>'Data Vlaue (Cr)'!C210</f>
        <v>VEDL</v>
      </c>
      <c r="B215" s="50">
        <f>VLOOKUP($A215,'Data Vlaue (Cr)'!$C:$FB,8)</f>
        <v>678.65</v>
      </c>
      <c r="C215" s="50">
        <f>VLOOKUP($A215,'Data Vlaue (Cr)'!$C:$FB,11)*100</f>
        <v>0.3</v>
      </c>
      <c r="D215" s="50">
        <f>VLOOKUP($A215,'Data Vlaue (Cr)'!$C:$FB,143)</f>
        <v>22908.81</v>
      </c>
      <c r="E215" s="50">
        <f>VLOOKUP($A215,'Data Vlaue (Cr)'!$C:$FB,144)</f>
        <v>22836.400000000001</v>
      </c>
      <c r="F215" s="50">
        <f>VLOOKUP($A215,'Data Vlaue (Cr)'!$C:$FB,146)*100</f>
        <v>0.32</v>
      </c>
      <c r="G215" s="49">
        <f>VLOOKUP($A215,'Data Vlaue (Cr)'!$C:$FB,43)</f>
        <v>4057</v>
      </c>
      <c r="H215" s="49">
        <f>VLOOKUP($A215,'Data Vlaue (Cr)'!$C:$FB,44)</f>
        <v>4017</v>
      </c>
      <c r="I215" s="49">
        <f>VLOOKUP($A215,'Data Vlaue (Cr)'!$C:$FB,46)*100</f>
        <v>0.9900000000000001</v>
      </c>
      <c r="J215" s="51">
        <f>VLOOKUP($A215,'Data Vlaue (Cr)'!$C:$FB,59)</f>
        <v>12144</v>
      </c>
      <c r="K215" s="51">
        <f>VLOOKUP($A215,'Data Vlaue (Cr)'!$C:$FB,60)</f>
        <v>13354</v>
      </c>
      <c r="L215" s="51">
        <f>VLOOKUP($A215,'Data Vlaue (Cr)'!$C:$FB,62)*100</f>
        <v>-9.06</v>
      </c>
      <c r="M215" s="51">
        <f>VLOOKUP($A215,'Data Vlaue (Cr)'!$C:$FB,63)</f>
        <v>6345</v>
      </c>
      <c r="N215" s="51">
        <f>VLOOKUP($A215,'Data Vlaue (Cr)'!$C:$FB,64)</f>
        <v>5259</v>
      </c>
      <c r="O215" s="51">
        <f>VLOOKUP($A215,'Data Vlaue (Cr)'!$C:$FB,66)*100</f>
        <v>20.630000000000003</v>
      </c>
    </row>
    <row r="216" spans="1:15" x14ac:dyDescent="0.25">
      <c r="A216" s="101" t="str">
        <f>'Data Vlaue (Cr)'!C211</f>
        <v>VOLTAS</v>
      </c>
      <c r="B216" s="50">
        <f>VLOOKUP($A216,'Data Vlaue (Cr)'!$C:$FB,8)</f>
        <v>1293.5</v>
      </c>
      <c r="C216" s="50">
        <f>VLOOKUP($A216,'Data Vlaue (Cr)'!$C:$FB,11)*100</f>
        <v>0.22</v>
      </c>
      <c r="D216" s="50">
        <f>VLOOKUP($A216,'Data Vlaue (Cr)'!$C:$FB,143)</f>
        <v>2761.85</v>
      </c>
      <c r="E216" s="50">
        <f>VLOOKUP($A216,'Data Vlaue (Cr)'!$C:$FB,144)</f>
        <v>4712.91</v>
      </c>
      <c r="F216" s="50">
        <f>VLOOKUP($A216,'Data Vlaue (Cr)'!$C:$FB,146)*100</f>
        <v>-41.4</v>
      </c>
      <c r="G216" s="49">
        <f>VLOOKUP($A216,'Data Vlaue (Cr)'!$C:$FB,43)</f>
        <v>1543</v>
      </c>
      <c r="H216" s="49">
        <f>VLOOKUP($A216,'Data Vlaue (Cr)'!$C:$FB,44)</f>
        <v>1451</v>
      </c>
      <c r="I216" s="49">
        <f>VLOOKUP($A216,'Data Vlaue (Cr)'!$C:$FB,46)*100</f>
        <v>6.34</v>
      </c>
      <c r="J216" s="51">
        <f>VLOOKUP($A216,'Data Vlaue (Cr)'!$C:$FB,59)</f>
        <v>738</v>
      </c>
      <c r="K216" s="51">
        <f>VLOOKUP($A216,'Data Vlaue (Cr)'!$C:$FB,60)</f>
        <v>1773</v>
      </c>
      <c r="L216" s="51">
        <f>VLOOKUP($A216,'Data Vlaue (Cr)'!$C:$FB,62)*100</f>
        <v>-58.37</v>
      </c>
      <c r="M216" s="51">
        <f>VLOOKUP($A216,'Data Vlaue (Cr)'!$C:$FB,63)</f>
        <v>456</v>
      </c>
      <c r="N216" s="51">
        <f>VLOOKUP($A216,'Data Vlaue (Cr)'!$C:$FB,64)</f>
        <v>1404</v>
      </c>
      <c r="O216" s="51">
        <f>VLOOKUP($A216,'Data Vlaue (Cr)'!$C:$FB,66)*100</f>
        <v>-67.5</v>
      </c>
    </row>
    <row r="217" spans="1:15" x14ac:dyDescent="0.25">
      <c r="A217" s="101" t="str">
        <f>'Data Vlaue (Cr)'!C212</f>
        <v>WAAREEENER</v>
      </c>
      <c r="B217" s="50">
        <f>VLOOKUP($A217,'Data Vlaue (Cr)'!$C:$FB,8)</f>
        <v>2641.7</v>
      </c>
      <c r="C217" s="50">
        <f>VLOOKUP($A217,'Data Vlaue (Cr)'!$C:$FB,11)*100</f>
        <v>9.2100000000000009</v>
      </c>
      <c r="D217" s="50">
        <f>VLOOKUP($A217,'Data Vlaue (Cr)'!$C:$FB,143)</f>
        <v>14953.23</v>
      </c>
      <c r="E217" s="50">
        <f>VLOOKUP($A217,'Data Vlaue (Cr)'!$C:$FB,144)</f>
        <v>2763.82</v>
      </c>
      <c r="F217" s="50">
        <f>VLOOKUP($A217,'Data Vlaue (Cr)'!$C:$FB,146)*100</f>
        <v>441.04</v>
      </c>
      <c r="G217" s="49">
        <f>VLOOKUP($A217,'Data Vlaue (Cr)'!$C:$FB,43)</f>
        <v>1819</v>
      </c>
      <c r="H217" s="49">
        <f>VLOOKUP($A217,'Data Vlaue (Cr)'!$C:$FB,44)</f>
        <v>736</v>
      </c>
      <c r="I217" s="49">
        <f>VLOOKUP($A217,'Data Vlaue (Cr)'!$C:$FB,46)*100</f>
        <v>147.14000000000001</v>
      </c>
      <c r="J217" s="51">
        <f>VLOOKUP($A217,'Data Vlaue (Cr)'!$C:$FB,59)</f>
        <v>9186</v>
      </c>
      <c r="K217" s="51">
        <f>VLOOKUP($A217,'Data Vlaue (Cr)'!$C:$FB,60)</f>
        <v>1174</v>
      </c>
      <c r="L217" s="51">
        <f>VLOOKUP($A217,'Data Vlaue (Cr)'!$C:$FB,62)*100</f>
        <v>682.15000000000009</v>
      </c>
      <c r="M217" s="51">
        <f>VLOOKUP($A217,'Data Vlaue (Cr)'!$C:$FB,63)</f>
        <v>3544</v>
      </c>
      <c r="N217" s="51">
        <f>VLOOKUP($A217,'Data Vlaue (Cr)'!$C:$FB,64)</f>
        <v>975</v>
      </c>
      <c r="O217" s="51">
        <f>VLOOKUP($A217,'Data Vlaue (Cr)'!$C:$FB,66)*100</f>
        <v>263.49</v>
      </c>
    </row>
    <row r="218" spans="1:15" x14ac:dyDescent="0.25">
      <c r="A218" s="101" t="str">
        <f>'Data Vlaue (Cr)'!C213</f>
        <v>WIPRO</v>
      </c>
      <c r="B218" s="50">
        <f>VLOOKUP($A218,'Data Vlaue (Cr)'!$C:$FB,8)</f>
        <v>240.65</v>
      </c>
      <c r="C218" s="50">
        <f>VLOOKUP($A218,'Data Vlaue (Cr)'!$C:$FB,11)*100</f>
        <v>0.45999999999999996</v>
      </c>
      <c r="D218" s="50">
        <f>VLOOKUP($A218,'Data Vlaue (Cr)'!$C:$FB,143)</f>
        <v>5228.79</v>
      </c>
      <c r="E218" s="50">
        <f>VLOOKUP($A218,'Data Vlaue (Cr)'!$C:$FB,144)</f>
        <v>7622.1</v>
      </c>
      <c r="F218" s="50">
        <f>VLOOKUP($A218,'Data Vlaue (Cr)'!$C:$FB,146)*100</f>
        <v>-31.4</v>
      </c>
      <c r="G218" s="49">
        <f>VLOOKUP($A218,'Data Vlaue (Cr)'!$C:$FB,43)</f>
        <v>2511</v>
      </c>
      <c r="H218" s="49">
        <f>VLOOKUP($A218,'Data Vlaue (Cr)'!$C:$FB,44)</f>
        <v>2919</v>
      </c>
      <c r="I218" s="49">
        <f>VLOOKUP($A218,'Data Vlaue (Cr)'!$C:$FB,46)*100</f>
        <v>-13.98</v>
      </c>
      <c r="J218" s="51">
        <f>VLOOKUP($A218,'Data Vlaue (Cr)'!$C:$FB,59)</f>
        <v>1776</v>
      </c>
      <c r="K218" s="51">
        <f>VLOOKUP($A218,'Data Vlaue (Cr)'!$C:$FB,60)</f>
        <v>2968</v>
      </c>
      <c r="L218" s="51">
        <f>VLOOKUP($A218,'Data Vlaue (Cr)'!$C:$FB,62)*100</f>
        <v>-40.150000000000006</v>
      </c>
      <c r="M218" s="51">
        <f>VLOOKUP($A218,'Data Vlaue (Cr)'!$C:$FB,63)</f>
        <v>858</v>
      </c>
      <c r="N218" s="51">
        <f>VLOOKUP($A218,'Data Vlaue (Cr)'!$C:$FB,64)</f>
        <v>1611</v>
      </c>
      <c r="O218" s="51">
        <f>VLOOKUP($A218,'Data Vlaue (Cr)'!$C:$FB,66)*100</f>
        <v>-46.77</v>
      </c>
    </row>
    <row r="219" spans="1:15" x14ac:dyDescent="0.25">
      <c r="A219" s="101" t="str">
        <f>'Data Vlaue (Cr)'!C214</f>
        <v>YESBANK</v>
      </c>
      <c r="B219" s="50">
        <f>VLOOKUP($A219,'Data Vlaue (Cr)'!$C:$FB,8)</f>
        <v>21.63</v>
      </c>
      <c r="C219" s="50">
        <f>VLOOKUP($A219,'Data Vlaue (Cr)'!$C:$FB,11)*100</f>
        <v>-0.13999999999999999</v>
      </c>
      <c r="D219" s="50">
        <f>VLOOKUP($A219,'Data Vlaue (Cr)'!$C:$FB,143)</f>
        <v>2730.03</v>
      </c>
      <c r="E219" s="50">
        <f>VLOOKUP($A219,'Data Vlaue (Cr)'!$C:$FB,144)</f>
        <v>3519.35</v>
      </c>
      <c r="F219" s="50">
        <f>VLOOKUP($A219,'Data Vlaue (Cr)'!$C:$FB,146)*100</f>
        <v>-22.43</v>
      </c>
      <c r="G219" s="49">
        <f>VLOOKUP($A219,'Data Vlaue (Cr)'!$C:$FB,43)</f>
        <v>1154</v>
      </c>
      <c r="H219" s="49">
        <f>VLOOKUP($A219,'Data Vlaue (Cr)'!$C:$FB,44)</f>
        <v>1180</v>
      </c>
      <c r="I219" s="49">
        <f>VLOOKUP($A219,'Data Vlaue (Cr)'!$C:$FB,46)*100</f>
        <v>-2.1800000000000002</v>
      </c>
      <c r="J219" s="51">
        <f>VLOOKUP($A219,'Data Vlaue (Cr)'!$C:$FB,59)</f>
        <v>1069</v>
      </c>
      <c r="K219" s="51">
        <f>VLOOKUP($A219,'Data Vlaue (Cr)'!$C:$FB,60)</f>
        <v>1510</v>
      </c>
      <c r="L219" s="51">
        <f>VLOOKUP($A219,'Data Vlaue (Cr)'!$C:$FB,62)*100</f>
        <v>-29.189999999999998</v>
      </c>
      <c r="M219" s="51">
        <f>VLOOKUP($A219,'Data Vlaue (Cr)'!$C:$FB,63)</f>
        <v>417</v>
      </c>
      <c r="N219" s="51">
        <f>VLOOKUP($A219,'Data Vlaue (Cr)'!$C:$FB,64)</f>
        <v>703</v>
      </c>
      <c r="O219" s="51">
        <f>VLOOKUP($A219,'Data Vlaue (Cr)'!$C:$FB,66)*100</f>
        <v>-40.760000000000005</v>
      </c>
    </row>
    <row r="220" spans="1:15" x14ac:dyDescent="0.25">
      <c r="A220" s="101" t="str">
        <f>'Data Vlaue (Cr)'!C215</f>
        <v>ZYDUSLIFE</v>
      </c>
      <c r="B220" s="50">
        <f>VLOOKUP($A220,'Data Vlaue (Cr)'!$C:$FB,8)</f>
        <v>885.3</v>
      </c>
      <c r="C220" s="50">
        <f>VLOOKUP($A220,'Data Vlaue (Cr)'!$C:$FB,11)*100</f>
        <v>1.03</v>
      </c>
      <c r="D220" s="50">
        <f>VLOOKUP($A220,'Data Vlaue (Cr)'!$C:$FB,143)</f>
        <v>1074.21</v>
      </c>
      <c r="E220" s="50">
        <f>VLOOKUP($A220,'Data Vlaue (Cr)'!$C:$FB,144)</f>
        <v>1496.59</v>
      </c>
      <c r="F220" s="50">
        <f>VLOOKUP($A220,'Data Vlaue (Cr)'!$C:$FB,146)*100</f>
        <v>-28.22</v>
      </c>
      <c r="G220" s="49">
        <f>VLOOKUP($A220,'Data Vlaue (Cr)'!$C:$FB,43)</f>
        <v>565</v>
      </c>
      <c r="H220" s="49">
        <f>VLOOKUP($A220,'Data Vlaue (Cr)'!$C:$FB,44)</f>
        <v>829</v>
      </c>
      <c r="I220" s="49">
        <f>VLOOKUP($A220,'Data Vlaue (Cr)'!$C:$FB,46)*100</f>
        <v>-31.86</v>
      </c>
      <c r="J220" s="51">
        <f>VLOOKUP($A220,'Data Vlaue (Cr)'!$C:$FB,59)</f>
        <v>364</v>
      </c>
      <c r="K220" s="51">
        <f>VLOOKUP($A220,'Data Vlaue (Cr)'!$C:$FB,60)</f>
        <v>432</v>
      </c>
      <c r="L220" s="51">
        <f>VLOOKUP($A220,'Data Vlaue (Cr)'!$C:$FB,62)*100</f>
        <v>-15.790000000000001</v>
      </c>
      <c r="M220" s="51">
        <f>VLOOKUP($A220,'Data Vlaue (Cr)'!$C:$FB,63)</f>
        <v>133</v>
      </c>
      <c r="N220" s="51">
        <f>VLOOKUP($A220,'Data Vlaue (Cr)'!$C:$FB,64)</f>
        <v>238</v>
      </c>
      <c r="O220" s="51">
        <f>VLOOKUP($A220,'Data Vlaue (Cr)'!$C:$FB,66)*100</f>
        <v>-44.21</v>
      </c>
    </row>
    <row r="221" spans="1:15" x14ac:dyDescent="0.25">
      <c r="A221" s="101">
        <f>'Data Vlaue (Cr)'!C216</f>
        <v>0</v>
      </c>
      <c r="B221" s="50"/>
      <c r="C221" s="50"/>
      <c r="D221" s="50"/>
      <c r="E221" s="50"/>
      <c r="F221" s="50"/>
      <c r="G221" s="49"/>
      <c r="H221" s="49"/>
      <c r="I221" s="49"/>
      <c r="J221" s="51"/>
      <c r="K221" s="51"/>
      <c r="L221" s="51"/>
      <c r="M221" s="51"/>
      <c r="N221" s="51"/>
      <c r="O221" s="51"/>
    </row>
    <row r="222" spans="1:15" x14ac:dyDescent="0.25">
      <c r="A222" s="101"/>
      <c r="B222" s="50"/>
      <c r="C222" s="50"/>
      <c r="D222" s="50"/>
      <c r="E222" s="50"/>
      <c r="F222" s="50"/>
      <c r="G222" s="49"/>
      <c r="H222" s="49"/>
      <c r="I222" s="49"/>
      <c r="J222" s="51"/>
      <c r="K222" s="51"/>
      <c r="L222" s="51"/>
      <c r="M222" s="51"/>
      <c r="N222" s="51"/>
      <c r="O222" s="51"/>
    </row>
    <row r="223" spans="1:15" x14ac:dyDescent="0.25">
      <c r="A223" s="101"/>
      <c r="B223" s="50"/>
      <c r="C223" s="50"/>
      <c r="D223" s="50"/>
      <c r="E223" s="50"/>
      <c r="F223" s="50"/>
      <c r="G223" s="49"/>
      <c r="H223" s="49"/>
      <c r="I223" s="49"/>
      <c r="J223" s="51"/>
      <c r="K223" s="51"/>
      <c r="L223" s="51"/>
      <c r="M223" s="51"/>
      <c r="N223" s="51"/>
      <c r="O223" s="51"/>
    </row>
    <row r="224" spans="1:15" x14ac:dyDescent="0.25">
      <c r="A224" s="101"/>
      <c r="B224" s="50"/>
      <c r="C224" s="50"/>
      <c r="D224" s="50"/>
      <c r="E224" s="50"/>
      <c r="F224" s="50"/>
      <c r="G224" s="49"/>
      <c r="H224" s="49"/>
      <c r="I224" s="49"/>
      <c r="J224" s="51"/>
      <c r="K224" s="51"/>
      <c r="L224" s="51"/>
      <c r="M224" s="51"/>
      <c r="N224" s="51"/>
      <c r="O224" s="51"/>
    </row>
    <row r="225" spans="1:15" x14ac:dyDescent="0.25">
      <c r="A225" s="101"/>
      <c r="B225" s="50"/>
      <c r="C225" s="50"/>
      <c r="D225" s="50"/>
      <c r="E225" s="50"/>
      <c r="F225" s="50"/>
      <c r="G225" s="49"/>
      <c r="H225" s="49"/>
      <c r="I225" s="49"/>
      <c r="J225" s="51"/>
      <c r="K225" s="51"/>
      <c r="L225" s="51"/>
      <c r="M225" s="51"/>
      <c r="N225" s="51"/>
      <c r="O225" s="51"/>
    </row>
    <row r="226" spans="1:15" x14ac:dyDescent="0.25">
      <c r="A226" s="101"/>
      <c r="B226" s="50"/>
      <c r="C226" s="50"/>
      <c r="D226" s="50"/>
      <c r="E226" s="50"/>
      <c r="F226" s="50"/>
      <c r="G226" s="49"/>
      <c r="H226" s="49"/>
      <c r="I226" s="49"/>
      <c r="J226" s="51"/>
      <c r="K226" s="51"/>
      <c r="L226" s="51"/>
      <c r="M226" s="51"/>
      <c r="N226" s="51"/>
      <c r="O226" s="51"/>
    </row>
    <row r="227" spans="1:15" x14ac:dyDescent="0.25">
      <c r="A227" s="101"/>
      <c r="B227" s="50"/>
      <c r="C227" s="50"/>
      <c r="D227" s="50"/>
      <c r="E227" s="50"/>
      <c r="F227" s="50"/>
      <c r="G227" s="49"/>
      <c r="H227" s="49"/>
      <c r="I227" s="49"/>
      <c r="J227" s="51"/>
      <c r="K227" s="51"/>
      <c r="L227" s="51"/>
      <c r="M227" s="51"/>
      <c r="N227" s="51"/>
      <c r="O227" s="51"/>
    </row>
    <row r="228" spans="1:15" x14ac:dyDescent="0.25">
      <c r="A228" s="101"/>
      <c r="B228" s="50"/>
      <c r="C228" s="50"/>
      <c r="D228" s="50"/>
      <c r="E228" s="50"/>
      <c r="F228" s="50"/>
      <c r="G228" s="49"/>
      <c r="H228" s="49"/>
      <c r="I228" s="49"/>
      <c r="J228" s="51"/>
      <c r="K228" s="51"/>
      <c r="L228" s="51"/>
      <c r="M228" s="51"/>
      <c r="N228" s="51"/>
      <c r="O228" s="51"/>
    </row>
    <row r="229" spans="1:15" x14ac:dyDescent="0.25">
      <c r="A229" s="101"/>
      <c r="B229" s="50"/>
      <c r="C229" s="50"/>
      <c r="D229" s="50"/>
      <c r="E229" s="50"/>
      <c r="F229" s="50"/>
      <c r="G229" s="49"/>
      <c r="H229" s="49"/>
      <c r="I229" s="49"/>
      <c r="J229" s="51"/>
      <c r="K229" s="51"/>
      <c r="L229" s="51"/>
      <c r="M229" s="51"/>
      <c r="N229" s="51"/>
      <c r="O229" s="51"/>
    </row>
    <row r="230" spans="1:15" x14ac:dyDescent="0.25">
      <c r="A230" s="101"/>
      <c r="B230" s="50"/>
      <c r="C230" s="50"/>
      <c r="D230" s="50"/>
      <c r="E230" s="50"/>
      <c r="F230" s="50"/>
      <c r="G230" s="49"/>
      <c r="H230" s="49"/>
      <c r="I230" s="49"/>
      <c r="J230" s="51"/>
      <c r="K230" s="51"/>
      <c r="L230" s="51"/>
      <c r="M230" s="51"/>
      <c r="N230" s="51"/>
      <c r="O230" s="51"/>
    </row>
    <row r="231" spans="1:15" x14ac:dyDescent="0.25">
      <c r="A231" s="101"/>
      <c r="B231" s="17"/>
      <c r="C231" s="17"/>
      <c r="D231" s="17"/>
      <c r="E231" s="17"/>
      <c r="F231" s="17"/>
      <c r="G231" s="17"/>
      <c r="H231" s="17"/>
      <c r="I231" s="17"/>
      <c r="J231" s="17"/>
      <c r="K231" s="17"/>
      <c r="L231" s="17"/>
      <c r="M231" s="17"/>
      <c r="N231" s="17"/>
      <c r="O231" s="17"/>
    </row>
    <row r="232" spans="1:15" x14ac:dyDescent="0.25">
      <c r="A232" s="130" t="s">
        <v>398</v>
      </c>
      <c r="B232" s="130"/>
      <c r="C232" s="130"/>
      <c r="D232" s="131">
        <f>SUM(D7:D231)</f>
        <v>18243634.269999992</v>
      </c>
      <c r="E232" s="131">
        <f>SUM(E7:E231)</f>
        <v>20464266.569999985</v>
      </c>
      <c r="F232" s="132">
        <f>(D232-E232)/E232</f>
        <v>-0.10851267463723206</v>
      </c>
      <c r="G232" s="131">
        <f>SUM(G7:G231)</f>
        <v>439518</v>
      </c>
      <c r="H232" s="131">
        <f>SUM(H7:H231)</f>
        <v>375994</v>
      </c>
      <c r="I232" s="132">
        <f>(G232-H232)/H232</f>
        <v>0.1689495045133699</v>
      </c>
      <c r="J232" s="131">
        <f>SUM(J7:J231)</f>
        <v>8877479</v>
      </c>
      <c r="K232" s="131">
        <f>SUM(K7:K231)</f>
        <v>9989049</v>
      </c>
      <c r="L232" s="132">
        <f>(J232-K232)/K232</f>
        <v>-0.11127886148120807</v>
      </c>
      <c r="M232" s="131">
        <f>SUM(M7:M231)</f>
        <v>8894539</v>
      </c>
      <c r="N232" s="131">
        <f>SUM(N7:N231)</f>
        <v>10081195</v>
      </c>
      <c r="O232" s="132">
        <f>(M232-N232)/N232</f>
        <v>-0.11770985483367795</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9"/>
  <sheetViews>
    <sheetView workbookViewId="0">
      <pane ySplit="6" topLeftCell="A213" activePane="bottomLeft" state="frozen"/>
      <selection pane="bottomLeft" activeCell="S224" sqref="S224"/>
    </sheetView>
  </sheetViews>
  <sheetFormatPr defaultRowHeight="15" x14ac:dyDescent="0.25"/>
  <cols>
    <col min="1" max="1" width="14.5703125" bestFit="1" customWidth="1"/>
    <col min="2" max="3" width="9.28515625" bestFit="1" customWidth="1"/>
    <col min="4" max="4" width="12.140625" bestFit="1" customWidth="1"/>
    <col min="5" max="5" width="12.7109375" customWidth="1"/>
    <col min="6" max="6" width="10.28515625" bestFit="1" customWidth="1"/>
    <col min="7" max="8" width="12.5703125" customWidth="1"/>
    <col min="9" max="9" width="9.28515625" bestFit="1" customWidth="1"/>
    <col min="10" max="11" width="12.140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1" t="s">
        <v>315</v>
      </c>
      <c r="B3" s="298"/>
      <c r="C3" s="298"/>
      <c r="D3" s="298"/>
      <c r="E3" s="298"/>
      <c r="F3" s="298"/>
      <c r="G3" s="298"/>
      <c r="H3" s="298"/>
      <c r="I3" s="298"/>
      <c r="J3" s="298"/>
      <c r="K3" s="298"/>
      <c r="L3" s="298"/>
      <c r="M3" s="298"/>
      <c r="N3" s="298"/>
      <c r="O3" s="299"/>
    </row>
    <row r="4" spans="1:15" x14ac:dyDescent="0.25">
      <c r="A4" s="302" t="s">
        <v>330</v>
      </c>
      <c r="B4" s="302" t="s">
        <v>308</v>
      </c>
      <c r="C4" s="302"/>
      <c r="D4" s="302" t="s">
        <v>361</v>
      </c>
      <c r="E4" s="302"/>
      <c r="F4" s="302"/>
      <c r="G4" s="302"/>
      <c r="H4" s="302"/>
      <c r="I4" s="302"/>
      <c r="J4" s="302"/>
      <c r="K4" s="302"/>
      <c r="L4" s="302"/>
      <c r="M4" s="302"/>
      <c r="N4" s="302"/>
      <c r="O4" s="302"/>
    </row>
    <row r="5" spans="1:15" x14ac:dyDescent="0.25">
      <c r="A5" s="303"/>
      <c r="B5" s="303" t="s">
        <v>312</v>
      </c>
      <c r="C5" s="303"/>
      <c r="D5" s="303" t="s">
        <v>315</v>
      </c>
      <c r="E5" s="303"/>
      <c r="F5" s="303"/>
      <c r="G5" s="303" t="s">
        <v>362</v>
      </c>
      <c r="H5" s="303"/>
      <c r="I5" s="303"/>
      <c r="J5" s="303" t="s">
        <v>363</v>
      </c>
      <c r="K5" s="303"/>
      <c r="L5" s="303"/>
      <c r="M5" s="303" t="s">
        <v>364</v>
      </c>
      <c r="N5" s="303"/>
      <c r="O5" s="303"/>
    </row>
    <row r="6" spans="1:15" x14ac:dyDescent="0.25">
      <c r="A6" s="34" t="s">
        <v>318</v>
      </c>
      <c r="B6" s="21">
        <f>'Total Value'!B6</f>
        <v>46044</v>
      </c>
      <c r="C6" s="34" t="s">
        <v>328</v>
      </c>
      <c r="D6" s="21">
        <f>B6</f>
        <v>46044</v>
      </c>
      <c r="E6" s="34" t="s">
        <v>322</v>
      </c>
      <c r="F6" s="34" t="s">
        <v>328</v>
      </c>
      <c r="G6" s="21">
        <f>D6</f>
        <v>46044</v>
      </c>
      <c r="H6" s="34" t="s">
        <v>322</v>
      </c>
      <c r="I6" s="34" t="s">
        <v>328</v>
      </c>
      <c r="J6" s="21">
        <f>D6</f>
        <v>46044</v>
      </c>
      <c r="K6" s="34" t="s">
        <v>322</v>
      </c>
      <c r="L6" s="34" t="s">
        <v>328</v>
      </c>
      <c r="M6" s="21">
        <f>D6</f>
        <v>46044</v>
      </c>
      <c r="N6" s="34" t="s">
        <v>322</v>
      </c>
      <c r="O6" s="34" t="s">
        <v>328</v>
      </c>
    </row>
    <row r="7" spans="1:15" x14ac:dyDescent="0.25">
      <c r="A7" s="101" t="str">
        <f>'Data Vlaue (Cr)'!C2</f>
        <v>360ONE</v>
      </c>
      <c r="B7" s="50">
        <f>VLOOKUP($A7,'Data shares'!$C:$FB,7)</f>
        <v>1106.3</v>
      </c>
      <c r="C7" s="50">
        <f>VLOOKUP($A7,'Data shares'!$C:$FB,10)*100</f>
        <v>1</v>
      </c>
      <c r="D7" s="49">
        <f>VLOOKUP($A7,'Data shares'!$C:$FB,66)</f>
        <v>9115000</v>
      </c>
      <c r="E7" s="49">
        <f>VLOOKUP($A7,'Data shares'!$C:$FB,67)</f>
        <v>16103500</v>
      </c>
      <c r="F7" s="50">
        <f>VLOOKUP($A7,'Data shares'!$C:$FB,69)*100</f>
        <v>-43.4</v>
      </c>
      <c r="G7" s="49">
        <f>VLOOKUP($A7,'Data shares'!$C:$FB,42)</f>
        <v>3247500</v>
      </c>
      <c r="H7" s="49">
        <f>VLOOKUP($A7,'Data shares'!$C:$FB,43)</f>
        <v>4126500</v>
      </c>
      <c r="I7" s="50">
        <f>VLOOKUP($A7,'Data shares'!$C:$FB,45)*100</f>
        <v>-21.3</v>
      </c>
      <c r="J7" s="49">
        <f>VLOOKUP($A7,'Data shares'!$C:$FB,58)</f>
        <v>4484500</v>
      </c>
      <c r="K7" s="49">
        <f>VLOOKUP($A7,'Data shares'!$C:$FB,59)</f>
        <v>7308000</v>
      </c>
      <c r="L7" s="50">
        <f>VLOOKUP($A7,'Data shares'!$C:$FB,61)*100</f>
        <v>-38.64</v>
      </c>
      <c r="M7" s="49">
        <f>VLOOKUP($A7,'Data shares'!$C:$FB,62)</f>
        <v>1383000</v>
      </c>
      <c r="N7" s="49">
        <f>VLOOKUP($A7,'Data shares'!$C:$FB,63)</f>
        <v>4669000</v>
      </c>
      <c r="O7" s="140">
        <f>VLOOKUP($A7,'Data shares'!$C:$FB,65)*100</f>
        <v>-70.38</v>
      </c>
    </row>
    <row r="8" spans="1:15" x14ac:dyDescent="0.25">
      <c r="A8" s="101" t="str">
        <f>'Data Vlaue (Cr)'!C3</f>
        <v>ABB</v>
      </c>
      <c r="B8" s="50">
        <f>VLOOKUP($A8,'Data shares'!$C:$FB,7)</f>
        <v>4755.5</v>
      </c>
      <c r="C8" s="50">
        <f>VLOOKUP($A8,'Data shares'!$C:$FB,10)*100</f>
        <v>1.02</v>
      </c>
      <c r="D8" s="49">
        <f>VLOOKUP($A8,'Data shares'!$C:$FB,66)</f>
        <v>3639250</v>
      </c>
      <c r="E8" s="49">
        <f>VLOOKUP($A8,'Data shares'!$C:$FB,67)</f>
        <v>5621625</v>
      </c>
      <c r="F8" s="50">
        <f>VLOOKUP($A8,'Data shares'!$C:$FB,69)*100</f>
        <v>-35.260000000000005</v>
      </c>
      <c r="G8" s="49">
        <f>VLOOKUP($A8,'Data shares'!$C:$FB,42)</f>
        <v>1450250</v>
      </c>
      <c r="H8" s="49">
        <f>VLOOKUP($A8,'Data shares'!$C:$FB,43)</f>
        <v>2448875</v>
      </c>
      <c r="I8" s="50">
        <f>VLOOKUP($A8,'Data shares'!$C:$FB,45)*100</f>
        <v>-40.78</v>
      </c>
      <c r="J8" s="49">
        <f>VLOOKUP($A8,'Data shares'!$C:$FB,58)</f>
        <v>1563750</v>
      </c>
      <c r="K8" s="49">
        <f>VLOOKUP($A8,'Data shares'!$C:$FB,59)</f>
        <v>2108000</v>
      </c>
      <c r="L8" s="50">
        <f>VLOOKUP($A8,'Data shares'!$C:$FB,61)*100</f>
        <v>-25.82</v>
      </c>
      <c r="M8" s="49">
        <f>VLOOKUP($A8,'Data shares'!$C:$FB,62)</f>
        <v>625250</v>
      </c>
      <c r="N8" s="49">
        <f>VLOOKUP($A8,'Data shares'!$C:$FB,63)</f>
        <v>1064750</v>
      </c>
      <c r="O8" s="140">
        <f>VLOOKUP($A8,'Data shares'!$C:$FB,65)*100</f>
        <v>-41.28</v>
      </c>
    </row>
    <row r="9" spans="1:15" x14ac:dyDescent="0.25">
      <c r="A9" s="101" t="str">
        <f>'Data Vlaue (Cr)'!C4</f>
        <v>ABCAPITAL</v>
      </c>
      <c r="B9" s="50">
        <f>VLOOKUP($A9,'Data shares'!$C:$FB,7)</f>
        <v>354.5</v>
      </c>
      <c r="C9" s="50">
        <f>VLOOKUP($A9,'Data shares'!$C:$FB,10)*100</f>
        <v>2.3800000000000003</v>
      </c>
      <c r="D9" s="49">
        <f>VLOOKUP($A9,'Data shares'!$C:$FB,66)</f>
        <v>175010500</v>
      </c>
      <c r="E9" s="49">
        <f>VLOOKUP($A9,'Data shares'!$C:$FB,67)</f>
        <v>190200500</v>
      </c>
      <c r="F9" s="50">
        <f>VLOOKUP($A9,'Data shares'!$C:$FB,69)*100</f>
        <v>-7.99</v>
      </c>
      <c r="G9" s="49">
        <f>VLOOKUP($A9,'Data shares'!$C:$FB,42)</f>
        <v>84825300</v>
      </c>
      <c r="H9" s="49">
        <f>VLOOKUP($A9,'Data shares'!$C:$FB,43)</f>
        <v>57675500</v>
      </c>
      <c r="I9" s="50">
        <f>VLOOKUP($A9,'Data shares'!$C:$FB,45)*100</f>
        <v>47.07</v>
      </c>
      <c r="J9" s="49">
        <f>VLOOKUP($A9,'Data shares'!$C:$FB,58)</f>
        <v>51019800</v>
      </c>
      <c r="K9" s="49">
        <f>VLOOKUP($A9,'Data shares'!$C:$FB,59)</f>
        <v>77087700</v>
      </c>
      <c r="L9" s="50">
        <f>VLOOKUP($A9,'Data shares'!$C:$FB,61)*100</f>
        <v>-33.82</v>
      </c>
      <c r="M9" s="49">
        <f>VLOOKUP($A9,'Data shares'!$C:$FB,62)</f>
        <v>39165400</v>
      </c>
      <c r="N9" s="49">
        <f>VLOOKUP($A9,'Data shares'!$C:$FB,63)</f>
        <v>55437300</v>
      </c>
      <c r="O9" s="140">
        <f>VLOOKUP($A9,'Data shares'!$C:$FB,65)*100</f>
        <v>-29.349999999999998</v>
      </c>
    </row>
    <row r="10" spans="1:15" x14ac:dyDescent="0.25">
      <c r="A10" s="101" t="str">
        <f>'Data Vlaue (Cr)'!C5</f>
        <v>ADANIENSOL</v>
      </c>
      <c r="B10" s="50">
        <f>VLOOKUP($A10,'Data shares'!$C:$FB,7)</f>
        <v>924.8</v>
      </c>
      <c r="C10" s="50">
        <f>VLOOKUP($A10,'Data shares'!$C:$FB,10)*100</f>
        <v>2.8400000000000003</v>
      </c>
      <c r="D10" s="49">
        <f>VLOOKUP($A10,'Data shares'!$C:$FB,66)</f>
        <v>30949425</v>
      </c>
      <c r="E10" s="49">
        <f>VLOOKUP($A10,'Data shares'!$C:$FB,67)</f>
        <v>25290225</v>
      </c>
      <c r="F10" s="50">
        <f>VLOOKUP($A10,'Data shares'!$C:$FB,69)*100</f>
        <v>22.38</v>
      </c>
      <c r="G10" s="49">
        <f>VLOOKUP($A10,'Data shares'!$C:$FB,42)</f>
        <v>11108475</v>
      </c>
      <c r="H10" s="49">
        <f>VLOOKUP($A10,'Data shares'!$C:$FB,43)</f>
        <v>13368375</v>
      </c>
      <c r="I10" s="50">
        <f>VLOOKUP($A10,'Data shares'!$C:$FB,45)*100</f>
        <v>-16.900000000000002</v>
      </c>
      <c r="J10" s="49">
        <f>VLOOKUP($A10,'Data shares'!$C:$FB,58)</f>
        <v>13678875</v>
      </c>
      <c r="K10" s="49">
        <f>VLOOKUP($A10,'Data shares'!$C:$FB,59)</f>
        <v>8271450</v>
      </c>
      <c r="L10" s="50">
        <f>VLOOKUP($A10,'Data shares'!$C:$FB,61)*100</f>
        <v>65.36999999999999</v>
      </c>
      <c r="M10" s="49">
        <f>VLOOKUP($A10,'Data shares'!$C:$FB,62)</f>
        <v>6162075</v>
      </c>
      <c r="N10" s="49">
        <f>VLOOKUP($A10,'Data shares'!$C:$FB,63)</f>
        <v>3650400</v>
      </c>
      <c r="O10" s="140">
        <f>VLOOKUP($A10,'Data shares'!$C:$FB,65)*100</f>
        <v>68.81</v>
      </c>
    </row>
    <row r="11" spans="1:15" x14ac:dyDescent="0.25">
      <c r="A11" s="101" t="str">
        <f>'Data Vlaue (Cr)'!C6</f>
        <v>ADANIENT</v>
      </c>
      <c r="B11" s="50">
        <f>VLOOKUP($A11,'Data shares'!$C:$FB,7)</f>
        <v>2086.4</v>
      </c>
      <c r="C11" s="50">
        <f>VLOOKUP($A11,'Data shares'!$C:$FB,10)*100</f>
        <v>2.67</v>
      </c>
      <c r="D11" s="49">
        <f>VLOOKUP($A11,'Data shares'!$C:$FB,66)</f>
        <v>39225696</v>
      </c>
      <c r="E11" s="49">
        <f>VLOOKUP($A11,'Data shares'!$C:$FB,67)</f>
        <v>41220600</v>
      </c>
      <c r="F11" s="50">
        <f>VLOOKUP($A11,'Data shares'!$C:$FB,69)*100</f>
        <v>-4.84</v>
      </c>
      <c r="G11" s="49">
        <f>VLOOKUP($A11,'Data shares'!$C:$FB,42)</f>
        <v>10488387</v>
      </c>
      <c r="H11" s="49">
        <f>VLOOKUP($A11,'Data shares'!$C:$FB,43)</f>
        <v>10682748</v>
      </c>
      <c r="I11" s="50">
        <f>VLOOKUP($A11,'Data shares'!$C:$FB,45)*100</f>
        <v>-1.82</v>
      </c>
      <c r="J11" s="49">
        <f>VLOOKUP($A11,'Data shares'!$C:$FB,58)</f>
        <v>19636950</v>
      </c>
      <c r="K11" s="49">
        <f>VLOOKUP($A11,'Data shares'!$C:$FB,59)</f>
        <v>20094579</v>
      </c>
      <c r="L11" s="50">
        <f>VLOOKUP($A11,'Data shares'!$C:$FB,61)*100</f>
        <v>-2.2800000000000002</v>
      </c>
      <c r="M11" s="49">
        <f>VLOOKUP($A11,'Data shares'!$C:$FB,62)</f>
        <v>9100359</v>
      </c>
      <c r="N11" s="49">
        <f>VLOOKUP($A11,'Data shares'!$C:$FB,63)</f>
        <v>10443273</v>
      </c>
      <c r="O11" s="140">
        <f>VLOOKUP($A11,'Data shares'!$C:$FB,65)*100</f>
        <v>-12.86</v>
      </c>
    </row>
    <row r="12" spans="1:15" x14ac:dyDescent="0.25">
      <c r="A12" s="101" t="str">
        <f>'Data Vlaue (Cr)'!C7</f>
        <v>ADANIGREEN</v>
      </c>
      <c r="B12" s="50">
        <f>VLOOKUP($A12,'Data shares'!$C:$FB,7)</f>
        <v>904.3</v>
      </c>
      <c r="C12" s="50">
        <f>VLOOKUP($A12,'Data shares'!$C:$FB,10)*100</f>
        <v>2.91</v>
      </c>
      <c r="D12" s="49">
        <f>VLOOKUP($A12,'Data shares'!$C:$FB,66)</f>
        <v>32718000</v>
      </c>
      <c r="E12" s="49">
        <f>VLOOKUP($A12,'Data shares'!$C:$FB,67)</f>
        <v>26971800</v>
      </c>
      <c r="F12" s="50">
        <f>VLOOKUP($A12,'Data shares'!$C:$FB,69)*100</f>
        <v>21.3</v>
      </c>
      <c r="G12" s="49">
        <f>VLOOKUP($A12,'Data shares'!$C:$FB,42)</f>
        <v>9232800</v>
      </c>
      <c r="H12" s="49">
        <f>VLOOKUP($A12,'Data shares'!$C:$FB,43)</f>
        <v>14204400</v>
      </c>
      <c r="I12" s="50">
        <f>VLOOKUP($A12,'Data shares'!$C:$FB,45)*100</f>
        <v>-35</v>
      </c>
      <c r="J12" s="49">
        <f>VLOOKUP($A12,'Data shares'!$C:$FB,58)</f>
        <v>17823000</v>
      </c>
      <c r="K12" s="49">
        <f>VLOOKUP($A12,'Data shares'!$C:$FB,59)</f>
        <v>8969400</v>
      </c>
      <c r="L12" s="50">
        <f>VLOOKUP($A12,'Data shares'!$C:$FB,61)*100</f>
        <v>98.71</v>
      </c>
      <c r="M12" s="49">
        <f>VLOOKUP($A12,'Data shares'!$C:$FB,62)</f>
        <v>5662200</v>
      </c>
      <c r="N12" s="49">
        <f>VLOOKUP($A12,'Data shares'!$C:$FB,63)</f>
        <v>3798000</v>
      </c>
      <c r="O12" s="140">
        <f>VLOOKUP($A12,'Data shares'!$C:$FB,65)*100</f>
        <v>49.08</v>
      </c>
    </row>
    <row r="13" spans="1:15" x14ac:dyDescent="0.25">
      <c r="A13" s="101" t="str">
        <f>'Data Vlaue (Cr)'!C8</f>
        <v>ADANIPORTS</v>
      </c>
      <c r="B13" s="50">
        <f>VLOOKUP($A13,'Data shares'!$C:$FB,7)</f>
        <v>1414.2</v>
      </c>
      <c r="C13" s="50">
        <f>VLOOKUP($A13,'Data shares'!$C:$FB,10)*100</f>
        <v>2.58</v>
      </c>
      <c r="D13" s="49">
        <f>VLOOKUP($A13,'Data shares'!$C:$FB,66)</f>
        <v>48905050</v>
      </c>
      <c r="E13" s="49">
        <f>VLOOKUP($A13,'Data shares'!$C:$FB,67)</f>
        <v>35439275</v>
      </c>
      <c r="F13" s="50">
        <f>VLOOKUP($A13,'Data shares'!$C:$FB,69)*100</f>
        <v>38</v>
      </c>
      <c r="G13" s="49">
        <f>VLOOKUP($A13,'Data shares'!$C:$FB,42)</f>
        <v>21973500</v>
      </c>
      <c r="H13" s="49">
        <f>VLOOKUP($A13,'Data shares'!$C:$FB,43)</f>
        <v>10545000</v>
      </c>
      <c r="I13" s="50">
        <f>VLOOKUP($A13,'Data shares'!$C:$FB,45)*100</f>
        <v>108.38000000000001</v>
      </c>
      <c r="J13" s="49">
        <f>VLOOKUP($A13,'Data shares'!$C:$FB,58)</f>
        <v>16362325</v>
      </c>
      <c r="K13" s="49">
        <f>VLOOKUP($A13,'Data shares'!$C:$FB,59)</f>
        <v>14076150</v>
      </c>
      <c r="L13" s="50">
        <f>VLOOKUP($A13,'Data shares'!$C:$FB,61)*100</f>
        <v>16.239999999999998</v>
      </c>
      <c r="M13" s="49">
        <f>VLOOKUP($A13,'Data shares'!$C:$FB,62)</f>
        <v>10569225</v>
      </c>
      <c r="N13" s="49">
        <f>VLOOKUP($A13,'Data shares'!$C:$FB,63)</f>
        <v>10818125</v>
      </c>
      <c r="O13" s="140">
        <f>VLOOKUP($A13,'Data shares'!$C:$FB,65)*100</f>
        <v>-2.2999999999999998</v>
      </c>
    </row>
    <row r="14" spans="1:15" x14ac:dyDescent="0.25">
      <c r="A14" s="101" t="str">
        <f>'Data Vlaue (Cr)'!C9</f>
        <v>ALKEM</v>
      </c>
      <c r="B14" s="50">
        <f>VLOOKUP($A14,'Data shares'!$C:$FB,7)</f>
        <v>5758.5</v>
      </c>
      <c r="C14" s="50">
        <f>VLOOKUP($A14,'Data shares'!$C:$FB,10)*100</f>
        <v>1.7999999999999998</v>
      </c>
      <c r="D14" s="49">
        <f>VLOOKUP($A14,'Data shares'!$C:$FB,66)</f>
        <v>2240500</v>
      </c>
      <c r="E14" s="49">
        <f>VLOOKUP($A14,'Data shares'!$C:$FB,67)</f>
        <v>1739125</v>
      </c>
      <c r="F14" s="50">
        <f>VLOOKUP($A14,'Data shares'!$C:$FB,69)*100</f>
        <v>28.83</v>
      </c>
      <c r="G14" s="49">
        <f>VLOOKUP($A14,'Data shares'!$C:$FB,42)</f>
        <v>1355250</v>
      </c>
      <c r="H14" s="49">
        <f>VLOOKUP($A14,'Data shares'!$C:$FB,43)</f>
        <v>756625</v>
      </c>
      <c r="I14" s="50">
        <f>VLOOKUP($A14,'Data shares'!$C:$FB,45)*100</f>
        <v>79.12</v>
      </c>
      <c r="J14" s="49">
        <f>VLOOKUP($A14,'Data shares'!$C:$FB,58)</f>
        <v>606375</v>
      </c>
      <c r="K14" s="49">
        <f>VLOOKUP($A14,'Data shares'!$C:$FB,59)</f>
        <v>612375</v>
      </c>
      <c r="L14" s="50">
        <f>VLOOKUP($A14,'Data shares'!$C:$FB,61)*100</f>
        <v>-0.98</v>
      </c>
      <c r="M14" s="49">
        <f>VLOOKUP($A14,'Data shares'!$C:$FB,62)</f>
        <v>278875</v>
      </c>
      <c r="N14" s="49">
        <f>VLOOKUP($A14,'Data shares'!$C:$FB,63)</f>
        <v>370125</v>
      </c>
      <c r="O14" s="140">
        <f>VLOOKUP($A14,'Data shares'!$C:$FB,65)*100</f>
        <v>-24.65</v>
      </c>
    </row>
    <row r="15" spans="1:15" x14ac:dyDescent="0.25">
      <c r="A15" s="101" t="str">
        <f>'Data Vlaue (Cr)'!C10</f>
        <v>AMBER</v>
      </c>
      <c r="B15" s="50">
        <f>VLOOKUP($A15,'Data shares'!$C:$FB,7)</f>
        <v>5732</v>
      </c>
      <c r="C15" s="50">
        <f>VLOOKUP($A15,'Data shares'!$C:$FB,10)*100</f>
        <v>-0.89999999999999991</v>
      </c>
      <c r="D15" s="49">
        <f>VLOOKUP($A15,'Data shares'!$C:$FB,66)</f>
        <v>2652800</v>
      </c>
      <c r="E15" s="49">
        <f>VLOOKUP($A15,'Data shares'!$C:$FB,67)</f>
        <v>3330900</v>
      </c>
      <c r="F15" s="50">
        <f>VLOOKUP($A15,'Data shares'!$C:$FB,69)*100</f>
        <v>-20.36</v>
      </c>
      <c r="G15" s="49">
        <f>VLOOKUP($A15,'Data shares'!$C:$FB,42)</f>
        <v>1052500</v>
      </c>
      <c r="H15" s="49">
        <f>VLOOKUP($A15,'Data shares'!$C:$FB,43)</f>
        <v>883200</v>
      </c>
      <c r="I15" s="50">
        <f>VLOOKUP($A15,'Data shares'!$C:$FB,45)*100</f>
        <v>19.170000000000002</v>
      </c>
      <c r="J15" s="49">
        <f>VLOOKUP($A15,'Data shares'!$C:$FB,58)</f>
        <v>674800</v>
      </c>
      <c r="K15" s="49">
        <f>VLOOKUP($A15,'Data shares'!$C:$FB,59)</f>
        <v>1512100</v>
      </c>
      <c r="L15" s="50">
        <f>VLOOKUP($A15,'Data shares'!$C:$FB,61)*100</f>
        <v>-55.37</v>
      </c>
      <c r="M15" s="49">
        <f>VLOOKUP($A15,'Data shares'!$C:$FB,62)</f>
        <v>925500</v>
      </c>
      <c r="N15" s="49">
        <f>VLOOKUP($A15,'Data shares'!$C:$FB,63)</f>
        <v>935600</v>
      </c>
      <c r="O15" s="140">
        <f>VLOOKUP($A15,'Data shares'!$C:$FB,65)*100</f>
        <v>-1.08</v>
      </c>
    </row>
    <row r="16" spans="1:15" x14ac:dyDescent="0.25">
      <c r="A16" s="101" t="str">
        <f>'Data Vlaue (Cr)'!C11</f>
        <v>AMBUJACEM</v>
      </c>
      <c r="B16" s="50">
        <f>VLOOKUP($A16,'Data shares'!$C:$FB,7)</f>
        <v>546.6</v>
      </c>
      <c r="C16" s="50">
        <f>VLOOKUP($A16,'Data shares'!$C:$FB,10)*100</f>
        <v>1.48</v>
      </c>
      <c r="D16" s="49">
        <f>VLOOKUP($A16,'Data shares'!$C:$FB,66)</f>
        <v>41257650</v>
      </c>
      <c r="E16" s="49">
        <f>VLOOKUP($A16,'Data shares'!$C:$FB,67)</f>
        <v>52943100</v>
      </c>
      <c r="F16" s="50">
        <f>VLOOKUP($A16,'Data shares'!$C:$FB,69)*100</f>
        <v>-22.07</v>
      </c>
      <c r="G16" s="49">
        <f>VLOOKUP($A16,'Data shares'!$C:$FB,42)</f>
        <v>24618300</v>
      </c>
      <c r="H16" s="49">
        <f>VLOOKUP($A16,'Data shares'!$C:$FB,43)</f>
        <v>27177150</v>
      </c>
      <c r="I16" s="50">
        <f>VLOOKUP($A16,'Data shares'!$C:$FB,45)*100</f>
        <v>-9.42</v>
      </c>
      <c r="J16" s="49">
        <f>VLOOKUP($A16,'Data shares'!$C:$FB,58)</f>
        <v>10620750</v>
      </c>
      <c r="K16" s="49">
        <f>VLOOKUP($A16,'Data shares'!$C:$FB,59)</f>
        <v>17851050</v>
      </c>
      <c r="L16" s="50">
        <f>VLOOKUP($A16,'Data shares'!$C:$FB,61)*100</f>
        <v>-40.5</v>
      </c>
      <c r="M16" s="49">
        <f>VLOOKUP($A16,'Data shares'!$C:$FB,62)</f>
        <v>6018600</v>
      </c>
      <c r="N16" s="49">
        <f>VLOOKUP($A16,'Data shares'!$C:$FB,63)</f>
        <v>7914900</v>
      </c>
      <c r="O16" s="140">
        <f>VLOOKUP($A16,'Data shares'!$C:$FB,65)*100</f>
        <v>-23.96</v>
      </c>
    </row>
    <row r="17" spans="1:15" x14ac:dyDescent="0.25">
      <c r="A17" s="101" t="str">
        <f>'Data Vlaue (Cr)'!C12</f>
        <v>ANGELONE</v>
      </c>
      <c r="B17" s="50">
        <f>VLOOKUP($A17,'Data shares'!$C:$FB,7)</f>
        <v>2566.6</v>
      </c>
      <c r="C17" s="50">
        <f>VLOOKUP($A17,'Data shares'!$C:$FB,10)*100</f>
        <v>1.37</v>
      </c>
      <c r="D17" s="49">
        <f>VLOOKUP($A17,'Data shares'!$C:$FB,66)</f>
        <v>15393750</v>
      </c>
      <c r="E17" s="49">
        <f>VLOOKUP($A17,'Data shares'!$C:$FB,67)</f>
        <v>21414750</v>
      </c>
      <c r="F17" s="50">
        <f>VLOOKUP($A17,'Data shares'!$C:$FB,69)*100</f>
        <v>-28.12</v>
      </c>
      <c r="G17" s="49">
        <f>VLOOKUP($A17,'Data shares'!$C:$FB,42)</f>
        <v>3281250</v>
      </c>
      <c r="H17" s="49">
        <f>VLOOKUP($A17,'Data shares'!$C:$FB,43)</f>
        <v>3754500</v>
      </c>
      <c r="I17" s="50">
        <f>VLOOKUP($A17,'Data shares'!$C:$FB,45)*100</f>
        <v>-12.6</v>
      </c>
      <c r="J17" s="49">
        <f>VLOOKUP($A17,'Data shares'!$C:$FB,58)</f>
        <v>7868250</v>
      </c>
      <c r="K17" s="49">
        <f>VLOOKUP($A17,'Data shares'!$C:$FB,59)</f>
        <v>9017500</v>
      </c>
      <c r="L17" s="50">
        <f>VLOOKUP($A17,'Data shares'!$C:$FB,61)*100</f>
        <v>-12.740000000000002</v>
      </c>
      <c r="M17" s="49">
        <f>VLOOKUP($A17,'Data shares'!$C:$FB,62)</f>
        <v>4244250</v>
      </c>
      <c r="N17" s="49">
        <f>VLOOKUP($A17,'Data shares'!$C:$FB,63)</f>
        <v>8642750</v>
      </c>
      <c r="O17" s="140">
        <f>VLOOKUP($A17,'Data shares'!$C:$FB,65)*100</f>
        <v>-50.89</v>
      </c>
    </row>
    <row r="18" spans="1:15" x14ac:dyDescent="0.25">
      <c r="A18" s="101" t="str">
        <f>'Data Vlaue (Cr)'!C13</f>
        <v>APLAPOLLO</v>
      </c>
      <c r="B18" s="50">
        <f>VLOOKUP($A18,'Data shares'!$C:$FB,7)</f>
        <v>1976</v>
      </c>
      <c r="C18" s="50">
        <f>VLOOKUP($A18,'Data shares'!$C:$FB,10)*100</f>
        <v>5.18</v>
      </c>
      <c r="D18" s="49">
        <f>VLOOKUP($A18,'Data shares'!$C:$FB,66)</f>
        <v>21894950</v>
      </c>
      <c r="E18" s="49">
        <f>VLOOKUP($A18,'Data shares'!$C:$FB,67)</f>
        <v>8234450</v>
      </c>
      <c r="F18" s="50">
        <f>VLOOKUP($A18,'Data shares'!$C:$FB,69)*100</f>
        <v>165.89000000000001</v>
      </c>
      <c r="G18" s="49">
        <f>VLOOKUP($A18,'Data shares'!$C:$FB,42)</f>
        <v>5534550</v>
      </c>
      <c r="H18" s="49">
        <f>VLOOKUP($A18,'Data shares'!$C:$FB,43)</f>
        <v>5393150</v>
      </c>
      <c r="I18" s="50">
        <f>VLOOKUP($A18,'Data shares'!$C:$FB,45)*100</f>
        <v>2.62</v>
      </c>
      <c r="J18" s="49">
        <f>VLOOKUP($A18,'Data shares'!$C:$FB,58)</f>
        <v>12084800</v>
      </c>
      <c r="K18" s="49">
        <f>VLOOKUP($A18,'Data shares'!$C:$FB,59)</f>
        <v>1709750</v>
      </c>
      <c r="L18" s="50">
        <f>VLOOKUP($A18,'Data shares'!$C:$FB,61)*100</f>
        <v>606.82000000000005</v>
      </c>
      <c r="M18" s="49">
        <f>VLOOKUP($A18,'Data shares'!$C:$FB,62)</f>
        <v>4275600</v>
      </c>
      <c r="N18" s="49">
        <f>VLOOKUP($A18,'Data shares'!$C:$FB,63)</f>
        <v>1131550</v>
      </c>
      <c r="O18" s="140">
        <f>VLOOKUP($A18,'Data shares'!$C:$FB,65)*100</f>
        <v>277.85000000000002</v>
      </c>
    </row>
    <row r="19" spans="1:15" x14ac:dyDescent="0.25">
      <c r="A19" s="101" t="str">
        <f>'Data Vlaue (Cr)'!C14</f>
        <v>APOLLOHOSP</v>
      </c>
      <c r="B19" s="50">
        <f>VLOOKUP($A19,'Data shares'!$C:$FB,7)</f>
        <v>6797</v>
      </c>
      <c r="C19" s="50">
        <f>VLOOKUP($A19,'Data shares'!$C:$FB,10)*100</f>
        <v>-0.43</v>
      </c>
      <c r="D19" s="49">
        <f>VLOOKUP($A19,'Data shares'!$C:$FB,66)</f>
        <v>8568250</v>
      </c>
      <c r="E19" s="49">
        <f>VLOOKUP($A19,'Data shares'!$C:$FB,67)</f>
        <v>9084500</v>
      </c>
      <c r="F19" s="50">
        <f>VLOOKUP($A19,'Data shares'!$C:$FB,69)*100</f>
        <v>-5.6800000000000006</v>
      </c>
      <c r="G19" s="49">
        <f>VLOOKUP($A19,'Data shares'!$C:$FB,42)</f>
        <v>2478625</v>
      </c>
      <c r="H19" s="49">
        <f>VLOOKUP($A19,'Data shares'!$C:$FB,43)</f>
        <v>1847000</v>
      </c>
      <c r="I19" s="50">
        <f>VLOOKUP($A19,'Data shares'!$C:$FB,45)*100</f>
        <v>34.200000000000003</v>
      </c>
      <c r="J19" s="49">
        <f>VLOOKUP($A19,'Data shares'!$C:$FB,58)</f>
        <v>4466500</v>
      </c>
      <c r="K19" s="49">
        <f>VLOOKUP($A19,'Data shares'!$C:$FB,59)</f>
        <v>4850750</v>
      </c>
      <c r="L19" s="50">
        <f>VLOOKUP($A19,'Data shares'!$C:$FB,61)*100</f>
        <v>-7.9200000000000008</v>
      </c>
      <c r="M19" s="49">
        <f>VLOOKUP($A19,'Data shares'!$C:$FB,62)</f>
        <v>1623125</v>
      </c>
      <c r="N19" s="49">
        <f>VLOOKUP($A19,'Data shares'!$C:$FB,63)</f>
        <v>2386750</v>
      </c>
      <c r="O19" s="140">
        <f>VLOOKUP($A19,'Data shares'!$C:$FB,65)*100</f>
        <v>-31.990000000000002</v>
      </c>
    </row>
    <row r="20" spans="1:15" x14ac:dyDescent="0.25">
      <c r="A20" s="101" t="str">
        <f>'Data Vlaue (Cr)'!C15</f>
        <v>ASHOKLEY</v>
      </c>
      <c r="B20" s="50">
        <f>VLOOKUP($A20,'Data shares'!$C:$FB,7)</f>
        <v>190.28</v>
      </c>
      <c r="C20" s="50">
        <f>VLOOKUP($A20,'Data shares'!$C:$FB,10)*100</f>
        <v>4.99</v>
      </c>
      <c r="D20" s="49">
        <f>VLOOKUP($A20,'Data shares'!$C:$FB,66)</f>
        <v>562200000</v>
      </c>
      <c r="E20" s="49">
        <f>VLOOKUP($A20,'Data shares'!$C:$FB,67)</f>
        <v>389735000</v>
      </c>
      <c r="F20" s="50">
        <f>VLOOKUP($A20,'Data shares'!$C:$FB,69)*100</f>
        <v>44.25</v>
      </c>
      <c r="G20" s="49">
        <f>VLOOKUP($A20,'Data shares'!$C:$FB,42)</f>
        <v>176345000</v>
      </c>
      <c r="H20" s="49">
        <f>VLOOKUP($A20,'Data shares'!$C:$FB,43)</f>
        <v>165000000</v>
      </c>
      <c r="I20" s="50">
        <f>VLOOKUP($A20,'Data shares'!$C:$FB,45)*100</f>
        <v>6.88</v>
      </c>
      <c r="J20" s="49">
        <f>VLOOKUP($A20,'Data shares'!$C:$FB,58)</f>
        <v>259905000</v>
      </c>
      <c r="K20" s="49">
        <f>VLOOKUP($A20,'Data shares'!$C:$FB,59)</f>
        <v>136560000</v>
      </c>
      <c r="L20" s="50">
        <f>VLOOKUP($A20,'Data shares'!$C:$FB,61)*100</f>
        <v>90.32</v>
      </c>
      <c r="M20" s="49">
        <f>VLOOKUP($A20,'Data shares'!$C:$FB,62)</f>
        <v>125950000</v>
      </c>
      <c r="N20" s="49">
        <f>VLOOKUP($A20,'Data shares'!$C:$FB,63)</f>
        <v>88175000</v>
      </c>
      <c r="O20" s="140">
        <f>VLOOKUP($A20,'Data shares'!$C:$FB,65)*100</f>
        <v>42.84</v>
      </c>
    </row>
    <row r="21" spans="1:15" x14ac:dyDescent="0.25">
      <c r="A21" s="101" t="str">
        <f>'Data Vlaue (Cr)'!C16</f>
        <v>ASIANPAINT</v>
      </c>
      <c r="B21" s="50">
        <f>VLOOKUP($A21,'Data shares'!$C:$FB,7)</f>
        <v>2703.8</v>
      </c>
      <c r="C21" s="50">
        <f>VLOOKUP($A21,'Data shares'!$C:$FB,10)*100</f>
        <v>1.6</v>
      </c>
      <c r="D21" s="49">
        <f>VLOOKUP($A21,'Data shares'!$C:$FB,66)</f>
        <v>27883000</v>
      </c>
      <c r="E21" s="49">
        <f>VLOOKUP($A21,'Data shares'!$C:$FB,67)</f>
        <v>22316250</v>
      </c>
      <c r="F21" s="50">
        <f>VLOOKUP($A21,'Data shares'!$C:$FB,69)*100</f>
        <v>24.94</v>
      </c>
      <c r="G21" s="49">
        <f>VLOOKUP($A21,'Data shares'!$C:$FB,42)</f>
        <v>11355500</v>
      </c>
      <c r="H21" s="49">
        <f>VLOOKUP($A21,'Data shares'!$C:$FB,43)</f>
        <v>8533500</v>
      </c>
      <c r="I21" s="50">
        <f>VLOOKUP($A21,'Data shares'!$C:$FB,45)*100</f>
        <v>33.07</v>
      </c>
      <c r="J21" s="49">
        <f>VLOOKUP($A21,'Data shares'!$C:$FB,58)</f>
        <v>9187000</v>
      </c>
      <c r="K21" s="49">
        <f>VLOOKUP($A21,'Data shares'!$C:$FB,59)</f>
        <v>7513750</v>
      </c>
      <c r="L21" s="50">
        <f>VLOOKUP($A21,'Data shares'!$C:$FB,61)*100</f>
        <v>22.27</v>
      </c>
      <c r="M21" s="49">
        <f>VLOOKUP($A21,'Data shares'!$C:$FB,62)</f>
        <v>7340500</v>
      </c>
      <c r="N21" s="49">
        <f>VLOOKUP($A21,'Data shares'!$C:$FB,63)</f>
        <v>6269000</v>
      </c>
      <c r="O21" s="140">
        <f>VLOOKUP($A21,'Data shares'!$C:$FB,65)*100</f>
        <v>17.09</v>
      </c>
    </row>
    <row r="22" spans="1:15" x14ac:dyDescent="0.25">
      <c r="A22" s="101" t="str">
        <f>'Data Vlaue (Cr)'!C17</f>
        <v>ASTRAL</v>
      </c>
      <c r="B22" s="50">
        <f>VLOOKUP($A22,'Data shares'!$C:$FB,7)</f>
        <v>1413.2</v>
      </c>
      <c r="C22" s="50">
        <f>VLOOKUP($A22,'Data shares'!$C:$FB,10)*100</f>
        <v>4.8500000000000005</v>
      </c>
      <c r="D22" s="49">
        <f>VLOOKUP($A22,'Data shares'!$C:$FB,66)</f>
        <v>22847150</v>
      </c>
      <c r="E22" s="49">
        <f>VLOOKUP($A22,'Data shares'!$C:$FB,67)</f>
        <v>23798300</v>
      </c>
      <c r="F22" s="50">
        <f>VLOOKUP($A22,'Data shares'!$C:$FB,69)*100</f>
        <v>-4</v>
      </c>
      <c r="G22" s="49">
        <f>VLOOKUP($A22,'Data shares'!$C:$FB,42)</f>
        <v>9265850</v>
      </c>
      <c r="H22" s="49">
        <f>VLOOKUP($A22,'Data shares'!$C:$FB,43)</f>
        <v>8141300</v>
      </c>
      <c r="I22" s="50">
        <f>VLOOKUP($A22,'Data shares'!$C:$FB,45)*100</f>
        <v>13.81</v>
      </c>
      <c r="J22" s="49">
        <f>VLOOKUP($A22,'Data shares'!$C:$FB,58)</f>
        <v>8908000</v>
      </c>
      <c r="K22" s="49">
        <f>VLOOKUP($A22,'Data shares'!$C:$FB,59)</f>
        <v>6844625</v>
      </c>
      <c r="L22" s="50">
        <f>VLOOKUP($A22,'Data shares'!$C:$FB,61)*100</f>
        <v>30.15</v>
      </c>
      <c r="M22" s="49">
        <f>VLOOKUP($A22,'Data shares'!$C:$FB,62)</f>
        <v>4673300</v>
      </c>
      <c r="N22" s="49">
        <f>VLOOKUP($A22,'Data shares'!$C:$FB,63)</f>
        <v>8812375</v>
      </c>
      <c r="O22" s="140">
        <f>VLOOKUP($A22,'Data shares'!$C:$FB,65)*100</f>
        <v>-46.97</v>
      </c>
    </row>
    <row r="23" spans="1:15" x14ac:dyDescent="0.25">
      <c r="A23" s="101" t="str">
        <f>'Data Vlaue (Cr)'!C18</f>
        <v>AUBANK</v>
      </c>
      <c r="B23" s="50">
        <f>VLOOKUP($A23,'Data shares'!$C:$FB,7)</f>
        <v>1000.55</v>
      </c>
      <c r="C23" s="50">
        <f>VLOOKUP($A23,'Data shares'!$C:$FB,10)*100</f>
        <v>0.57000000000000006</v>
      </c>
      <c r="D23" s="49">
        <f>VLOOKUP($A23,'Data shares'!$C:$FB,66)</f>
        <v>78719000</v>
      </c>
      <c r="E23" s="49">
        <f>VLOOKUP($A23,'Data shares'!$C:$FB,67)</f>
        <v>186810000</v>
      </c>
      <c r="F23" s="50">
        <f>VLOOKUP($A23,'Data shares'!$C:$FB,69)*100</f>
        <v>-57.86</v>
      </c>
      <c r="G23" s="49">
        <f>VLOOKUP($A23,'Data shares'!$C:$FB,42)</f>
        <v>26953000</v>
      </c>
      <c r="H23" s="49">
        <f>VLOOKUP($A23,'Data shares'!$C:$FB,43)</f>
        <v>28942000</v>
      </c>
      <c r="I23" s="50">
        <f>VLOOKUP($A23,'Data shares'!$C:$FB,45)*100</f>
        <v>-6.87</v>
      </c>
      <c r="J23" s="49">
        <f>VLOOKUP($A23,'Data shares'!$C:$FB,58)</f>
        <v>31078000</v>
      </c>
      <c r="K23" s="49">
        <f>VLOOKUP($A23,'Data shares'!$C:$FB,59)</f>
        <v>89089000</v>
      </c>
      <c r="L23" s="50">
        <f>VLOOKUP($A23,'Data shares'!$C:$FB,61)*100</f>
        <v>-65.12</v>
      </c>
      <c r="M23" s="49">
        <f>VLOOKUP($A23,'Data shares'!$C:$FB,62)</f>
        <v>20688000</v>
      </c>
      <c r="N23" s="49">
        <f>VLOOKUP($A23,'Data shares'!$C:$FB,63)</f>
        <v>68779000</v>
      </c>
      <c r="O23" s="140">
        <f>VLOOKUP($A23,'Data shares'!$C:$FB,65)*100</f>
        <v>-69.92</v>
      </c>
    </row>
    <row r="24" spans="1:15" x14ac:dyDescent="0.25">
      <c r="A24" s="101" t="str">
        <f>'Data Vlaue (Cr)'!C19</f>
        <v>AUROPHARMA</v>
      </c>
      <c r="B24" s="50">
        <f>VLOOKUP($A24,'Data shares'!$C:$FB,7)</f>
        <v>1145.3</v>
      </c>
      <c r="C24" s="50">
        <f>VLOOKUP($A24,'Data shares'!$C:$FB,10)*100</f>
        <v>2.1</v>
      </c>
      <c r="D24" s="49">
        <f>VLOOKUP($A24,'Data shares'!$C:$FB,66)</f>
        <v>18040550</v>
      </c>
      <c r="E24" s="49">
        <f>VLOOKUP($A24,'Data shares'!$C:$FB,67)</f>
        <v>31270800</v>
      </c>
      <c r="F24" s="50">
        <f>VLOOKUP($A24,'Data shares'!$C:$FB,69)*100</f>
        <v>-42.309999999999995</v>
      </c>
      <c r="G24" s="49">
        <f>VLOOKUP($A24,'Data shares'!$C:$FB,42)</f>
        <v>11441650</v>
      </c>
      <c r="H24" s="49">
        <f>VLOOKUP($A24,'Data shares'!$C:$FB,43)</f>
        <v>17387700</v>
      </c>
      <c r="I24" s="50">
        <f>VLOOKUP($A24,'Data shares'!$C:$FB,45)*100</f>
        <v>-34.200000000000003</v>
      </c>
      <c r="J24" s="49">
        <f>VLOOKUP($A24,'Data shares'!$C:$FB,58)</f>
        <v>4362050</v>
      </c>
      <c r="K24" s="49">
        <f>VLOOKUP($A24,'Data shares'!$C:$FB,59)</f>
        <v>8187300</v>
      </c>
      <c r="L24" s="50">
        <f>VLOOKUP($A24,'Data shares'!$C:$FB,61)*100</f>
        <v>-46.72</v>
      </c>
      <c r="M24" s="49">
        <f>VLOOKUP($A24,'Data shares'!$C:$FB,62)</f>
        <v>2236850</v>
      </c>
      <c r="N24" s="49">
        <f>VLOOKUP($A24,'Data shares'!$C:$FB,63)</f>
        <v>5695800</v>
      </c>
      <c r="O24" s="140">
        <f>VLOOKUP($A24,'Data shares'!$C:$FB,65)*100</f>
        <v>-60.73</v>
      </c>
    </row>
    <row r="25" spans="1:15" x14ac:dyDescent="0.25">
      <c r="A25" s="101" t="str">
        <f>'Data Vlaue (Cr)'!C20</f>
        <v>AXISBANK</v>
      </c>
      <c r="B25" s="50">
        <f>VLOOKUP($A25,'Data shares'!$C:$FB,7)</f>
        <v>1294.8</v>
      </c>
      <c r="C25" s="50">
        <f>VLOOKUP($A25,'Data shares'!$C:$FB,10)*100</f>
        <v>0.77</v>
      </c>
      <c r="D25" s="49">
        <f>VLOOKUP($A25,'Data shares'!$C:$FB,66)</f>
        <v>118646250</v>
      </c>
      <c r="E25" s="49">
        <f>VLOOKUP($A25,'Data shares'!$C:$FB,67)</f>
        <v>138428750</v>
      </c>
      <c r="F25" s="50">
        <f>VLOOKUP($A25,'Data shares'!$C:$FB,69)*100</f>
        <v>-14.29</v>
      </c>
      <c r="G25" s="49">
        <f>VLOOKUP($A25,'Data shares'!$C:$FB,42)</f>
        <v>50730625</v>
      </c>
      <c r="H25" s="49">
        <f>VLOOKUP($A25,'Data shares'!$C:$FB,43)</f>
        <v>51541250</v>
      </c>
      <c r="I25" s="50">
        <f>VLOOKUP($A25,'Data shares'!$C:$FB,45)*100</f>
        <v>-1.5699999999999998</v>
      </c>
      <c r="J25" s="49">
        <f>VLOOKUP($A25,'Data shares'!$C:$FB,58)</f>
        <v>41171250</v>
      </c>
      <c r="K25" s="49">
        <f>VLOOKUP($A25,'Data shares'!$C:$FB,59)</f>
        <v>51455000</v>
      </c>
      <c r="L25" s="50">
        <f>VLOOKUP($A25,'Data shares'!$C:$FB,61)*100</f>
        <v>-19.989999999999998</v>
      </c>
      <c r="M25" s="49">
        <f>VLOOKUP($A25,'Data shares'!$C:$FB,62)</f>
        <v>26744375</v>
      </c>
      <c r="N25" s="49">
        <f>VLOOKUP($A25,'Data shares'!$C:$FB,63)</f>
        <v>35432500</v>
      </c>
      <c r="O25" s="140">
        <f>VLOOKUP($A25,'Data shares'!$C:$FB,65)*100</f>
        <v>-24.52</v>
      </c>
    </row>
    <row r="26" spans="1:15" x14ac:dyDescent="0.25">
      <c r="A26" s="101" t="str">
        <f>'Data Vlaue (Cr)'!C21</f>
        <v>BAJAJ-AUTO</v>
      </c>
      <c r="B26" s="50">
        <f>VLOOKUP($A26,'Data shares'!$C:$FB,7)</f>
        <v>9370</v>
      </c>
      <c r="C26" s="50">
        <f>VLOOKUP($A26,'Data shares'!$C:$FB,10)*100</f>
        <v>2.08</v>
      </c>
      <c r="D26" s="49">
        <f>VLOOKUP($A26,'Data shares'!$C:$FB,66)</f>
        <v>7940700</v>
      </c>
      <c r="E26" s="49">
        <f>VLOOKUP($A26,'Data shares'!$C:$FB,67)</f>
        <v>8225775</v>
      </c>
      <c r="F26" s="50">
        <f>VLOOKUP($A26,'Data shares'!$C:$FB,69)*100</f>
        <v>-3.47</v>
      </c>
      <c r="G26" s="49">
        <f>VLOOKUP($A26,'Data shares'!$C:$FB,42)</f>
        <v>3188475</v>
      </c>
      <c r="H26" s="49">
        <f>VLOOKUP($A26,'Data shares'!$C:$FB,43)</f>
        <v>3772125</v>
      </c>
      <c r="I26" s="50">
        <f>VLOOKUP($A26,'Data shares'!$C:$FB,45)*100</f>
        <v>-15.47</v>
      </c>
      <c r="J26" s="49">
        <f>VLOOKUP($A26,'Data shares'!$C:$FB,58)</f>
        <v>3192000</v>
      </c>
      <c r="K26" s="49">
        <f>VLOOKUP($A26,'Data shares'!$C:$FB,59)</f>
        <v>2885775</v>
      </c>
      <c r="L26" s="50">
        <f>VLOOKUP($A26,'Data shares'!$C:$FB,61)*100</f>
        <v>10.61</v>
      </c>
      <c r="M26" s="49">
        <f>VLOOKUP($A26,'Data shares'!$C:$FB,62)</f>
        <v>1560225</v>
      </c>
      <c r="N26" s="49">
        <f>VLOOKUP($A26,'Data shares'!$C:$FB,63)</f>
        <v>1567875</v>
      </c>
      <c r="O26" s="140">
        <f>VLOOKUP($A26,'Data shares'!$C:$FB,65)*100</f>
        <v>-0.49</v>
      </c>
    </row>
    <row r="27" spans="1:15" x14ac:dyDescent="0.25">
      <c r="A27" s="101" t="str">
        <f>'Data Vlaue (Cr)'!C22</f>
        <v>BAJAJFINSV</v>
      </c>
      <c r="B27" s="50">
        <f>VLOOKUP($A27,'Data shares'!$C:$FB,7)</f>
        <v>1993.1</v>
      </c>
      <c r="C27" s="50">
        <f>VLOOKUP($A27,'Data shares'!$C:$FB,10)*100</f>
        <v>1.69</v>
      </c>
      <c r="D27" s="49">
        <f>VLOOKUP($A27,'Data shares'!$C:$FB,66)</f>
        <v>15849250</v>
      </c>
      <c r="E27" s="49">
        <f>VLOOKUP($A27,'Data shares'!$C:$FB,67)</f>
        <v>16356750</v>
      </c>
      <c r="F27" s="50">
        <f>VLOOKUP($A27,'Data shares'!$C:$FB,69)*100</f>
        <v>-3.1</v>
      </c>
      <c r="G27" s="49">
        <f>VLOOKUP($A27,'Data shares'!$C:$FB,42)</f>
        <v>9741750</v>
      </c>
      <c r="H27" s="49">
        <f>VLOOKUP($A27,'Data shares'!$C:$FB,43)</f>
        <v>6864250</v>
      </c>
      <c r="I27" s="50">
        <f>VLOOKUP($A27,'Data shares'!$C:$FB,45)*100</f>
        <v>41.92</v>
      </c>
      <c r="J27" s="49">
        <f>VLOOKUP($A27,'Data shares'!$C:$FB,58)</f>
        <v>4170500</v>
      </c>
      <c r="K27" s="49">
        <f>VLOOKUP($A27,'Data shares'!$C:$FB,59)</f>
        <v>5727750</v>
      </c>
      <c r="L27" s="50">
        <f>VLOOKUP($A27,'Data shares'!$C:$FB,61)*100</f>
        <v>-27.189999999999998</v>
      </c>
      <c r="M27" s="49">
        <f>VLOOKUP($A27,'Data shares'!$C:$FB,62)</f>
        <v>1937000</v>
      </c>
      <c r="N27" s="49">
        <f>VLOOKUP($A27,'Data shares'!$C:$FB,63)</f>
        <v>3764750</v>
      </c>
      <c r="O27" s="140">
        <f>VLOOKUP($A27,'Data shares'!$C:$FB,65)*100</f>
        <v>-48.55</v>
      </c>
    </row>
    <row r="28" spans="1:15" x14ac:dyDescent="0.25">
      <c r="A28" s="101" t="str">
        <f>'Data Vlaue (Cr)'!C23</f>
        <v>BAJAJHLDNG</v>
      </c>
      <c r="B28" s="50">
        <f>VLOOKUP($A28,'Data shares'!$C:$FB,7)</f>
        <v>10735</v>
      </c>
      <c r="C28" s="50">
        <f>VLOOKUP($A28,'Data shares'!$C:$FB,10)*100</f>
        <v>1.1499999999999999</v>
      </c>
      <c r="D28" s="49">
        <f>VLOOKUP($A28,'Data shares'!$C:$FB,66)</f>
        <v>543700</v>
      </c>
      <c r="E28" s="49">
        <f>VLOOKUP($A28,'Data shares'!$C:$FB,67)</f>
        <v>358200</v>
      </c>
      <c r="F28" s="50">
        <f>VLOOKUP($A28,'Data shares'!$C:$FB,69)*100</f>
        <v>51.790000000000006</v>
      </c>
      <c r="G28" s="49">
        <f>VLOOKUP($A28,'Data shares'!$C:$FB,42)</f>
        <v>152750</v>
      </c>
      <c r="H28" s="49">
        <f>VLOOKUP($A28,'Data shares'!$C:$FB,43)</f>
        <v>77300</v>
      </c>
      <c r="I28" s="50">
        <f>VLOOKUP($A28,'Data shares'!$C:$FB,45)*100</f>
        <v>97.61</v>
      </c>
      <c r="J28" s="49">
        <f>VLOOKUP($A28,'Data shares'!$C:$FB,58)</f>
        <v>345450</v>
      </c>
      <c r="K28" s="49">
        <f>VLOOKUP($A28,'Data shares'!$C:$FB,59)</f>
        <v>253350</v>
      </c>
      <c r="L28" s="50">
        <f>VLOOKUP($A28,'Data shares'!$C:$FB,61)*100</f>
        <v>36.35</v>
      </c>
      <c r="M28" s="49">
        <f>VLOOKUP($A28,'Data shares'!$C:$FB,62)</f>
        <v>45500</v>
      </c>
      <c r="N28" s="49">
        <f>VLOOKUP($A28,'Data shares'!$C:$FB,63)</f>
        <v>27550</v>
      </c>
      <c r="O28" s="140">
        <f>VLOOKUP($A28,'Data shares'!$C:$FB,65)*100</f>
        <v>65.149999999999991</v>
      </c>
    </row>
    <row r="29" spans="1:15" x14ac:dyDescent="0.25">
      <c r="A29" s="101" t="str">
        <f>'Data Vlaue (Cr)'!C24</f>
        <v>BAJFINANCE</v>
      </c>
      <c r="B29" s="50">
        <f>VLOOKUP($A29,'Data shares'!$C:$FB,7)</f>
        <v>942.85</v>
      </c>
      <c r="C29" s="50">
        <f>VLOOKUP($A29,'Data shares'!$C:$FB,10)*100</f>
        <v>0.70000000000000007</v>
      </c>
      <c r="D29" s="49">
        <f>VLOOKUP($A29,'Data shares'!$C:$FB,66)</f>
        <v>118597500</v>
      </c>
      <c r="E29" s="49">
        <f>VLOOKUP($A29,'Data shares'!$C:$FB,67)</f>
        <v>128484000</v>
      </c>
      <c r="F29" s="50">
        <f>VLOOKUP($A29,'Data shares'!$C:$FB,69)*100</f>
        <v>-7.6899999999999995</v>
      </c>
      <c r="G29" s="49">
        <f>VLOOKUP($A29,'Data shares'!$C:$FB,42)</f>
        <v>65297250</v>
      </c>
      <c r="H29" s="49">
        <f>VLOOKUP($A29,'Data shares'!$C:$FB,43)</f>
        <v>52157250</v>
      </c>
      <c r="I29" s="50">
        <f>VLOOKUP($A29,'Data shares'!$C:$FB,45)*100</f>
        <v>25.19</v>
      </c>
      <c r="J29" s="49">
        <f>VLOOKUP($A29,'Data shares'!$C:$FB,58)</f>
        <v>34947750</v>
      </c>
      <c r="K29" s="49">
        <f>VLOOKUP($A29,'Data shares'!$C:$FB,59)</f>
        <v>46700250</v>
      </c>
      <c r="L29" s="50">
        <f>VLOOKUP($A29,'Data shares'!$C:$FB,61)*100</f>
        <v>-25.169999999999998</v>
      </c>
      <c r="M29" s="49">
        <f>VLOOKUP($A29,'Data shares'!$C:$FB,62)</f>
        <v>18352500</v>
      </c>
      <c r="N29" s="49">
        <f>VLOOKUP($A29,'Data shares'!$C:$FB,63)</f>
        <v>29626500</v>
      </c>
      <c r="O29" s="140">
        <f>VLOOKUP($A29,'Data shares'!$C:$FB,65)*100</f>
        <v>-38.049999999999997</v>
      </c>
    </row>
    <row r="30" spans="1:15" x14ac:dyDescent="0.25">
      <c r="A30" s="101" t="str">
        <f>'Data Vlaue (Cr)'!C25</f>
        <v>BANDHANBNK</v>
      </c>
      <c r="B30" s="50">
        <f>VLOOKUP($A30,'Data shares'!$C:$FB,7)</f>
        <v>142.46</v>
      </c>
      <c r="C30" s="50">
        <f>VLOOKUP($A30,'Data shares'!$C:$FB,10)*100</f>
        <v>3.25</v>
      </c>
      <c r="D30" s="49">
        <f>VLOOKUP($A30,'Data shares'!$C:$FB,66)</f>
        <v>28036800</v>
      </c>
      <c r="E30" s="49">
        <f>VLOOKUP($A30,'Data shares'!$C:$FB,67)</f>
        <v>121068000</v>
      </c>
      <c r="F30" s="50">
        <f>VLOOKUP($A30,'Data shares'!$C:$FB,69)*100</f>
        <v>-76.84</v>
      </c>
      <c r="G30" s="49">
        <f>VLOOKUP($A30,'Data shares'!$C:$FB,42)</f>
        <v>22215600</v>
      </c>
      <c r="H30" s="49">
        <f>VLOOKUP($A30,'Data shares'!$C:$FB,43)</f>
        <v>53701200</v>
      </c>
      <c r="I30" s="50">
        <f>VLOOKUP($A30,'Data shares'!$C:$FB,45)*100</f>
        <v>-58.63</v>
      </c>
      <c r="J30" s="49">
        <f>VLOOKUP($A30,'Data shares'!$C:$FB,58)</f>
        <v>4017600</v>
      </c>
      <c r="K30" s="49">
        <f>VLOOKUP($A30,'Data shares'!$C:$FB,59)</f>
        <v>38584800</v>
      </c>
      <c r="L30" s="50">
        <f>VLOOKUP($A30,'Data shares'!$C:$FB,61)*100</f>
        <v>-89.59</v>
      </c>
      <c r="M30" s="49">
        <f>VLOOKUP($A30,'Data shares'!$C:$FB,62)</f>
        <v>1803600</v>
      </c>
      <c r="N30" s="49">
        <f>VLOOKUP($A30,'Data shares'!$C:$FB,63)</f>
        <v>28782000</v>
      </c>
      <c r="O30" s="140">
        <f>VLOOKUP($A30,'Data shares'!$C:$FB,65)*100</f>
        <v>-93.73</v>
      </c>
    </row>
    <row r="31" spans="1:15" x14ac:dyDescent="0.25">
      <c r="A31" s="101" t="str">
        <f>'Data Vlaue (Cr)'!C26</f>
        <v>BANKBARODA</v>
      </c>
      <c r="B31" s="50">
        <f>VLOOKUP($A31,'Data shares'!$C:$FB,7)</f>
        <v>305.3</v>
      </c>
      <c r="C31" s="50">
        <f>VLOOKUP($A31,'Data shares'!$C:$FB,10)*100</f>
        <v>2.09</v>
      </c>
      <c r="D31" s="49">
        <f>VLOOKUP($A31,'Data shares'!$C:$FB,66)</f>
        <v>187738200</v>
      </c>
      <c r="E31" s="49">
        <f>VLOOKUP($A31,'Data shares'!$C:$FB,67)</f>
        <v>191590425</v>
      </c>
      <c r="F31" s="50">
        <f>VLOOKUP($A31,'Data shares'!$C:$FB,69)*100</f>
        <v>-2.0099999999999998</v>
      </c>
      <c r="G31" s="49">
        <f>VLOOKUP($A31,'Data shares'!$C:$FB,42)</f>
        <v>70261425</v>
      </c>
      <c r="H31" s="49">
        <f>VLOOKUP($A31,'Data shares'!$C:$FB,43)</f>
        <v>50049675</v>
      </c>
      <c r="I31" s="50">
        <f>VLOOKUP($A31,'Data shares'!$C:$FB,45)*100</f>
        <v>40.380000000000003</v>
      </c>
      <c r="J31" s="49">
        <f>VLOOKUP($A31,'Data shares'!$C:$FB,58)</f>
        <v>72607275</v>
      </c>
      <c r="K31" s="49">
        <f>VLOOKUP($A31,'Data shares'!$C:$FB,59)</f>
        <v>82113525</v>
      </c>
      <c r="L31" s="50">
        <f>VLOOKUP($A31,'Data shares'!$C:$FB,61)*100</f>
        <v>-11.58</v>
      </c>
      <c r="M31" s="49">
        <f>VLOOKUP($A31,'Data shares'!$C:$FB,62)</f>
        <v>44869500</v>
      </c>
      <c r="N31" s="49">
        <f>VLOOKUP($A31,'Data shares'!$C:$FB,63)</f>
        <v>59427225</v>
      </c>
      <c r="O31" s="140">
        <f>VLOOKUP($A31,'Data shares'!$C:$FB,65)*100</f>
        <v>-24.5</v>
      </c>
    </row>
    <row r="32" spans="1:15" x14ac:dyDescent="0.25">
      <c r="A32" s="101" t="str">
        <f>'Data Vlaue (Cr)'!C27</f>
        <v>BANKINDIA</v>
      </c>
      <c r="B32" s="50">
        <f>VLOOKUP($A32,'Data shares'!$C:$FB,7)</f>
        <v>166.42</v>
      </c>
      <c r="C32" s="50">
        <f>VLOOKUP($A32,'Data shares'!$C:$FB,10)*100</f>
        <v>5.6800000000000006</v>
      </c>
      <c r="D32" s="49">
        <f>VLOOKUP($A32,'Data shares'!$C:$FB,66)</f>
        <v>412380800</v>
      </c>
      <c r="E32" s="49">
        <f>VLOOKUP($A32,'Data shares'!$C:$FB,67)</f>
        <v>178157200</v>
      </c>
      <c r="F32" s="50">
        <f>VLOOKUP($A32,'Data shares'!$C:$FB,69)*100</f>
        <v>131.47</v>
      </c>
      <c r="G32" s="49">
        <f>VLOOKUP($A32,'Data shares'!$C:$FB,42)</f>
        <v>91286000</v>
      </c>
      <c r="H32" s="49">
        <f>VLOOKUP($A32,'Data shares'!$C:$FB,43)</f>
        <v>46009600</v>
      </c>
      <c r="I32" s="50">
        <f>VLOOKUP($A32,'Data shares'!$C:$FB,45)*100</f>
        <v>98.41</v>
      </c>
      <c r="J32" s="49">
        <f>VLOOKUP($A32,'Data shares'!$C:$FB,58)</f>
        <v>225066400</v>
      </c>
      <c r="K32" s="49">
        <f>VLOOKUP($A32,'Data shares'!$C:$FB,59)</f>
        <v>77552800</v>
      </c>
      <c r="L32" s="50">
        <f>VLOOKUP($A32,'Data shares'!$C:$FB,61)*100</f>
        <v>190.20999999999998</v>
      </c>
      <c r="M32" s="49">
        <f>VLOOKUP($A32,'Data shares'!$C:$FB,62)</f>
        <v>96028400</v>
      </c>
      <c r="N32" s="49">
        <f>VLOOKUP($A32,'Data shares'!$C:$FB,63)</f>
        <v>54594800</v>
      </c>
      <c r="O32" s="140">
        <f>VLOOKUP($A32,'Data shares'!$C:$FB,65)*100</f>
        <v>75.89</v>
      </c>
    </row>
    <row r="33" spans="1:15" x14ac:dyDescent="0.25">
      <c r="A33" s="101" t="str">
        <f>'Data Vlaue (Cr)'!C28</f>
        <v>BANKNIFTY</v>
      </c>
      <c r="B33" s="50">
        <f>VLOOKUP($A33,'Data shares'!$C:$FB,7)</f>
        <v>59200.1</v>
      </c>
      <c r="C33" s="50">
        <f>VLOOKUP($A33,'Data shares'!$C:$FB,10)*100</f>
        <v>0.67999999999999994</v>
      </c>
      <c r="D33" s="49">
        <f>VLOOKUP($A33,'Data shares'!$C:$FB,66)</f>
        <v>247445190</v>
      </c>
      <c r="E33" s="49">
        <f>VLOOKUP($A33,'Data shares'!$C:$FB,67)</f>
        <v>318820380</v>
      </c>
      <c r="F33" s="50">
        <f>VLOOKUP($A33,'Data shares'!$C:$FB,69)*100</f>
        <v>-22.39</v>
      </c>
      <c r="G33" s="49">
        <f>VLOOKUP($A33,'Data shares'!$C:$FB,42)</f>
        <v>1616370</v>
      </c>
      <c r="H33" s="49">
        <f>VLOOKUP($A33,'Data shares'!$C:$FB,43)</f>
        <v>1830840</v>
      </c>
      <c r="I33" s="50">
        <f>VLOOKUP($A33,'Data shares'!$C:$FB,45)*100</f>
        <v>-11.709999999999999</v>
      </c>
      <c r="J33" s="49">
        <f>VLOOKUP($A33,'Data shares'!$C:$FB,58)</f>
        <v>129420480</v>
      </c>
      <c r="K33" s="49">
        <f>VLOOKUP($A33,'Data shares'!$C:$FB,59)</f>
        <v>160221210</v>
      </c>
      <c r="L33" s="50">
        <f>VLOOKUP($A33,'Data shares'!$C:$FB,61)*100</f>
        <v>-19.220000000000002</v>
      </c>
      <c r="M33" s="49">
        <f>VLOOKUP($A33,'Data shares'!$C:$FB,62)</f>
        <v>116408340</v>
      </c>
      <c r="N33" s="49">
        <f>VLOOKUP($A33,'Data shares'!$C:$FB,63)</f>
        <v>156768330</v>
      </c>
      <c r="O33" s="140">
        <f>VLOOKUP($A33,'Data shares'!$C:$FB,65)*100</f>
        <v>-25.740000000000002</v>
      </c>
    </row>
    <row r="34" spans="1:15" x14ac:dyDescent="0.25">
      <c r="A34" s="101" t="str">
        <f>'Data Vlaue (Cr)'!C29</f>
        <v>BDL</v>
      </c>
      <c r="B34" s="50">
        <f>VLOOKUP($A34,'Data shares'!$C:$FB,7)</f>
        <v>1451.2</v>
      </c>
      <c r="C34" s="50">
        <f>VLOOKUP($A34,'Data shares'!$C:$FB,10)*100</f>
        <v>2.25</v>
      </c>
      <c r="D34" s="49">
        <f>VLOOKUP($A34,'Data shares'!$C:$FB,66)</f>
        <v>11600750</v>
      </c>
      <c r="E34" s="49">
        <f>VLOOKUP($A34,'Data shares'!$C:$FB,67)</f>
        <v>18301850</v>
      </c>
      <c r="F34" s="50">
        <f>VLOOKUP($A34,'Data shares'!$C:$FB,69)*100</f>
        <v>-36.61</v>
      </c>
      <c r="G34" s="49">
        <f>VLOOKUP($A34,'Data shares'!$C:$FB,42)</f>
        <v>3584700</v>
      </c>
      <c r="H34" s="49">
        <f>VLOOKUP($A34,'Data shares'!$C:$FB,43)</f>
        <v>2703050</v>
      </c>
      <c r="I34" s="50">
        <f>VLOOKUP($A34,'Data shares'!$C:$FB,45)*100</f>
        <v>32.619999999999997</v>
      </c>
      <c r="J34" s="49">
        <f>VLOOKUP($A34,'Data shares'!$C:$FB,58)</f>
        <v>5780600</v>
      </c>
      <c r="K34" s="49">
        <f>VLOOKUP($A34,'Data shares'!$C:$FB,59)</f>
        <v>10515750</v>
      </c>
      <c r="L34" s="50">
        <f>VLOOKUP($A34,'Data shares'!$C:$FB,61)*100</f>
        <v>-45.03</v>
      </c>
      <c r="M34" s="49">
        <f>VLOOKUP($A34,'Data shares'!$C:$FB,62)</f>
        <v>2235450</v>
      </c>
      <c r="N34" s="49">
        <f>VLOOKUP($A34,'Data shares'!$C:$FB,63)</f>
        <v>5083050</v>
      </c>
      <c r="O34" s="140">
        <f>VLOOKUP($A34,'Data shares'!$C:$FB,65)*100</f>
        <v>-56.02</v>
      </c>
    </row>
    <row r="35" spans="1:15" x14ac:dyDescent="0.25">
      <c r="A35" s="101" t="str">
        <f>'Data Vlaue (Cr)'!C30</f>
        <v>BEL</v>
      </c>
      <c r="B35" s="50">
        <f>VLOOKUP($A35,'Data shares'!$C:$FB,7)</f>
        <v>417.3</v>
      </c>
      <c r="C35" s="50">
        <f>VLOOKUP($A35,'Data shares'!$C:$FB,10)*100</f>
        <v>3.64</v>
      </c>
      <c r="D35" s="49">
        <f>VLOOKUP($A35,'Data shares'!$C:$FB,66)</f>
        <v>329685150</v>
      </c>
      <c r="E35" s="49">
        <f>VLOOKUP($A35,'Data shares'!$C:$FB,67)</f>
        <v>328773150</v>
      </c>
      <c r="F35" s="50">
        <f>VLOOKUP($A35,'Data shares'!$C:$FB,69)*100</f>
        <v>0.27999999999999997</v>
      </c>
      <c r="G35" s="49">
        <f>VLOOKUP($A35,'Data shares'!$C:$FB,42)</f>
        <v>80214675</v>
      </c>
      <c r="H35" s="49">
        <f>VLOOKUP($A35,'Data shares'!$C:$FB,43)</f>
        <v>53226600</v>
      </c>
      <c r="I35" s="50">
        <f>VLOOKUP($A35,'Data shares'!$C:$FB,45)*100</f>
        <v>50.7</v>
      </c>
      <c r="J35" s="49">
        <f>VLOOKUP($A35,'Data shares'!$C:$FB,58)</f>
        <v>166053825</v>
      </c>
      <c r="K35" s="49">
        <f>VLOOKUP($A35,'Data shares'!$C:$FB,59)</f>
        <v>162687975</v>
      </c>
      <c r="L35" s="50">
        <f>VLOOKUP($A35,'Data shares'!$C:$FB,61)*100</f>
        <v>2.0699999999999998</v>
      </c>
      <c r="M35" s="49">
        <f>VLOOKUP($A35,'Data shares'!$C:$FB,62)</f>
        <v>83416650</v>
      </c>
      <c r="N35" s="49">
        <f>VLOOKUP($A35,'Data shares'!$C:$FB,63)</f>
        <v>112858575</v>
      </c>
      <c r="O35" s="140">
        <f>VLOOKUP($A35,'Data shares'!$C:$FB,65)*100</f>
        <v>-26.090000000000003</v>
      </c>
    </row>
    <row r="36" spans="1:15" x14ac:dyDescent="0.25">
      <c r="A36" s="101" t="str">
        <f>'Data Vlaue (Cr)'!C31</f>
        <v>BHARATFORG</v>
      </c>
      <c r="B36" s="50">
        <f>VLOOKUP($A36,'Data shares'!$C:$FB,7)</f>
        <v>1431.5</v>
      </c>
      <c r="C36" s="50">
        <f>VLOOKUP($A36,'Data shares'!$C:$FB,10)*100</f>
        <v>3.73</v>
      </c>
      <c r="D36" s="49">
        <f>VLOOKUP($A36,'Data shares'!$C:$FB,66)</f>
        <v>23434000</v>
      </c>
      <c r="E36" s="49">
        <f>VLOOKUP($A36,'Data shares'!$C:$FB,67)</f>
        <v>13596500</v>
      </c>
      <c r="F36" s="50">
        <f>VLOOKUP($A36,'Data shares'!$C:$FB,69)*100</f>
        <v>72.350000000000009</v>
      </c>
      <c r="G36" s="49">
        <f>VLOOKUP($A36,'Data shares'!$C:$FB,42)</f>
        <v>8812500</v>
      </c>
      <c r="H36" s="49">
        <f>VLOOKUP($A36,'Data shares'!$C:$FB,43)</f>
        <v>5096500</v>
      </c>
      <c r="I36" s="50">
        <f>VLOOKUP($A36,'Data shares'!$C:$FB,45)*100</f>
        <v>72.91</v>
      </c>
      <c r="J36" s="49">
        <f>VLOOKUP($A36,'Data shares'!$C:$FB,58)</f>
        <v>10385000</v>
      </c>
      <c r="K36" s="49">
        <f>VLOOKUP($A36,'Data shares'!$C:$FB,59)</f>
        <v>5292500</v>
      </c>
      <c r="L36" s="50">
        <f>VLOOKUP($A36,'Data shares'!$C:$FB,61)*100</f>
        <v>96.22</v>
      </c>
      <c r="M36" s="49">
        <f>VLOOKUP($A36,'Data shares'!$C:$FB,62)</f>
        <v>4236500</v>
      </c>
      <c r="N36" s="49">
        <f>VLOOKUP($A36,'Data shares'!$C:$FB,63)</f>
        <v>3207500</v>
      </c>
      <c r="O36" s="140">
        <f>VLOOKUP($A36,'Data shares'!$C:$FB,65)*100</f>
        <v>32.08</v>
      </c>
    </row>
    <row r="37" spans="1:15" x14ac:dyDescent="0.25">
      <c r="A37" s="101" t="str">
        <f>'Data Vlaue (Cr)'!C32</f>
        <v>BHARTIARTL</v>
      </c>
      <c r="B37" s="50">
        <f>VLOOKUP($A37,'Data shares'!$C:$FB,7)</f>
        <v>2002.2</v>
      </c>
      <c r="C37" s="50">
        <f>VLOOKUP($A37,'Data shares'!$C:$FB,10)*100</f>
        <v>0.31</v>
      </c>
      <c r="D37" s="49">
        <f>VLOOKUP($A37,'Data shares'!$C:$FB,66)</f>
        <v>83954825</v>
      </c>
      <c r="E37" s="49">
        <f>VLOOKUP($A37,'Data shares'!$C:$FB,67)</f>
        <v>75271825</v>
      </c>
      <c r="F37" s="50">
        <f>VLOOKUP($A37,'Data shares'!$C:$FB,69)*100</f>
        <v>11.540000000000001</v>
      </c>
      <c r="G37" s="49">
        <f>VLOOKUP($A37,'Data shares'!$C:$FB,42)</f>
        <v>39267775</v>
      </c>
      <c r="H37" s="49">
        <f>VLOOKUP($A37,'Data shares'!$C:$FB,43)</f>
        <v>24777900</v>
      </c>
      <c r="I37" s="50">
        <f>VLOOKUP($A37,'Data shares'!$C:$FB,45)*100</f>
        <v>58.48</v>
      </c>
      <c r="J37" s="49">
        <f>VLOOKUP($A37,'Data shares'!$C:$FB,58)</f>
        <v>29536925</v>
      </c>
      <c r="K37" s="49">
        <f>VLOOKUP($A37,'Data shares'!$C:$FB,59)</f>
        <v>31251675</v>
      </c>
      <c r="L37" s="50">
        <f>VLOOKUP($A37,'Data shares'!$C:$FB,61)*100</f>
        <v>-5.4899999999999993</v>
      </c>
      <c r="M37" s="49">
        <f>VLOOKUP($A37,'Data shares'!$C:$FB,62)</f>
        <v>15150125</v>
      </c>
      <c r="N37" s="49">
        <f>VLOOKUP($A37,'Data shares'!$C:$FB,63)</f>
        <v>19242250</v>
      </c>
      <c r="O37" s="140">
        <f>VLOOKUP($A37,'Data shares'!$C:$FB,65)*100</f>
        <v>-21.27</v>
      </c>
    </row>
    <row r="38" spans="1:15" x14ac:dyDescent="0.25">
      <c r="A38" s="101" t="str">
        <f>'Data Vlaue (Cr)'!C33</f>
        <v>BHEL</v>
      </c>
      <c r="B38" s="50">
        <f>VLOOKUP($A38,'Data shares'!$C:$FB,7)</f>
        <v>251.55</v>
      </c>
      <c r="C38" s="50">
        <f>VLOOKUP($A38,'Data shares'!$C:$FB,10)*100</f>
        <v>-0.32</v>
      </c>
      <c r="D38" s="49">
        <f>VLOOKUP($A38,'Data shares'!$C:$FB,66)</f>
        <v>212890125</v>
      </c>
      <c r="E38" s="49">
        <f>VLOOKUP($A38,'Data shares'!$C:$FB,67)</f>
        <v>389319000</v>
      </c>
      <c r="F38" s="50">
        <f>VLOOKUP($A38,'Data shares'!$C:$FB,69)*100</f>
        <v>-45.32</v>
      </c>
      <c r="G38" s="49">
        <f>VLOOKUP($A38,'Data shares'!$C:$FB,42)</f>
        <v>49885500</v>
      </c>
      <c r="H38" s="49">
        <f>VLOOKUP($A38,'Data shares'!$C:$FB,43)</f>
        <v>50313375</v>
      </c>
      <c r="I38" s="50">
        <f>VLOOKUP($A38,'Data shares'!$C:$FB,45)*100</f>
        <v>-0.85000000000000009</v>
      </c>
      <c r="J38" s="49">
        <f>VLOOKUP($A38,'Data shares'!$C:$FB,58)</f>
        <v>113092875</v>
      </c>
      <c r="K38" s="49">
        <f>VLOOKUP($A38,'Data shares'!$C:$FB,59)</f>
        <v>223986000</v>
      </c>
      <c r="L38" s="50">
        <f>VLOOKUP($A38,'Data shares'!$C:$FB,61)*100</f>
        <v>-49.51</v>
      </c>
      <c r="M38" s="49">
        <f>VLOOKUP($A38,'Data shares'!$C:$FB,62)</f>
        <v>49911750</v>
      </c>
      <c r="N38" s="49">
        <f>VLOOKUP($A38,'Data shares'!$C:$FB,63)</f>
        <v>115019625</v>
      </c>
      <c r="O38" s="140">
        <f>VLOOKUP($A38,'Data shares'!$C:$FB,65)*100</f>
        <v>-56.610000000000007</v>
      </c>
    </row>
    <row r="39" spans="1:15" x14ac:dyDescent="0.25">
      <c r="A39" s="101" t="str">
        <f>'Data Vlaue (Cr)'!C34</f>
        <v>BIOCON</v>
      </c>
      <c r="B39" s="50">
        <f>VLOOKUP($A39,'Data shares'!$C:$FB,7)</f>
        <v>373</v>
      </c>
      <c r="C39" s="50">
        <f>VLOOKUP($A39,'Data shares'!$C:$FB,10)*100</f>
        <v>2.23</v>
      </c>
      <c r="D39" s="49">
        <f>VLOOKUP($A39,'Data shares'!$C:$FB,66)</f>
        <v>60405000</v>
      </c>
      <c r="E39" s="49">
        <f>VLOOKUP($A39,'Data shares'!$C:$FB,67)</f>
        <v>71335000</v>
      </c>
      <c r="F39" s="50">
        <f>VLOOKUP($A39,'Data shares'!$C:$FB,69)*100</f>
        <v>-15.32</v>
      </c>
      <c r="G39" s="49">
        <f>VLOOKUP($A39,'Data shares'!$C:$FB,42)</f>
        <v>21210000</v>
      </c>
      <c r="H39" s="49">
        <f>VLOOKUP($A39,'Data shares'!$C:$FB,43)</f>
        <v>16692500</v>
      </c>
      <c r="I39" s="50">
        <f>VLOOKUP($A39,'Data shares'!$C:$FB,45)*100</f>
        <v>27.060000000000002</v>
      </c>
      <c r="J39" s="49">
        <f>VLOOKUP($A39,'Data shares'!$C:$FB,58)</f>
        <v>25520000</v>
      </c>
      <c r="K39" s="49">
        <f>VLOOKUP($A39,'Data shares'!$C:$FB,59)</f>
        <v>36535000</v>
      </c>
      <c r="L39" s="50">
        <f>VLOOKUP($A39,'Data shares'!$C:$FB,61)*100</f>
        <v>-30.15</v>
      </c>
      <c r="M39" s="49">
        <f>VLOOKUP($A39,'Data shares'!$C:$FB,62)</f>
        <v>13675000</v>
      </c>
      <c r="N39" s="49">
        <f>VLOOKUP($A39,'Data shares'!$C:$FB,63)</f>
        <v>18107500</v>
      </c>
      <c r="O39" s="140">
        <f>VLOOKUP($A39,'Data shares'!$C:$FB,65)*100</f>
        <v>-24.48</v>
      </c>
    </row>
    <row r="40" spans="1:15" x14ac:dyDescent="0.25">
      <c r="A40" s="101" t="str">
        <f>'Data Vlaue (Cr)'!C35</f>
        <v>BLUESTARCO</v>
      </c>
      <c r="B40" s="50">
        <f>VLOOKUP($A40,'Data shares'!$C:$FB,7)</f>
        <v>1709.3</v>
      </c>
      <c r="C40" s="50">
        <f>VLOOKUP($A40,'Data shares'!$C:$FB,10)*100</f>
        <v>-0.26</v>
      </c>
      <c r="D40" s="49">
        <f>VLOOKUP($A40,'Data shares'!$C:$FB,66)</f>
        <v>3884725</v>
      </c>
      <c r="E40" s="49">
        <f>VLOOKUP($A40,'Data shares'!$C:$FB,67)</f>
        <v>8303425</v>
      </c>
      <c r="F40" s="50">
        <f>VLOOKUP($A40,'Data shares'!$C:$FB,69)*100</f>
        <v>-53.22</v>
      </c>
      <c r="G40" s="49">
        <f>VLOOKUP($A40,'Data shares'!$C:$FB,42)</f>
        <v>2191150</v>
      </c>
      <c r="H40" s="49">
        <f>VLOOKUP($A40,'Data shares'!$C:$FB,43)</f>
        <v>2933450</v>
      </c>
      <c r="I40" s="50">
        <f>VLOOKUP($A40,'Data shares'!$C:$FB,45)*100</f>
        <v>-25.3</v>
      </c>
      <c r="J40" s="49">
        <f>VLOOKUP($A40,'Data shares'!$C:$FB,58)</f>
        <v>1017575</v>
      </c>
      <c r="K40" s="49">
        <f>VLOOKUP($A40,'Data shares'!$C:$FB,59)</f>
        <v>2051725</v>
      </c>
      <c r="L40" s="50">
        <f>VLOOKUP($A40,'Data shares'!$C:$FB,61)*100</f>
        <v>-50.4</v>
      </c>
      <c r="M40" s="49">
        <f>VLOOKUP($A40,'Data shares'!$C:$FB,62)</f>
        <v>676000</v>
      </c>
      <c r="N40" s="49">
        <f>VLOOKUP($A40,'Data shares'!$C:$FB,63)</f>
        <v>3318250</v>
      </c>
      <c r="O40" s="140">
        <f>VLOOKUP($A40,'Data shares'!$C:$FB,65)*100</f>
        <v>-79.63</v>
      </c>
    </row>
    <row r="41" spans="1:15" x14ac:dyDescent="0.25">
      <c r="A41" s="101" t="str">
        <f>'Data Vlaue (Cr)'!C36</f>
        <v>BOSCHLTD</v>
      </c>
      <c r="B41" s="50">
        <f>VLOOKUP($A41,'Data shares'!$C:$FB,7)</f>
        <v>35710</v>
      </c>
      <c r="C41" s="50">
        <f>VLOOKUP($A41,'Data shares'!$C:$FB,10)*100</f>
        <v>1.6500000000000001</v>
      </c>
      <c r="D41" s="49">
        <f>VLOOKUP($A41,'Data shares'!$C:$FB,66)</f>
        <v>1032375</v>
      </c>
      <c r="E41" s="49">
        <f>VLOOKUP($A41,'Data shares'!$C:$FB,67)</f>
        <v>989400</v>
      </c>
      <c r="F41" s="50">
        <f>VLOOKUP($A41,'Data shares'!$C:$FB,69)*100</f>
        <v>4.34</v>
      </c>
      <c r="G41" s="49">
        <f>VLOOKUP($A41,'Data shares'!$C:$FB,42)</f>
        <v>175200</v>
      </c>
      <c r="H41" s="49">
        <f>VLOOKUP($A41,'Data shares'!$C:$FB,43)</f>
        <v>151075</v>
      </c>
      <c r="I41" s="50">
        <f>VLOOKUP($A41,'Data shares'!$C:$FB,45)*100</f>
        <v>15.97</v>
      </c>
      <c r="J41" s="49">
        <f>VLOOKUP($A41,'Data shares'!$C:$FB,58)</f>
        <v>733050</v>
      </c>
      <c r="K41" s="49">
        <f>VLOOKUP($A41,'Data shares'!$C:$FB,59)</f>
        <v>623550</v>
      </c>
      <c r="L41" s="50">
        <f>VLOOKUP($A41,'Data shares'!$C:$FB,61)*100</f>
        <v>17.560000000000002</v>
      </c>
      <c r="M41" s="49">
        <f>VLOOKUP($A41,'Data shares'!$C:$FB,62)</f>
        <v>124125</v>
      </c>
      <c r="N41" s="49">
        <f>VLOOKUP($A41,'Data shares'!$C:$FB,63)</f>
        <v>214775</v>
      </c>
      <c r="O41" s="140">
        <f>VLOOKUP($A41,'Data shares'!$C:$FB,65)*100</f>
        <v>-42.21</v>
      </c>
    </row>
    <row r="42" spans="1:15" x14ac:dyDescent="0.25">
      <c r="A42" s="101" t="str">
        <f>'Data Vlaue (Cr)'!C37</f>
        <v>BPCL</v>
      </c>
      <c r="B42" s="50">
        <f>VLOOKUP($A42,'Data shares'!$C:$FB,7)</f>
        <v>354.15</v>
      </c>
      <c r="C42" s="50">
        <f>VLOOKUP($A42,'Data shares'!$C:$FB,10)*100</f>
        <v>0.63</v>
      </c>
      <c r="D42" s="49">
        <f>VLOOKUP($A42,'Data shares'!$C:$FB,66)</f>
        <v>61651600</v>
      </c>
      <c r="E42" s="49">
        <f>VLOOKUP($A42,'Data shares'!$C:$FB,67)</f>
        <v>74868300</v>
      </c>
      <c r="F42" s="50">
        <f>VLOOKUP($A42,'Data shares'!$C:$FB,69)*100</f>
        <v>-17.649999999999999</v>
      </c>
      <c r="G42" s="49">
        <f>VLOOKUP($A42,'Data shares'!$C:$FB,42)</f>
        <v>18164075</v>
      </c>
      <c r="H42" s="49">
        <f>VLOOKUP($A42,'Data shares'!$C:$FB,43)</f>
        <v>21981750</v>
      </c>
      <c r="I42" s="50">
        <f>VLOOKUP($A42,'Data shares'!$C:$FB,45)*100</f>
        <v>-17.37</v>
      </c>
      <c r="J42" s="49">
        <f>VLOOKUP($A42,'Data shares'!$C:$FB,58)</f>
        <v>23956750</v>
      </c>
      <c r="K42" s="49">
        <f>VLOOKUP($A42,'Data shares'!$C:$FB,59)</f>
        <v>30029875</v>
      </c>
      <c r="L42" s="50">
        <f>VLOOKUP($A42,'Data shares'!$C:$FB,61)*100</f>
        <v>-20.22</v>
      </c>
      <c r="M42" s="49">
        <f>VLOOKUP($A42,'Data shares'!$C:$FB,62)</f>
        <v>19530775</v>
      </c>
      <c r="N42" s="49">
        <f>VLOOKUP($A42,'Data shares'!$C:$FB,63)</f>
        <v>22856675</v>
      </c>
      <c r="O42" s="140">
        <f>VLOOKUP($A42,'Data shares'!$C:$FB,65)*100</f>
        <v>-14.549999999999999</v>
      </c>
    </row>
    <row r="43" spans="1:15" x14ac:dyDescent="0.25">
      <c r="A43" s="101" t="str">
        <f>'Data Vlaue (Cr)'!C38</f>
        <v>BRITANNIA</v>
      </c>
      <c r="B43" s="50">
        <f>VLOOKUP($A43,'Data shares'!$C:$FB,7)</f>
        <v>5932</v>
      </c>
      <c r="C43" s="50">
        <f>VLOOKUP($A43,'Data shares'!$C:$FB,10)*100</f>
        <v>2.23</v>
      </c>
      <c r="D43" s="49">
        <f>VLOOKUP($A43,'Data shares'!$C:$FB,66)</f>
        <v>6034750</v>
      </c>
      <c r="E43" s="49">
        <f>VLOOKUP($A43,'Data shares'!$C:$FB,67)</f>
        <v>4313000</v>
      </c>
      <c r="F43" s="50">
        <f>VLOOKUP($A43,'Data shares'!$C:$FB,69)*100</f>
        <v>39.92</v>
      </c>
      <c r="G43" s="49">
        <f>VLOOKUP($A43,'Data shares'!$C:$FB,42)</f>
        <v>3168500</v>
      </c>
      <c r="H43" s="49">
        <f>VLOOKUP($A43,'Data shares'!$C:$FB,43)</f>
        <v>2026875</v>
      </c>
      <c r="I43" s="50">
        <f>VLOOKUP($A43,'Data shares'!$C:$FB,45)*100</f>
        <v>56.32</v>
      </c>
      <c r="J43" s="49">
        <f>VLOOKUP($A43,'Data shares'!$C:$FB,58)</f>
        <v>1919625</v>
      </c>
      <c r="K43" s="49">
        <f>VLOOKUP($A43,'Data shares'!$C:$FB,59)</f>
        <v>1345875</v>
      </c>
      <c r="L43" s="50">
        <f>VLOOKUP($A43,'Data shares'!$C:$FB,61)*100</f>
        <v>42.63</v>
      </c>
      <c r="M43" s="49">
        <f>VLOOKUP($A43,'Data shares'!$C:$FB,62)</f>
        <v>946625</v>
      </c>
      <c r="N43" s="49">
        <f>VLOOKUP($A43,'Data shares'!$C:$FB,63)</f>
        <v>940250</v>
      </c>
      <c r="O43" s="140">
        <f>VLOOKUP($A43,'Data shares'!$C:$FB,65)*100</f>
        <v>0.67999999999999994</v>
      </c>
    </row>
    <row r="44" spans="1:15" x14ac:dyDescent="0.25">
      <c r="A44" s="101" t="str">
        <f>'Data Vlaue (Cr)'!C39</f>
        <v>BSE</v>
      </c>
      <c r="B44" s="50">
        <f>VLOOKUP($A44,'Data shares'!$C:$FB,7)</f>
        <v>2708.6</v>
      </c>
      <c r="C44" s="50">
        <f>VLOOKUP($A44,'Data shares'!$C:$FB,10)*100</f>
        <v>3.04</v>
      </c>
      <c r="D44" s="49">
        <f>VLOOKUP($A44,'Data shares'!$C:$FB,66)</f>
        <v>48900750</v>
      </c>
      <c r="E44" s="49">
        <f>VLOOKUP($A44,'Data shares'!$C:$FB,67)</f>
        <v>56547375</v>
      </c>
      <c r="F44" s="50">
        <f>VLOOKUP($A44,'Data shares'!$C:$FB,69)*100</f>
        <v>-13.52</v>
      </c>
      <c r="G44" s="49">
        <f>VLOOKUP($A44,'Data shares'!$C:$FB,42)</f>
        <v>8477625</v>
      </c>
      <c r="H44" s="49">
        <f>VLOOKUP($A44,'Data shares'!$C:$FB,43)</f>
        <v>8119500</v>
      </c>
      <c r="I44" s="50">
        <f>VLOOKUP($A44,'Data shares'!$C:$FB,45)*100</f>
        <v>4.41</v>
      </c>
      <c r="J44" s="49">
        <f>VLOOKUP($A44,'Data shares'!$C:$FB,58)</f>
        <v>27139500</v>
      </c>
      <c r="K44" s="49">
        <f>VLOOKUP($A44,'Data shares'!$C:$FB,59)</f>
        <v>27328500</v>
      </c>
      <c r="L44" s="50">
        <f>VLOOKUP($A44,'Data shares'!$C:$FB,61)*100</f>
        <v>-0.69</v>
      </c>
      <c r="M44" s="49">
        <f>VLOOKUP($A44,'Data shares'!$C:$FB,62)</f>
        <v>13283625</v>
      </c>
      <c r="N44" s="49">
        <f>VLOOKUP($A44,'Data shares'!$C:$FB,63)</f>
        <v>21099375</v>
      </c>
      <c r="O44" s="140">
        <f>VLOOKUP($A44,'Data shares'!$C:$FB,65)*100</f>
        <v>-37.04</v>
      </c>
    </row>
    <row r="45" spans="1:15" x14ac:dyDescent="0.25">
      <c r="A45" s="101" t="str">
        <f>'Data Vlaue (Cr)'!C40</f>
        <v>CAMS</v>
      </c>
      <c r="B45" s="50">
        <f>VLOOKUP($A45,'Data shares'!$C:$FB,7)</f>
        <v>707.75</v>
      </c>
      <c r="C45" s="50">
        <f>VLOOKUP($A45,'Data shares'!$C:$FB,10)*100</f>
        <v>1.02</v>
      </c>
      <c r="D45" s="49">
        <f>VLOOKUP($A45,'Data shares'!$C:$FB,66)</f>
        <v>64203000</v>
      </c>
      <c r="E45" s="49">
        <f>VLOOKUP($A45,'Data shares'!$C:$FB,67)</f>
        <v>18537000</v>
      </c>
      <c r="F45" s="50">
        <f>VLOOKUP($A45,'Data shares'!$C:$FB,69)*100</f>
        <v>246.34999999999997</v>
      </c>
      <c r="G45" s="49">
        <f>VLOOKUP($A45,'Data shares'!$C:$FB,42)</f>
        <v>11976000</v>
      </c>
      <c r="H45" s="49">
        <f>VLOOKUP($A45,'Data shares'!$C:$FB,43)</f>
        <v>6354750</v>
      </c>
      <c r="I45" s="50">
        <f>VLOOKUP($A45,'Data shares'!$C:$FB,45)*100</f>
        <v>88.460000000000008</v>
      </c>
      <c r="J45" s="49">
        <f>VLOOKUP($A45,'Data shares'!$C:$FB,58)</f>
        <v>34713750</v>
      </c>
      <c r="K45" s="49">
        <f>VLOOKUP($A45,'Data shares'!$C:$FB,59)</f>
        <v>5502000</v>
      </c>
      <c r="L45" s="50">
        <f>VLOOKUP($A45,'Data shares'!$C:$FB,61)*100</f>
        <v>530.93000000000006</v>
      </c>
      <c r="M45" s="49">
        <f>VLOOKUP($A45,'Data shares'!$C:$FB,62)</f>
        <v>17513250</v>
      </c>
      <c r="N45" s="49">
        <f>VLOOKUP($A45,'Data shares'!$C:$FB,63)</f>
        <v>6680250</v>
      </c>
      <c r="O45" s="140">
        <f>VLOOKUP($A45,'Data shares'!$C:$FB,65)*100</f>
        <v>162.16</v>
      </c>
    </row>
    <row r="46" spans="1:15" x14ac:dyDescent="0.25">
      <c r="A46" s="101" t="str">
        <f>'Data Vlaue (Cr)'!C41</f>
        <v>CANBK</v>
      </c>
      <c r="B46" s="50">
        <f>VLOOKUP($A46,'Data shares'!$C:$FB,7)</f>
        <v>154.68</v>
      </c>
      <c r="C46" s="50">
        <f>VLOOKUP($A46,'Data shares'!$C:$FB,10)*100</f>
        <v>2.6</v>
      </c>
      <c r="D46" s="49">
        <f>VLOOKUP($A46,'Data shares'!$C:$FB,66)</f>
        <v>398155500</v>
      </c>
      <c r="E46" s="49">
        <f>VLOOKUP($A46,'Data shares'!$C:$FB,67)</f>
        <v>577165500</v>
      </c>
      <c r="F46" s="50">
        <f>VLOOKUP($A46,'Data shares'!$C:$FB,69)*100</f>
        <v>-31.019999999999996</v>
      </c>
      <c r="G46" s="49">
        <f>VLOOKUP($A46,'Data shares'!$C:$FB,42)</f>
        <v>128493000</v>
      </c>
      <c r="H46" s="49">
        <f>VLOOKUP($A46,'Data shares'!$C:$FB,43)</f>
        <v>155337750</v>
      </c>
      <c r="I46" s="50">
        <f>VLOOKUP($A46,'Data shares'!$C:$FB,45)*100</f>
        <v>-17.28</v>
      </c>
      <c r="J46" s="49">
        <f>VLOOKUP($A46,'Data shares'!$C:$FB,58)</f>
        <v>163113750</v>
      </c>
      <c r="K46" s="49">
        <f>VLOOKUP($A46,'Data shares'!$C:$FB,59)</f>
        <v>274630500</v>
      </c>
      <c r="L46" s="50">
        <f>VLOOKUP($A46,'Data shares'!$C:$FB,61)*100</f>
        <v>-40.61</v>
      </c>
      <c r="M46" s="49">
        <f>VLOOKUP($A46,'Data shares'!$C:$FB,62)</f>
        <v>106548750</v>
      </c>
      <c r="N46" s="49">
        <f>VLOOKUP($A46,'Data shares'!$C:$FB,63)</f>
        <v>147197250</v>
      </c>
      <c r="O46" s="140">
        <f>VLOOKUP($A46,'Data shares'!$C:$FB,65)*100</f>
        <v>-27.61</v>
      </c>
    </row>
    <row r="47" spans="1:15" x14ac:dyDescent="0.25">
      <c r="A47" s="101" t="str">
        <f>'Data Vlaue (Cr)'!C42</f>
        <v>CDSL</v>
      </c>
      <c r="B47" s="50">
        <f>VLOOKUP($A47,'Data shares'!$C:$FB,7)</f>
        <v>1356.6</v>
      </c>
      <c r="C47" s="50">
        <f>VLOOKUP($A47,'Data shares'!$C:$FB,10)*100</f>
        <v>1.71</v>
      </c>
      <c r="D47" s="49">
        <f>VLOOKUP($A47,'Data shares'!$C:$FB,66)</f>
        <v>30248950</v>
      </c>
      <c r="E47" s="49">
        <f>VLOOKUP($A47,'Data shares'!$C:$FB,67)</f>
        <v>39414075</v>
      </c>
      <c r="F47" s="50">
        <f>VLOOKUP($A47,'Data shares'!$C:$FB,69)*100</f>
        <v>-23.25</v>
      </c>
      <c r="G47" s="49">
        <f>VLOOKUP($A47,'Data shares'!$C:$FB,42)</f>
        <v>9083900</v>
      </c>
      <c r="H47" s="49">
        <f>VLOOKUP($A47,'Data shares'!$C:$FB,43)</f>
        <v>8350975</v>
      </c>
      <c r="I47" s="50">
        <f>VLOOKUP($A47,'Data shares'!$C:$FB,45)*100</f>
        <v>8.7800000000000011</v>
      </c>
      <c r="J47" s="49">
        <f>VLOOKUP($A47,'Data shares'!$C:$FB,58)</f>
        <v>15672625</v>
      </c>
      <c r="K47" s="49">
        <f>VLOOKUP($A47,'Data shares'!$C:$FB,59)</f>
        <v>19168625</v>
      </c>
      <c r="L47" s="50">
        <f>VLOOKUP($A47,'Data shares'!$C:$FB,61)*100</f>
        <v>-18.240000000000002</v>
      </c>
      <c r="M47" s="49">
        <f>VLOOKUP($A47,'Data shares'!$C:$FB,62)</f>
        <v>5492425</v>
      </c>
      <c r="N47" s="49">
        <f>VLOOKUP($A47,'Data shares'!$C:$FB,63)</f>
        <v>11894475</v>
      </c>
      <c r="O47" s="140">
        <f>VLOOKUP($A47,'Data shares'!$C:$FB,65)*100</f>
        <v>-53.82</v>
      </c>
    </row>
    <row r="48" spans="1:15" x14ac:dyDescent="0.25">
      <c r="A48" s="101" t="str">
        <f>'Data Vlaue (Cr)'!C43</f>
        <v>CGPOWER</v>
      </c>
      <c r="B48" s="50">
        <f>VLOOKUP($A48,'Data shares'!$C:$FB,7)</f>
        <v>574.25</v>
      </c>
      <c r="C48" s="50">
        <f>VLOOKUP($A48,'Data shares'!$C:$FB,10)*100</f>
        <v>-0.18</v>
      </c>
      <c r="D48" s="49">
        <f>VLOOKUP($A48,'Data shares'!$C:$FB,66)</f>
        <v>36381700</v>
      </c>
      <c r="E48" s="49">
        <f>VLOOKUP($A48,'Data shares'!$C:$FB,67)</f>
        <v>57535650</v>
      </c>
      <c r="F48" s="50">
        <f>VLOOKUP($A48,'Data shares'!$C:$FB,69)*100</f>
        <v>-36.770000000000003</v>
      </c>
      <c r="G48" s="49">
        <f>VLOOKUP($A48,'Data shares'!$C:$FB,42)</f>
        <v>15674850</v>
      </c>
      <c r="H48" s="49">
        <f>VLOOKUP($A48,'Data shares'!$C:$FB,43)</f>
        <v>13458050</v>
      </c>
      <c r="I48" s="50">
        <f>VLOOKUP($A48,'Data shares'!$C:$FB,45)*100</f>
        <v>16.470000000000002</v>
      </c>
      <c r="J48" s="49">
        <f>VLOOKUP($A48,'Data shares'!$C:$FB,58)</f>
        <v>14228150</v>
      </c>
      <c r="K48" s="49">
        <f>VLOOKUP($A48,'Data shares'!$C:$FB,59)</f>
        <v>27126050</v>
      </c>
      <c r="L48" s="50">
        <f>VLOOKUP($A48,'Data shares'!$C:$FB,61)*100</f>
        <v>-47.55</v>
      </c>
      <c r="M48" s="49">
        <f>VLOOKUP($A48,'Data shares'!$C:$FB,62)</f>
        <v>6478700</v>
      </c>
      <c r="N48" s="49">
        <f>VLOOKUP($A48,'Data shares'!$C:$FB,63)</f>
        <v>16951550</v>
      </c>
      <c r="O48" s="140">
        <f>VLOOKUP($A48,'Data shares'!$C:$FB,65)*100</f>
        <v>-61.78</v>
      </c>
    </row>
    <row r="49" spans="1:15" x14ac:dyDescent="0.25">
      <c r="A49" s="101" t="str">
        <f>'Data Vlaue (Cr)'!C44</f>
        <v>CHOLAFIN</v>
      </c>
      <c r="B49" s="50">
        <f>VLOOKUP($A49,'Data shares'!$C:$FB,7)</f>
        <v>1664</v>
      </c>
      <c r="C49" s="50">
        <f>VLOOKUP($A49,'Data shares'!$C:$FB,10)*100</f>
        <v>2.2200000000000002</v>
      </c>
      <c r="D49" s="49">
        <f>VLOOKUP($A49,'Data shares'!$C:$FB,66)</f>
        <v>22038750</v>
      </c>
      <c r="E49" s="49">
        <f>VLOOKUP($A49,'Data shares'!$C:$FB,67)</f>
        <v>18898125</v>
      </c>
      <c r="F49" s="50">
        <f>VLOOKUP($A49,'Data shares'!$C:$FB,69)*100</f>
        <v>16.619999999999997</v>
      </c>
      <c r="G49" s="49">
        <f>VLOOKUP($A49,'Data shares'!$C:$FB,42)</f>
        <v>12888750</v>
      </c>
      <c r="H49" s="49">
        <f>VLOOKUP($A49,'Data shares'!$C:$FB,43)</f>
        <v>8292500</v>
      </c>
      <c r="I49" s="50">
        <f>VLOOKUP($A49,'Data shares'!$C:$FB,45)*100</f>
        <v>55.43</v>
      </c>
      <c r="J49" s="49">
        <f>VLOOKUP($A49,'Data shares'!$C:$FB,58)</f>
        <v>5832500</v>
      </c>
      <c r="K49" s="49">
        <f>VLOOKUP($A49,'Data shares'!$C:$FB,59)</f>
        <v>6128750</v>
      </c>
      <c r="L49" s="50">
        <f>VLOOKUP($A49,'Data shares'!$C:$FB,61)*100</f>
        <v>-4.83</v>
      </c>
      <c r="M49" s="49">
        <f>VLOOKUP($A49,'Data shares'!$C:$FB,62)</f>
        <v>3317500</v>
      </c>
      <c r="N49" s="49">
        <f>VLOOKUP($A49,'Data shares'!$C:$FB,63)</f>
        <v>4476875</v>
      </c>
      <c r="O49" s="140">
        <f>VLOOKUP($A49,'Data shares'!$C:$FB,65)*100</f>
        <v>-25.900000000000002</v>
      </c>
    </row>
    <row r="50" spans="1:15" x14ac:dyDescent="0.25">
      <c r="A50" s="101" t="str">
        <f>'Data Vlaue (Cr)'!C45</f>
        <v>CIPLA</v>
      </c>
      <c r="B50" s="50">
        <f>VLOOKUP($A50,'Data shares'!$C:$FB,7)</f>
        <v>1370.4</v>
      </c>
      <c r="C50" s="50">
        <f>VLOOKUP($A50,'Data shares'!$C:$FB,10)*100</f>
        <v>0.06</v>
      </c>
      <c r="D50" s="49">
        <f>VLOOKUP($A50,'Data shares'!$C:$FB,66)</f>
        <v>22966500</v>
      </c>
      <c r="E50" s="49">
        <f>VLOOKUP($A50,'Data shares'!$C:$FB,67)</f>
        <v>25128375</v>
      </c>
      <c r="F50" s="50">
        <f>VLOOKUP($A50,'Data shares'!$C:$FB,69)*100</f>
        <v>-8.6</v>
      </c>
      <c r="G50" s="49">
        <f>VLOOKUP($A50,'Data shares'!$C:$FB,42)</f>
        <v>9754500</v>
      </c>
      <c r="H50" s="49">
        <f>VLOOKUP($A50,'Data shares'!$C:$FB,43)</f>
        <v>9153375</v>
      </c>
      <c r="I50" s="50">
        <f>VLOOKUP($A50,'Data shares'!$C:$FB,45)*100</f>
        <v>6.5699999999999994</v>
      </c>
      <c r="J50" s="49">
        <f>VLOOKUP($A50,'Data shares'!$C:$FB,58)</f>
        <v>8251500</v>
      </c>
      <c r="K50" s="49">
        <f>VLOOKUP($A50,'Data shares'!$C:$FB,59)</f>
        <v>9140250</v>
      </c>
      <c r="L50" s="50">
        <f>VLOOKUP($A50,'Data shares'!$C:$FB,61)*100</f>
        <v>-9.7199999999999989</v>
      </c>
      <c r="M50" s="49">
        <f>VLOOKUP($A50,'Data shares'!$C:$FB,62)</f>
        <v>4960500</v>
      </c>
      <c r="N50" s="49">
        <f>VLOOKUP($A50,'Data shares'!$C:$FB,63)</f>
        <v>6834750</v>
      </c>
      <c r="O50" s="140">
        <f>VLOOKUP($A50,'Data shares'!$C:$FB,65)*100</f>
        <v>-27.42</v>
      </c>
    </row>
    <row r="51" spans="1:15" x14ac:dyDescent="0.25">
      <c r="A51" s="101" t="str">
        <f>'Data Vlaue (Cr)'!C46</f>
        <v>COALINDIA</v>
      </c>
      <c r="B51" s="50">
        <f>VLOOKUP($A51,'Data shares'!$C:$FB,7)</f>
        <v>423.2</v>
      </c>
      <c r="C51" s="50">
        <f>VLOOKUP($A51,'Data shares'!$C:$FB,10)*100</f>
        <v>2.21</v>
      </c>
      <c r="D51" s="49">
        <f>VLOOKUP($A51,'Data shares'!$C:$FB,66)</f>
        <v>162233550</v>
      </c>
      <c r="E51" s="49">
        <f>VLOOKUP($A51,'Data shares'!$C:$FB,67)</f>
        <v>148522950</v>
      </c>
      <c r="F51" s="50">
        <f>VLOOKUP($A51,'Data shares'!$C:$FB,69)*100</f>
        <v>9.2299999999999986</v>
      </c>
      <c r="G51" s="49">
        <f>VLOOKUP($A51,'Data shares'!$C:$FB,42)</f>
        <v>32906250</v>
      </c>
      <c r="H51" s="49">
        <f>VLOOKUP($A51,'Data shares'!$C:$FB,43)</f>
        <v>34082100</v>
      </c>
      <c r="I51" s="50">
        <f>VLOOKUP($A51,'Data shares'!$C:$FB,45)*100</f>
        <v>-3.45</v>
      </c>
      <c r="J51" s="49">
        <f>VLOOKUP($A51,'Data shares'!$C:$FB,58)</f>
        <v>90513450</v>
      </c>
      <c r="K51" s="49">
        <f>VLOOKUP($A51,'Data shares'!$C:$FB,59)</f>
        <v>77629050</v>
      </c>
      <c r="L51" s="50">
        <f>VLOOKUP($A51,'Data shares'!$C:$FB,61)*100</f>
        <v>16.600000000000001</v>
      </c>
      <c r="M51" s="49">
        <f>VLOOKUP($A51,'Data shares'!$C:$FB,62)</f>
        <v>38813850</v>
      </c>
      <c r="N51" s="49">
        <f>VLOOKUP($A51,'Data shares'!$C:$FB,63)</f>
        <v>36811800</v>
      </c>
      <c r="O51" s="140">
        <f>VLOOKUP($A51,'Data shares'!$C:$FB,65)*100</f>
        <v>5.4399999999999995</v>
      </c>
    </row>
    <row r="52" spans="1:15" x14ac:dyDescent="0.25">
      <c r="A52" s="101" t="str">
        <f>'Data Vlaue (Cr)'!C47</f>
        <v>COFORGE</v>
      </c>
      <c r="B52" s="50">
        <f>VLOOKUP($A52,'Data shares'!$C:$FB,7)</f>
        <v>1687.7</v>
      </c>
      <c r="C52" s="50">
        <f>VLOOKUP($A52,'Data shares'!$C:$FB,10)*100</f>
        <v>1.1100000000000001</v>
      </c>
      <c r="D52" s="49">
        <f>VLOOKUP($A52,'Data shares'!$C:$FB,66)</f>
        <v>50080125</v>
      </c>
      <c r="E52" s="49">
        <f>VLOOKUP($A52,'Data shares'!$C:$FB,67)</f>
        <v>55088250</v>
      </c>
      <c r="F52" s="50">
        <f>VLOOKUP($A52,'Data shares'!$C:$FB,69)*100</f>
        <v>-9.09</v>
      </c>
      <c r="G52" s="49">
        <f>VLOOKUP($A52,'Data shares'!$C:$FB,42)</f>
        <v>15165000</v>
      </c>
      <c r="H52" s="49">
        <f>VLOOKUP($A52,'Data shares'!$C:$FB,43)</f>
        <v>15497250</v>
      </c>
      <c r="I52" s="50">
        <f>VLOOKUP($A52,'Data shares'!$C:$FB,45)*100</f>
        <v>-2.1399999999999997</v>
      </c>
      <c r="J52" s="49">
        <f>VLOOKUP($A52,'Data shares'!$C:$FB,58)</f>
        <v>21050250</v>
      </c>
      <c r="K52" s="49">
        <f>VLOOKUP($A52,'Data shares'!$C:$FB,59)</f>
        <v>20940000</v>
      </c>
      <c r="L52" s="50">
        <f>VLOOKUP($A52,'Data shares'!$C:$FB,61)*100</f>
        <v>0.53</v>
      </c>
      <c r="M52" s="49">
        <f>VLOOKUP($A52,'Data shares'!$C:$FB,62)</f>
        <v>13864875</v>
      </c>
      <c r="N52" s="49">
        <f>VLOOKUP($A52,'Data shares'!$C:$FB,63)</f>
        <v>18651000</v>
      </c>
      <c r="O52" s="140">
        <f>VLOOKUP($A52,'Data shares'!$C:$FB,65)*100</f>
        <v>-25.66</v>
      </c>
    </row>
    <row r="53" spans="1:15" x14ac:dyDescent="0.25">
      <c r="A53" s="101" t="str">
        <f>'Data Vlaue (Cr)'!C48</f>
        <v>COLPAL</v>
      </c>
      <c r="B53" s="50">
        <f>VLOOKUP($A53,'Data shares'!$C:$FB,7)</f>
        <v>2179.6</v>
      </c>
      <c r="C53" s="50">
        <f>VLOOKUP($A53,'Data shares'!$C:$FB,10)*100</f>
        <v>2.6599999999999997</v>
      </c>
      <c r="D53" s="49">
        <f>VLOOKUP($A53,'Data shares'!$C:$FB,66)</f>
        <v>14649750</v>
      </c>
      <c r="E53" s="49">
        <f>VLOOKUP($A53,'Data shares'!$C:$FB,67)</f>
        <v>11533500</v>
      </c>
      <c r="F53" s="50">
        <f>VLOOKUP($A53,'Data shares'!$C:$FB,69)*100</f>
        <v>27.02</v>
      </c>
      <c r="G53" s="49">
        <f>VLOOKUP($A53,'Data shares'!$C:$FB,42)</f>
        <v>5375250</v>
      </c>
      <c r="H53" s="49">
        <f>VLOOKUP($A53,'Data shares'!$C:$FB,43)</f>
        <v>4767975</v>
      </c>
      <c r="I53" s="50">
        <f>VLOOKUP($A53,'Data shares'!$C:$FB,45)*100</f>
        <v>12.740000000000002</v>
      </c>
      <c r="J53" s="49">
        <f>VLOOKUP($A53,'Data shares'!$C:$FB,58)</f>
        <v>6379875</v>
      </c>
      <c r="K53" s="49">
        <f>VLOOKUP($A53,'Data shares'!$C:$FB,59)</f>
        <v>4534200</v>
      </c>
      <c r="L53" s="50">
        <f>VLOOKUP($A53,'Data shares'!$C:$FB,61)*100</f>
        <v>40.71</v>
      </c>
      <c r="M53" s="49">
        <f>VLOOKUP($A53,'Data shares'!$C:$FB,62)</f>
        <v>2894625</v>
      </c>
      <c r="N53" s="49">
        <f>VLOOKUP($A53,'Data shares'!$C:$FB,63)</f>
        <v>2231325</v>
      </c>
      <c r="O53" s="140">
        <f>VLOOKUP($A53,'Data shares'!$C:$FB,65)*100</f>
        <v>29.73</v>
      </c>
    </row>
    <row r="54" spans="1:15" x14ac:dyDescent="0.25">
      <c r="A54" s="101" t="str">
        <f>'Data Vlaue (Cr)'!C49</f>
        <v>CONCOR</v>
      </c>
      <c r="B54" s="50">
        <f>VLOOKUP($A54,'Data shares'!$C:$FB,7)</f>
        <v>494.35</v>
      </c>
      <c r="C54" s="50">
        <f>VLOOKUP($A54,'Data shares'!$C:$FB,10)*100</f>
        <v>-0.36</v>
      </c>
      <c r="D54" s="49">
        <f>VLOOKUP($A54,'Data shares'!$C:$FB,66)</f>
        <v>35140000</v>
      </c>
      <c r="E54" s="49">
        <f>VLOOKUP($A54,'Data shares'!$C:$FB,67)</f>
        <v>34017500</v>
      </c>
      <c r="F54" s="50">
        <f>VLOOKUP($A54,'Data shares'!$C:$FB,69)*100</f>
        <v>3.3000000000000003</v>
      </c>
      <c r="G54" s="49">
        <f>VLOOKUP($A54,'Data shares'!$C:$FB,42)</f>
        <v>16870000</v>
      </c>
      <c r="H54" s="49">
        <f>VLOOKUP($A54,'Data shares'!$C:$FB,43)</f>
        <v>13991250</v>
      </c>
      <c r="I54" s="50">
        <f>VLOOKUP($A54,'Data shares'!$C:$FB,45)*100</f>
        <v>20.580000000000002</v>
      </c>
      <c r="J54" s="49">
        <f>VLOOKUP($A54,'Data shares'!$C:$FB,58)</f>
        <v>11147500</v>
      </c>
      <c r="K54" s="49">
        <f>VLOOKUP($A54,'Data shares'!$C:$FB,59)</f>
        <v>13075000</v>
      </c>
      <c r="L54" s="50">
        <f>VLOOKUP($A54,'Data shares'!$C:$FB,61)*100</f>
        <v>-14.74</v>
      </c>
      <c r="M54" s="49">
        <f>VLOOKUP($A54,'Data shares'!$C:$FB,62)</f>
        <v>7122500</v>
      </c>
      <c r="N54" s="49">
        <f>VLOOKUP($A54,'Data shares'!$C:$FB,63)</f>
        <v>6951250</v>
      </c>
      <c r="O54" s="140">
        <f>VLOOKUP($A54,'Data shares'!$C:$FB,65)*100</f>
        <v>2.46</v>
      </c>
    </row>
    <row r="55" spans="1:15" x14ac:dyDescent="0.25">
      <c r="A55" s="101" t="str">
        <f>'Data Vlaue (Cr)'!C50</f>
        <v>CROMPTON</v>
      </c>
      <c r="B55" s="50">
        <f>VLOOKUP($A55,'Data shares'!$C:$FB,7)</f>
        <v>229.65</v>
      </c>
      <c r="C55" s="50">
        <f>VLOOKUP($A55,'Data shares'!$C:$FB,10)*100</f>
        <v>-1.1199999999999999</v>
      </c>
      <c r="D55" s="49">
        <f>VLOOKUP($A55,'Data shares'!$C:$FB,66)</f>
        <v>67761000</v>
      </c>
      <c r="E55" s="49">
        <f>VLOOKUP($A55,'Data shares'!$C:$FB,67)</f>
        <v>89053200</v>
      </c>
      <c r="F55" s="50">
        <f>VLOOKUP($A55,'Data shares'!$C:$FB,69)*100</f>
        <v>-23.91</v>
      </c>
      <c r="G55" s="49">
        <f>VLOOKUP($A55,'Data shares'!$C:$FB,42)</f>
        <v>35895600</v>
      </c>
      <c r="H55" s="49">
        <f>VLOOKUP($A55,'Data shares'!$C:$FB,43)</f>
        <v>25243200</v>
      </c>
      <c r="I55" s="50">
        <f>VLOOKUP($A55,'Data shares'!$C:$FB,45)*100</f>
        <v>42.199999999999996</v>
      </c>
      <c r="J55" s="49">
        <f>VLOOKUP($A55,'Data shares'!$C:$FB,58)</f>
        <v>22510800</v>
      </c>
      <c r="K55" s="49">
        <f>VLOOKUP($A55,'Data shares'!$C:$FB,59)</f>
        <v>41770800</v>
      </c>
      <c r="L55" s="50">
        <f>VLOOKUP($A55,'Data shares'!$C:$FB,61)*100</f>
        <v>-46.11</v>
      </c>
      <c r="M55" s="49">
        <f>VLOOKUP($A55,'Data shares'!$C:$FB,62)</f>
        <v>9354600</v>
      </c>
      <c r="N55" s="49">
        <f>VLOOKUP($A55,'Data shares'!$C:$FB,63)</f>
        <v>22039200</v>
      </c>
      <c r="O55" s="140">
        <f>VLOOKUP($A55,'Data shares'!$C:$FB,65)*100</f>
        <v>-57.550000000000004</v>
      </c>
    </row>
    <row r="56" spans="1:15" x14ac:dyDescent="0.25">
      <c r="A56" s="101" t="str">
        <f>'Data Vlaue (Cr)'!C51</f>
        <v>CUMMINSIND</v>
      </c>
      <c r="B56" s="50">
        <f>VLOOKUP($A56,'Data shares'!$C:$FB,7)</f>
        <v>4067.8</v>
      </c>
      <c r="C56" s="50">
        <f>VLOOKUP($A56,'Data shares'!$C:$FB,10)*100</f>
        <v>1.68</v>
      </c>
      <c r="D56" s="49">
        <f>VLOOKUP($A56,'Data shares'!$C:$FB,66)</f>
        <v>5879800</v>
      </c>
      <c r="E56" s="49">
        <f>VLOOKUP($A56,'Data shares'!$C:$FB,67)</f>
        <v>5142600</v>
      </c>
      <c r="F56" s="50">
        <f>VLOOKUP($A56,'Data shares'!$C:$FB,69)*100</f>
        <v>14.34</v>
      </c>
      <c r="G56" s="49">
        <f>VLOOKUP($A56,'Data shares'!$C:$FB,42)</f>
        <v>3571000</v>
      </c>
      <c r="H56" s="49">
        <f>VLOOKUP($A56,'Data shares'!$C:$FB,43)</f>
        <v>2128000</v>
      </c>
      <c r="I56" s="50">
        <f>VLOOKUP($A56,'Data shares'!$C:$FB,45)*100</f>
        <v>67.81</v>
      </c>
      <c r="J56" s="49">
        <f>VLOOKUP($A56,'Data shares'!$C:$FB,58)</f>
        <v>1614200</v>
      </c>
      <c r="K56" s="49">
        <f>VLOOKUP($A56,'Data shares'!$C:$FB,59)</f>
        <v>1934200</v>
      </c>
      <c r="L56" s="50">
        <f>VLOOKUP($A56,'Data shares'!$C:$FB,61)*100</f>
        <v>-16.54</v>
      </c>
      <c r="M56" s="49">
        <f>VLOOKUP($A56,'Data shares'!$C:$FB,62)</f>
        <v>694600</v>
      </c>
      <c r="N56" s="49">
        <f>VLOOKUP($A56,'Data shares'!$C:$FB,63)</f>
        <v>1080400</v>
      </c>
      <c r="O56" s="140">
        <f>VLOOKUP($A56,'Data shares'!$C:$FB,65)*100</f>
        <v>-35.709999999999994</v>
      </c>
    </row>
    <row r="57" spans="1:15" x14ac:dyDescent="0.25">
      <c r="A57" s="101" t="str">
        <f>'Data Vlaue (Cr)'!C52</f>
        <v>DABUR</v>
      </c>
      <c r="B57" s="50">
        <f>VLOOKUP($A57,'Data shares'!$C:$FB,7)</f>
        <v>525.35</v>
      </c>
      <c r="C57" s="50">
        <f>VLOOKUP($A57,'Data shares'!$C:$FB,10)*100</f>
        <v>1.77</v>
      </c>
      <c r="D57" s="49">
        <f>VLOOKUP($A57,'Data shares'!$C:$FB,66)</f>
        <v>54371250</v>
      </c>
      <c r="E57" s="49">
        <f>VLOOKUP($A57,'Data shares'!$C:$FB,67)</f>
        <v>54151250</v>
      </c>
      <c r="F57" s="50">
        <f>VLOOKUP($A57,'Data shares'!$C:$FB,69)*100</f>
        <v>0.41000000000000003</v>
      </c>
      <c r="G57" s="49">
        <f>VLOOKUP($A57,'Data shares'!$C:$FB,42)</f>
        <v>23061250</v>
      </c>
      <c r="H57" s="49">
        <f>VLOOKUP($A57,'Data shares'!$C:$FB,43)</f>
        <v>17201250</v>
      </c>
      <c r="I57" s="50">
        <f>VLOOKUP($A57,'Data shares'!$C:$FB,45)*100</f>
        <v>34.07</v>
      </c>
      <c r="J57" s="49">
        <f>VLOOKUP($A57,'Data shares'!$C:$FB,58)</f>
        <v>20547500</v>
      </c>
      <c r="K57" s="49">
        <f>VLOOKUP($A57,'Data shares'!$C:$FB,59)</f>
        <v>23860000</v>
      </c>
      <c r="L57" s="50">
        <f>VLOOKUP($A57,'Data shares'!$C:$FB,61)*100</f>
        <v>-13.88</v>
      </c>
      <c r="M57" s="49">
        <f>VLOOKUP($A57,'Data shares'!$C:$FB,62)</f>
        <v>10762500</v>
      </c>
      <c r="N57" s="49">
        <f>VLOOKUP($A57,'Data shares'!$C:$FB,63)</f>
        <v>13090000</v>
      </c>
      <c r="O57" s="140">
        <f>VLOOKUP($A57,'Data shares'!$C:$FB,65)*100</f>
        <v>-17.78</v>
      </c>
    </row>
    <row r="58" spans="1:15" x14ac:dyDescent="0.25">
      <c r="A58" s="101" t="str">
        <f>'Data Vlaue (Cr)'!C53</f>
        <v>DALBHARAT</v>
      </c>
      <c r="B58" s="50">
        <f>VLOOKUP($A58,'Data shares'!$C:$FB,7)</f>
        <v>2143.6999999999998</v>
      </c>
      <c r="C58" s="50">
        <f>VLOOKUP($A58,'Data shares'!$C:$FB,10)*100</f>
        <v>-3.9699999999999998</v>
      </c>
      <c r="D58" s="49">
        <f>VLOOKUP($A58,'Data shares'!$C:$FB,66)</f>
        <v>12290525</v>
      </c>
      <c r="E58" s="49">
        <f>VLOOKUP($A58,'Data shares'!$C:$FB,67)</f>
        <v>18306600</v>
      </c>
      <c r="F58" s="50">
        <f>VLOOKUP($A58,'Data shares'!$C:$FB,69)*100</f>
        <v>-32.86</v>
      </c>
      <c r="G58" s="49">
        <f>VLOOKUP($A58,'Data shares'!$C:$FB,42)</f>
        <v>3726125</v>
      </c>
      <c r="H58" s="49">
        <f>VLOOKUP($A58,'Data shares'!$C:$FB,43)</f>
        <v>2892500</v>
      </c>
      <c r="I58" s="50">
        <f>VLOOKUP($A58,'Data shares'!$C:$FB,45)*100</f>
        <v>28.82</v>
      </c>
      <c r="J58" s="49">
        <f>VLOOKUP($A58,'Data shares'!$C:$FB,58)</f>
        <v>5603650</v>
      </c>
      <c r="K58" s="49">
        <f>VLOOKUP($A58,'Data shares'!$C:$FB,59)</f>
        <v>10440950</v>
      </c>
      <c r="L58" s="50">
        <f>VLOOKUP($A58,'Data shares'!$C:$FB,61)*100</f>
        <v>-46.33</v>
      </c>
      <c r="M58" s="49">
        <f>VLOOKUP($A58,'Data shares'!$C:$FB,62)</f>
        <v>2960750</v>
      </c>
      <c r="N58" s="49">
        <f>VLOOKUP($A58,'Data shares'!$C:$FB,63)</f>
        <v>4973150</v>
      </c>
      <c r="O58" s="140">
        <f>VLOOKUP($A58,'Data shares'!$C:$FB,65)*100</f>
        <v>-40.47</v>
      </c>
    </row>
    <row r="59" spans="1:15" x14ac:dyDescent="0.25">
      <c r="A59" s="101" t="str">
        <f>'Data Vlaue (Cr)'!C54</f>
        <v>DELHIVERY</v>
      </c>
      <c r="B59" s="50">
        <f>VLOOKUP($A59,'Data shares'!$C:$FB,7)</f>
        <v>389.85</v>
      </c>
      <c r="C59" s="50">
        <f>VLOOKUP($A59,'Data shares'!$C:$FB,10)*100</f>
        <v>3</v>
      </c>
      <c r="D59" s="49">
        <f>VLOOKUP($A59,'Data shares'!$C:$FB,66)</f>
        <v>34312200</v>
      </c>
      <c r="E59" s="49">
        <f>VLOOKUP($A59,'Data shares'!$C:$FB,67)</f>
        <v>35482500</v>
      </c>
      <c r="F59" s="50">
        <f>VLOOKUP($A59,'Data shares'!$C:$FB,69)*100</f>
        <v>-3.3000000000000003</v>
      </c>
      <c r="G59" s="49">
        <f>VLOOKUP($A59,'Data shares'!$C:$FB,42)</f>
        <v>19330700</v>
      </c>
      <c r="H59" s="49">
        <f>VLOOKUP($A59,'Data shares'!$C:$FB,43)</f>
        <v>14348625</v>
      </c>
      <c r="I59" s="50">
        <f>VLOOKUP($A59,'Data shares'!$C:$FB,45)*100</f>
        <v>34.72</v>
      </c>
      <c r="J59" s="49">
        <f>VLOOKUP($A59,'Data shares'!$C:$FB,58)</f>
        <v>9628000</v>
      </c>
      <c r="K59" s="49">
        <f>VLOOKUP($A59,'Data shares'!$C:$FB,59)</f>
        <v>9542925</v>
      </c>
      <c r="L59" s="50">
        <f>VLOOKUP($A59,'Data shares'!$C:$FB,61)*100</f>
        <v>0.89</v>
      </c>
      <c r="M59" s="49">
        <f>VLOOKUP($A59,'Data shares'!$C:$FB,62)</f>
        <v>5353500</v>
      </c>
      <c r="N59" s="49">
        <f>VLOOKUP($A59,'Data shares'!$C:$FB,63)</f>
        <v>11590950</v>
      </c>
      <c r="O59" s="140">
        <f>VLOOKUP($A59,'Data shares'!$C:$FB,65)*100</f>
        <v>-53.81</v>
      </c>
    </row>
    <row r="60" spans="1:15" x14ac:dyDescent="0.25">
      <c r="A60" s="101" t="str">
        <f>'Data Vlaue (Cr)'!C55</f>
        <v>DIVISLAB</v>
      </c>
      <c r="B60" s="50">
        <f>VLOOKUP($A60,'Data shares'!$C:$FB,7)</f>
        <v>6071</v>
      </c>
      <c r="C60" s="50">
        <f>VLOOKUP($A60,'Data shares'!$C:$FB,10)*100</f>
        <v>1.01</v>
      </c>
      <c r="D60" s="49">
        <f>VLOOKUP($A60,'Data shares'!$C:$FB,66)</f>
        <v>5729500</v>
      </c>
      <c r="E60" s="49">
        <f>VLOOKUP($A60,'Data shares'!$C:$FB,67)</f>
        <v>5653400</v>
      </c>
      <c r="F60" s="50">
        <f>VLOOKUP($A60,'Data shares'!$C:$FB,69)*100</f>
        <v>1.35</v>
      </c>
      <c r="G60" s="49">
        <f>VLOOKUP($A60,'Data shares'!$C:$FB,42)</f>
        <v>2717700</v>
      </c>
      <c r="H60" s="49">
        <f>VLOOKUP($A60,'Data shares'!$C:$FB,43)</f>
        <v>2036900</v>
      </c>
      <c r="I60" s="50">
        <f>VLOOKUP($A60,'Data shares'!$C:$FB,45)*100</f>
        <v>33.42</v>
      </c>
      <c r="J60" s="49">
        <f>VLOOKUP($A60,'Data shares'!$C:$FB,58)</f>
        <v>2262800</v>
      </c>
      <c r="K60" s="49">
        <f>VLOOKUP($A60,'Data shares'!$C:$FB,59)</f>
        <v>2389900</v>
      </c>
      <c r="L60" s="50">
        <f>VLOOKUP($A60,'Data shares'!$C:$FB,61)*100</f>
        <v>-5.3199999999999994</v>
      </c>
      <c r="M60" s="49">
        <f>VLOOKUP($A60,'Data shares'!$C:$FB,62)</f>
        <v>749000</v>
      </c>
      <c r="N60" s="49">
        <f>VLOOKUP($A60,'Data shares'!$C:$FB,63)</f>
        <v>1226600</v>
      </c>
      <c r="O60" s="140">
        <f>VLOOKUP($A60,'Data shares'!$C:$FB,65)*100</f>
        <v>-38.940000000000005</v>
      </c>
    </row>
    <row r="61" spans="1:15" x14ac:dyDescent="0.25">
      <c r="A61" s="101" t="str">
        <f>'Data Vlaue (Cr)'!C56</f>
        <v>DIXON</v>
      </c>
      <c r="B61" s="50">
        <f>VLOOKUP($A61,'Data shares'!$C:$FB,7)</f>
        <v>10512</v>
      </c>
      <c r="C61" s="50">
        <f>VLOOKUP($A61,'Data shares'!$C:$FB,10)*100</f>
        <v>-0.05</v>
      </c>
      <c r="D61" s="49">
        <f>VLOOKUP($A61,'Data shares'!$C:$FB,66)</f>
        <v>9976750</v>
      </c>
      <c r="E61" s="49">
        <f>VLOOKUP($A61,'Data shares'!$C:$FB,67)</f>
        <v>17512650</v>
      </c>
      <c r="F61" s="50">
        <f>VLOOKUP($A61,'Data shares'!$C:$FB,69)*100</f>
        <v>-43.03</v>
      </c>
      <c r="G61" s="49">
        <f>VLOOKUP($A61,'Data shares'!$C:$FB,42)</f>
        <v>1809050</v>
      </c>
      <c r="H61" s="49">
        <f>VLOOKUP($A61,'Data shares'!$C:$FB,43)</f>
        <v>2431150</v>
      </c>
      <c r="I61" s="50">
        <f>VLOOKUP($A61,'Data shares'!$C:$FB,45)*100</f>
        <v>-25.590000000000003</v>
      </c>
      <c r="J61" s="49">
        <f>VLOOKUP($A61,'Data shares'!$C:$FB,58)</f>
        <v>5172600</v>
      </c>
      <c r="K61" s="49">
        <f>VLOOKUP($A61,'Data shares'!$C:$FB,59)</f>
        <v>8687500</v>
      </c>
      <c r="L61" s="50">
        <f>VLOOKUP($A61,'Data shares'!$C:$FB,61)*100</f>
        <v>-40.46</v>
      </c>
      <c r="M61" s="49">
        <f>VLOOKUP($A61,'Data shares'!$C:$FB,62)</f>
        <v>2995100</v>
      </c>
      <c r="N61" s="49">
        <f>VLOOKUP($A61,'Data shares'!$C:$FB,63)</f>
        <v>6394000</v>
      </c>
      <c r="O61" s="140">
        <f>VLOOKUP($A61,'Data shares'!$C:$FB,65)*100</f>
        <v>-53.16</v>
      </c>
    </row>
    <row r="62" spans="1:15" x14ac:dyDescent="0.25">
      <c r="A62" s="101" t="str">
        <f>'Data Vlaue (Cr)'!C57</f>
        <v>DLF</v>
      </c>
      <c r="B62" s="50">
        <f>VLOOKUP($A62,'Data shares'!$C:$FB,7)</f>
        <v>613.29999999999995</v>
      </c>
      <c r="C62" s="50">
        <f>VLOOKUP($A62,'Data shares'!$C:$FB,10)*100</f>
        <v>-0.70000000000000007</v>
      </c>
      <c r="D62" s="49">
        <f>VLOOKUP($A62,'Data shares'!$C:$FB,66)</f>
        <v>92184675</v>
      </c>
      <c r="E62" s="49">
        <f>VLOOKUP($A62,'Data shares'!$C:$FB,67)</f>
        <v>95101050</v>
      </c>
      <c r="F62" s="50">
        <f>VLOOKUP($A62,'Data shares'!$C:$FB,69)*100</f>
        <v>-3.0700000000000003</v>
      </c>
      <c r="G62" s="49">
        <f>VLOOKUP($A62,'Data shares'!$C:$FB,42)</f>
        <v>31679175</v>
      </c>
      <c r="H62" s="49">
        <f>VLOOKUP($A62,'Data shares'!$C:$FB,43)</f>
        <v>34667325</v>
      </c>
      <c r="I62" s="50">
        <f>VLOOKUP($A62,'Data shares'!$C:$FB,45)*100</f>
        <v>-8.6199999999999992</v>
      </c>
      <c r="J62" s="49">
        <f>VLOOKUP($A62,'Data shares'!$C:$FB,58)</f>
        <v>37490475</v>
      </c>
      <c r="K62" s="49">
        <f>VLOOKUP($A62,'Data shares'!$C:$FB,59)</f>
        <v>37896375</v>
      </c>
      <c r="L62" s="50">
        <f>VLOOKUP($A62,'Data shares'!$C:$FB,61)*100</f>
        <v>-1.0699999999999998</v>
      </c>
      <c r="M62" s="49">
        <f>VLOOKUP($A62,'Data shares'!$C:$FB,62)</f>
        <v>23015025</v>
      </c>
      <c r="N62" s="49">
        <f>VLOOKUP($A62,'Data shares'!$C:$FB,63)</f>
        <v>22537350</v>
      </c>
      <c r="O62" s="140">
        <f>VLOOKUP($A62,'Data shares'!$C:$FB,65)*100</f>
        <v>2.12</v>
      </c>
    </row>
    <row r="63" spans="1:15" x14ac:dyDescent="0.25">
      <c r="A63" s="101" t="str">
        <f>'Data Vlaue (Cr)'!C58</f>
        <v>DMART</v>
      </c>
      <c r="B63" s="50">
        <f>VLOOKUP($A63,'Data shares'!$C:$FB,7)</f>
        <v>3724.1</v>
      </c>
      <c r="C63" s="50">
        <f>VLOOKUP($A63,'Data shares'!$C:$FB,10)*100</f>
        <v>1.8399999999999999</v>
      </c>
      <c r="D63" s="49">
        <f>VLOOKUP($A63,'Data shares'!$C:$FB,66)</f>
        <v>8868300</v>
      </c>
      <c r="E63" s="49">
        <f>VLOOKUP($A63,'Data shares'!$C:$FB,67)</f>
        <v>11653500</v>
      </c>
      <c r="F63" s="50">
        <f>VLOOKUP($A63,'Data shares'!$C:$FB,69)*100</f>
        <v>-23.9</v>
      </c>
      <c r="G63" s="49">
        <f>VLOOKUP($A63,'Data shares'!$C:$FB,42)</f>
        <v>3840450</v>
      </c>
      <c r="H63" s="49">
        <f>VLOOKUP($A63,'Data shares'!$C:$FB,43)</f>
        <v>4853700</v>
      </c>
      <c r="I63" s="50">
        <f>VLOOKUP($A63,'Data shares'!$C:$FB,45)*100</f>
        <v>-20.880000000000003</v>
      </c>
      <c r="J63" s="49">
        <f>VLOOKUP($A63,'Data shares'!$C:$FB,58)</f>
        <v>3688050</v>
      </c>
      <c r="K63" s="49">
        <f>VLOOKUP($A63,'Data shares'!$C:$FB,59)</f>
        <v>4684200</v>
      </c>
      <c r="L63" s="50">
        <f>VLOOKUP($A63,'Data shares'!$C:$FB,61)*100</f>
        <v>-21.27</v>
      </c>
      <c r="M63" s="49">
        <f>VLOOKUP($A63,'Data shares'!$C:$FB,62)</f>
        <v>1339800</v>
      </c>
      <c r="N63" s="49">
        <f>VLOOKUP($A63,'Data shares'!$C:$FB,63)</f>
        <v>2115600</v>
      </c>
      <c r="O63" s="140">
        <f>VLOOKUP($A63,'Data shares'!$C:$FB,65)*100</f>
        <v>-36.67</v>
      </c>
    </row>
    <row r="64" spans="1:15" x14ac:dyDescent="0.25">
      <c r="A64" s="101" t="str">
        <f>'Data Vlaue (Cr)'!C59</f>
        <v>DRREDDY</v>
      </c>
      <c r="B64" s="50">
        <f>VLOOKUP($A64,'Data shares'!$C:$FB,7)</f>
        <v>1217.5</v>
      </c>
      <c r="C64" s="50">
        <f>VLOOKUP($A64,'Data shares'!$C:$FB,10)*100</f>
        <v>5.21</v>
      </c>
      <c r="D64" s="49">
        <f>VLOOKUP($A64,'Data shares'!$C:$FB,66)</f>
        <v>124906250</v>
      </c>
      <c r="E64" s="49">
        <f>VLOOKUP($A64,'Data shares'!$C:$FB,67)</f>
        <v>68460000</v>
      </c>
      <c r="F64" s="50">
        <f>VLOOKUP($A64,'Data shares'!$C:$FB,69)*100</f>
        <v>82.45</v>
      </c>
      <c r="G64" s="49">
        <f>VLOOKUP($A64,'Data shares'!$C:$FB,42)</f>
        <v>17900625</v>
      </c>
      <c r="H64" s="49">
        <f>VLOOKUP($A64,'Data shares'!$C:$FB,43)</f>
        <v>10030000</v>
      </c>
      <c r="I64" s="50">
        <f>VLOOKUP($A64,'Data shares'!$C:$FB,45)*100</f>
        <v>78.47</v>
      </c>
      <c r="J64" s="49">
        <f>VLOOKUP($A64,'Data shares'!$C:$FB,58)</f>
        <v>71847500</v>
      </c>
      <c r="K64" s="49">
        <f>VLOOKUP($A64,'Data shares'!$C:$FB,59)</f>
        <v>33863750</v>
      </c>
      <c r="L64" s="50">
        <f>VLOOKUP($A64,'Data shares'!$C:$FB,61)*100</f>
        <v>112.16999999999999</v>
      </c>
      <c r="M64" s="49">
        <f>VLOOKUP($A64,'Data shares'!$C:$FB,62)</f>
        <v>35158125</v>
      </c>
      <c r="N64" s="49">
        <f>VLOOKUP($A64,'Data shares'!$C:$FB,63)</f>
        <v>24566250</v>
      </c>
      <c r="O64" s="140">
        <f>VLOOKUP($A64,'Data shares'!$C:$FB,65)*100</f>
        <v>43.120000000000005</v>
      </c>
    </row>
    <row r="65" spans="1:15" x14ac:dyDescent="0.25">
      <c r="A65" s="101" t="str">
        <f>'Data Vlaue (Cr)'!C60</f>
        <v>EICHERMOT</v>
      </c>
      <c r="B65" s="50">
        <f>VLOOKUP($A65,'Data shares'!$C:$FB,7)</f>
        <v>7049</v>
      </c>
      <c r="C65" s="50">
        <f>VLOOKUP($A65,'Data shares'!$C:$FB,10)*100</f>
        <v>-1.27</v>
      </c>
      <c r="D65" s="49">
        <f>VLOOKUP($A65,'Data shares'!$C:$FB,66)</f>
        <v>9818800</v>
      </c>
      <c r="E65" s="49">
        <f>VLOOKUP($A65,'Data shares'!$C:$FB,67)</f>
        <v>9165000</v>
      </c>
      <c r="F65" s="50">
        <f>VLOOKUP($A65,'Data shares'!$C:$FB,69)*100</f>
        <v>7.13</v>
      </c>
      <c r="G65" s="49">
        <f>VLOOKUP($A65,'Data shares'!$C:$FB,42)</f>
        <v>2640600</v>
      </c>
      <c r="H65" s="49">
        <f>VLOOKUP($A65,'Data shares'!$C:$FB,43)</f>
        <v>1846000</v>
      </c>
      <c r="I65" s="50">
        <f>VLOOKUP($A65,'Data shares'!$C:$FB,45)*100</f>
        <v>43.04</v>
      </c>
      <c r="J65" s="49">
        <f>VLOOKUP($A65,'Data shares'!$C:$FB,58)</f>
        <v>5010900</v>
      </c>
      <c r="K65" s="49">
        <f>VLOOKUP($A65,'Data shares'!$C:$FB,59)</f>
        <v>4840600</v>
      </c>
      <c r="L65" s="50">
        <f>VLOOKUP($A65,'Data shares'!$C:$FB,61)*100</f>
        <v>3.52</v>
      </c>
      <c r="M65" s="49">
        <f>VLOOKUP($A65,'Data shares'!$C:$FB,62)</f>
        <v>2167300</v>
      </c>
      <c r="N65" s="49">
        <f>VLOOKUP($A65,'Data shares'!$C:$FB,63)</f>
        <v>2478400</v>
      </c>
      <c r="O65" s="140">
        <f>VLOOKUP($A65,'Data shares'!$C:$FB,65)*100</f>
        <v>-12.55</v>
      </c>
    </row>
    <row r="66" spans="1:15" x14ac:dyDescent="0.25">
      <c r="A66" s="101" t="str">
        <f>'Data Vlaue (Cr)'!C61</f>
        <v>ETERNAL</v>
      </c>
      <c r="B66" s="50">
        <f>VLOOKUP($A66,'Data shares'!$C:$FB,7)</f>
        <v>275.89999999999998</v>
      </c>
      <c r="C66" s="50">
        <f>VLOOKUP($A66,'Data shares'!$C:$FB,10)*100</f>
        <v>-2.68</v>
      </c>
      <c r="D66" s="49">
        <f>VLOOKUP($A66,'Data shares'!$C:$FB,66)</f>
        <v>1529886425</v>
      </c>
      <c r="E66" s="49">
        <f>VLOOKUP($A66,'Data shares'!$C:$FB,67)</f>
        <v>1027082075</v>
      </c>
      <c r="F66" s="50">
        <f>VLOOKUP($A66,'Data shares'!$C:$FB,69)*100</f>
        <v>48.949999999999996</v>
      </c>
      <c r="G66" s="49">
        <f>VLOOKUP($A66,'Data shares'!$C:$FB,42)</f>
        <v>355735375</v>
      </c>
      <c r="H66" s="49">
        <f>VLOOKUP($A66,'Data shares'!$C:$FB,43)</f>
        <v>291526225</v>
      </c>
      <c r="I66" s="50">
        <f>VLOOKUP($A66,'Data shares'!$C:$FB,45)*100</f>
        <v>22.03</v>
      </c>
      <c r="J66" s="49">
        <f>VLOOKUP($A66,'Data shares'!$C:$FB,58)</f>
        <v>647273725</v>
      </c>
      <c r="K66" s="49">
        <f>VLOOKUP($A66,'Data shares'!$C:$FB,59)</f>
        <v>454035175</v>
      </c>
      <c r="L66" s="50">
        <f>VLOOKUP($A66,'Data shares'!$C:$FB,61)*100</f>
        <v>42.559999999999995</v>
      </c>
      <c r="M66" s="49">
        <f>VLOOKUP($A66,'Data shares'!$C:$FB,62)</f>
        <v>526877325</v>
      </c>
      <c r="N66" s="49">
        <f>VLOOKUP($A66,'Data shares'!$C:$FB,63)</f>
        <v>281520675</v>
      </c>
      <c r="O66" s="140">
        <f>VLOOKUP($A66,'Data shares'!$C:$FB,65)*100</f>
        <v>87.15</v>
      </c>
    </row>
    <row r="67" spans="1:15" x14ac:dyDescent="0.25">
      <c r="A67" s="101" t="str">
        <f>'Data Vlaue (Cr)'!C62</f>
        <v>EXIDEIND</v>
      </c>
      <c r="B67" s="50">
        <f>VLOOKUP($A67,'Data shares'!$C:$FB,7)</f>
        <v>334.25</v>
      </c>
      <c r="C67" s="50">
        <f>VLOOKUP($A67,'Data shares'!$C:$FB,10)*100</f>
        <v>2.5499999999999998</v>
      </c>
      <c r="D67" s="49">
        <f>VLOOKUP($A67,'Data shares'!$C:$FB,66)</f>
        <v>42553800</v>
      </c>
      <c r="E67" s="49">
        <f>VLOOKUP($A67,'Data shares'!$C:$FB,67)</f>
        <v>55994400</v>
      </c>
      <c r="F67" s="50">
        <f>VLOOKUP($A67,'Data shares'!$C:$FB,69)*100</f>
        <v>-24</v>
      </c>
      <c r="G67" s="49">
        <f>VLOOKUP($A67,'Data shares'!$C:$FB,42)</f>
        <v>17433000</v>
      </c>
      <c r="H67" s="49">
        <f>VLOOKUP($A67,'Data shares'!$C:$FB,43)</f>
        <v>16464600</v>
      </c>
      <c r="I67" s="50">
        <f>VLOOKUP($A67,'Data shares'!$C:$FB,45)*100</f>
        <v>5.88</v>
      </c>
      <c r="J67" s="49">
        <f>VLOOKUP($A67,'Data shares'!$C:$FB,58)</f>
        <v>16225200</v>
      </c>
      <c r="K67" s="49">
        <f>VLOOKUP($A67,'Data shares'!$C:$FB,59)</f>
        <v>23569200</v>
      </c>
      <c r="L67" s="50">
        <f>VLOOKUP($A67,'Data shares'!$C:$FB,61)*100</f>
        <v>-31.16</v>
      </c>
      <c r="M67" s="49">
        <f>VLOOKUP($A67,'Data shares'!$C:$FB,62)</f>
        <v>8895600</v>
      </c>
      <c r="N67" s="49">
        <f>VLOOKUP($A67,'Data shares'!$C:$FB,63)</f>
        <v>15960600</v>
      </c>
      <c r="O67" s="140">
        <f>VLOOKUP($A67,'Data shares'!$C:$FB,65)*100</f>
        <v>-44.269999999999996</v>
      </c>
    </row>
    <row r="68" spans="1:15" x14ac:dyDescent="0.25">
      <c r="A68" s="101" t="str">
        <f>'Data Vlaue (Cr)'!C63</f>
        <v>FEDERALBNK</v>
      </c>
      <c r="B68" s="50">
        <f>VLOOKUP($A68,'Data shares'!$C:$FB,7)</f>
        <v>282.2</v>
      </c>
      <c r="C68" s="50">
        <f>VLOOKUP($A68,'Data shares'!$C:$FB,10)*100</f>
        <v>2.21</v>
      </c>
      <c r="D68" s="49">
        <f>VLOOKUP($A68,'Data shares'!$C:$FB,66)</f>
        <v>498900000</v>
      </c>
      <c r="E68" s="49">
        <f>VLOOKUP($A68,'Data shares'!$C:$FB,67)</f>
        <v>373520000</v>
      </c>
      <c r="F68" s="50">
        <f>VLOOKUP($A68,'Data shares'!$C:$FB,69)*100</f>
        <v>33.57</v>
      </c>
      <c r="G68" s="49">
        <f>VLOOKUP($A68,'Data shares'!$C:$FB,42)</f>
        <v>84315000</v>
      </c>
      <c r="H68" s="49">
        <f>VLOOKUP($A68,'Data shares'!$C:$FB,43)</f>
        <v>57225000</v>
      </c>
      <c r="I68" s="50">
        <f>VLOOKUP($A68,'Data shares'!$C:$FB,45)*100</f>
        <v>47.339999999999996</v>
      </c>
      <c r="J68" s="49">
        <f>VLOOKUP($A68,'Data shares'!$C:$FB,58)</f>
        <v>267185000</v>
      </c>
      <c r="K68" s="49">
        <f>VLOOKUP($A68,'Data shares'!$C:$FB,59)</f>
        <v>165805000</v>
      </c>
      <c r="L68" s="50">
        <f>VLOOKUP($A68,'Data shares'!$C:$FB,61)*100</f>
        <v>61.140000000000008</v>
      </c>
      <c r="M68" s="49">
        <f>VLOOKUP($A68,'Data shares'!$C:$FB,62)</f>
        <v>147400000</v>
      </c>
      <c r="N68" s="49">
        <f>VLOOKUP($A68,'Data shares'!$C:$FB,63)</f>
        <v>150490000</v>
      </c>
      <c r="O68" s="140">
        <f>VLOOKUP($A68,'Data shares'!$C:$FB,65)*100</f>
        <v>-2.0500000000000003</v>
      </c>
    </row>
    <row r="69" spans="1:15" x14ac:dyDescent="0.25">
      <c r="A69" s="101" t="str">
        <f>'Data Vlaue (Cr)'!C64</f>
        <v>FINNIFTY</v>
      </c>
      <c r="B69" s="50">
        <f>VLOOKUP($A69,'Data shares'!$C:$FB,7)</f>
        <v>27149.95</v>
      </c>
      <c r="C69" s="50">
        <f>VLOOKUP($A69,'Data shares'!$C:$FB,10)*100</f>
        <v>0.69</v>
      </c>
      <c r="D69" s="49">
        <f>VLOOKUP($A69,'Data shares'!$C:$FB,66)</f>
        <v>12846660</v>
      </c>
      <c r="E69" s="49">
        <f>VLOOKUP($A69,'Data shares'!$C:$FB,67)</f>
        <v>21232620</v>
      </c>
      <c r="F69" s="50">
        <f>VLOOKUP($A69,'Data shares'!$C:$FB,69)*100</f>
        <v>-39.5</v>
      </c>
      <c r="G69" s="49">
        <f>VLOOKUP($A69,'Data shares'!$C:$FB,42)</f>
        <v>36360</v>
      </c>
      <c r="H69" s="49">
        <f>VLOOKUP($A69,'Data shares'!$C:$FB,43)</f>
        <v>48120</v>
      </c>
      <c r="I69" s="50">
        <f>VLOOKUP($A69,'Data shares'!$C:$FB,45)*100</f>
        <v>-24.44</v>
      </c>
      <c r="J69" s="49">
        <f>VLOOKUP($A69,'Data shares'!$C:$FB,58)</f>
        <v>7005240</v>
      </c>
      <c r="K69" s="49">
        <f>VLOOKUP($A69,'Data shares'!$C:$FB,59)</f>
        <v>11207640</v>
      </c>
      <c r="L69" s="50">
        <f>VLOOKUP($A69,'Data shares'!$C:$FB,61)*100</f>
        <v>-37.5</v>
      </c>
      <c r="M69" s="49">
        <f>VLOOKUP($A69,'Data shares'!$C:$FB,62)</f>
        <v>5805060</v>
      </c>
      <c r="N69" s="49">
        <f>VLOOKUP($A69,'Data shares'!$C:$FB,63)</f>
        <v>9976860</v>
      </c>
      <c r="O69" s="140">
        <f>VLOOKUP($A69,'Data shares'!$C:$FB,65)*100</f>
        <v>-41.81</v>
      </c>
    </row>
    <row r="70" spans="1:15" x14ac:dyDescent="0.25">
      <c r="A70" s="101" t="str">
        <f>'Data Vlaue (Cr)'!C65</f>
        <v>FORTIS</v>
      </c>
      <c r="B70" s="50">
        <f>VLOOKUP($A70,'Data shares'!$C:$FB,7)</f>
        <v>841.45</v>
      </c>
      <c r="C70" s="50">
        <f>VLOOKUP($A70,'Data shares'!$C:$FB,10)*100</f>
        <v>-0.32</v>
      </c>
      <c r="D70" s="49">
        <f>VLOOKUP($A70,'Data shares'!$C:$FB,66)</f>
        <v>27660525</v>
      </c>
      <c r="E70" s="49">
        <f>VLOOKUP($A70,'Data shares'!$C:$FB,67)</f>
        <v>17632025</v>
      </c>
      <c r="F70" s="50">
        <f>VLOOKUP($A70,'Data shares'!$C:$FB,69)*100</f>
        <v>56.879999999999995</v>
      </c>
      <c r="G70" s="49">
        <f>VLOOKUP($A70,'Data shares'!$C:$FB,42)</f>
        <v>13240875</v>
      </c>
      <c r="H70" s="49">
        <f>VLOOKUP($A70,'Data shares'!$C:$FB,43)</f>
        <v>6574325</v>
      </c>
      <c r="I70" s="50">
        <f>VLOOKUP($A70,'Data shares'!$C:$FB,45)*100</f>
        <v>101.4</v>
      </c>
      <c r="J70" s="49">
        <f>VLOOKUP($A70,'Data shares'!$C:$FB,58)</f>
        <v>6342600</v>
      </c>
      <c r="K70" s="49">
        <f>VLOOKUP($A70,'Data shares'!$C:$FB,59)</f>
        <v>6170550</v>
      </c>
      <c r="L70" s="50">
        <f>VLOOKUP($A70,'Data shares'!$C:$FB,61)*100</f>
        <v>2.79</v>
      </c>
      <c r="M70" s="49">
        <f>VLOOKUP($A70,'Data shares'!$C:$FB,62)</f>
        <v>8077050</v>
      </c>
      <c r="N70" s="49">
        <f>VLOOKUP($A70,'Data shares'!$C:$FB,63)</f>
        <v>4887150</v>
      </c>
      <c r="O70" s="140">
        <f>VLOOKUP($A70,'Data shares'!$C:$FB,65)*100</f>
        <v>65.27</v>
      </c>
    </row>
    <row r="71" spans="1:15" x14ac:dyDescent="0.25">
      <c r="A71" s="101" t="str">
        <f>'Data Vlaue (Cr)'!C66</f>
        <v>GAIL</v>
      </c>
      <c r="B71" s="50">
        <f>VLOOKUP($A71,'Data shares'!$C:$FB,7)</f>
        <v>163.57</v>
      </c>
      <c r="C71" s="50">
        <f>VLOOKUP($A71,'Data shares'!$C:$FB,10)*100</f>
        <v>0.54999999999999993</v>
      </c>
      <c r="D71" s="49">
        <f>VLOOKUP($A71,'Data shares'!$C:$FB,66)</f>
        <v>102113550</v>
      </c>
      <c r="E71" s="49">
        <f>VLOOKUP($A71,'Data shares'!$C:$FB,67)</f>
        <v>135346050</v>
      </c>
      <c r="F71" s="50">
        <f>VLOOKUP($A71,'Data shares'!$C:$FB,69)*100</f>
        <v>-24.55</v>
      </c>
      <c r="G71" s="49">
        <f>VLOOKUP($A71,'Data shares'!$C:$FB,42)</f>
        <v>52708950</v>
      </c>
      <c r="H71" s="49">
        <f>VLOOKUP($A71,'Data shares'!$C:$FB,43)</f>
        <v>40773600</v>
      </c>
      <c r="I71" s="50">
        <f>VLOOKUP($A71,'Data shares'!$C:$FB,45)*100</f>
        <v>29.270000000000003</v>
      </c>
      <c r="J71" s="49">
        <f>VLOOKUP($A71,'Data shares'!$C:$FB,58)</f>
        <v>26888400</v>
      </c>
      <c r="K71" s="49">
        <f>VLOOKUP($A71,'Data shares'!$C:$FB,59)</f>
        <v>64382850</v>
      </c>
      <c r="L71" s="50">
        <f>VLOOKUP($A71,'Data shares'!$C:$FB,61)*100</f>
        <v>-58.24</v>
      </c>
      <c r="M71" s="49">
        <f>VLOOKUP($A71,'Data shares'!$C:$FB,62)</f>
        <v>22516200</v>
      </c>
      <c r="N71" s="49">
        <f>VLOOKUP($A71,'Data shares'!$C:$FB,63)</f>
        <v>30189600</v>
      </c>
      <c r="O71" s="140">
        <f>VLOOKUP($A71,'Data shares'!$C:$FB,65)*100</f>
        <v>-25.419999999999998</v>
      </c>
    </row>
    <row r="72" spans="1:15" x14ac:dyDescent="0.25">
      <c r="A72" s="101" t="str">
        <f>'Data Vlaue (Cr)'!C67</f>
        <v>GLENMARK</v>
      </c>
      <c r="B72" s="50">
        <f>VLOOKUP($A72,'Data shares'!$C:$FB,7)</f>
        <v>1997.2</v>
      </c>
      <c r="C72" s="50">
        <f>VLOOKUP($A72,'Data shares'!$C:$FB,10)*100</f>
        <v>2.87</v>
      </c>
      <c r="D72" s="49">
        <f>VLOOKUP($A72,'Data shares'!$C:$FB,66)</f>
        <v>15132375</v>
      </c>
      <c r="E72" s="49">
        <f>VLOOKUP($A72,'Data shares'!$C:$FB,67)</f>
        <v>14340000</v>
      </c>
      <c r="F72" s="50">
        <f>VLOOKUP($A72,'Data shares'!$C:$FB,69)*100</f>
        <v>5.53</v>
      </c>
      <c r="G72" s="49">
        <f>VLOOKUP($A72,'Data shares'!$C:$FB,42)</f>
        <v>7272750</v>
      </c>
      <c r="H72" s="49">
        <f>VLOOKUP($A72,'Data shares'!$C:$FB,43)</f>
        <v>6959625</v>
      </c>
      <c r="I72" s="50">
        <f>VLOOKUP($A72,'Data shares'!$C:$FB,45)*100</f>
        <v>4.5</v>
      </c>
      <c r="J72" s="49">
        <f>VLOOKUP($A72,'Data shares'!$C:$FB,58)</f>
        <v>5491875</v>
      </c>
      <c r="K72" s="49">
        <f>VLOOKUP($A72,'Data shares'!$C:$FB,59)</f>
        <v>4764000</v>
      </c>
      <c r="L72" s="50">
        <f>VLOOKUP($A72,'Data shares'!$C:$FB,61)*100</f>
        <v>15.28</v>
      </c>
      <c r="M72" s="49">
        <f>VLOOKUP($A72,'Data shares'!$C:$FB,62)</f>
        <v>2367750</v>
      </c>
      <c r="N72" s="49">
        <f>VLOOKUP($A72,'Data shares'!$C:$FB,63)</f>
        <v>2616375</v>
      </c>
      <c r="O72" s="140">
        <f>VLOOKUP($A72,'Data shares'!$C:$FB,65)*100</f>
        <v>-9.5</v>
      </c>
    </row>
    <row r="73" spans="1:15" x14ac:dyDescent="0.25">
      <c r="A73" s="101" t="str">
        <f>'Data Vlaue (Cr)'!C68</f>
        <v>GMRAIRPORT</v>
      </c>
      <c r="B73" s="50">
        <f>VLOOKUP($A73,'Data shares'!$C:$FB,7)</f>
        <v>95.1</v>
      </c>
      <c r="C73" s="50">
        <f>VLOOKUP($A73,'Data shares'!$C:$FB,10)*100</f>
        <v>1.34</v>
      </c>
      <c r="D73" s="49">
        <f>VLOOKUP($A73,'Data shares'!$C:$FB,66)</f>
        <v>198606150</v>
      </c>
      <c r="E73" s="49">
        <f>VLOOKUP($A73,'Data shares'!$C:$FB,67)</f>
        <v>277298100</v>
      </c>
      <c r="F73" s="50">
        <f>VLOOKUP($A73,'Data shares'!$C:$FB,69)*100</f>
        <v>-28.38</v>
      </c>
      <c r="G73" s="49">
        <f>VLOOKUP($A73,'Data shares'!$C:$FB,42)</f>
        <v>84306825</v>
      </c>
      <c r="H73" s="49">
        <f>VLOOKUP($A73,'Data shares'!$C:$FB,43)</f>
        <v>80861175</v>
      </c>
      <c r="I73" s="50">
        <f>VLOOKUP($A73,'Data shares'!$C:$FB,45)*100</f>
        <v>4.26</v>
      </c>
      <c r="J73" s="49">
        <f>VLOOKUP($A73,'Data shares'!$C:$FB,58)</f>
        <v>77589900</v>
      </c>
      <c r="K73" s="49">
        <f>VLOOKUP($A73,'Data shares'!$C:$FB,59)</f>
        <v>127279800</v>
      </c>
      <c r="L73" s="50">
        <f>VLOOKUP($A73,'Data shares'!$C:$FB,61)*100</f>
        <v>-39.04</v>
      </c>
      <c r="M73" s="49">
        <f>VLOOKUP($A73,'Data shares'!$C:$FB,62)</f>
        <v>36709425</v>
      </c>
      <c r="N73" s="49">
        <f>VLOOKUP($A73,'Data shares'!$C:$FB,63)</f>
        <v>69157125</v>
      </c>
      <c r="O73" s="140">
        <f>VLOOKUP($A73,'Data shares'!$C:$FB,65)*100</f>
        <v>-46.92</v>
      </c>
    </row>
    <row r="74" spans="1:15" x14ac:dyDescent="0.25">
      <c r="A74" s="101" t="str">
        <f>'Data Vlaue (Cr)'!C69</f>
        <v>GODREJCP</v>
      </c>
      <c r="B74" s="50">
        <f>VLOOKUP($A74,'Data shares'!$C:$FB,7)</f>
        <v>1246</v>
      </c>
      <c r="C74" s="50">
        <f>VLOOKUP($A74,'Data shares'!$C:$FB,10)*100</f>
        <v>1.92</v>
      </c>
      <c r="D74" s="49">
        <f>VLOOKUP($A74,'Data shares'!$C:$FB,66)</f>
        <v>13971000</v>
      </c>
      <c r="E74" s="49">
        <f>VLOOKUP($A74,'Data shares'!$C:$FB,67)</f>
        <v>10059500</v>
      </c>
      <c r="F74" s="50">
        <f>VLOOKUP($A74,'Data shares'!$C:$FB,69)*100</f>
        <v>38.879999999999995</v>
      </c>
      <c r="G74" s="49">
        <f>VLOOKUP($A74,'Data shares'!$C:$FB,42)</f>
        <v>8206000</v>
      </c>
      <c r="H74" s="49">
        <f>VLOOKUP($A74,'Data shares'!$C:$FB,43)</f>
        <v>5759500</v>
      </c>
      <c r="I74" s="50">
        <f>VLOOKUP($A74,'Data shares'!$C:$FB,45)*100</f>
        <v>42.480000000000004</v>
      </c>
      <c r="J74" s="49">
        <f>VLOOKUP($A74,'Data shares'!$C:$FB,58)</f>
        <v>3721000</v>
      </c>
      <c r="K74" s="49">
        <f>VLOOKUP($A74,'Data shares'!$C:$FB,59)</f>
        <v>2503500</v>
      </c>
      <c r="L74" s="50">
        <f>VLOOKUP($A74,'Data shares'!$C:$FB,61)*100</f>
        <v>48.63</v>
      </c>
      <c r="M74" s="49">
        <f>VLOOKUP($A74,'Data shares'!$C:$FB,62)</f>
        <v>2044000</v>
      </c>
      <c r="N74" s="49">
        <f>VLOOKUP($A74,'Data shares'!$C:$FB,63)</f>
        <v>1796500</v>
      </c>
      <c r="O74" s="140">
        <f>VLOOKUP($A74,'Data shares'!$C:$FB,65)*100</f>
        <v>13.780000000000001</v>
      </c>
    </row>
    <row r="75" spans="1:15" x14ac:dyDescent="0.25">
      <c r="A75" s="101" t="str">
        <f>'Data Vlaue (Cr)'!C70</f>
        <v>GODREJPROP</v>
      </c>
      <c r="B75" s="50">
        <f>VLOOKUP($A75,'Data shares'!$C:$FB,7)</f>
        <v>1620.4</v>
      </c>
      <c r="C75" s="50">
        <f>VLOOKUP($A75,'Data shares'!$C:$FB,10)*100</f>
        <v>-1.46</v>
      </c>
      <c r="D75" s="49">
        <f>VLOOKUP($A75,'Data shares'!$C:$FB,66)</f>
        <v>23592800</v>
      </c>
      <c r="E75" s="49">
        <f>VLOOKUP($A75,'Data shares'!$C:$FB,67)</f>
        <v>32249525</v>
      </c>
      <c r="F75" s="50">
        <f>VLOOKUP($A75,'Data shares'!$C:$FB,69)*100</f>
        <v>-26.840000000000003</v>
      </c>
      <c r="G75" s="49">
        <f>VLOOKUP($A75,'Data shares'!$C:$FB,42)</f>
        <v>8340750</v>
      </c>
      <c r="H75" s="49">
        <f>VLOOKUP($A75,'Data shares'!$C:$FB,43)</f>
        <v>7333425</v>
      </c>
      <c r="I75" s="50">
        <f>VLOOKUP($A75,'Data shares'!$C:$FB,45)*100</f>
        <v>13.74</v>
      </c>
      <c r="J75" s="49">
        <f>VLOOKUP($A75,'Data shares'!$C:$FB,58)</f>
        <v>9419575</v>
      </c>
      <c r="K75" s="49">
        <f>VLOOKUP($A75,'Data shares'!$C:$FB,59)</f>
        <v>15168450</v>
      </c>
      <c r="L75" s="50">
        <f>VLOOKUP($A75,'Data shares'!$C:$FB,61)*100</f>
        <v>-37.9</v>
      </c>
      <c r="M75" s="49">
        <f>VLOOKUP($A75,'Data shares'!$C:$FB,62)</f>
        <v>5832475</v>
      </c>
      <c r="N75" s="49">
        <f>VLOOKUP($A75,'Data shares'!$C:$FB,63)</f>
        <v>9747650</v>
      </c>
      <c r="O75" s="140">
        <f>VLOOKUP($A75,'Data shares'!$C:$FB,65)*100</f>
        <v>-40.17</v>
      </c>
    </row>
    <row r="76" spans="1:15" x14ac:dyDescent="0.25">
      <c r="A76" s="101" t="str">
        <f>'Data Vlaue (Cr)'!C71</f>
        <v>GRASIM</v>
      </c>
      <c r="B76" s="50">
        <f>VLOOKUP($A76,'Data shares'!$C:$FB,7)</f>
        <v>2787.6</v>
      </c>
      <c r="C76" s="50">
        <f>VLOOKUP($A76,'Data shares'!$C:$FB,10)*100</f>
        <v>1.9</v>
      </c>
      <c r="D76" s="49">
        <f>VLOOKUP($A76,'Data shares'!$C:$FB,66)</f>
        <v>15705250</v>
      </c>
      <c r="E76" s="49">
        <f>VLOOKUP($A76,'Data shares'!$C:$FB,67)</f>
        <v>11957750</v>
      </c>
      <c r="F76" s="50">
        <f>VLOOKUP($A76,'Data shares'!$C:$FB,69)*100</f>
        <v>31.34</v>
      </c>
      <c r="G76" s="49">
        <f>VLOOKUP($A76,'Data shares'!$C:$FB,42)</f>
        <v>11851000</v>
      </c>
      <c r="H76" s="49">
        <f>VLOOKUP($A76,'Data shares'!$C:$FB,43)</f>
        <v>7687000</v>
      </c>
      <c r="I76" s="50">
        <f>VLOOKUP($A76,'Data shares'!$C:$FB,45)*100</f>
        <v>54.169999999999995</v>
      </c>
      <c r="J76" s="49">
        <f>VLOOKUP($A76,'Data shares'!$C:$FB,58)</f>
        <v>2232000</v>
      </c>
      <c r="K76" s="49">
        <f>VLOOKUP($A76,'Data shares'!$C:$FB,59)</f>
        <v>2650500</v>
      </c>
      <c r="L76" s="50">
        <f>VLOOKUP($A76,'Data shares'!$C:$FB,61)*100</f>
        <v>-15.790000000000001</v>
      </c>
      <c r="M76" s="49">
        <f>VLOOKUP($A76,'Data shares'!$C:$FB,62)</f>
        <v>1622250</v>
      </c>
      <c r="N76" s="49">
        <f>VLOOKUP($A76,'Data shares'!$C:$FB,63)</f>
        <v>1620250</v>
      </c>
      <c r="O76" s="140">
        <f>VLOOKUP($A76,'Data shares'!$C:$FB,65)*100</f>
        <v>0.12</v>
      </c>
    </row>
    <row r="77" spans="1:15" x14ac:dyDescent="0.25">
      <c r="A77" s="101" t="str">
        <f>'Data Vlaue (Cr)'!C72</f>
        <v>HAL</v>
      </c>
      <c r="B77" s="50">
        <f>VLOOKUP($A77,'Data shares'!$C:$FB,7)</f>
        <v>4353.2</v>
      </c>
      <c r="C77" s="50">
        <f>VLOOKUP($A77,'Data shares'!$C:$FB,10)*100</f>
        <v>2.1999999999999997</v>
      </c>
      <c r="D77" s="49">
        <f>VLOOKUP($A77,'Data shares'!$C:$FB,66)</f>
        <v>20090550</v>
      </c>
      <c r="E77" s="49">
        <f>VLOOKUP($A77,'Data shares'!$C:$FB,67)</f>
        <v>22248900</v>
      </c>
      <c r="F77" s="50">
        <f>VLOOKUP($A77,'Data shares'!$C:$FB,69)*100</f>
        <v>-9.7000000000000011</v>
      </c>
      <c r="G77" s="49">
        <f>VLOOKUP($A77,'Data shares'!$C:$FB,42)</f>
        <v>4592100</v>
      </c>
      <c r="H77" s="49">
        <f>VLOOKUP($A77,'Data shares'!$C:$FB,43)</f>
        <v>3522750</v>
      </c>
      <c r="I77" s="50">
        <f>VLOOKUP($A77,'Data shares'!$C:$FB,45)*100</f>
        <v>30.36</v>
      </c>
      <c r="J77" s="49">
        <f>VLOOKUP($A77,'Data shares'!$C:$FB,58)</f>
        <v>10887600</v>
      </c>
      <c r="K77" s="49">
        <f>VLOOKUP($A77,'Data shares'!$C:$FB,59)</f>
        <v>11671500</v>
      </c>
      <c r="L77" s="50">
        <f>VLOOKUP($A77,'Data shares'!$C:$FB,61)*100</f>
        <v>-6.72</v>
      </c>
      <c r="M77" s="49">
        <f>VLOOKUP($A77,'Data shares'!$C:$FB,62)</f>
        <v>4610850</v>
      </c>
      <c r="N77" s="49">
        <f>VLOOKUP($A77,'Data shares'!$C:$FB,63)</f>
        <v>7054650</v>
      </c>
      <c r="O77" s="140">
        <f>VLOOKUP($A77,'Data shares'!$C:$FB,65)*100</f>
        <v>-34.64</v>
      </c>
    </row>
    <row r="78" spans="1:15" x14ac:dyDescent="0.25">
      <c r="A78" s="101" t="str">
        <f>'Data Vlaue (Cr)'!C73</f>
        <v>HAVELLS</v>
      </c>
      <c r="B78" s="50">
        <f>VLOOKUP($A78,'Data shares'!$C:$FB,7)</f>
        <v>1311.8</v>
      </c>
      <c r="C78" s="50">
        <f>VLOOKUP($A78,'Data shares'!$C:$FB,10)*100</f>
        <v>-0.32</v>
      </c>
      <c r="D78" s="49">
        <f>VLOOKUP($A78,'Data shares'!$C:$FB,66)</f>
        <v>22991500</v>
      </c>
      <c r="E78" s="49">
        <f>VLOOKUP($A78,'Data shares'!$C:$FB,67)</f>
        <v>58449500</v>
      </c>
      <c r="F78" s="50">
        <f>VLOOKUP($A78,'Data shares'!$C:$FB,69)*100</f>
        <v>-60.660000000000004</v>
      </c>
      <c r="G78" s="49">
        <f>VLOOKUP($A78,'Data shares'!$C:$FB,42)</f>
        <v>9093500</v>
      </c>
      <c r="H78" s="49">
        <f>VLOOKUP($A78,'Data shares'!$C:$FB,43)</f>
        <v>9245000</v>
      </c>
      <c r="I78" s="50">
        <f>VLOOKUP($A78,'Data shares'!$C:$FB,45)*100</f>
        <v>-1.6400000000000001</v>
      </c>
      <c r="J78" s="49">
        <f>VLOOKUP($A78,'Data shares'!$C:$FB,58)</f>
        <v>9662000</v>
      </c>
      <c r="K78" s="49">
        <f>VLOOKUP($A78,'Data shares'!$C:$FB,59)</f>
        <v>26034000</v>
      </c>
      <c r="L78" s="50">
        <f>VLOOKUP($A78,'Data shares'!$C:$FB,61)*100</f>
        <v>-62.89</v>
      </c>
      <c r="M78" s="49">
        <f>VLOOKUP($A78,'Data shares'!$C:$FB,62)</f>
        <v>4236000</v>
      </c>
      <c r="N78" s="49">
        <f>VLOOKUP($A78,'Data shares'!$C:$FB,63)</f>
        <v>23170500</v>
      </c>
      <c r="O78" s="140">
        <f>VLOOKUP($A78,'Data shares'!$C:$FB,65)*100</f>
        <v>-81.72</v>
      </c>
    </row>
    <row r="79" spans="1:15" x14ac:dyDescent="0.25">
      <c r="A79" s="101" t="str">
        <f>'Data Vlaue (Cr)'!C74</f>
        <v>HCLTECH</v>
      </c>
      <c r="B79" s="50">
        <f>VLOOKUP($A79,'Data shares'!$C:$FB,7)</f>
        <v>1703.1</v>
      </c>
      <c r="C79" s="50">
        <f>VLOOKUP($A79,'Data shares'!$C:$FB,10)*100</f>
        <v>1.22</v>
      </c>
      <c r="D79" s="49">
        <f>VLOOKUP($A79,'Data shares'!$C:$FB,66)</f>
        <v>31633700</v>
      </c>
      <c r="E79" s="49">
        <f>VLOOKUP($A79,'Data shares'!$C:$FB,67)</f>
        <v>32516400</v>
      </c>
      <c r="F79" s="50">
        <f>VLOOKUP($A79,'Data shares'!$C:$FB,69)*100</f>
        <v>-2.71</v>
      </c>
      <c r="G79" s="49">
        <f>VLOOKUP($A79,'Data shares'!$C:$FB,42)</f>
        <v>13375950</v>
      </c>
      <c r="H79" s="49">
        <f>VLOOKUP($A79,'Data shares'!$C:$FB,43)</f>
        <v>10913700</v>
      </c>
      <c r="I79" s="50">
        <f>VLOOKUP($A79,'Data shares'!$C:$FB,45)*100</f>
        <v>22.56</v>
      </c>
      <c r="J79" s="49">
        <f>VLOOKUP($A79,'Data shares'!$C:$FB,58)</f>
        <v>11349800</v>
      </c>
      <c r="K79" s="49">
        <f>VLOOKUP($A79,'Data shares'!$C:$FB,59)</f>
        <v>12513200</v>
      </c>
      <c r="L79" s="50">
        <f>VLOOKUP($A79,'Data shares'!$C:$FB,61)*100</f>
        <v>-9.3000000000000007</v>
      </c>
      <c r="M79" s="49">
        <f>VLOOKUP($A79,'Data shares'!$C:$FB,62)</f>
        <v>6907950</v>
      </c>
      <c r="N79" s="49">
        <f>VLOOKUP($A79,'Data shares'!$C:$FB,63)</f>
        <v>9089500</v>
      </c>
      <c r="O79" s="140">
        <f>VLOOKUP($A79,'Data shares'!$C:$FB,65)*100</f>
        <v>-24</v>
      </c>
    </row>
    <row r="80" spans="1:15" x14ac:dyDescent="0.25">
      <c r="A80" s="101" t="str">
        <f>'Data Vlaue (Cr)'!C75</f>
        <v>HDFCAMC</v>
      </c>
      <c r="B80" s="50">
        <f>VLOOKUP($A80,'Data shares'!$C:$FB,7)</f>
        <v>2498.9</v>
      </c>
      <c r="C80" s="50">
        <f>VLOOKUP($A80,'Data shares'!$C:$FB,10)*100</f>
        <v>0.91999999999999993</v>
      </c>
      <c r="D80" s="49">
        <f>VLOOKUP($A80,'Data shares'!$C:$FB,66)</f>
        <v>10828800</v>
      </c>
      <c r="E80" s="49">
        <f>VLOOKUP($A80,'Data shares'!$C:$FB,67)</f>
        <v>15857400</v>
      </c>
      <c r="F80" s="50">
        <f>VLOOKUP($A80,'Data shares'!$C:$FB,69)*100</f>
        <v>-31.71</v>
      </c>
      <c r="G80" s="49">
        <f>VLOOKUP($A80,'Data shares'!$C:$FB,42)</f>
        <v>6016800</v>
      </c>
      <c r="H80" s="49">
        <f>VLOOKUP($A80,'Data shares'!$C:$FB,43)</f>
        <v>4763100</v>
      </c>
      <c r="I80" s="50">
        <f>VLOOKUP($A80,'Data shares'!$C:$FB,45)*100</f>
        <v>26.32</v>
      </c>
      <c r="J80" s="49">
        <f>VLOOKUP($A80,'Data shares'!$C:$FB,58)</f>
        <v>3478500</v>
      </c>
      <c r="K80" s="49">
        <f>VLOOKUP($A80,'Data shares'!$C:$FB,59)</f>
        <v>7299300</v>
      </c>
      <c r="L80" s="50">
        <f>VLOOKUP($A80,'Data shares'!$C:$FB,61)*100</f>
        <v>-52.339999999999996</v>
      </c>
      <c r="M80" s="49">
        <f>VLOOKUP($A80,'Data shares'!$C:$FB,62)</f>
        <v>1333500</v>
      </c>
      <c r="N80" s="49">
        <f>VLOOKUP($A80,'Data shares'!$C:$FB,63)</f>
        <v>3795000</v>
      </c>
      <c r="O80" s="140">
        <f>VLOOKUP($A80,'Data shares'!$C:$FB,65)*100</f>
        <v>-64.86</v>
      </c>
    </row>
    <row r="81" spans="1:15" x14ac:dyDescent="0.25">
      <c r="A81" s="101" t="str">
        <f>'Data Vlaue (Cr)'!C76</f>
        <v>HDFCBANK</v>
      </c>
      <c r="B81" s="50">
        <f>VLOOKUP($A81,'Data shares'!$C:$FB,7)</f>
        <v>918.7</v>
      </c>
      <c r="C81" s="50">
        <f>VLOOKUP($A81,'Data shares'!$C:$FB,10)*100</f>
        <v>-0.18</v>
      </c>
      <c r="D81" s="49">
        <f>VLOOKUP($A81,'Data shares'!$C:$FB,66)</f>
        <v>377121800</v>
      </c>
      <c r="E81" s="49">
        <f>VLOOKUP($A81,'Data shares'!$C:$FB,67)</f>
        <v>424313450</v>
      </c>
      <c r="F81" s="50">
        <f>VLOOKUP($A81,'Data shares'!$C:$FB,69)*100</f>
        <v>-11.12</v>
      </c>
      <c r="G81" s="49">
        <f>VLOOKUP($A81,'Data shares'!$C:$FB,42)</f>
        <v>130702000</v>
      </c>
      <c r="H81" s="49">
        <f>VLOOKUP($A81,'Data shares'!$C:$FB,43)</f>
        <v>123739550</v>
      </c>
      <c r="I81" s="50">
        <f>VLOOKUP($A81,'Data shares'!$C:$FB,45)*100</f>
        <v>5.63</v>
      </c>
      <c r="J81" s="49">
        <f>VLOOKUP($A81,'Data shares'!$C:$FB,58)</f>
        <v>153302600</v>
      </c>
      <c r="K81" s="49">
        <f>VLOOKUP($A81,'Data shares'!$C:$FB,59)</f>
        <v>168528800</v>
      </c>
      <c r="L81" s="50">
        <f>VLOOKUP($A81,'Data shares'!$C:$FB,61)*100</f>
        <v>-9.0300000000000011</v>
      </c>
      <c r="M81" s="49">
        <f>VLOOKUP($A81,'Data shares'!$C:$FB,62)</f>
        <v>93117200</v>
      </c>
      <c r="N81" s="49">
        <f>VLOOKUP($A81,'Data shares'!$C:$FB,63)</f>
        <v>132045100</v>
      </c>
      <c r="O81" s="140">
        <f>VLOOKUP($A81,'Data shares'!$C:$FB,65)*100</f>
        <v>-29.48</v>
      </c>
    </row>
    <row r="82" spans="1:15" x14ac:dyDescent="0.25">
      <c r="A82" s="101" t="str">
        <f>'Data Vlaue (Cr)'!C77</f>
        <v>HDFCLIFE</v>
      </c>
      <c r="B82" s="50">
        <f>VLOOKUP($A82,'Data shares'!$C:$FB,7)</f>
        <v>725.1</v>
      </c>
      <c r="C82" s="50">
        <f>VLOOKUP($A82,'Data shares'!$C:$FB,10)*100</f>
        <v>0.1</v>
      </c>
      <c r="D82" s="49">
        <f>VLOOKUP($A82,'Data shares'!$C:$FB,66)</f>
        <v>51954100</v>
      </c>
      <c r="E82" s="49">
        <f>VLOOKUP($A82,'Data shares'!$C:$FB,67)</f>
        <v>60341600</v>
      </c>
      <c r="F82" s="50">
        <f>VLOOKUP($A82,'Data shares'!$C:$FB,69)*100</f>
        <v>-13.900000000000002</v>
      </c>
      <c r="G82" s="49">
        <f>VLOOKUP($A82,'Data shares'!$C:$FB,42)</f>
        <v>26812500</v>
      </c>
      <c r="H82" s="49">
        <f>VLOOKUP($A82,'Data shares'!$C:$FB,43)</f>
        <v>25107500</v>
      </c>
      <c r="I82" s="50">
        <f>VLOOKUP($A82,'Data shares'!$C:$FB,45)*100</f>
        <v>6.79</v>
      </c>
      <c r="J82" s="49">
        <f>VLOOKUP($A82,'Data shares'!$C:$FB,58)</f>
        <v>15045800</v>
      </c>
      <c r="K82" s="49">
        <f>VLOOKUP($A82,'Data shares'!$C:$FB,59)</f>
        <v>22260700</v>
      </c>
      <c r="L82" s="50">
        <f>VLOOKUP($A82,'Data shares'!$C:$FB,61)*100</f>
        <v>-32.409999999999997</v>
      </c>
      <c r="M82" s="49">
        <f>VLOOKUP($A82,'Data shares'!$C:$FB,62)</f>
        <v>10095800</v>
      </c>
      <c r="N82" s="49">
        <f>VLOOKUP($A82,'Data shares'!$C:$FB,63)</f>
        <v>12973400</v>
      </c>
      <c r="O82" s="140">
        <f>VLOOKUP($A82,'Data shares'!$C:$FB,65)*100</f>
        <v>-22.18</v>
      </c>
    </row>
    <row r="83" spans="1:15" x14ac:dyDescent="0.25">
      <c r="A83" s="101" t="str">
        <f>'Data Vlaue (Cr)'!C78</f>
        <v>HEROMOTOCO</v>
      </c>
      <c r="B83" s="50">
        <f>VLOOKUP($A83,'Data shares'!$C:$FB,7)</f>
        <v>5488.5</v>
      </c>
      <c r="C83" s="50">
        <f>VLOOKUP($A83,'Data shares'!$C:$FB,10)*100</f>
        <v>-0.89999999999999991</v>
      </c>
      <c r="D83" s="49">
        <f>VLOOKUP($A83,'Data shares'!$C:$FB,66)</f>
        <v>14574000</v>
      </c>
      <c r="E83" s="49">
        <f>VLOOKUP($A83,'Data shares'!$C:$FB,67)</f>
        <v>16973700</v>
      </c>
      <c r="F83" s="50">
        <f>VLOOKUP($A83,'Data shares'!$C:$FB,69)*100</f>
        <v>-14.14</v>
      </c>
      <c r="G83" s="49">
        <f>VLOOKUP($A83,'Data shares'!$C:$FB,42)</f>
        <v>4775400</v>
      </c>
      <c r="H83" s="49">
        <f>VLOOKUP($A83,'Data shares'!$C:$FB,43)</f>
        <v>4417050</v>
      </c>
      <c r="I83" s="50">
        <f>VLOOKUP($A83,'Data shares'!$C:$FB,45)*100</f>
        <v>8.1100000000000012</v>
      </c>
      <c r="J83" s="49">
        <f>VLOOKUP($A83,'Data shares'!$C:$FB,58)</f>
        <v>6823950</v>
      </c>
      <c r="K83" s="49">
        <f>VLOOKUP($A83,'Data shares'!$C:$FB,59)</f>
        <v>8062500</v>
      </c>
      <c r="L83" s="50">
        <f>VLOOKUP($A83,'Data shares'!$C:$FB,61)*100</f>
        <v>-15.36</v>
      </c>
      <c r="M83" s="49">
        <f>VLOOKUP($A83,'Data shares'!$C:$FB,62)</f>
        <v>2974650</v>
      </c>
      <c r="N83" s="49">
        <f>VLOOKUP($A83,'Data shares'!$C:$FB,63)</f>
        <v>4494150</v>
      </c>
      <c r="O83" s="140">
        <f>VLOOKUP($A83,'Data shares'!$C:$FB,65)*100</f>
        <v>-33.81</v>
      </c>
    </row>
    <row r="84" spans="1:15" x14ac:dyDescent="0.25">
      <c r="A84" s="101" t="str">
        <f>'Data Vlaue (Cr)'!C79</f>
        <v>HINDALCO</v>
      </c>
      <c r="B84" s="50">
        <f>VLOOKUP($A84,'Data shares'!$C:$FB,7)</f>
        <v>944.45</v>
      </c>
      <c r="C84" s="50">
        <f>VLOOKUP($A84,'Data shares'!$C:$FB,10)*100</f>
        <v>0.55999999999999994</v>
      </c>
      <c r="D84" s="49">
        <f>VLOOKUP($A84,'Data shares'!$C:$FB,66)</f>
        <v>94411800</v>
      </c>
      <c r="E84" s="49">
        <f>VLOOKUP($A84,'Data shares'!$C:$FB,67)</f>
        <v>89558700</v>
      </c>
      <c r="F84" s="50">
        <f>VLOOKUP($A84,'Data shares'!$C:$FB,69)*100</f>
        <v>5.42</v>
      </c>
      <c r="G84" s="49">
        <f>VLOOKUP($A84,'Data shares'!$C:$FB,42)</f>
        <v>41694800</v>
      </c>
      <c r="H84" s="49">
        <f>VLOOKUP($A84,'Data shares'!$C:$FB,43)</f>
        <v>28833000</v>
      </c>
      <c r="I84" s="50">
        <f>VLOOKUP($A84,'Data shares'!$C:$FB,45)*100</f>
        <v>44.61</v>
      </c>
      <c r="J84" s="49">
        <f>VLOOKUP($A84,'Data shares'!$C:$FB,58)</f>
        <v>32232900</v>
      </c>
      <c r="K84" s="49">
        <f>VLOOKUP($A84,'Data shares'!$C:$FB,59)</f>
        <v>39358200</v>
      </c>
      <c r="L84" s="50">
        <f>VLOOKUP($A84,'Data shares'!$C:$FB,61)*100</f>
        <v>-18.099999999999998</v>
      </c>
      <c r="M84" s="49">
        <f>VLOOKUP($A84,'Data shares'!$C:$FB,62)</f>
        <v>20484100</v>
      </c>
      <c r="N84" s="49">
        <f>VLOOKUP($A84,'Data shares'!$C:$FB,63)</f>
        <v>21367500</v>
      </c>
      <c r="O84" s="140">
        <f>VLOOKUP($A84,'Data shares'!$C:$FB,65)*100</f>
        <v>-4.1300000000000008</v>
      </c>
    </row>
    <row r="85" spans="1:15" x14ac:dyDescent="0.25">
      <c r="A85" s="101" t="str">
        <f>'Data Vlaue (Cr)'!C80</f>
        <v>HINDPETRO</v>
      </c>
      <c r="B85" s="50">
        <f>VLOOKUP($A85,'Data shares'!$C:$FB,7)</f>
        <v>427.7</v>
      </c>
      <c r="C85" s="50">
        <f>VLOOKUP($A85,'Data shares'!$C:$FB,10)*100</f>
        <v>-0.31</v>
      </c>
      <c r="D85" s="49">
        <f>VLOOKUP($A85,'Data shares'!$C:$FB,66)</f>
        <v>97977600</v>
      </c>
      <c r="E85" s="49">
        <f>VLOOKUP($A85,'Data shares'!$C:$FB,67)</f>
        <v>94132125</v>
      </c>
      <c r="F85" s="50">
        <f>VLOOKUP($A85,'Data shares'!$C:$FB,69)*100</f>
        <v>4.09</v>
      </c>
      <c r="G85" s="49">
        <f>VLOOKUP($A85,'Data shares'!$C:$FB,42)</f>
        <v>26796825</v>
      </c>
      <c r="H85" s="49">
        <f>VLOOKUP($A85,'Data shares'!$C:$FB,43)</f>
        <v>21035700</v>
      </c>
      <c r="I85" s="50">
        <f>VLOOKUP($A85,'Data shares'!$C:$FB,45)*100</f>
        <v>27.389999999999997</v>
      </c>
      <c r="J85" s="49">
        <f>VLOOKUP($A85,'Data shares'!$C:$FB,58)</f>
        <v>43661025</v>
      </c>
      <c r="K85" s="49">
        <f>VLOOKUP($A85,'Data shares'!$C:$FB,59)</f>
        <v>44851725</v>
      </c>
      <c r="L85" s="50">
        <f>VLOOKUP($A85,'Data shares'!$C:$FB,61)*100</f>
        <v>-2.65</v>
      </c>
      <c r="M85" s="49">
        <f>VLOOKUP($A85,'Data shares'!$C:$FB,62)</f>
        <v>27519750</v>
      </c>
      <c r="N85" s="49">
        <f>VLOOKUP($A85,'Data shares'!$C:$FB,63)</f>
        <v>28244700</v>
      </c>
      <c r="O85" s="140">
        <f>VLOOKUP($A85,'Data shares'!$C:$FB,65)*100</f>
        <v>-2.5700000000000003</v>
      </c>
    </row>
    <row r="86" spans="1:15" x14ac:dyDescent="0.25">
      <c r="A86" s="101" t="str">
        <f>'Data Vlaue (Cr)'!C81</f>
        <v>HINDUNILVR</v>
      </c>
      <c r="B86" s="50">
        <f>VLOOKUP($A86,'Data shares'!$C:$FB,7)</f>
        <v>2390.6</v>
      </c>
      <c r="C86" s="50">
        <f>VLOOKUP($A86,'Data shares'!$C:$FB,10)*100</f>
        <v>0.95</v>
      </c>
      <c r="D86" s="49">
        <f>VLOOKUP($A86,'Data shares'!$C:$FB,66)</f>
        <v>34986900</v>
      </c>
      <c r="E86" s="49">
        <f>VLOOKUP($A86,'Data shares'!$C:$FB,67)</f>
        <v>34698000</v>
      </c>
      <c r="F86" s="50">
        <f>VLOOKUP($A86,'Data shares'!$C:$FB,69)*100</f>
        <v>0.83</v>
      </c>
      <c r="G86" s="49">
        <f>VLOOKUP($A86,'Data shares'!$C:$FB,42)</f>
        <v>13115700</v>
      </c>
      <c r="H86" s="49">
        <f>VLOOKUP($A86,'Data shares'!$C:$FB,43)</f>
        <v>11584200</v>
      </c>
      <c r="I86" s="50">
        <f>VLOOKUP($A86,'Data shares'!$C:$FB,45)*100</f>
        <v>13.22</v>
      </c>
      <c r="J86" s="49">
        <f>VLOOKUP($A86,'Data shares'!$C:$FB,58)</f>
        <v>14552100</v>
      </c>
      <c r="K86" s="49">
        <f>VLOOKUP($A86,'Data shares'!$C:$FB,59)</f>
        <v>14436900</v>
      </c>
      <c r="L86" s="50">
        <f>VLOOKUP($A86,'Data shares'!$C:$FB,61)*100</f>
        <v>0.8</v>
      </c>
      <c r="M86" s="49">
        <f>VLOOKUP($A86,'Data shares'!$C:$FB,62)</f>
        <v>7319100</v>
      </c>
      <c r="N86" s="49">
        <f>VLOOKUP($A86,'Data shares'!$C:$FB,63)</f>
        <v>8676900</v>
      </c>
      <c r="O86" s="140">
        <f>VLOOKUP($A86,'Data shares'!$C:$FB,65)*100</f>
        <v>-15.65</v>
      </c>
    </row>
    <row r="87" spans="1:15" x14ac:dyDescent="0.25">
      <c r="A87" s="101" t="str">
        <f>'Data Vlaue (Cr)'!C82</f>
        <v>HINDZINC</v>
      </c>
      <c r="B87" s="50">
        <f>VLOOKUP($A87,'Data shares'!$C:$FB,7)</f>
        <v>668.25</v>
      </c>
      <c r="C87" s="50">
        <f>VLOOKUP($A87,'Data shares'!$C:$FB,10)*100</f>
        <v>-4.2</v>
      </c>
      <c r="D87" s="49">
        <f>VLOOKUP($A87,'Data shares'!$C:$FB,66)</f>
        <v>526218350</v>
      </c>
      <c r="E87" s="49">
        <f>VLOOKUP($A87,'Data shares'!$C:$FB,67)</f>
        <v>438515700</v>
      </c>
      <c r="F87" s="50">
        <f>VLOOKUP($A87,'Data shares'!$C:$FB,69)*100</f>
        <v>20</v>
      </c>
      <c r="G87" s="49">
        <f>VLOOKUP($A87,'Data shares'!$C:$FB,42)</f>
        <v>54671750</v>
      </c>
      <c r="H87" s="49">
        <f>VLOOKUP($A87,'Data shares'!$C:$FB,43)</f>
        <v>38651200</v>
      </c>
      <c r="I87" s="50">
        <f>VLOOKUP($A87,'Data shares'!$C:$FB,45)*100</f>
        <v>41.449999999999996</v>
      </c>
      <c r="J87" s="49">
        <f>VLOOKUP($A87,'Data shares'!$C:$FB,58)</f>
        <v>309362725</v>
      </c>
      <c r="K87" s="49">
        <f>VLOOKUP($A87,'Data shares'!$C:$FB,59)</f>
        <v>300531700</v>
      </c>
      <c r="L87" s="50">
        <f>VLOOKUP($A87,'Data shares'!$C:$FB,61)*100</f>
        <v>2.94</v>
      </c>
      <c r="M87" s="49">
        <f>VLOOKUP($A87,'Data shares'!$C:$FB,62)</f>
        <v>162183875</v>
      </c>
      <c r="N87" s="49">
        <f>VLOOKUP($A87,'Data shares'!$C:$FB,63)</f>
        <v>99332800</v>
      </c>
      <c r="O87" s="140">
        <f>VLOOKUP($A87,'Data shares'!$C:$FB,65)*100</f>
        <v>63.27</v>
      </c>
    </row>
    <row r="88" spans="1:15" x14ac:dyDescent="0.25">
      <c r="A88" s="101" t="str">
        <f>'Data Vlaue (Cr)'!C83</f>
        <v>HUDCO</v>
      </c>
      <c r="B88" s="50">
        <f>VLOOKUP($A88,'Data shares'!$C:$FB,7)</f>
        <v>207.11</v>
      </c>
      <c r="C88" s="50">
        <f>VLOOKUP($A88,'Data shares'!$C:$FB,10)*100</f>
        <v>1.95</v>
      </c>
      <c r="D88" s="49">
        <f>VLOOKUP($A88,'Data shares'!$C:$FB,66)</f>
        <v>73776150</v>
      </c>
      <c r="E88" s="49">
        <f>VLOOKUP($A88,'Data shares'!$C:$FB,67)</f>
        <v>72840975</v>
      </c>
      <c r="F88" s="50">
        <f>VLOOKUP($A88,'Data shares'!$C:$FB,69)*100</f>
        <v>1.28</v>
      </c>
      <c r="G88" s="49">
        <f>VLOOKUP($A88,'Data shares'!$C:$FB,42)</f>
        <v>28554750</v>
      </c>
      <c r="H88" s="49">
        <f>VLOOKUP($A88,'Data shares'!$C:$FB,43)</f>
        <v>19272375</v>
      </c>
      <c r="I88" s="50">
        <f>VLOOKUP($A88,'Data shares'!$C:$FB,45)*100</f>
        <v>48.16</v>
      </c>
      <c r="J88" s="49">
        <f>VLOOKUP($A88,'Data shares'!$C:$FB,58)</f>
        <v>30697050</v>
      </c>
      <c r="K88" s="49">
        <f>VLOOKUP($A88,'Data shares'!$C:$FB,59)</f>
        <v>31224300</v>
      </c>
      <c r="L88" s="50">
        <f>VLOOKUP($A88,'Data shares'!$C:$FB,61)*100</f>
        <v>-1.69</v>
      </c>
      <c r="M88" s="49">
        <f>VLOOKUP($A88,'Data shares'!$C:$FB,62)</f>
        <v>14524350</v>
      </c>
      <c r="N88" s="49">
        <f>VLOOKUP($A88,'Data shares'!$C:$FB,63)</f>
        <v>22344300</v>
      </c>
      <c r="O88" s="140">
        <f>VLOOKUP($A88,'Data shares'!$C:$FB,65)*100</f>
        <v>-35</v>
      </c>
    </row>
    <row r="89" spans="1:15" x14ac:dyDescent="0.25">
      <c r="A89" s="101" t="str">
        <f>'Data Vlaue (Cr)'!C84</f>
        <v>ICICIBANK</v>
      </c>
      <c r="B89" s="50">
        <f>VLOOKUP($A89,'Data shares'!$C:$FB,7)</f>
        <v>1345.5</v>
      </c>
      <c r="C89" s="50">
        <f>VLOOKUP($A89,'Data shares'!$C:$FB,10)*100</f>
        <v>-0.26</v>
      </c>
      <c r="D89" s="49">
        <f>VLOOKUP($A89,'Data shares'!$C:$FB,66)</f>
        <v>203658000</v>
      </c>
      <c r="E89" s="49">
        <f>VLOOKUP($A89,'Data shares'!$C:$FB,67)</f>
        <v>307232800</v>
      </c>
      <c r="F89" s="50">
        <f>VLOOKUP($A89,'Data shares'!$C:$FB,69)*100</f>
        <v>-33.71</v>
      </c>
      <c r="G89" s="49">
        <f>VLOOKUP($A89,'Data shares'!$C:$FB,42)</f>
        <v>64586900</v>
      </c>
      <c r="H89" s="49">
        <f>VLOOKUP($A89,'Data shares'!$C:$FB,43)</f>
        <v>63984200</v>
      </c>
      <c r="I89" s="50">
        <f>VLOOKUP($A89,'Data shares'!$C:$FB,45)*100</f>
        <v>0.94000000000000006</v>
      </c>
      <c r="J89" s="49">
        <f>VLOOKUP($A89,'Data shares'!$C:$FB,58)</f>
        <v>78468600</v>
      </c>
      <c r="K89" s="49">
        <f>VLOOKUP($A89,'Data shares'!$C:$FB,59)</f>
        <v>138505500</v>
      </c>
      <c r="L89" s="50">
        <f>VLOOKUP($A89,'Data shares'!$C:$FB,61)*100</f>
        <v>-43.35</v>
      </c>
      <c r="M89" s="49">
        <f>VLOOKUP($A89,'Data shares'!$C:$FB,62)</f>
        <v>60602500</v>
      </c>
      <c r="N89" s="49">
        <f>VLOOKUP($A89,'Data shares'!$C:$FB,63)</f>
        <v>104743100</v>
      </c>
      <c r="O89" s="140">
        <f>VLOOKUP($A89,'Data shares'!$C:$FB,65)*100</f>
        <v>-42.14</v>
      </c>
    </row>
    <row r="90" spans="1:15" x14ac:dyDescent="0.25">
      <c r="A90" s="101" t="str">
        <f>'Data Vlaue (Cr)'!C85</f>
        <v>ICICIGI</v>
      </c>
      <c r="B90" s="50">
        <f>VLOOKUP($A90,'Data shares'!$C:$FB,7)</f>
        <v>1824.7</v>
      </c>
      <c r="C90" s="50">
        <f>VLOOKUP($A90,'Data shares'!$C:$FB,10)*100</f>
        <v>-0.54</v>
      </c>
      <c r="D90" s="49">
        <f>VLOOKUP($A90,'Data shares'!$C:$FB,66)</f>
        <v>6776900</v>
      </c>
      <c r="E90" s="49">
        <f>VLOOKUP($A90,'Data shares'!$C:$FB,67)</f>
        <v>7892950</v>
      </c>
      <c r="F90" s="50">
        <f>VLOOKUP($A90,'Data shares'!$C:$FB,69)*100</f>
        <v>-14.14</v>
      </c>
      <c r="G90" s="49">
        <f>VLOOKUP($A90,'Data shares'!$C:$FB,42)</f>
        <v>4708600</v>
      </c>
      <c r="H90" s="49">
        <f>VLOOKUP($A90,'Data shares'!$C:$FB,43)</f>
        <v>4124575</v>
      </c>
      <c r="I90" s="50">
        <f>VLOOKUP($A90,'Data shares'!$C:$FB,45)*100</f>
        <v>14.16</v>
      </c>
      <c r="J90" s="49">
        <f>VLOOKUP($A90,'Data shares'!$C:$FB,58)</f>
        <v>1313975</v>
      </c>
      <c r="K90" s="49">
        <f>VLOOKUP($A90,'Data shares'!$C:$FB,59)</f>
        <v>2415725</v>
      </c>
      <c r="L90" s="50">
        <f>VLOOKUP($A90,'Data shares'!$C:$FB,61)*100</f>
        <v>-45.61</v>
      </c>
      <c r="M90" s="49">
        <f>VLOOKUP($A90,'Data shares'!$C:$FB,62)</f>
        <v>754325</v>
      </c>
      <c r="N90" s="49">
        <f>VLOOKUP($A90,'Data shares'!$C:$FB,63)</f>
        <v>1352650</v>
      </c>
      <c r="O90" s="140">
        <f>VLOOKUP($A90,'Data shares'!$C:$FB,65)*100</f>
        <v>-44.230000000000004</v>
      </c>
    </row>
    <row r="91" spans="1:15" x14ac:dyDescent="0.25">
      <c r="A91" s="101" t="str">
        <f>'Data Vlaue (Cr)'!C86</f>
        <v>ICICIPRULI</v>
      </c>
      <c r="B91" s="50">
        <f>VLOOKUP($A91,'Data shares'!$C:$FB,7)</f>
        <v>653.15</v>
      </c>
      <c r="C91" s="50">
        <f>VLOOKUP($A91,'Data shares'!$C:$FB,10)*100</f>
        <v>0.92999999999999994</v>
      </c>
      <c r="D91" s="49">
        <f>VLOOKUP($A91,'Data shares'!$C:$FB,66)</f>
        <v>25265450</v>
      </c>
      <c r="E91" s="49">
        <f>VLOOKUP($A91,'Data shares'!$C:$FB,67)</f>
        <v>16445575</v>
      </c>
      <c r="F91" s="50">
        <f>VLOOKUP($A91,'Data shares'!$C:$FB,69)*100</f>
        <v>53.63</v>
      </c>
      <c r="G91" s="49">
        <f>VLOOKUP($A91,'Data shares'!$C:$FB,42)</f>
        <v>18422300</v>
      </c>
      <c r="H91" s="49">
        <f>VLOOKUP($A91,'Data shares'!$C:$FB,43)</f>
        <v>8173300</v>
      </c>
      <c r="I91" s="50">
        <f>VLOOKUP($A91,'Data shares'!$C:$FB,45)*100</f>
        <v>125.4</v>
      </c>
      <c r="J91" s="49">
        <f>VLOOKUP($A91,'Data shares'!$C:$FB,58)</f>
        <v>4492725</v>
      </c>
      <c r="K91" s="49">
        <f>VLOOKUP($A91,'Data shares'!$C:$FB,59)</f>
        <v>5285450</v>
      </c>
      <c r="L91" s="50">
        <f>VLOOKUP($A91,'Data shares'!$C:$FB,61)*100</f>
        <v>-15</v>
      </c>
      <c r="M91" s="49">
        <f>VLOOKUP($A91,'Data shares'!$C:$FB,62)</f>
        <v>2350425</v>
      </c>
      <c r="N91" s="49">
        <f>VLOOKUP($A91,'Data shares'!$C:$FB,63)</f>
        <v>2986825</v>
      </c>
      <c r="O91" s="140">
        <f>VLOOKUP($A91,'Data shares'!$C:$FB,65)*100</f>
        <v>-21.310000000000002</v>
      </c>
    </row>
    <row r="92" spans="1:15" x14ac:dyDescent="0.25">
      <c r="A92" s="101" t="str">
        <f>'Data Vlaue (Cr)'!C87</f>
        <v>IDEA</v>
      </c>
      <c r="B92" s="50">
        <f>VLOOKUP($A92,'Data shares'!$C:$FB,7)</f>
        <v>10.18</v>
      </c>
      <c r="C92" s="50">
        <f>VLOOKUP($A92,'Data shares'!$C:$FB,10)*100</f>
        <v>0.59</v>
      </c>
      <c r="D92" s="49">
        <f>VLOOKUP($A92,'Data shares'!$C:$FB,66)</f>
        <v>4225459050</v>
      </c>
      <c r="E92" s="49">
        <f>VLOOKUP($A92,'Data shares'!$C:$FB,67)</f>
        <v>7266362925</v>
      </c>
      <c r="F92" s="50">
        <f>VLOOKUP($A92,'Data shares'!$C:$FB,69)*100</f>
        <v>-41.85</v>
      </c>
      <c r="G92" s="49">
        <f>VLOOKUP($A92,'Data shares'!$C:$FB,42)</f>
        <v>2637213075</v>
      </c>
      <c r="H92" s="49">
        <f>VLOOKUP($A92,'Data shares'!$C:$FB,43)</f>
        <v>4190007450</v>
      </c>
      <c r="I92" s="50">
        <f>VLOOKUP($A92,'Data shares'!$C:$FB,45)*100</f>
        <v>-37.059999999999995</v>
      </c>
      <c r="J92" s="49">
        <f>VLOOKUP($A92,'Data shares'!$C:$FB,58)</f>
        <v>1071553200</v>
      </c>
      <c r="K92" s="49">
        <f>VLOOKUP($A92,'Data shares'!$C:$FB,59)</f>
        <v>2088213600</v>
      </c>
      <c r="L92" s="50">
        <f>VLOOKUP($A92,'Data shares'!$C:$FB,61)*100</f>
        <v>-48.69</v>
      </c>
      <c r="M92" s="49">
        <f>VLOOKUP($A92,'Data shares'!$C:$FB,62)</f>
        <v>516692775</v>
      </c>
      <c r="N92" s="49">
        <f>VLOOKUP($A92,'Data shares'!$C:$FB,63)</f>
        <v>988141875</v>
      </c>
      <c r="O92" s="140">
        <f>VLOOKUP($A92,'Data shares'!$C:$FB,65)*100</f>
        <v>-47.71</v>
      </c>
    </row>
    <row r="93" spans="1:15" x14ac:dyDescent="0.25">
      <c r="A93" s="101" t="str">
        <f>'Data Vlaue (Cr)'!C88</f>
        <v>IDFCFIRSTB</v>
      </c>
      <c r="B93" s="50">
        <f>VLOOKUP($A93,'Data shares'!$C:$FB,7)</f>
        <v>84.2</v>
      </c>
      <c r="C93" s="50">
        <f>VLOOKUP($A93,'Data shares'!$C:$FB,10)*100</f>
        <v>3.3000000000000003</v>
      </c>
      <c r="D93" s="49">
        <f>VLOOKUP($A93,'Data shares'!$C:$FB,66)</f>
        <v>472876600</v>
      </c>
      <c r="E93" s="49">
        <f>VLOOKUP($A93,'Data shares'!$C:$FB,67)</f>
        <v>463462475</v>
      </c>
      <c r="F93" s="50">
        <f>VLOOKUP($A93,'Data shares'!$C:$FB,69)*100</f>
        <v>2.0299999999999998</v>
      </c>
      <c r="G93" s="49">
        <f>VLOOKUP($A93,'Data shares'!$C:$FB,42)</f>
        <v>207008725</v>
      </c>
      <c r="H93" s="49">
        <f>VLOOKUP($A93,'Data shares'!$C:$FB,43)</f>
        <v>220299800</v>
      </c>
      <c r="I93" s="50">
        <f>VLOOKUP($A93,'Data shares'!$C:$FB,45)*100</f>
        <v>-6.03</v>
      </c>
      <c r="J93" s="49">
        <f>VLOOKUP($A93,'Data shares'!$C:$FB,58)</f>
        <v>186000850</v>
      </c>
      <c r="K93" s="49">
        <f>VLOOKUP($A93,'Data shares'!$C:$FB,59)</f>
        <v>148233050</v>
      </c>
      <c r="L93" s="50">
        <f>VLOOKUP($A93,'Data shares'!$C:$FB,61)*100</f>
        <v>25.480000000000004</v>
      </c>
      <c r="M93" s="49">
        <f>VLOOKUP($A93,'Data shares'!$C:$FB,62)</f>
        <v>79867025</v>
      </c>
      <c r="N93" s="49">
        <f>VLOOKUP($A93,'Data shares'!$C:$FB,63)</f>
        <v>94929625</v>
      </c>
      <c r="O93" s="140">
        <f>VLOOKUP($A93,'Data shares'!$C:$FB,65)*100</f>
        <v>-15.870000000000001</v>
      </c>
    </row>
    <row r="94" spans="1:15" x14ac:dyDescent="0.25">
      <c r="A94" s="101" t="str">
        <f>'Data Vlaue (Cr)'!C89</f>
        <v>IEX</v>
      </c>
      <c r="B94" s="50">
        <f>VLOOKUP($A94,'Data shares'!$C:$FB,7)</f>
        <v>131.06</v>
      </c>
      <c r="C94" s="50">
        <f>VLOOKUP($A94,'Data shares'!$C:$FB,10)*100</f>
        <v>2.06</v>
      </c>
      <c r="D94" s="49">
        <f>VLOOKUP($A94,'Data shares'!$C:$FB,66)</f>
        <v>182801250</v>
      </c>
      <c r="E94" s="49">
        <f>VLOOKUP($A94,'Data shares'!$C:$FB,67)</f>
        <v>227778750</v>
      </c>
      <c r="F94" s="50">
        <f>VLOOKUP($A94,'Data shares'!$C:$FB,69)*100</f>
        <v>-19.75</v>
      </c>
      <c r="G94" s="49">
        <f>VLOOKUP($A94,'Data shares'!$C:$FB,42)</f>
        <v>65756250</v>
      </c>
      <c r="H94" s="49">
        <f>VLOOKUP($A94,'Data shares'!$C:$FB,43)</f>
        <v>57536250</v>
      </c>
      <c r="I94" s="50">
        <f>VLOOKUP($A94,'Data shares'!$C:$FB,45)*100</f>
        <v>14.29</v>
      </c>
      <c r="J94" s="49">
        <f>VLOOKUP($A94,'Data shares'!$C:$FB,58)</f>
        <v>77898750</v>
      </c>
      <c r="K94" s="49">
        <f>VLOOKUP($A94,'Data shares'!$C:$FB,59)</f>
        <v>106301250</v>
      </c>
      <c r="L94" s="50">
        <f>VLOOKUP($A94,'Data shares'!$C:$FB,61)*100</f>
        <v>-26.72</v>
      </c>
      <c r="M94" s="49">
        <f>VLOOKUP($A94,'Data shares'!$C:$FB,62)</f>
        <v>39146250</v>
      </c>
      <c r="N94" s="49">
        <f>VLOOKUP($A94,'Data shares'!$C:$FB,63)</f>
        <v>63941250</v>
      </c>
      <c r="O94" s="140">
        <f>VLOOKUP($A94,'Data shares'!$C:$FB,65)*100</f>
        <v>-38.78</v>
      </c>
    </row>
    <row r="95" spans="1:15" x14ac:dyDescent="0.25">
      <c r="A95" s="101" t="str">
        <f>'Data Vlaue (Cr)'!C90</f>
        <v>IIFL</v>
      </c>
      <c r="B95" s="50">
        <f>VLOOKUP($A95,'Data shares'!$C:$FB,7)</f>
        <v>538.75</v>
      </c>
      <c r="C95" s="50">
        <f>VLOOKUP($A95,'Data shares'!$C:$FB,10)*100</f>
        <v>-13.5</v>
      </c>
      <c r="D95" s="49">
        <f>VLOOKUP($A95,'Data shares'!$C:$FB,66)</f>
        <v>232026300</v>
      </c>
      <c r="E95" s="49">
        <f>VLOOKUP($A95,'Data shares'!$C:$FB,67)</f>
        <v>40530600</v>
      </c>
      <c r="F95" s="50">
        <f>VLOOKUP($A95,'Data shares'!$C:$FB,69)*100</f>
        <v>472.47</v>
      </c>
      <c r="G95" s="49">
        <f>VLOOKUP($A95,'Data shares'!$C:$FB,42)</f>
        <v>27972450</v>
      </c>
      <c r="H95" s="49">
        <f>VLOOKUP($A95,'Data shares'!$C:$FB,43)</f>
        <v>5365800</v>
      </c>
      <c r="I95" s="50">
        <f>VLOOKUP($A95,'Data shares'!$C:$FB,45)*100</f>
        <v>421.31</v>
      </c>
      <c r="J95" s="49">
        <f>VLOOKUP($A95,'Data shares'!$C:$FB,58)</f>
        <v>99188100</v>
      </c>
      <c r="K95" s="49">
        <f>VLOOKUP($A95,'Data shares'!$C:$FB,59)</f>
        <v>21073800</v>
      </c>
      <c r="L95" s="50">
        <f>VLOOKUP($A95,'Data shares'!$C:$FB,61)*100</f>
        <v>370.67</v>
      </c>
      <c r="M95" s="49">
        <f>VLOOKUP($A95,'Data shares'!$C:$FB,62)</f>
        <v>104865750</v>
      </c>
      <c r="N95" s="49">
        <f>VLOOKUP($A95,'Data shares'!$C:$FB,63)</f>
        <v>14091000</v>
      </c>
      <c r="O95" s="140">
        <f>VLOOKUP($A95,'Data shares'!$C:$FB,65)*100</f>
        <v>644.20000000000005</v>
      </c>
    </row>
    <row r="96" spans="1:15" x14ac:dyDescent="0.25">
      <c r="A96" s="101" t="str">
        <f>'Data Vlaue (Cr)'!C91</f>
        <v>INDHOTEL</v>
      </c>
      <c r="B96" s="50">
        <f>VLOOKUP($A96,'Data shares'!$C:$FB,7)</f>
        <v>656.55</v>
      </c>
      <c r="C96" s="50">
        <f>VLOOKUP($A96,'Data shares'!$C:$FB,10)*100</f>
        <v>0.44999999999999996</v>
      </c>
      <c r="D96" s="49">
        <f>VLOOKUP($A96,'Data shares'!$C:$FB,66)</f>
        <v>46528000</v>
      </c>
      <c r="E96" s="49">
        <f>VLOOKUP($A96,'Data shares'!$C:$FB,67)</f>
        <v>49291000</v>
      </c>
      <c r="F96" s="50">
        <f>VLOOKUP($A96,'Data shares'!$C:$FB,69)*100</f>
        <v>-5.6099999999999994</v>
      </c>
      <c r="G96" s="49">
        <f>VLOOKUP($A96,'Data shares'!$C:$FB,42)</f>
        <v>23446000</v>
      </c>
      <c r="H96" s="49">
        <f>VLOOKUP($A96,'Data shares'!$C:$FB,43)</f>
        <v>15768000</v>
      </c>
      <c r="I96" s="50">
        <f>VLOOKUP($A96,'Data shares'!$C:$FB,45)*100</f>
        <v>48.69</v>
      </c>
      <c r="J96" s="49">
        <f>VLOOKUP($A96,'Data shares'!$C:$FB,58)</f>
        <v>16301000</v>
      </c>
      <c r="K96" s="49">
        <f>VLOOKUP($A96,'Data shares'!$C:$FB,59)</f>
        <v>21870000</v>
      </c>
      <c r="L96" s="50">
        <f>VLOOKUP($A96,'Data shares'!$C:$FB,61)*100</f>
        <v>-25.46</v>
      </c>
      <c r="M96" s="49">
        <f>VLOOKUP($A96,'Data shares'!$C:$FB,62)</f>
        <v>6781000</v>
      </c>
      <c r="N96" s="49">
        <f>VLOOKUP($A96,'Data shares'!$C:$FB,63)</f>
        <v>11653000</v>
      </c>
      <c r="O96" s="140">
        <f>VLOOKUP($A96,'Data shares'!$C:$FB,65)*100</f>
        <v>-41.81</v>
      </c>
    </row>
    <row r="97" spans="1:15" x14ac:dyDescent="0.25">
      <c r="A97" s="101" t="str">
        <f>'Data Vlaue (Cr)'!C92</f>
        <v>INDIANB</v>
      </c>
      <c r="B97" s="50">
        <f>VLOOKUP($A97,'Data shares'!$C:$FB,7)</f>
        <v>896.75</v>
      </c>
      <c r="C97" s="50">
        <f>VLOOKUP($A97,'Data shares'!$C:$FB,10)*100</f>
        <v>5.43</v>
      </c>
      <c r="D97" s="49">
        <f>VLOOKUP($A97,'Data shares'!$C:$FB,66)</f>
        <v>90693000</v>
      </c>
      <c r="E97" s="49">
        <f>VLOOKUP($A97,'Data shares'!$C:$FB,67)</f>
        <v>19758000</v>
      </c>
      <c r="F97" s="50">
        <f>VLOOKUP($A97,'Data shares'!$C:$FB,69)*100</f>
        <v>359.02</v>
      </c>
      <c r="G97" s="49">
        <f>VLOOKUP($A97,'Data shares'!$C:$FB,42)</f>
        <v>19569000</v>
      </c>
      <c r="H97" s="49">
        <f>VLOOKUP($A97,'Data shares'!$C:$FB,43)</f>
        <v>7858000</v>
      </c>
      <c r="I97" s="50">
        <f>VLOOKUP($A97,'Data shares'!$C:$FB,45)*100</f>
        <v>149.03</v>
      </c>
      <c r="J97" s="49">
        <f>VLOOKUP($A97,'Data shares'!$C:$FB,58)</f>
        <v>53784000</v>
      </c>
      <c r="K97" s="49">
        <f>VLOOKUP($A97,'Data shares'!$C:$FB,59)</f>
        <v>7924000</v>
      </c>
      <c r="L97" s="50">
        <f>VLOOKUP($A97,'Data shares'!$C:$FB,61)*100</f>
        <v>578.75</v>
      </c>
      <c r="M97" s="49">
        <f>VLOOKUP($A97,'Data shares'!$C:$FB,62)</f>
        <v>17340000</v>
      </c>
      <c r="N97" s="49">
        <f>VLOOKUP($A97,'Data shares'!$C:$FB,63)</f>
        <v>3976000</v>
      </c>
      <c r="O97" s="140">
        <f>VLOOKUP($A97,'Data shares'!$C:$FB,65)*100</f>
        <v>336.12</v>
      </c>
    </row>
    <row r="98" spans="1:15" x14ac:dyDescent="0.25">
      <c r="A98" s="101" t="str">
        <f>'Data Vlaue (Cr)'!C93</f>
        <v>INDIAVIX</v>
      </c>
      <c r="B98" s="50">
        <f>VLOOKUP($A98,'Data shares'!$C:$FB,7)</f>
        <v>13.35</v>
      </c>
      <c r="C98" s="50">
        <f>VLOOKUP($A98,'Data shares'!$C:$FB,10)*100</f>
        <v>-3.1199999999999997</v>
      </c>
      <c r="D98" s="49">
        <f>VLOOKUP($A98,'Data shares'!$C:$FB,66)</f>
        <v>0</v>
      </c>
      <c r="E98" s="49">
        <f>VLOOKUP($A98,'Data shares'!$C:$FB,67)</f>
        <v>0</v>
      </c>
      <c r="F98" s="50">
        <f>VLOOKUP($A98,'Data shares'!$C:$FB,69)*100</f>
        <v>0</v>
      </c>
      <c r="G98" s="49">
        <f>VLOOKUP($A98,'Data shares'!$C:$FB,42)</f>
        <v>0</v>
      </c>
      <c r="H98" s="49">
        <f>VLOOKUP($A98,'Data shares'!$C:$FB,43)</f>
        <v>0</v>
      </c>
      <c r="I98" s="50">
        <f>VLOOKUP($A98,'Data shares'!$C:$FB,45)*100</f>
        <v>0</v>
      </c>
      <c r="J98" s="49">
        <f>VLOOKUP($A98,'Data shares'!$C:$FB,58)</f>
        <v>0</v>
      </c>
      <c r="K98" s="49">
        <f>VLOOKUP($A98,'Data shares'!$C:$FB,59)</f>
        <v>0</v>
      </c>
      <c r="L98" s="50">
        <f>VLOOKUP($A98,'Data shares'!$C:$FB,61)*100</f>
        <v>0</v>
      </c>
      <c r="M98" s="49">
        <f>VLOOKUP($A98,'Data shares'!$C:$FB,62)</f>
        <v>0</v>
      </c>
      <c r="N98" s="49">
        <f>VLOOKUP($A98,'Data shares'!$C:$FB,63)</f>
        <v>0</v>
      </c>
      <c r="O98" s="140">
        <f>VLOOKUP($A98,'Data shares'!$C:$FB,65)*100</f>
        <v>0</v>
      </c>
    </row>
    <row r="99" spans="1:15" x14ac:dyDescent="0.25">
      <c r="A99" s="101" t="str">
        <f>'Data Vlaue (Cr)'!C94</f>
        <v>INDIGO</v>
      </c>
      <c r="B99" s="50">
        <f>VLOOKUP($A99,'Data shares'!$C:$FB,7)</f>
        <v>4909</v>
      </c>
      <c r="C99" s="50">
        <f>VLOOKUP($A99,'Data shares'!$C:$FB,10)*100</f>
        <v>1.06</v>
      </c>
      <c r="D99" s="49">
        <f>VLOOKUP($A99,'Data shares'!$C:$FB,66)</f>
        <v>21894300</v>
      </c>
      <c r="E99" s="49">
        <f>VLOOKUP($A99,'Data shares'!$C:$FB,67)</f>
        <v>29390400</v>
      </c>
      <c r="F99" s="50">
        <f>VLOOKUP($A99,'Data shares'!$C:$FB,69)*100</f>
        <v>-25.509999999999998</v>
      </c>
      <c r="G99" s="49">
        <f>VLOOKUP($A99,'Data shares'!$C:$FB,42)</f>
        <v>5624250</v>
      </c>
      <c r="H99" s="49">
        <f>VLOOKUP($A99,'Data shares'!$C:$FB,43)</f>
        <v>6153750</v>
      </c>
      <c r="I99" s="50">
        <f>VLOOKUP($A99,'Data shares'!$C:$FB,45)*100</f>
        <v>-8.6</v>
      </c>
      <c r="J99" s="49">
        <f>VLOOKUP($A99,'Data shares'!$C:$FB,58)</f>
        <v>8636550</v>
      </c>
      <c r="K99" s="49">
        <f>VLOOKUP($A99,'Data shares'!$C:$FB,59)</f>
        <v>13977150</v>
      </c>
      <c r="L99" s="50">
        <f>VLOOKUP($A99,'Data shares'!$C:$FB,61)*100</f>
        <v>-38.21</v>
      </c>
      <c r="M99" s="49">
        <f>VLOOKUP($A99,'Data shares'!$C:$FB,62)</f>
        <v>7633500</v>
      </c>
      <c r="N99" s="49">
        <f>VLOOKUP($A99,'Data shares'!$C:$FB,63)</f>
        <v>9259500</v>
      </c>
      <c r="O99" s="140">
        <f>VLOOKUP($A99,'Data shares'!$C:$FB,65)*100</f>
        <v>-17.560000000000002</v>
      </c>
    </row>
    <row r="100" spans="1:15" x14ac:dyDescent="0.25">
      <c r="A100" s="101" t="str">
        <f>'Data Vlaue (Cr)'!C95</f>
        <v>INDUSINDBK</v>
      </c>
      <c r="B100" s="50">
        <f>VLOOKUP($A100,'Data shares'!$C:$FB,7)</f>
        <v>902.45</v>
      </c>
      <c r="C100" s="50">
        <f>VLOOKUP($A100,'Data shares'!$C:$FB,10)*100</f>
        <v>-0.52</v>
      </c>
      <c r="D100" s="49">
        <f>VLOOKUP($A100,'Data shares'!$C:$FB,66)</f>
        <v>50409800</v>
      </c>
      <c r="E100" s="49">
        <f>VLOOKUP($A100,'Data shares'!$C:$FB,67)</f>
        <v>50870400</v>
      </c>
      <c r="F100" s="50">
        <f>VLOOKUP($A100,'Data shares'!$C:$FB,69)*100</f>
        <v>-0.91</v>
      </c>
      <c r="G100" s="49">
        <f>VLOOKUP($A100,'Data shares'!$C:$FB,42)</f>
        <v>21809200</v>
      </c>
      <c r="H100" s="49">
        <f>VLOOKUP($A100,'Data shares'!$C:$FB,43)</f>
        <v>21856100</v>
      </c>
      <c r="I100" s="50">
        <f>VLOOKUP($A100,'Data shares'!$C:$FB,45)*100</f>
        <v>-0.21</v>
      </c>
      <c r="J100" s="49">
        <f>VLOOKUP($A100,'Data shares'!$C:$FB,58)</f>
        <v>16871400</v>
      </c>
      <c r="K100" s="49">
        <f>VLOOKUP($A100,'Data shares'!$C:$FB,59)</f>
        <v>16709700</v>
      </c>
      <c r="L100" s="50">
        <f>VLOOKUP($A100,'Data shares'!$C:$FB,61)*100</f>
        <v>0.97</v>
      </c>
      <c r="M100" s="49">
        <f>VLOOKUP($A100,'Data shares'!$C:$FB,62)</f>
        <v>11729200</v>
      </c>
      <c r="N100" s="49">
        <f>VLOOKUP($A100,'Data shares'!$C:$FB,63)</f>
        <v>12304600</v>
      </c>
      <c r="O100" s="140">
        <f>VLOOKUP($A100,'Data shares'!$C:$FB,65)*100</f>
        <v>-4.68</v>
      </c>
    </row>
    <row r="101" spans="1:15" x14ac:dyDescent="0.25">
      <c r="A101" s="101" t="str">
        <f>'Data Vlaue (Cr)'!C96</f>
        <v>INDUSTOWER</v>
      </c>
      <c r="B101" s="50">
        <f>VLOOKUP($A101,'Data shares'!$C:$FB,7)</f>
        <v>419.2</v>
      </c>
      <c r="C101" s="50">
        <f>VLOOKUP($A101,'Data shares'!$C:$FB,10)*100</f>
        <v>1.26</v>
      </c>
      <c r="D101" s="49">
        <f>VLOOKUP($A101,'Data shares'!$C:$FB,66)</f>
        <v>96262500</v>
      </c>
      <c r="E101" s="49">
        <f>VLOOKUP($A101,'Data shares'!$C:$FB,67)</f>
        <v>158581100</v>
      </c>
      <c r="F101" s="50">
        <f>VLOOKUP($A101,'Data shares'!$C:$FB,69)*100</f>
        <v>-39.300000000000004</v>
      </c>
      <c r="G101" s="49">
        <f>VLOOKUP($A101,'Data shares'!$C:$FB,42)</f>
        <v>47605100</v>
      </c>
      <c r="H101" s="49">
        <f>VLOOKUP($A101,'Data shares'!$C:$FB,43)</f>
        <v>61337700</v>
      </c>
      <c r="I101" s="50">
        <f>VLOOKUP($A101,'Data shares'!$C:$FB,45)*100</f>
        <v>-22.39</v>
      </c>
      <c r="J101" s="49">
        <f>VLOOKUP($A101,'Data shares'!$C:$FB,58)</f>
        <v>31555400</v>
      </c>
      <c r="K101" s="49">
        <f>VLOOKUP($A101,'Data shares'!$C:$FB,59)</f>
        <v>54068500</v>
      </c>
      <c r="L101" s="50">
        <f>VLOOKUP($A101,'Data shares'!$C:$FB,61)*100</f>
        <v>-41.64</v>
      </c>
      <c r="M101" s="49">
        <f>VLOOKUP($A101,'Data shares'!$C:$FB,62)</f>
        <v>17102000</v>
      </c>
      <c r="N101" s="49">
        <f>VLOOKUP($A101,'Data shares'!$C:$FB,63)</f>
        <v>43174900</v>
      </c>
      <c r="O101" s="140">
        <f>VLOOKUP($A101,'Data shares'!$C:$FB,65)*100</f>
        <v>-60.39</v>
      </c>
    </row>
    <row r="102" spans="1:15" x14ac:dyDescent="0.25">
      <c r="A102" s="101" t="str">
        <f>'Data Vlaue (Cr)'!C97</f>
        <v>INFY</v>
      </c>
      <c r="B102" s="50">
        <f>VLOOKUP($A102,'Data shares'!$C:$FB,7)</f>
        <v>1663.5</v>
      </c>
      <c r="C102" s="50">
        <f>VLOOKUP($A102,'Data shares'!$C:$FB,10)*100</f>
        <v>0.54999999999999993</v>
      </c>
      <c r="D102" s="49">
        <f>VLOOKUP($A102,'Data shares'!$C:$FB,66)</f>
        <v>145802400</v>
      </c>
      <c r="E102" s="49">
        <f>VLOOKUP($A102,'Data shares'!$C:$FB,67)</f>
        <v>140170400</v>
      </c>
      <c r="F102" s="50">
        <f>VLOOKUP($A102,'Data shares'!$C:$FB,69)*100</f>
        <v>4.0199999999999996</v>
      </c>
      <c r="G102" s="49">
        <f>VLOOKUP($A102,'Data shares'!$C:$FB,42)</f>
        <v>45820000</v>
      </c>
      <c r="H102" s="49">
        <f>VLOOKUP($A102,'Data shares'!$C:$FB,43)</f>
        <v>52660000</v>
      </c>
      <c r="I102" s="50">
        <f>VLOOKUP($A102,'Data shares'!$C:$FB,45)*100</f>
        <v>-12.989999999999998</v>
      </c>
      <c r="J102" s="49">
        <f>VLOOKUP($A102,'Data shares'!$C:$FB,58)</f>
        <v>63550400</v>
      </c>
      <c r="K102" s="49">
        <f>VLOOKUP($A102,'Data shares'!$C:$FB,59)</f>
        <v>46379200</v>
      </c>
      <c r="L102" s="50">
        <f>VLOOKUP($A102,'Data shares'!$C:$FB,61)*100</f>
        <v>37.019999999999996</v>
      </c>
      <c r="M102" s="49">
        <f>VLOOKUP($A102,'Data shares'!$C:$FB,62)</f>
        <v>36432000</v>
      </c>
      <c r="N102" s="49">
        <f>VLOOKUP($A102,'Data shares'!$C:$FB,63)</f>
        <v>41131200</v>
      </c>
      <c r="O102" s="140">
        <f>VLOOKUP($A102,'Data shares'!$C:$FB,65)*100</f>
        <v>-11.42</v>
      </c>
    </row>
    <row r="103" spans="1:15" x14ac:dyDescent="0.25">
      <c r="A103" s="101" t="str">
        <f>'Data Vlaue (Cr)'!C98</f>
        <v>INOXWIND</v>
      </c>
      <c r="B103" s="50">
        <f>VLOOKUP($A103,'Data shares'!$C:$FB,7)</f>
        <v>106.89</v>
      </c>
      <c r="C103" s="50">
        <f>VLOOKUP($A103,'Data shares'!$C:$FB,10)*100</f>
        <v>2.1</v>
      </c>
      <c r="D103" s="49">
        <f>VLOOKUP($A103,'Data shares'!$C:$FB,66)</f>
        <v>102931400</v>
      </c>
      <c r="E103" s="49">
        <f>VLOOKUP($A103,'Data shares'!$C:$FB,67)</f>
        <v>151644350</v>
      </c>
      <c r="F103" s="50">
        <f>VLOOKUP($A103,'Data shares'!$C:$FB,69)*100</f>
        <v>-32.119999999999997</v>
      </c>
      <c r="G103" s="49">
        <f>VLOOKUP($A103,'Data shares'!$C:$FB,42)</f>
        <v>55519750</v>
      </c>
      <c r="H103" s="49">
        <f>VLOOKUP($A103,'Data shares'!$C:$FB,43)</f>
        <v>45012825</v>
      </c>
      <c r="I103" s="50">
        <f>VLOOKUP($A103,'Data shares'!$C:$FB,45)*100</f>
        <v>23.34</v>
      </c>
      <c r="J103" s="49">
        <f>VLOOKUP($A103,'Data shares'!$C:$FB,58)</f>
        <v>31284825</v>
      </c>
      <c r="K103" s="49">
        <f>VLOOKUP($A103,'Data shares'!$C:$FB,59)</f>
        <v>67714075</v>
      </c>
      <c r="L103" s="50">
        <f>VLOOKUP($A103,'Data shares'!$C:$FB,61)*100</f>
        <v>-53.800000000000004</v>
      </c>
      <c r="M103" s="49">
        <f>VLOOKUP($A103,'Data shares'!$C:$FB,62)</f>
        <v>16126825</v>
      </c>
      <c r="N103" s="49">
        <f>VLOOKUP($A103,'Data shares'!$C:$FB,63)</f>
        <v>38917450</v>
      </c>
      <c r="O103" s="140">
        <f>VLOOKUP($A103,'Data shares'!$C:$FB,65)*100</f>
        <v>-58.56</v>
      </c>
    </row>
    <row r="104" spans="1:15" x14ac:dyDescent="0.25">
      <c r="A104" s="101" t="str">
        <f>'Data Vlaue (Cr)'!C99</f>
        <v>IOC</v>
      </c>
      <c r="B104" s="50">
        <f>VLOOKUP($A104,'Data shares'!$C:$FB,7)</f>
        <v>159.05000000000001</v>
      </c>
      <c r="C104" s="50">
        <f>VLOOKUP($A104,'Data shares'!$C:$FB,10)*100</f>
        <v>0.13999999999999999</v>
      </c>
      <c r="D104" s="49">
        <f>VLOOKUP($A104,'Data shares'!$C:$FB,66)</f>
        <v>155532000</v>
      </c>
      <c r="E104" s="49">
        <f>VLOOKUP($A104,'Data shares'!$C:$FB,67)</f>
        <v>164009625</v>
      </c>
      <c r="F104" s="50">
        <f>VLOOKUP($A104,'Data shares'!$C:$FB,69)*100</f>
        <v>-5.17</v>
      </c>
      <c r="G104" s="49">
        <f>VLOOKUP($A104,'Data shares'!$C:$FB,42)</f>
        <v>62989875</v>
      </c>
      <c r="H104" s="49">
        <f>VLOOKUP($A104,'Data shares'!$C:$FB,43)</f>
        <v>56740125</v>
      </c>
      <c r="I104" s="50">
        <f>VLOOKUP($A104,'Data shares'!$C:$FB,45)*100</f>
        <v>11.01</v>
      </c>
      <c r="J104" s="49">
        <f>VLOOKUP($A104,'Data shares'!$C:$FB,58)</f>
        <v>59192250</v>
      </c>
      <c r="K104" s="49">
        <f>VLOOKUP($A104,'Data shares'!$C:$FB,59)</f>
        <v>62463375</v>
      </c>
      <c r="L104" s="50">
        <f>VLOOKUP($A104,'Data shares'!$C:$FB,61)*100</f>
        <v>-5.24</v>
      </c>
      <c r="M104" s="49">
        <f>VLOOKUP($A104,'Data shares'!$C:$FB,62)</f>
        <v>33349875</v>
      </c>
      <c r="N104" s="49">
        <f>VLOOKUP($A104,'Data shares'!$C:$FB,63)</f>
        <v>44806125</v>
      </c>
      <c r="O104" s="140">
        <f>VLOOKUP($A104,'Data shares'!$C:$FB,65)*100</f>
        <v>-25.569999999999997</v>
      </c>
    </row>
    <row r="105" spans="1:15" x14ac:dyDescent="0.25">
      <c r="A105" s="101" t="str">
        <f>'Data Vlaue (Cr)'!C100</f>
        <v>IRCTC</v>
      </c>
      <c r="B105" s="50">
        <f>VLOOKUP($A105,'Data shares'!$C:$FB,7)</f>
        <v>628.85</v>
      </c>
      <c r="C105" s="50">
        <f>VLOOKUP($A105,'Data shares'!$C:$FB,10)*100</f>
        <v>2.4699999999999998</v>
      </c>
      <c r="D105" s="49">
        <f>VLOOKUP($A105,'Data shares'!$C:$FB,66)</f>
        <v>58191000</v>
      </c>
      <c r="E105" s="49">
        <f>VLOOKUP($A105,'Data shares'!$C:$FB,67)</f>
        <v>60459000</v>
      </c>
      <c r="F105" s="50">
        <f>VLOOKUP($A105,'Data shares'!$C:$FB,69)*100</f>
        <v>-3.75</v>
      </c>
      <c r="G105" s="49">
        <f>VLOOKUP($A105,'Data shares'!$C:$FB,42)</f>
        <v>23643375</v>
      </c>
      <c r="H105" s="49">
        <f>VLOOKUP($A105,'Data shares'!$C:$FB,43)</f>
        <v>21446250</v>
      </c>
      <c r="I105" s="50">
        <f>VLOOKUP($A105,'Data shares'!$C:$FB,45)*100</f>
        <v>10.24</v>
      </c>
      <c r="J105" s="49">
        <f>VLOOKUP($A105,'Data shares'!$C:$FB,58)</f>
        <v>24082625</v>
      </c>
      <c r="K105" s="49">
        <f>VLOOKUP($A105,'Data shares'!$C:$FB,59)</f>
        <v>28171500</v>
      </c>
      <c r="L105" s="50">
        <f>VLOOKUP($A105,'Data shares'!$C:$FB,61)*100</f>
        <v>-14.510000000000002</v>
      </c>
      <c r="M105" s="49">
        <f>VLOOKUP($A105,'Data shares'!$C:$FB,62)</f>
        <v>10465000</v>
      </c>
      <c r="N105" s="49">
        <f>VLOOKUP($A105,'Data shares'!$C:$FB,63)</f>
        <v>10841250</v>
      </c>
      <c r="O105" s="140">
        <f>VLOOKUP($A105,'Data shares'!$C:$FB,65)*100</f>
        <v>-3.47</v>
      </c>
    </row>
    <row r="106" spans="1:15" x14ac:dyDescent="0.25">
      <c r="A106" s="101" t="str">
        <f>'Data Vlaue (Cr)'!C101</f>
        <v>IREDA</v>
      </c>
      <c r="B106" s="50">
        <f>VLOOKUP($A106,'Data shares'!$C:$FB,7)</f>
        <v>129.93</v>
      </c>
      <c r="C106" s="50">
        <f>VLOOKUP($A106,'Data shares'!$C:$FB,10)*100</f>
        <v>2</v>
      </c>
      <c r="D106" s="49">
        <f>VLOOKUP($A106,'Data shares'!$C:$FB,66)</f>
        <v>136878750</v>
      </c>
      <c r="E106" s="49">
        <f>VLOOKUP($A106,'Data shares'!$C:$FB,67)</f>
        <v>137830950</v>
      </c>
      <c r="F106" s="50">
        <f>VLOOKUP($A106,'Data shares'!$C:$FB,69)*100</f>
        <v>-0.69</v>
      </c>
      <c r="G106" s="49">
        <f>VLOOKUP($A106,'Data shares'!$C:$FB,42)</f>
        <v>67961550</v>
      </c>
      <c r="H106" s="49">
        <f>VLOOKUP($A106,'Data shares'!$C:$FB,43)</f>
        <v>46416300</v>
      </c>
      <c r="I106" s="50">
        <f>VLOOKUP($A106,'Data shares'!$C:$FB,45)*100</f>
        <v>46.42</v>
      </c>
      <c r="J106" s="49">
        <f>VLOOKUP($A106,'Data shares'!$C:$FB,58)</f>
        <v>51712050</v>
      </c>
      <c r="K106" s="49">
        <f>VLOOKUP($A106,'Data shares'!$C:$FB,59)</f>
        <v>63552450</v>
      </c>
      <c r="L106" s="50">
        <f>VLOOKUP($A106,'Data shares'!$C:$FB,61)*100</f>
        <v>-18.63</v>
      </c>
      <c r="M106" s="49">
        <f>VLOOKUP($A106,'Data shares'!$C:$FB,62)</f>
        <v>17205150</v>
      </c>
      <c r="N106" s="49">
        <f>VLOOKUP($A106,'Data shares'!$C:$FB,63)</f>
        <v>27862200</v>
      </c>
      <c r="O106" s="140">
        <f>VLOOKUP($A106,'Data shares'!$C:$FB,65)*100</f>
        <v>-38.25</v>
      </c>
    </row>
    <row r="107" spans="1:15" x14ac:dyDescent="0.25">
      <c r="A107" s="101" t="str">
        <f>'Data Vlaue (Cr)'!C102</f>
        <v>IRFC</v>
      </c>
      <c r="B107" s="50">
        <f>VLOOKUP($A107,'Data shares'!$C:$FB,7)</f>
        <v>117.02</v>
      </c>
      <c r="C107" s="50">
        <f>VLOOKUP($A107,'Data shares'!$C:$FB,10)*100</f>
        <v>1.63</v>
      </c>
      <c r="D107" s="49">
        <f>VLOOKUP($A107,'Data shares'!$C:$FB,66)</f>
        <v>281983250</v>
      </c>
      <c r="E107" s="49">
        <f>VLOOKUP($A107,'Data shares'!$C:$FB,67)</f>
        <v>274715750</v>
      </c>
      <c r="F107" s="50">
        <f>VLOOKUP($A107,'Data shares'!$C:$FB,69)*100</f>
        <v>2.65</v>
      </c>
      <c r="G107" s="49">
        <f>VLOOKUP($A107,'Data shares'!$C:$FB,42)</f>
        <v>56125500</v>
      </c>
      <c r="H107" s="49">
        <f>VLOOKUP($A107,'Data shares'!$C:$FB,43)</f>
        <v>50383750</v>
      </c>
      <c r="I107" s="50">
        <f>VLOOKUP($A107,'Data shares'!$C:$FB,45)*100</f>
        <v>11.4</v>
      </c>
      <c r="J107" s="49">
        <f>VLOOKUP($A107,'Data shares'!$C:$FB,58)</f>
        <v>188164500</v>
      </c>
      <c r="K107" s="49">
        <f>VLOOKUP($A107,'Data shares'!$C:$FB,59)</f>
        <v>172265250</v>
      </c>
      <c r="L107" s="50">
        <f>VLOOKUP($A107,'Data shares'!$C:$FB,61)*100</f>
        <v>9.2299999999999986</v>
      </c>
      <c r="M107" s="49">
        <f>VLOOKUP($A107,'Data shares'!$C:$FB,62)</f>
        <v>37693250</v>
      </c>
      <c r="N107" s="49">
        <f>VLOOKUP($A107,'Data shares'!$C:$FB,63)</f>
        <v>52066750</v>
      </c>
      <c r="O107" s="140">
        <f>VLOOKUP($A107,'Data shares'!$C:$FB,65)*100</f>
        <v>-27.61</v>
      </c>
    </row>
    <row r="108" spans="1:15" x14ac:dyDescent="0.25">
      <c r="A108" s="101" t="str">
        <f>'Data Vlaue (Cr)'!C103</f>
        <v>ITC</v>
      </c>
      <c r="B108" s="50">
        <f>VLOOKUP($A108,'Data shares'!$C:$FB,7)</f>
        <v>324.85000000000002</v>
      </c>
      <c r="C108" s="50">
        <f>VLOOKUP($A108,'Data shares'!$C:$FB,10)*100</f>
        <v>0.03</v>
      </c>
      <c r="D108" s="49">
        <f>VLOOKUP($A108,'Data shares'!$C:$FB,66)</f>
        <v>515339200</v>
      </c>
      <c r="E108" s="49">
        <f>VLOOKUP($A108,'Data shares'!$C:$FB,67)</f>
        <v>436948800</v>
      </c>
      <c r="F108" s="50">
        <f>VLOOKUP($A108,'Data shares'!$C:$FB,69)*100</f>
        <v>17.940000000000001</v>
      </c>
      <c r="G108" s="49">
        <f>VLOOKUP($A108,'Data shares'!$C:$FB,42)</f>
        <v>95824000</v>
      </c>
      <c r="H108" s="49">
        <f>VLOOKUP($A108,'Data shares'!$C:$FB,43)</f>
        <v>61683200</v>
      </c>
      <c r="I108" s="50">
        <f>VLOOKUP($A108,'Data shares'!$C:$FB,45)*100</f>
        <v>55.35</v>
      </c>
      <c r="J108" s="49">
        <f>VLOOKUP($A108,'Data shares'!$C:$FB,58)</f>
        <v>248382400</v>
      </c>
      <c r="K108" s="49">
        <f>VLOOKUP($A108,'Data shares'!$C:$FB,59)</f>
        <v>249409600</v>
      </c>
      <c r="L108" s="50">
        <f>VLOOKUP($A108,'Data shares'!$C:$FB,61)*100</f>
        <v>-0.41000000000000003</v>
      </c>
      <c r="M108" s="49">
        <f>VLOOKUP($A108,'Data shares'!$C:$FB,62)</f>
        <v>171132800</v>
      </c>
      <c r="N108" s="49">
        <f>VLOOKUP($A108,'Data shares'!$C:$FB,63)</f>
        <v>125856000</v>
      </c>
      <c r="O108" s="140">
        <f>VLOOKUP($A108,'Data shares'!$C:$FB,65)*100</f>
        <v>35.980000000000004</v>
      </c>
    </row>
    <row r="109" spans="1:15" x14ac:dyDescent="0.25">
      <c r="A109" s="101" t="str">
        <f>'Data Vlaue (Cr)'!C104</f>
        <v>JINDALSTEL</v>
      </c>
      <c r="B109" s="50">
        <f>VLOOKUP($A109,'Data shares'!$C:$FB,7)</f>
        <v>1076</v>
      </c>
      <c r="C109" s="50">
        <f>VLOOKUP($A109,'Data shares'!$C:$FB,10)*100</f>
        <v>3.32</v>
      </c>
      <c r="D109" s="49">
        <f>VLOOKUP($A109,'Data shares'!$C:$FB,66)</f>
        <v>26635625</v>
      </c>
      <c r="E109" s="49">
        <f>VLOOKUP($A109,'Data shares'!$C:$FB,67)</f>
        <v>17447500</v>
      </c>
      <c r="F109" s="50">
        <f>VLOOKUP($A109,'Data shares'!$C:$FB,69)*100</f>
        <v>52.66</v>
      </c>
      <c r="G109" s="49">
        <f>VLOOKUP($A109,'Data shares'!$C:$FB,42)</f>
        <v>8442500</v>
      </c>
      <c r="H109" s="49">
        <f>VLOOKUP($A109,'Data shares'!$C:$FB,43)</f>
        <v>7585000</v>
      </c>
      <c r="I109" s="50">
        <f>VLOOKUP($A109,'Data shares'!$C:$FB,45)*100</f>
        <v>11.31</v>
      </c>
      <c r="J109" s="49">
        <f>VLOOKUP($A109,'Data shares'!$C:$FB,58)</f>
        <v>12373750</v>
      </c>
      <c r="K109" s="49">
        <f>VLOOKUP($A109,'Data shares'!$C:$FB,59)</f>
        <v>5840000</v>
      </c>
      <c r="L109" s="50">
        <f>VLOOKUP($A109,'Data shares'!$C:$FB,61)*100</f>
        <v>111.88</v>
      </c>
      <c r="M109" s="49">
        <f>VLOOKUP($A109,'Data shares'!$C:$FB,62)</f>
        <v>5819375</v>
      </c>
      <c r="N109" s="49">
        <f>VLOOKUP($A109,'Data shares'!$C:$FB,63)</f>
        <v>4022500</v>
      </c>
      <c r="O109" s="140">
        <f>VLOOKUP($A109,'Data shares'!$C:$FB,65)*100</f>
        <v>44.67</v>
      </c>
    </row>
    <row r="110" spans="1:15" x14ac:dyDescent="0.25">
      <c r="A110" s="101" t="str">
        <f>'Data Vlaue (Cr)'!C105</f>
        <v>JIOFIN</v>
      </c>
      <c r="B110" s="50">
        <f>VLOOKUP($A110,'Data shares'!$C:$FB,7)</f>
        <v>262.60000000000002</v>
      </c>
      <c r="C110" s="50">
        <f>VLOOKUP($A110,'Data shares'!$C:$FB,10)*100</f>
        <v>-0.25</v>
      </c>
      <c r="D110" s="49">
        <f>VLOOKUP($A110,'Data shares'!$C:$FB,66)</f>
        <v>248763950</v>
      </c>
      <c r="E110" s="49">
        <f>VLOOKUP($A110,'Data shares'!$C:$FB,67)</f>
        <v>285962100</v>
      </c>
      <c r="F110" s="50">
        <f>VLOOKUP($A110,'Data shares'!$C:$FB,69)*100</f>
        <v>-13.01</v>
      </c>
      <c r="G110" s="49">
        <f>VLOOKUP($A110,'Data shares'!$C:$FB,42)</f>
        <v>90463250</v>
      </c>
      <c r="H110" s="49">
        <f>VLOOKUP($A110,'Data shares'!$C:$FB,43)</f>
        <v>61224550</v>
      </c>
      <c r="I110" s="50">
        <f>VLOOKUP($A110,'Data shares'!$C:$FB,45)*100</f>
        <v>47.760000000000005</v>
      </c>
      <c r="J110" s="49">
        <f>VLOOKUP($A110,'Data shares'!$C:$FB,58)</f>
        <v>100789150</v>
      </c>
      <c r="K110" s="49">
        <f>VLOOKUP($A110,'Data shares'!$C:$FB,59)</f>
        <v>138997800</v>
      </c>
      <c r="L110" s="50">
        <f>VLOOKUP($A110,'Data shares'!$C:$FB,61)*100</f>
        <v>-27.49</v>
      </c>
      <c r="M110" s="49">
        <f>VLOOKUP($A110,'Data shares'!$C:$FB,62)</f>
        <v>57511550</v>
      </c>
      <c r="N110" s="49">
        <f>VLOOKUP($A110,'Data shares'!$C:$FB,63)</f>
        <v>85739750</v>
      </c>
      <c r="O110" s="140">
        <f>VLOOKUP($A110,'Data shares'!$C:$FB,65)*100</f>
        <v>-32.92</v>
      </c>
    </row>
    <row r="111" spans="1:15" x14ac:dyDescent="0.25">
      <c r="A111" s="101" t="str">
        <f>'Data Vlaue (Cr)'!C106</f>
        <v>JSWENERGY</v>
      </c>
      <c r="B111" s="50">
        <f>VLOOKUP($A111,'Data shares'!$C:$FB,7)</f>
        <v>492.35</v>
      </c>
      <c r="C111" s="50">
        <f>VLOOKUP($A111,'Data shares'!$C:$FB,10)*100</f>
        <v>3.05</v>
      </c>
      <c r="D111" s="49">
        <f>VLOOKUP($A111,'Data shares'!$C:$FB,66)</f>
        <v>29144000</v>
      </c>
      <c r="E111" s="49">
        <f>VLOOKUP($A111,'Data shares'!$C:$FB,67)</f>
        <v>32152000</v>
      </c>
      <c r="F111" s="50">
        <f>VLOOKUP($A111,'Data shares'!$C:$FB,69)*100</f>
        <v>-9.36</v>
      </c>
      <c r="G111" s="49">
        <f>VLOOKUP($A111,'Data shares'!$C:$FB,42)</f>
        <v>14105000</v>
      </c>
      <c r="H111" s="49">
        <f>VLOOKUP($A111,'Data shares'!$C:$FB,43)</f>
        <v>19669000</v>
      </c>
      <c r="I111" s="50">
        <f>VLOOKUP($A111,'Data shares'!$C:$FB,45)*100</f>
        <v>-28.29</v>
      </c>
      <c r="J111" s="49">
        <f>VLOOKUP($A111,'Data shares'!$C:$FB,58)</f>
        <v>10364000</v>
      </c>
      <c r="K111" s="49">
        <f>VLOOKUP($A111,'Data shares'!$C:$FB,59)</f>
        <v>6932000</v>
      </c>
      <c r="L111" s="50">
        <f>VLOOKUP($A111,'Data shares'!$C:$FB,61)*100</f>
        <v>49.51</v>
      </c>
      <c r="M111" s="49">
        <f>VLOOKUP($A111,'Data shares'!$C:$FB,62)</f>
        <v>4675000</v>
      </c>
      <c r="N111" s="49">
        <f>VLOOKUP($A111,'Data shares'!$C:$FB,63)</f>
        <v>5551000</v>
      </c>
      <c r="O111" s="140">
        <f>VLOOKUP($A111,'Data shares'!$C:$FB,65)*100</f>
        <v>-15.78</v>
      </c>
    </row>
    <row r="112" spans="1:15" x14ac:dyDescent="0.25">
      <c r="A112" s="101" t="str">
        <f>'Data Vlaue (Cr)'!C107</f>
        <v>JSWSTEEL</v>
      </c>
      <c r="B112" s="50">
        <f>VLOOKUP($A112,'Data shares'!$C:$FB,7)</f>
        <v>1184.4000000000001</v>
      </c>
      <c r="C112" s="50">
        <f>VLOOKUP($A112,'Data shares'!$C:$FB,10)*100</f>
        <v>0.83</v>
      </c>
      <c r="D112" s="49">
        <f>VLOOKUP($A112,'Data shares'!$C:$FB,66)</f>
        <v>49271625</v>
      </c>
      <c r="E112" s="49">
        <f>VLOOKUP($A112,'Data shares'!$C:$FB,67)</f>
        <v>42051150</v>
      </c>
      <c r="F112" s="50">
        <f>VLOOKUP($A112,'Data shares'!$C:$FB,69)*100</f>
        <v>17.169999999999998</v>
      </c>
      <c r="G112" s="49">
        <f>VLOOKUP($A112,'Data shares'!$C:$FB,42)</f>
        <v>29745225</v>
      </c>
      <c r="H112" s="49">
        <f>VLOOKUP($A112,'Data shares'!$C:$FB,43)</f>
        <v>24017850</v>
      </c>
      <c r="I112" s="50">
        <f>VLOOKUP($A112,'Data shares'!$C:$FB,45)*100</f>
        <v>23.849999999999998</v>
      </c>
      <c r="J112" s="49">
        <f>VLOOKUP($A112,'Data shares'!$C:$FB,58)</f>
        <v>13042350</v>
      </c>
      <c r="K112" s="49">
        <f>VLOOKUP($A112,'Data shares'!$C:$FB,59)</f>
        <v>11320425</v>
      </c>
      <c r="L112" s="50">
        <f>VLOOKUP($A112,'Data shares'!$C:$FB,61)*100</f>
        <v>15.21</v>
      </c>
      <c r="M112" s="49">
        <f>VLOOKUP($A112,'Data shares'!$C:$FB,62)</f>
        <v>6484050</v>
      </c>
      <c r="N112" s="49">
        <f>VLOOKUP($A112,'Data shares'!$C:$FB,63)</f>
        <v>6712875</v>
      </c>
      <c r="O112" s="140">
        <f>VLOOKUP($A112,'Data shares'!$C:$FB,65)*100</f>
        <v>-3.4099999999999997</v>
      </c>
    </row>
    <row r="113" spans="1:15" x14ac:dyDescent="0.25">
      <c r="A113" s="101" t="str">
        <f>'Data Vlaue (Cr)'!C108</f>
        <v>JUBLFOOD</v>
      </c>
      <c r="B113" s="50">
        <f>VLOOKUP($A113,'Data shares'!$C:$FB,7)</f>
        <v>501</v>
      </c>
      <c r="C113" s="50">
        <f>VLOOKUP($A113,'Data shares'!$C:$FB,10)*100</f>
        <v>-1.28</v>
      </c>
      <c r="D113" s="49">
        <f>VLOOKUP($A113,'Data shares'!$C:$FB,66)</f>
        <v>42598750</v>
      </c>
      <c r="E113" s="49">
        <f>VLOOKUP($A113,'Data shares'!$C:$FB,67)</f>
        <v>37165000</v>
      </c>
      <c r="F113" s="50">
        <f>VLOOKUP($A113,'Data shares'!$C:$FB,69)*100</f>
        <v>14.62</v>
      </c>
      <c r="G113" s="49">
        <f>VLOOKUP($A113,'Data shares'!$C:$FB,42)</f>
        <v>24697500</v>
      </c>
      <c r="H113" s="49">
        <f>VLOOKUP($A113,'Data shares'!$C:$FB,43)</f>
        <v>19495000</v>
      </c>
      <c r="I113" s="50">
        <f>VLOOKUP($A113,'Data shares'!$C:$FB,45)*100</f>
        <v>26.69</v>
      </c>
      <c r="J113" s="49">
        <f>VLOOKUP($A113,'Data shares'!$C:$FB,58)</f>
        <v>11952500</v>
      </c>
      <c r="K113" s="49">
        <f>VLOOKUP($A113,'Data shares'!$C:$FB,59)</f>
        <v>11612500</v>
      </c>
      <c r="L113" s="50">
        <f>VLOOKUP($A113,'Data shares'!$C:$FB,61)*100</f>
        <v>2.93</v>
      </c>
      <c r="M113" s="49">
        <f>VLOOKUP($A113,'Data shares'!$C:$FB,62)</f>
        <v>5948750</v>
      </c>
      <c r="N113" s="49">
        <f>VLOOKUP($A113,'Data shares'!$C:$FB,63)</f>
        <v>6057500</v>
      </c>
      <c r="O113" s="140">
        <f>VLOOKUP($A113,'Data shares'!$C:$FB,65)*100</f>
        <v>-1.7999999999999998</v>
      </c>
    </row>
    <row r="114" spans="1:15" x14ac:dyDescent="0.25">
      <c r="A114" s="101" t="str">
        <f>'Data Vlaue (Cr)'!C109</f>
        <v>KALYANKJIL</v>
      </c>
      <c r="B114" s="50">
        <f>VLOOKUP($A114,'Data shares'!$C:$FB,7)</f>
        <v>373.55</v>
      </c>
      <c r="C114" s="50">
        <f>VLOOKUP($A114,'Data shares'!$C:$FB,10)*100</f>
        <v>-5.8000000000000007</v>
      </c>
      <c r="D114" s="49">
        <f>VLOOKUP($A114,'Data shares'!$C:$FB,66)</f>
        <v>258102850</v>
      </c>
      <c r="E114" s="49">
        <f>VLOOKUP($A114,'Data shares'!$C:$FB,67)</f>
        <v>402383450</v>
      </c>
      <c r="F114" s="50">
        <f>VLOOKUP($A114,'Data shares'!$C:$FB,69)*100</f>
        <v>-35.86</v>
      </c>
      <c r="G114" s="49">
        <f>VLOOKUP($A114,'Data shares'!$C:$FB,42)</f>
        <v>42856950</v>
      </c>
      <c r="H114" s="49">
        <f>VLOOKUP($A114,'Data shares'!$C:$FB,43)</f>
        <v>49234850</v>
      </c>
      <c r="I114" s="50">
        <f>VLOOKUP($A114,'Data shares'!$C:$FB,45)*100</f>
        <v>-12.950000000000001</v>
      </c>
      <c r="J114" s="49">
        <f>VLOOKUP($A114,'Data shares'!$C:$FB,58)</f>
        <v>99721075</v>
      </c>
      <c r="K114" s="49">
        <f>VLOOKUP($A114,'Data shares'!$C:$FB,59)</f>
        <v>182005150</v>
      </c>
      <c r="L114" s="50">
        <f>VLOOKUP($A114,'Data shares'!$C:$FB,61)*100</f>
        <v>-45.21</v>
      </c>
      <c r="M114" s="49">
        <f>VLOOKUP($A114,'Data shares'!$C:$FB,62)</f>
        <v>115524825</v>
      </c>
      <c r="N114" s="49">
        <f>VLOOKUP($A114,'Data shares'!$C:$FB,63)</f>
        <v>171143450</v>
      </c>
      <c r="O114" s="140">
        <f>VLOOKUP($A114,'Data shares'!$C:$FB,65)*100</f>
        <v>-32.5</v>
      </c>
    </row>
    <row r="115" spans="1:15" x14ac:dyDescent="0.25">
      <c r="A115" s="101" t="str">
        <f>'Data Vlaue (Cr)'!C110</f>
        <v>KAYNES</v>
      </c>
      <c r="B115" s="50">
        <f>VLOOKUP($A115,'Data shares'!$C:$FB,7)</f>
        <v>3527.2</v>
      </c>
      <c r="C115" s="50">
        <f>VLOOKUP($A115,'Data shares'!$C:$FB,10)*100</f>
        <v>1.04</v>
      </c>
      <c r="D115" s="49">
        <f>VLOOKUP($A115,'Data shares'!$C:$FB,66)</f>
        <v>7972400</v>
      </c>
      <c r="E115" s="49">
        <f>VLOOKUP($A115,'Data shares'!$C:$FB,67)</f>
        <v>9342100</v>
      </c>
      <c r="F115" s="50">
        <f>VLOOKUP($A115,'Data shares'!$C:$FB,69)*100</f>
        <v>-14.66</v>
      </c>
      <c r="G115" s="49">
        <f>VLOOKUP($A115,'Data shares'!$C:$FB,42)</f>
        <v>3153900</v>
      </c>
      <c r="H115" s="49">
        <f>VLOOKUP($A115,'Data shares'!$C:$FB,43)</f>
        <v>2316900</v>
      </c>
      <c r="I115" s="50">
        <f>VLOOKUP($A115,'Data shares'!$C:$FB,45)*100</f>
        <v>36.130000000000003</v>
      </c>
      <c r="J115" s="49">
        <f>VLOOKUP($A115,'Data shares'!$C:$FB,58)</f>
        <v>3361000</v>
      </c>
      <c r="K115" s="49">
        <f>VLOOKUP($A115,'Data shares'!$C:$FB,59)</f>
        <v>4592500</v>
      </c>
      <c r="L115" s="50">
        <f>VLOOKUP($A115,'Data shares'!$C:$FB,61)*100</f>
        <v>-26.82</v>
      </c>
      <c r="M115" s="49">
        <f>VLOOKUP($A115,'Data shares'!$C:$FB,62)</f>
        <v>1457500</v>
      </c>
      <c r="N115" s="49">
        <f>VLOOKUP($A115,'Data shares'!$C:$FB,63)</f>
        <v>2432700</v>
      </c>
      <c r="O115" s="140">
        <f>VLOOKUP($A115,'Data shares'!$C:$FB,65)*100</f>
        <v>-40.089999999999996</v>
      </c>
    </row>
    <row r="116" spans="1:15" x14ac:dyDescent="0.25">
      <c r="A116" s="101" t="str">
        <f>'Data Vlaue (Cr)'!C111</f>
        <v>KEI</v>
      </c>
      <c r="B116" s="50">
        <f>VLOOKUP($A116,'Data shares'!$C:$FB,7)</f>
        <v>3848.4</v>
      </c>
      <c r="C116" s="50">
        <f>VLOOKUP($A116,'Data shares'!$C:$FB,10)*100</f>
        <v>-2.31</v>
      </c>
      <c r="D116" s="49">
        <f>VLOOKUP($A116,'Data shares'!$C:$FB,66)</f>
        <v>17473750</v>
      </c>
      <c r="E116" s="49">
        <f>VLOOKUP($A116,'Data shares'!$C:$FB,67)</f>
        <v>6963075</v>
      </c>
      <c r="F116" s="50">
        <f>VLOOKUP($A116,'Data shares'!$C:$FB,69)*100</f>
        <v>150.95000000000002</v>
      </c>
      <c r="G116" s="49">
        <f>VLOOKUP($A116,'Data shares'!$C:$FB,42)</f>
        <v>3258850</v>
      </c>
      <c r="H116" s="49">
        <f>VLOOKUP($A116,'Data shares'!$C:$FB,43)</f>
        <v>1407000</v>
      </c>
      <c r="I116" s="50">
        <f>VLOOKUP($A116,'Data shares'!$C:$FB,45)*100</f>
        <v>131.62</v>
      </c>
      <c r="J116" s="49">
        <f>VLOOKUP($A116,'Data shares'!$C:$FB,58)</f>
        <v>7897750</v>
      </c>
      <c r="K116" s="49">
        <f>VLOOKUP($A116,'Data shares'!$C:$FB,59)</f>
        <v>2932300</v>
      </c>
      <c r="L116" s="50">
        <f>VLOOKUP($A116,'Data shares'!$C:$FB,61)*100</f>
        <v>169.34</v>
      </c>
      <c r="M116" s="49">
        <f>VLOOKUP($A116,'Data shares'!$C:$FB,62)</f>
        <v>6317150</v>
      </c>
      <c r="N116" s="49">
        <f>VLOOKUP($A116,'Data shares'!$C:$FB,63)</f>
        <v>2623775</v>
      </c>
      <c r="O116" s="140">
        <f>VLOOKUP($A116,'Data shares'!$C:$FB,65)*100</f>
        <v>140.76999999999998</v>
      </c>
    </row>
    <row r="117" spans="1:15" x14ac:dyDescent="0.25">
      <c r="A117" s="101" t="str">
        <f>'Data Vlaue (Cr)'!C112</f>
        <v>KFINTECH</v>
      </c>
      <c r="B117" s="50">
        <f>VLOOKUP($A117,'Data shares'!$C:$FB,7)</f>
        <v>1033.5</v>
      </c>
      <c r="C117" s="50">
        <f>VLOOKUP($A117,'Data shares'!$C:$FB,10)*100</f>
        <v>3.3099999999999996</v>
      </c>
      <c r="D117" s="49">
        <f>VLOOKUP($A117,'Data shares'!$C:$FB,66)</f>
        <v>15728500</v>
      </c>
      <c r="E117" s="49">
        <f>VLOOKUP($A117,'Data shares'!$C:$FB,67)</f>
        <v>13582000</v>
      </c>
      <c r="F117" s="50">
        <f>VLOOKUP($A117,'Data shares'!$C:$FB,69)*100</f>
        <v>15.8</v>
      </c>
      <c r="G117" s="49">
        <f>VLOOKUP($A117,'Data shares'!$C:$FB,42)</f>
        <v>7202000</v>
      </c>
      <c r="H117" s="49">
        <f>VLOOKUP($A117,'Data shares'!$C:$FB,43)</f>
        <v>5881500</v>
      </c>
      <c r="I117" s="50">
        <f>VLOOKUP($A117,'Data shares'!$C:$FB,45)*100</f>
        <v>22.45</v>
      </c>
      <c r="J117" s="49">
        <f>VLOOKUP($A117,'Data shares'!$C:$FB,58)</f>
        <v>5759500</v>
      </c>
      <c r="K117" s="49">
        <f>VLOOKUP($A117,'Data shares'!$C:$FB,59)</f>
        <v>2900000</v>
      </c>
      <c r="L117" s="50">
        <f>VLOOKUP($A117,'Data shares'!$C:$FB,61)*100</f>
        <v>98.6</v>
      </c>
      <c r="M117" s="49">
        <f>VLOOKUP($A117,'Data shares'!$C:$FB,62)</f>
        <v>2767000</v>
      </c>
      <c r="N117" s="49">
        <f>VLOOKUP($A117,'Data shares'!$C:$FB,63)</f>
        <v>4800500</v>
      </c>
      <c r="O117" s="140">
        <f>VLOOKUP($A117,'Data shares'!$C:$FB,65)*100</f>
        <v>-42.36</v>
      </c>
    </row>
    <row r="118" spans="1:15" x14ac:dyDescent="0.25">
      <c r="A118" s="101" t="str">
        <f>'Data Vlaue (Cr)'!C113</f>
        <v>KOTAKBANK</v>
      </c>
      <c r="B118" s="50">
        <f>VLOOKUP($A118,'Data shares'!$C:$FB,7)</f>
        <v>426</v>
      </c>
      <c r="C118" s="50">
        <f>VLOOKUP($A118,'Data shares'!$C:$FB,10)*100</f>
        <v>1.04</v>
      </c>
      <c r="D118" s="49">
        <f>VLOOKUP($A118,'Data shares'!$C:$FB,66)</f>
        <v>158942000</v>
      </c>
      <c r="E118" s="49">
        <f>VLOOKUP($A118,'Data shares'!$C:$FB,67)</f>
        <v>176714000</v>
      </c>
      <c r="F118" s="50">
        <f>VLOOKUP($A118,'Data shares'!$C:$FB,69)*100</f>
        <v>-10.059999999999999</v>
      </c>
      <c r="G118" s="49">
        <f>VLOOKUP($A118,'Data shares'!$C:$FB,42)</f>
        <v>103386000</v>
      </c>
      <c r="H118" s="49">
        <f>VLOOKUP($A118,'Data shares'!$C:$FB,43)</f>
        <v>110906000</v>
      </c>
      <c r="I118" s="50">
        <f>VLOOKUP($A118,'Data shares'!$C:$FB,45)*100</f>
        <v>-6.78</v>
      </c>
      <c r="J118" s="49">
        <f>VLOOKUP($A118,'Data shares'!$C:$FB,58)</f>
        <v>33900000</v>
      </c>
      <c r="K118" s="49">
        <f>VLOOKUP($A118,'Data shares'!$C:$FB,59)</f>
        <v>42502000</v>
      </c>
      <c r="L118" s="50">
        <f>VLOOKUP($A118,'Data shares'!$C:$FB,61)*100</f>
        <v>-20.239999999999998</v>
      </c>
      <c r="M118" s="49">
        <f>VLOOKUP($A118,'Data shares'!$C:$FB,62)</f>
        <v>21656000</v>
      </c>
      <c r="N118" s="49">
        <f>VLOOKUP($A118,'Data shares'!$C:$FB,63)</f>
        <v>23306000</v>
      </c>
      <c r="O118" s="140">
        <f>VLOOKUP($A118,'Data shares'!$C:$FB,65)*100</f>
        <v>-7.08</v>
      </c>
    </row>
    <row r="119" spans="1:15" x14ac:dyDescent="0.25">
      <c r="A119" s="101" t="str">
        <f>'Data Vlaue (Cr)'!C114</f>
        <v>KPITTECH</v>
      </c>
      <c r="B119" s="50">
        <f>VLOOKUP($A119,'Data shares'!$C:$FB,7)</f>
        <v>1109.2</v>
      </c>
      <c r="C119" s="50">
        <f>VLOOKUP($A119,'Data shares'!$C:$FB,10)*100</f>
        <v>-0.51</v>
      </c>
      <c r="D119" s="49">
        <f>VLOOKUP($A119,'Data shares'!$C:$FB,66)</f>
        <v>8966225</v>
      </c>
      <c r="E119" s="49">
        <f>VLOOKUP($A119,'Data shares'!$C:$FB,67)</f>
        <v>11881725</v>
      </c>
      <c r="F119" s="50">
        <f>VLOOKUP($A119,'Data shares'!$C:$FB,69)*100</f>
        <v>-24.54</v>
      </c>
      <c r="G119" s="49">
        <f>VLOOKUP($A119,'Data shares'!$C:$FB,42)</f>
        <v>3764650</v>
      </c>
      <c r="H119" s="49">
        <f>VLOOKUP($A119,'Data shares'!$C:$FB,43)</f>
        <v>3794400</v>
      </c>
      <c r="I119" s="50">
        <f>VLOOKUP($A119,'Data shares'!$C:$FB,45)*100</f>
        <v>-0.77999999999999992</v>
      </c>
      <c r="J119" s="49">
        <f>VLOOKUP($A119,'Data shares'!$C:$FB,58)</f>
        <v>3669025</v>
      </c>
      <c r="K119" s="49">
        <f>VLOOKUP($A119,'Data shares'!$C:$FB,59)</f>
        <v>4282725</v>
      </c>
      <c r="L119" s="50">
        <f>VLOOKUP($A119,'Data shares'!$C:$FB,61)*100</f>
        <v>-14.330000000000002</v>
      </c>
      <c r="M119" s="49">
        <f>VLOOKUP($A119,'Data shares'!$C:$FB,62)</f>
        <v>1532550</v>
      </c>
      <c r="N119" s="49">
        <f>VLOOKUP($A119,'Data shares'!$C:$FB,63)</f>
        <v>3804600</v>
      </c>
      <c r="O119" s="140">
        <f>VLOOKUP($A119,'Data shares'!$C:$FB,65)*100</f>
        <v>-59.72</v>
      </c>
    </row>
    <row r="120" spans="1:15" x14ac:dyDescent="0.25">
      <c r="A120" s="101" t="str">
        <f>'Data Vlaue (Cr)'!C115</f>
        <v>LAURUSLABS</v>
      </c>
      <c r="B120" s="50">
        <f>VLOOKUP($A120,'Data shares'!$C:$FB,7)</f>
        <v>1005.8</v>
      </c>
      <c r="C120" s="50">
        <f>VLOOKUP($A120,'Data shares'!$C:$FB,10)*100</f>
        <v>1.81</v>
      </c>
      <c r="D120" s="49">
        <f>VLOOKUP($A120,'Data shares'!$C:$FB,66)</f>
        <v>42012950</v>
      </c>
      <c r="E120" s="49">
        <f>VLOOKUP($A120,'Data shares'!$C:$FB,67)</f>
        <v>55148000</v>
      </c>
      <c r="F120" s="50">
        <f>VLOOKUP($A120,'Data shares'!$C:$FB,69)*100</f>
        <v>-23.82</v>
      </c>
      <c r="G120" s="49">
        <f>VLOOKUP($A120,'Data shares'!$C:$FB,42)</f>
        <v>12940400</v>
      </c>
      <c r="H120" s="49">
        <f>VLOOKUP($A120,'Data shares'!$C:$FB,43)</f>
        <v>12313100</v>
      </c>
      <c r="I120" s="50">
        <f>VLOOKUP($A120,'Data shares'!$C:$FB,45)*100</f>
        <v>5.09</v>
      </c>
      <c r="J120" s="49">
        <f>VLOOKUP($A120,'Data shares'!$C:$FB,58)</f>
        <v>20378750</v>
      </c>
      <c r="K120" s="49">
        <f>VLOOKUP($A120,'Data shares'!$C:$FB,59)</f>
        <v>25820450</v>
      </c>
      <c r="L120" s="50">
        <f>VLOOKUP($A120,'Data shares'!$C:$FB,61)*100</f>
        <v>-21.08</v>
      </c>
      <c r="M120" s="49">
        <f>VLOOKUP($A120,'Data shares'!$C:$FB,62)</f>
        <v>8693800</v>
      </c>
      <c r="N120" s="49">
        <f>VLOOKUP($A120,'Data shares'!$C:$FB,63)</f>
        <v>17014450</v>
      </c>
      <c r="O120" s="140">
        <f>VLOOKUP($A120,'Data shares'!$C:$FB,65)*100</f>
        <v>-48.9</v>
      </c>
    </row>
    <row r="121" spans="1:15" x14ac:dyDescent="0.25">
      <c r="A121" s="101" t="str">
        <f>'Data Vlaue (Cr)'!C116</f>
        <v>LICHSGFIN</v>
      </c>
      <c r="B121" s="50">
        <f>VLOOKUP($A121,'Data shares'!$C:$FB,7)</f>
        <v>517.1</v>
      </c>
      <c r="C121" s="50">
        <f>VLOOKUP($A121,'Data shares'!$C:$FB,10)*100</f>
        <v>2.02</v>
      </c>
      <c r="D121" s="49">
        <f>VLOOKUP($A121,'Data shares'!$C:$FB,66)</f>
        <v>35012000</v>
      </c>
      <c r="E121" s="49">
        <f>VLOOKUP($A121,'Data shares'!$C:$FB,67)</f>
        <v>39940000</v>
      </c>
      <c r="F121" s="50">
        <f>VLOOKUP($A121,'Data shares'!$C:$FB,69)*100</f>
        <v>-12.34</v>
      </c>
      <c r="G121" s="49">
        <f>VLOOKUP($A121,'Data shares'!$C:$FB,42)</f>
        <v>15959000</v>
      </c>
      <c r="H121" s="49">
        <f>VLOOKUP($A121,'Data shares'!$C:$FB,43)</f>
        <v>19250000</v>
      </c>
      <c r="I121" s="50">
        <f>VLOOKUP($A121,'Data shares'!$C:$FB,45)*100</f>
        <v>-17.100000000000001</v>
      </c>
      <c r="J121" s="49">
        <f>VLOOKUP($A121,'Data shares'!$C:$FB,58)</f>
        <v>10207000</v>
      </c>
      <c r="K121" s="49">
        <f>VLOOKUP($A121,'Data shares'!$C:$FB,59)</f>
        <v>12090000</v>
      </c>
      <c r="L121" s="50">
        <f>VLOOKUP($A121,'Data shares'!$C:$FB,61)*100</f>
        <v>-15.57</v>
      </c>
      <c r="M121" s="49">
        <f>VLOOKUP($A121,'Data shares'!$C:$FB,62)</f>
        <v>8846000</v>
      </c>
      <c r="N121" s="49">
        <f>VLOOKUP($A121,'Data shares'!$C:$FB,63)</f>
        <v>8600000</v>
      </c>
      <c r="O121" s="140">
        <f>VLOOKUP($A121,'Data shares'!$C:$FB,65)*100</f>
        <v>2.86</v>
      </c>
    </row>
    <row r="122" spans="1:15" x14ac:dyDescent="0.25">
      <c r="A122" s="101" t="str">
        <f>'Data Vlaue (Cr)'!C117</f>
        <v>LICI</v>
      </c>
      <c r="B122" s="50">
        <f>VLOOKUP($A122,'Data shares'!$C:$FB,7)</f>
        <v>819.3</v>
      </c>
      <c r="C122" s="50">
        <f>VLOOKUP($A122,'Data shares'!$C:$FB,10)*100</f>
        <v>1.2</v>
      </c>
      <c r="D122" s="49">
        <f>VLOOKUP($A122,'Data shares'!$C:$FB,66)</f>
        <v>52350200</v>
      </c>
      <c r="E122" s="49">
        <f>VLOOKUP($A122,'Data shares'!$C:$FB,67)</f>
        <v>16866500</v>
      </c>
      <c r="F122" s="50">
        <f>VLOOKUP($A122,'Data shares'!$C:$FB,69)*100</f>
        <v>210.38000000000002</v>
      </c>
      <c r="G122" s="49">
        <f>VLOOKUP($A122,'Data shares'!$C:$FB,42)</f>
        <v>16590000</v>
      </c>
      <c r="H122" s="49">
        <f>VLOOKUP($A122,'Data shares'!$C:$FB,43)</f>
        <v>6458200</v>
      </c>
      <c r="I122" s="50">
        <f>VLOOKUP($A122,'Data shares'!$C:$FB,45)*100</f>
        <v>156.88</v>
      </c>
      <c r="J122" s="49">
        <f>VLOOKUP($A122,'Data shares'!$C:$FB,58)</f>
        <v>21392000</v>
      </c>
      <c r="K122" s="49">
        <f>VLOOKUP($A122,'Data shares'!$C:$FB,59)</f>
        <v>6179600</v>
      </c>
      <c r="L122" s="50">
        <f>VLOOKUP($A122,'Data shares'!$C:$FB,61)*100</f>
        <v>246.17</v>
      </c>
      <c r="M122" s="49">
        <f>VLOOKUP($A122,'Data shares'!$C:$FB,62)</f>
        <v>14368200</v>
      </c>
      <c r="N122" s="49">
        <f>VLOOKUP($A122,'Data shares'!$C:$FB,63)</f>
        <v>4228700</v>
      </c>
      <c r="O122" s="140">
        <f>VLOOKUP($A122,'Data shares'!$C:$FB,65)*100</f>
        <v>239.78000000000003</v>
      </c>
    </row>
    <row r="123" spans="1:15" x14ac:dyDescent="0.25">
      <c r="A123" s="101" t="str">
        <f>'Data Vlaue (Cr)'!C118</f>
        <v>LODHA</v>
      </c>
      <c r="B123" s="50">
        <f>VLOOKUP($A123,'Data shares'!$C:$FB,7)</f>
        <v>945.5</v>
      </c>
      <c r="C123" s="50">
        <f>VLOOKUP($A123,'Data shares'!$C:$FB,10)*100</f>
        <v>-3.54</v>
      </c>
      <c r="D123" s="49">
        <f>VLOOKUP($A123,'Data shares'!$C:$FB,66)</f>
        <v>20866050</v>
      </c>
      <c r="E123" s="49">
        <f>VLOOKUP($A123,'Data shares'!$C:$FB,67)</f>
        <v>17842050</v>
      </c>
      <c r="F123" s="50">
        <f>VLOOKUP($A123,'Data shares'!$C:$FB,69)*100</f>
        <v>16.950000000000003</v>
      </c>
      <c r="G123" s="49">
        <f>VLOOKUP($A123,'Data shares'!$C:$FB,42)</f>
        <v>7061850</v>
      </c>
      <c r="H123" s="49">
        <f>VLOOKUP($A123,'Data shares'!$C:$FB,43)</f>
        <v>8151750</v>
      </c>
      <c r="I123" s="50">
        <f>VLOOKUP($A123,'Data shares'!$C:$FB,45)*100</f>
        <v>-13.370000000000001</v>
      </c>
      <c r="J123" s="49">
        <f>VLOOKUP($A123,'Data shares'!$C:$FB,58)</f>
        <v>7454700</v>
      </c>
      <c r="K123" s="49">
        <f>VLOOKUP($A123,'Data shares'!$C:$FB,59)</f>
        <v>5969700</v>
      </c>
      <c r="L123" s="50">
        <f>VLOOKUP($A123,'Data shares'!$C:$FB,61)*100</f>
        <v>24.88</v>
      </c>
      <c r="M123" s="49">
        <f>VLOOKUP($A123,'Data shares'!$C:$FB,62)</f>
        <v>6349500</v>
      </c>
      <c r="N123" s="49">
        <f>VLOOKUP($A123,'Data shares'!$C:$FB,63)</f>
        <v>3720600</v>
      </c>
      <c r="O123" s="140">
        <f>VLOOKUP($A123,'Data shares'!$C:$FB,65)*100</f>
        <v>70.66</v>
      </c>
    </row>
    <row r="124" spans="1:15" x14ac:dyDescent="0.25">
      <c r="A124" s="101" t="str">
        <f>'Data Vlaue (Cr)'!C119</f>
        <v>LT</v>
      </c>
      <c r="B124" s="50">
        <f>VLOOKUP($A124,'Data shares'!$C:$FB,7)</f>
        <v>3793.8</v>
      </c>
      <c r="C124" s="50">
        <f>VLOOKUP($A124,'Data shares'!$C:$FB,10)*100</f>
        <v>0.72</v>
      </c>
      <c r="D124" s="49">
        <f>VLOOKUP($A124,'Data shares'!$C:$FB,66)</f>
        <v>22926575</v>
      </c>
      <c r="E124" s="49">
        <f>VLOOKUP($A124,'Data shares'!$C:$FB,67)</f>
        <v>24208800</v>
      </c>
      <c r="F124" s="50">
        <f>VLOOKUP($A124,'Data shares'!$C:$FB,69)*100</f>
        <v>-5.3</v>
      </c>
      <c r="G124" s="49">
        <f>VLOOKUP($A124,'Data shares'!$C:$FB,42)</f>
        <v>9380175</v>
      </c>
      <c r="H124" s="49">
        <f>VLOOKUP($A124,'Data shares'!$C:$FB,43)</f>
        <v>6715100</v>
      </c>
      <c r="I124" s="50">
        <f>VLOOKUP($A124,'Data shares'!$C:$FB,45)*100</f>
        <v>39.69</v>
      </c>
      <c r="J124" s="49">
        <f>VLOOKUP($A124,'Data shares'!$C:$FB,58)</f>
        <v>9926700</v>
      </c>
      <c r="K124" s="49">
        <f>VLOOKUP($A124,'Data shares'!$C:$FB,59)</f>
        <v>11704000</v>
      </c>
      <c r="L124" s="50">
        <f>VLOOKUP($A124,'Data shares'!$C:$FB,61)*100</f>
        <v>-15.190000000000001</v>
      </c>
      <c r="M124" s="49">
        <f>VLOOKUP($A124,'Data shares'!$C:$FB,62)</f>
        <v>3619700</v>
      </c>
      <c r="N124" s="49">
        <f>VLOOKUP($A124,'Data shares'!$C:$FB,63)</f>
        <v>5789700</v>
      </c>
      <c r="O124" s="140">
        <f>VLOOKUP($A124,'Data shares'!$C:$FB,65)*100</f>
        <v>-37.480000000000004</v>
      </c>
    </row>
    <row r="125" spans="1:15" x14ac:dyDescent="0.25">
      <c r="A125" s="101" t="str">
        <f>'Data Vlaue (Cr)'!C120</f>
        <v>LTF</v>
      </c>
      <c r="B125" s="50">
        <f>VLOOKUP($A125,'Data shares'!$C:$FB,7)</f>
        <v>287.3</v>
      </c>
      <c r="C125" s="50">
        <f>VLOOKUP($A125,'Data shares'!$C:$FB,10)*100</f>
        <v>2.11</v>
      </c>
      <c r="D125" s="49">
        <f>VLOOKUP($A125,'Data shares'!$C:$FB,66)</f>
        <v>141282000</v>
      </c>
      <c r="E125" s="49">
        <f>VLOOKUP($A125,'Data shares'!$C:$FB,67)</f>
        <v>373639500</v>
      </c>
      <c r="F125" s="50">
        <f>VLOOKUP($A125,'Data shares'!$C:$FB,69)*100</f>
        <v>-62.19</v>
      </c>
      <c r="G125" s="49">
        <f>VLOOKUP($A125,'Data shares'!$C:$FB,42)</f>
        <v>53741250</v>
      </c>
      <c r="H125" s="49">
        <f>VLOOKUP($A125,'Data shares'!$C:$FB,43)</f>
        <v>63204750</v>
      </c>
      <c r="I125" s="50">
        <f>VLOOKUP($A125,'Data shares'!$C:$FB,45)*100</f>
        <v>-14.97</v>
      </c>
      <c r="J125" s="49">
        <f>VLOOKUP($A125,'Data shares'!$C:$FB,58)</f>
        <v>65079000</v>
      </c>
      <c r="K125" s="49">
        <f>VLOOKUP($A125,'Data shares'!$C:$FB,59)</f>
        <v>204941250</v>
      </c>
      <c r="L125" s="50">
        <f>VLOOKUP($A125,'Data shares'!$C:$FB,61)*100</f>
        <v>-68.25</v>
      </c>
      <c r="M125" s="49">
        <f>VLOOKUP($A125,'Data shares'!$C:$FB,62)</f>
        <v>22461750</v>
      </c>
      <c r="N125" s="49">
        <f>VLOOKUP($A125,'Data shares'!$C:$FB,63)</f>
        <v>105493500</v>
      </c>
      <c r="O125" s="140">
        <f>VLOOKUP($A125,'Data shares'!$C:$FB,65)*100</f>
        <v>-78.710000000000008</v>
      </c>
    </row>
    <row r="126" spans="1:15" x14ac:dyDescent="0.25">
      <c r="A126" s="101" t="str">
        <f>'Data Vlaue (Cr)'!C121</f>
        <v>LTIM</v>
      </c>
      <c r="B126" s="50">
        <f>VLOOKUP($A126,'Data shares'!$C:$FB,7)</f>
        <v>5947</v>
      </c>
      <c r="C126" s="50">
        <f>VLOOKUP($A126,'Data shares'!$C:$FB,10)*100</f>
        <v>1.76</v>
      </c>
      <c r="D126" s="49">
        <f>VLOOKUP($A126,'Data shares'!$C:$FB,66)</f>
        <v>12945450</v>
      </c>
      <c r="E126" s="49">
        <f>VLOOKUP($A126,'Data shares'!$C:$FB,67)</f>
        <v>20427000</v>
      </c>
      <c r="F126" s="50">
        <f>VLOOKUP($A126,'Data shares'!$C:$FB,69)*100</f>
        <v>-36.630000000000003</v>
      </c>
      <c r="G126" s="49">
        <f>VLOOKUP($A126,'Data shares'!$C:$FB,42)</f>
        <v>2423550</v>
      </c>
      <c r="H126" s="49">
        <f>VLOOKUP($A126,'Data shares'!$C:$FB,43)</f>
        <v>2445000</v>
      </c>
      <c r="I126" s="50">
        <f>VLOOKUP($A126,'Data shares'!$C:$FB,45)*100</f>
        <v>-0.88</v>
      </c>
      <c r="J126" s="49">
        <f>VLOOKUP($A126,'Data shares'!$C:$FB,58)</f>
        <v>7221600</v>
      </c>
      <c r="K126" s="49">
        <f>VLOOKUP($A126,'Data shares'!$C:$FB,59)</f>
        <v>9966600</v>
      </c>
      <c r="L126" s="50">
        <f>VLOOKUP($A126,'Data shares'!$C:$FB,61)*100</f>
        <v>-27.54</v>
      </c>
      <c r="M126" s="49">
        <f>VLOOKUP($A126,'Data shares'!$C:$FB,62)</f>
        <v>3300300</v>
      </c>
      <c r="N126" s="49">
        <f>VLOOKUP($A126,'Data shares'!$C:$FB,63)</f>
        <v>8015400</v>
      </c>
      <c r="O126" s="140">
        <f>VLOOKUP($A126,'Data shares'!$C:$FB,65)*100</f>
        <v>-58.830000000000005</v>
      </c>
    </row>
    <row r="127" spans="1:15" x14ac:dyDescent="0.25">
      <c r="A127" s="101" t="str">
        <f>'Data Vlaue (Cr)'!C122</f>
        <v>LUPIN</v>
      </c>
      <c r="B127" s="50">
        <f>VLOOKUP($A127,'Data shares'!$C:$FB,7)</f>
        <v>2163.1999999999998</v>
      </c>
      <c r="C127" s="50">
        <f>VLOOKUP($A127,'Data shares'!$C:$FB,10)*100</f>
        <v>1.05</v>
      </c>
      <c r="D127" s="49">
        <f>VLOOKUP($A127,'Data shares'!$C:$FB,66)</f>
        <v>10340675</v>
      </c>
      <c r="E127" s="49">
        <f>VLOOKUP($A127,'Data shares'!$C:$FB,67)</f>
        <v>13414700</v>
      </c>
      <c r="F127" s="50">
        <f>VLOOKUP($A127,'Data shares'!$C:$FB,69)*100</f>
        <v>-22.919999999999998</v>
      </c>
      <c r="G127" s="49">
        <f>VLOOKUP($A127,'Data shares'!$C:$FB,42)</f>
        <v>5006500</v>
      </c>
      <c r="H127" s="49">
        <f>VLOOKUP($A127,'Data shares'!$C:$FB,43)</f>
        <v>4035375</v>
      </c>
      <c r="I127" s="50">
        <f>VLOOKUP($A127,'Data shares'!$C:$FB,45)*100</f>
        <v>24.07</v>
      </c>
      <c r="J127" s="49">
        <f>VLOOKUP($A127,'Data shares'!$C:$FB,58)</f>
        <v>3451850</v>
      </c>
      <c r="K127" s="49">
        <f>VLOOKUP($A127,'Data shares'!$C:$FB,59)</f>
        <v>6695450</v>
      </c>
      <c r="L127" s="50">
        <f>VLOOKUP($A127,'Data shares'!$C:$FB,61)*100</f>
        <v>-48.44</v>
      </c>
      <c r="M127" s="49">
        <f>VLOOKUP($A127,'Data shares'!$C:$FB,62)</f>
        <v>1882325</v>
      </c>
      <c r="N127" s="49">
        <f>VLOOKUP($A127,'Data shares'!$C:$FB,63)</f>
        <v>2683875</v>
      </c>
      <c r="O127" s="140">
        <f>VLOOKUP($A127,'Data shares'!$C:$FB,65)*100</f>
        <v>-29.87</v>
      </c>
    </row>
    <row r="128" spans="1:15" x14ac:dyDescent="0.25">
      <c r="A128" s="101" t="str">
        <f>'Data Vlaue (Cr)'!C123</f>
        <v>M&amp;M</v>
      </c>
      <c r="B128" s="50">
        <f>VLOOKUP($A128,'Data shares'!$C:$FB,7)</f>
        <v>3573.7</v>
      </c>
      <c r="C128" s="50">
        <f>VLOOKUP($A128,'Data shares'!$C:$FB,10)*100</f>
        <v>0.57000000000000006</v>
      </c>
      <c r="D128" s="49">
        <f>VLOOKUP($A128,'Data shares'!$C:$FB,66)</f>
        <v>29263800</v>
      </c>
      <c r="E128" s="49">
        <f>VLOOKUP($A128,'Data shares'!$C:$FB,67)</f>
        <v>21883400</v>
      </c>
      <c r="F128" s="50">
        <f>VLOOKUP($A128,'Data shares'!$C:$FB,69)*100</f>
        <v>33.729999999999997</v>
      </c>
      <c r="G128" s="49">
        <f>VLOOKUP($A128,'Data shares'!$C:$FB,42)</f>
        <v>16463200</v>
      </c>
      <c r="H128" s="49">
        <f>VLOOKUP($A128,'Data shares'!$C:$FB,43)</f>
        <v>8230400</v>
      </c>
      <c r="I128" s="50">
        <f>VLOOKUP($A128,'Data shares'!$C:$FB,45)*100</f>
        <v>100.03</v>
      </c>
      <c r="J128" s="49">
        <f>VLOOKUP($A128,'Data shares'!$C:$FB,58)</f>
        <v>8591400</v>
      </c>
      <c r="K128" s="49">
        <f>VLOOKUP($A128,'Data shares'!$C:$FB,59)</f>
        <v>8064600</v>
      </c>
      <c r="L128" s="50">
        <f>VLOOKUP($A128,'Data shares'!$C:$FB,61)*100</f>
        <v>6.5299999999999994</v>
      </c>
      <c r="M128" s="49">
        <f>VLOOKUP($A128,'Data shares'!$C:$FB,62)</f>
        <v>4209200</v>
      </c>
      <c r="N128" s="49">
        <f>VLOOKUP($A128,'Data shares'!$C:$FB,63)</f>
        <v>5588400</v>
      </c>
      <c r="O128" s="140">
        <f>VLOOKUP($A128,'Data shares'!$C:$FB,65)*100</f>
        <v>-24.68</v>
      </c>
    </row>
    <row r="129" spans="1:15" x14ac:dyDescent="0.25">
      <c r="A129" s="101" t="str">
        <f>'Data Vlaue (Cr)'!C124</f>
        <v>MANAPPURAM</v>
      </c>
      <c r="B129" s="50">
        <f>VLOOKUP($A129,'Data shares'!$C:$FB,7)</f>
        <v>300.2</v>
      </c>
      <c r="C129" s="50">
        <f>VLOOKUP($A129,'Data shares'!$C:$FB,10)*100</f>
        <v>0.54999999999999993</v>
      </c>
      <c r="D129" s="49">
        <f>VLOOKUP($A129,'Data shares'!$C:$FB,66)</f>
        <v>102852000</v>
      </c>
      <c r="E129" s="49">
        <f>VLOOKUP($A129,'Data shares'!$C:$FB,67)</f>
        <v>128775000</v>
      </c>
      <c r="F129" s="50">
        <f>VLOOKUP($A129,'Data shares'!$C:$FB,69)*100</f>
        <v>-20.13</v>
      </c>
      <c r="G129" s="49">
        <f>VLOOKUP($A129,'Data shares'!$C:$FB,42)</f>
        <v>33129000</v>
      </c>
      <c r="H129" s="49">
        <f>VLOOKUP($A129,'Data shares'!$C:$FB,43)</f>
        <v>36672000</v>
      </c>
      <c r="I129" s="50">
        <f>VLOOKUP($A129,'Data shares'!$C:$FB,45)*100</f>
        <v>-9.66</v>
      </c>
      <c r="J129" s="49">
        <f>VLOOKUP($A129,'Data shares'!$C:$FB,58)</f>
        <v>49272000</v>
      </c>
      <c r="K129" s="49">
        <f>VLOOKUP($A129,'Data shares'!$C:$FB,59)</f>
        <v>64281000</v>
      </c>
      <c r="L129" s="50">
        <f>VLOOKUP($A129,'Data shares'!$C:$FB,61)*100</f>
        <v>-23.35</v>
      </c>
      <c r="M129" s="49">
        <f>VLOOKUP($A129,'Data shares'!$C:$FB,62)</f>
        <v>20451000</v>
      </c>
      <c r="N129" s="49">
        <f>VLOOKUP($A129,'Data shares'!$C:$FB,63)</f>
        <v>27822000</v>
      </c>
      <c r="O129" s="140">
        <f>VLOOKUP($A129,'Data shares'!$C:$FB,65)*100</f>
        <v>-26.490000000000002</v>
      </c>
    </row>
    <row r="130" spans="1:15" x14ac:dyDescent="0.25">
      <c r="A130" s="101" t="str">
        <f>'Data Vlaue (Cr)'!C125</f>
        <v>MANKIND</v>
      </c>
      <c r="B130" s="50">
        <f>VLOOKUP($A130,'Data shares'!$C:$FB,7)</f>
        <v>2147</v>
      </c>
      <c r="C130" s="50">
        <f>VLOOKUP($A130,'Data shares'!$C:$FB,10)*100</f>
        <v>2.2800000000000002</v>
      </c>
      <c r="D130" s="49">
        <f>VLOOKUP($A130,'Data shares'!$C:$FB,66)</f>
        <v>3631275</v>
      </c>
      <c r="E130" s="49">
        <f>VLOOKUP($A130,'Data shares'!$C:$FB,67)</f>
        <v>3374325</v>
      </c>
      <c r="F130" s="50">
        <f>VLOOKUP($A130,'Data shares'!$C:$FB,69)*100</f>
        <v>7.61</v>
      </c>
      <c r="G130" s="49">
        <f>VLOOKUP($A130,'Data shares'!$C:$FB,42)</f>
        <v>2268900</v>
      </c>
      <c r="H130" s="49">
        <f>VLOOKUP($A130,'Data shares'!$C:$FB,43)</f>
        <v>1703700</v>
      </c>
      <c r="I130" s="50">
        <f>VLOOKUP($A130,'Data shares'!$C:$FB,45)*100</f>
        <v>33.17</v>
      </c>
      <c r="J130" s="49">
        <f>VLOOKUP($A130,'Data shares'!$C:$FB,58)</f>
        <v>992475</v>
      </c>
      <c r="K130" s="49">
        <f>VLOOKUP($A130,'Data shares'!$C:$FB,59)</f>
        <v>949275</v>
      </c>
      <c r="L130" s="50">
        <f>VLOOKUP($A130,'Data shares'!$C:$FB,61)*100</f>
        <v>4.55</v>
      </c>
      <c r="M130" s="49">
        <f>VLOOKUP($A130,'Data shares'!$C:$FB,62)</f>
        <v>369900</v>
      </c>
      <c r="N130" s="49">
        <f>VLOOKUP($A130,'Data shares'!$C:$FB,63)</f>
        <v>721350</v>
      </c>
      <c r="O130" s="140">
        <f>VLOOKUP($A130,'Data shares'!$C:$FB,65)*100</f>
        <v>-48.72</v>
      </c>
    </row>
    <row r="131" spans="1:15" x14ac:dyDescent="0.25">
      <c r="A131" s="101" t="str">
        <f>'Data Vlaue (Cr)'!C126</f>
        <v>MARICO</v>
      </c>
      <c r="B131" s="50">
        <f>VLOOKUP($A131,'Data shares'!$C:$FB,7)</f>
        <v>751.75</v>
      </c>
      <c r="C131" s="50">
        <f>VLOOKUP($A131,'Data shares'!$C:$FB,10)*100</f>
        <v>0.51</v>
      </c>
      <c r="D131" s="49">
        <f>VLOOKUP($A131,'Data shares'!$C:$FB,66)</f>
        <v>35433600</v>
      </c>
      <c r="E131" s="49">
        <f>VLOOKUP($A131,'Data shares'!$C:$FB,67)</f>
        <v>26112000</v>
      </c>
      <c r="F131" s="50">
        <f>VLOOKUP($A131,'Data shares'!$C:$FB,69)*100</f>
        <v>35.699999999999996</v>
      </c>
      <c r="G131" s="49">
        <f>VLOOKUP($A131,'Data shares'!$C:$FB,42)</f>
        <v>26473200</v>
      </c>
      <c r="H131" s="49">
        <f>VLOOKUP($A131,'Data shares'!$C:$FB,43)</f>
        <v>17766000</v>
      </c>
      <c r="I131" s="50">
        <f>VLOOKUP($A131,'Data shares'!$C:$FB,45)*100</f>
        <v>49.01</v>
      </c>
      <c r="J131" s="49">
        <f>VLOOKUP($A131,'Data shares'!$C:$FB,58)</f>
        <v>6823200</v>
      </c>
      <c r="K131" s="49">
        <f>VLOOKUP($A131,'Data shares'!$C:$FB,59)</f>
        <v>5971200</v>
      </c>
      <c r="L131" s="50">
        <f>VLOOKUP($A131,'Data shares'!$C:$FB,61)*100</f>
        <v>14.27</v>
      </c>
      <c r="M131" s="49">
        <f>VLOOKUP($A131,'Data shares'!$C:$FB,62)</f>
        <v>2137200</v>
      </c>
      <c r="N131" s="49">
        <f>VLOOKUP($A131,'Data shares'!$C:$FB,63)</f>
        <v>2374800</v>
      </c>
      <c r="O131" s="140">
        <f>VLOOKUP($A131,'Data shares'!$C:$FB,65)*100</f>
        <v>-10.01</v>
      </c>
    </row>
    <row r="132" spans="1:15" x14ac:dyDescent="0.25">
      <c r="A132" s="101" t="str">
        <f>'Data Vlaue (Cr)'!C127</f>
        <v>MARUTI</v>
      </c>
      <c r="B132" s="50">
        <f>VLOOKUP($A132,'Data shares'!$C:$FB,7)</f>
        <v>15765</v>
      </c>
      <c r="C132" s="50">
        <f>VLOOKUP($A132,'Data shares'!$C:$FB,10)*100</f>
        <v>-0.03</v>
      </c>
      <c r="D132" s="49">
        <f>VLOOKUP($A132,'Data shares'!$C:$FB,66)</f>
        <v>11011050</v>
      </c>
      <c r="E132" s="49">
        <f>VLOOKUP($A132,'Data shares'!$C:$FB,67)</f>
        <v>10650400</v>
      </c>
      <c r="F132" s="50">
        <f>VLOOKUP($A132,'Data shares'!$C:$FB,69)*100</f>
        <v>3.39</v>
      </c>
      <c r="G132" s="49">
        <f>VLOOKUP($A132,'Data shares'!$C:$FB,42)</f>
        <v>2423550</v>
      </c>
      <c r="H132" s="49">
        <f>VLOOKUP($A132,'Data shares'!$C:$FB,43)</f>
        <v>1827850</v>
      </c>
      <c r="I132" s="50">
        <f>VLOOKUP($A132,'Data shares'!$C:$FB,45)*100</f>
        <v>32.590000000000003</v>
      </c>
      <c r="J132" s="49">
        <f>VLOOKUP($A132,'Data shares'!$C:$FB,58)</f>
        <v>6013700</v>
      </c>
      <c r="K132" s="49">
        <f>VLOOKUP($A132,'Data shares'!$C:$FB,59)</f>
        <v>5681250</v>
      </c>
      <c r="L132" s="50">
        <f>VLOOKUP($A132,'Data shares'!$C:$FB,61)*100</f>
        <v>5.8500000000000005</v>
      </c>
      <c r="M132" s="49">
        <f>VLOOKUP($A132,'Data shares'!$C:$FB,62)</f>
        <v>2573800</v>
      </c>
      <c r="N132" s="49">
        <f>VLOOKUP($A132,'Data shares'!$C:$FB,63)</f>
        <v>3141300</v>
      </c>
      <c r="O132" s="140">
        <f>VLOOKUP($A132,'Data shares'!$C:$FB,65)*100</f>
        <v>-18.07</v>
      </c>
    </row>
    <row r="133" spans="1:15" x14ac:dyDescent="0.25">
      <c r="A133" s="101" t="str">
        <f>'Data Vlaue (Cr)'!C128</f>
        <v>MAXHEALTH</v>
      </c>
      <c r="B133" s="50">
        <f>VLOOKUP($A133,'Data shares'!$C:$FB,7)</f>
        <v>998.8</v>
      </c>
      <c r="C133" s="50">
        <f>VLOOKUP($A133,'Data shares'!$C:$FB,10)*100</f>
        <v>-0.54</v>
      </c>
      <c r="D133" s="49">
        <f>VLOOKUP($A133,'Data shares'!$C:$FB,66)</f>
        <v>22173375</v>
      </c>
      <c r="E133" s="49">
        <f>VLOOKUP($A133,'Data shares'!$C:$FB,67)</f>
        <v>21783825</v>
      </c>
      <c r="F133" s="50">
        <f>VLOOKUP($A133,'Data shares'!$C:$FB,69)*100</f>
        <v>1.79</v>
      </c>
      <c r="G133" s="49">
        <f>VLOOKUP($A133,'Data shares'!$C:$FB,42)</f>
        <v>15465975</v>
      </c>
      <c r="H133" s="49">
        <f>VLOOKUP($A133,'Data shares'!$C:$FB,43)</f>
        <v>12738075</v>
      </c>
      <c r="I133" s="50">
        <f>VLOOKUP($A133,'Data shares'!$C:$FB,45)*100</f>
        <v>21.42</v>
      </c>
      <c r="J133" s="49">
        <f>VLOOKUP($A133,'Data shares'!$C:$FB,58)</f>
        <v>4729725</v>
      </c>
      <c r="K133" s="49">
        <f>VLOOKUP($A133,'Data shares'!$C:$FB,59)</f>
        <v>5779725</v>
      </c>
      <c r="L133" s="50">
        <f>VLOOKUP($A133,'Data shares'!$C:$FB,61)*100</f>
        <v>-18.170000000000002</v>
      </c>
      <c r="M133" s="49">
        <f>VLOOKUP($A133,'Data shares'!$C:$FB,62)</f>
        <v>1977675</v>
      </c>
      <c r="N133" s="49">
        <f>VLOOKUP($A133,'Data shares'!$C:$FB,63)</f>
        <v>3266025</v>
      </c>
      <c r="O133" s="140">
        <f>VLOOKUP($A133,'Data shares'!$C:$FB,65)*100</f>
        <v>-39.450000000000003</v>
      </c>
    </row>
    <row r="134" spans="1:15" x14ac:dyDescent="0.25">
      <c r="A134" s="101" t="str">
        <f>'Data Vlaue (Cr)'!C129</f>
        <v>MAZDOCK</v>
      </c>
      <c r="B134" s="50">
        <f>VLOOKUP($A134,'Data shares'!$C:$FB,7)</f>
        <v>2369</v>
      </c>
      <c r="C134" s="50">
        <f>VLOOKUP($A134,'Data shares'!$C:$FB,10)*100</f>
        <v>1.6099999999999999</v>
      </c>
      <c r="D134" s="49">
        <f>VLOOKUP($A134,'Data shares'!$C:$FB,66)</f>
        <v>10602600</v>
      </c>
      <c r="E134" s="49">
        <f>VLOOKUP($A134,'Data shares'!$C:$FB,67)</f>
        <v>9736800</v>
      </c>
      <c r="F134" s="50">
        <f>VLOOKUP($A134,'Data shares'!$C:$FB,69)*100</f>
        <v>8.89</v>
      </c>
      <c r="G134" s="49">
        <f>VLOOKUP($A134,'Data shares'!$C:$FB,42)</f>
        <v>3911200</v>
      </c>
      <c r="H134" s="49">
        <f>VLOOKUP($A134,'Data shares'!$C:$FB,43)</f>
        <v>2274400</v>
      </c>
      <c r="I134" s="50">
        <f>VLOOKUP($A134,'Data shares'!$C:$FB,45)*100</f>
        <v>71.97</v>
      </c>
      <c r="J134" s="49">
        <f>VLOOKUP($A134,'Data shares'!$C:$FB,58)</f>
        <v>5260600</v>
      </c>
      <c r="K134" s="49">
        <f>VLOOKUP($A134,'Data shares'!$C:$FB,59)</f>
        <v>5480000</v>
      </c>
      <c r="L134" s="50">
        <f>VLOOKUP($A134,'Data shares'!$C:$FB,61)*100</f>
        <v>-4</v>
      </c>
      <c r="M134" s="49">
        <f>VLOOKUP($A134,'Data shares'!$C:$FB,62)</f>
        <v>1430800</v>
      </c>
      <c r="N134" s="49">
        <f>VLOOKUP($A134,'Data shares'!$C:$FB,63)</f>
        <v>1982400</v>
      </c>
      <c r="O134" s="140">
        <f>VLOOKUP($A134,'Data shares'!$C:$FB,65)*100</f>
        <v>-27.82</v>
      </c>
    </row>
    <row r="135" spans="1:15" x14ac:dyDescent="0.25">
      <c r="A135" s="101" t="str">
        <f>'Data Vlaue (Cr)'!C130</f>
        <v>MCX</v>
      </c>
      <c r="B135" s="50">
        <f>VLOOKUP($A135,'Data shares'!$C:$FB,7)</f>
        <v>2314</v>
      </c>
      <c r="C135" s="50">
        <f>VLOOKUP($A135,'Data shares'!$C:$FB,10)*100</f>
        <v>-0.26</v>
      </c>
      <c r="D135" s="49">
        <f>VLOOKUP($A135,'Data shares'!$C:$FB,66)</f>
        <v>94131250</v>
      </c>
      <c r="E135" s="49">
        <f>VLOOKUP($A135,'Data shares'!$C:$FB,67)</f>
        <v>60497500</v>
      </c>
      <c r="F135" s="50">
        <f>VLOOKUP($A135,'Data shares'!$C:$FB,69)*100</f>
        <v>55.600000000000009</v>
      </c>
      <c r="G135" s="49">
        <f>VLOOKUP($A135,'Data shares'!$C:$FB,42)</f>
        <v>21370000</v>
      </c>
      <c r="H135" s="49">
        <f>VLOOKUP($A135,'Data shares'!$C:$FB,43)</f>
        <v>10950625</v>
      </c>
      <c r="I135" s="50">
        <f>VLOOKUP($A135,'Data shares'!$C:$FB,45)*100</f>
        <v>95.15</v>
      </c>
      <c r="J135" s="49">
        <f>VLOOKUP($A135,'Data shares'!$C:$FB,58)</f>
        <v>50468750</v>
      </c>
      <c r="K135" s="49">
        <f>VLOOKUP($A135,'Data shares'!$C:$FB,59)</f>
        <v>33714375</v>
      </c>
      <c r="L135" s="50">
        <f>VLOOKUP($A135,'Data shares'!$C:$FB,61)*100</f>
        <v>49.7</v>
      </c>
      <c r="M135" s="49">
        <f>VLOOKUP($A135,'Data shares'!$C:$FB,62)</f>
        <v>22292500</v>
      </c>
      <c r="N135" s="49">
        <f>VLOOKUP($A135,'Data shares'!$C:$FB,63)</f>
        <v>15832500</v>
      </c>
      <c r="O135" s="140">
        <f>VLOOKUP($A135,'Data shares'!$C:$FB,65)*100</f>
        <v>40.799999999999997</v>
      </c>
    </row>
    <row r="136" spans="1:15" x14ac:dyDescent="0.25">
      <c r="A136" s="101" t="str">
        <f>'Data Vlaue (Cr)'!C131</f>
        <v>MFSL</v>
      </c>
      <c r="B136" s="50">
        <f>VLOOKUP($A136,'Data shares'!$C:$FB,7)</f>
        <v>1627.7</v>
      </c>
      <c r="C136" s="50">
        <f>VLOOKUP($A136,'Data shares'!$C:$FB,10)*100</f>
        <v>0.49</v>
      </c>
      <c r="D136" s="49">
        <f>VLOOKUP($A136,'Data shares'!$C:$FB,66)</f>
        <v>10291200</v>
      </c>
      <c r="E136" s="49">
        <f>VLOOKUP($A136,'Data shares'!$C:$FB,67)</f>
        <v>9980800</v>
      </c>
      <c r="F136" s="50">
        <f>VLOOKUP($A136,'Data shares'!$C:$FB,69)*100</f>
        <v>3.11</v>
      </c>
      <c r="G136" s="49">
        <f>VLOOKUP($A136,'Data shares'!$C:$FB,42)</f>
        <v>7790400</v>
      </c>
      <c r="H136" s="49">
        <f>VLOOKUP($A136,'Data shares'!$C:$FB,43)</f>
        <v>6811200</v>
      </c>
      <c r="I136" s="50">
        <f>VLOOKUP($A136,'Data shares'!$C:$FB,45)*100</f>
        <v>14.38</v>
      </c>
      <c r="J136" s="49">
        <f>VLOOKUP($A136,'Data shares'!$C:$FB,58)</f>
        <v>1601200</v>
      </c>
      <c r="K136" s="49">
        <f>VLOOKUP($A136,'Data shares'!$C:$FB,59)</f>
        <v>1574400</v>
      </c>
      <c r="L136" s="50">
        <f>VLOOKUP($A136,'Data shares'!$C:$FB,61)*100</f>
        <v>1.7000000000000002</v>
      </c>
      <c r="M136" s="49">
        <f>VLOOKUP($A136,'Data shares'!$C:$FB,62)</f>
        <v>899600</v>
      </c>
      <c r="N136" s="49">
        <f>VLOOKUP($A136,'Data shares'!$C:$FB,63)</f>
        <v>1595200</v>
      </c>
      <c r="O136" s="140">
        <f>VLOOKUP($A136,'Data shares'!$C:$FB,65)*100</f>
        <v>-43.61</v>
      </c>
    </row>
    <row r="137" spans="1:15" x14ac:dyDescent="0.25">
      <c r="A137" s="101" t="str">
        <f>'Data Vlaue (Cr)'!C132</f>
        <v>MIDCPNIFTY</v>
      </c>
      <c r="B137" s="50">
        <f>VLOOKUP($A137,'Data shares'!$C:$FB,7)</f>
        <v>13325.45</v>
      </c>
      <c r="C137" s="50">
        <f>VLOOKUP($A137,'Data shares'!$C:$FB,10)*100</f>
        <v>1.3</v>
      </c>
      <c r="D137" s="49">
        <f>VLOOKUP($A137,'Data shares'!$C:$FB,66)</f>
        <v>161059800</v>
      </c>
      <c r="E137" s="49">
        <f>VLOOKUP($A137,'Data shares'!$C:$FB,67)</f>
        <v>230258280</v>
      </c>
      <c r="F137" s="50">
        <f>VLOOKUP($A137,'Data shares'!$C:$FB,69)*100</f>
        <v>-30.049999999999997</v>
      </c>
      <c r="G137" s="49">
        <f>VLOOKUP($A137,'Data shares'!$C:$FB,42)</f>
        <v>3153000</v>
      </c>
      <c r="H137" s="49">
        <f>VLOOKUP($A137,'Data shares'!$C:$FB,43)</f>
        <v>1734360</v>
      </c>
      <c r="I137" s="50">
        <f>VLOOKUP($A137,'Data shares'!$C:$FB,45)*100</f>
        <v>81.8</v>
      </c>
      <c r="J137" s="49">
        <f>VLOOKUP($A137,'Data shares'!$C:$FB,58)</f>
        <v>86248800</v>
      </c>
      <c r="K137" s="49">
        <f>VLOOKUP($A137,'Data shares'!$C:$FB,59)</f>
        <v>121157880</v>
      </c>
      <c r="L137" s="50">
        <f>VLOOKUP($A137,'Data shares'!$C:$FB,61)*100</f>
        <v>-28.810000000000002</v>
      </c>
      <c r="M137" s="49">
        <f>VLOOKUP($A137,'Data shares'!$C:$FB,62)</f>
        <v>71658000</v>
      </c>
      <c r="N137" s="49">
        <f>VLOOKUP($A137,'Data shares'!$C:$FB,63)</f>
        <v>107366040</v>
      </c>
      <c r="O137" s="140">
        <f>VLOOKUP($A137,'Data shares'!$C:$FB,65)*100</f>
        <v>-33.26</v>
      </c>
    </row>
    <row r="138" spans="1:15" x14ac:dyDescent="0.25">
      <c r="A138" s="101" t="str">
        <f>'Data Vlaue (Cr)'!C133</f>
        <v>MOTHERSON</v>
      </c>
      <c r="B138" s="50">
        <f>VLOOKUP($A138,'Data shares'!$C:$FB,7)</f>
        <v>111.33</v>
      </c>
      <c r="C138" s="50">
        <f>VLOOKUP($A138,'Data shares'!$C:$FB,10)*100</f>
        <v>1.51</v>
      </c>
      <c r="D138" s="49">
        <f>VLOOKUP($A138,'Data shares'!$C:$FB,66)</f>
        <v>265169550</v>
      </c>
      <c r="E138" s="49">
        <f>VLOOKUP($A138,'Data shares'!$C:$FB,67)</f>
        <v>308557800</v>
      </c>
      <c r="F138" s="50">
        <f>VLOOKUP($A138,'Data shares'!$C:$FB,69)*100</f>
        <v>-14.06</v>
      </c>
      <c r="G138" s="49">
        <f>VLOOKUP($A138,'Data shares'!$C:$FB,42)</f>
        <v>132840000</v>
      </c>
      <c r="H138" s="49">
        <f>VLOOKUP($A138,'Data shares'!$C:$FB,43)</f>
        <v>115921350</v>
      </c>
      <c r="I138" s="50">
        <f>VLOOKUP($A138,'Data shares'!$C:$FB,45)*100</f>
        <v>14.59</v>
      </c>
      <c r="J138" s="49">
        <f>VLOOKUP($A138,'Data shares'!$C:$FB,58)</f>
        <v>97379100</v>
      </c>
      <c r="K138" s="49">
        <f>VLOOKUP($A138,'Data shares'!$C:$FB,59)</f>
        <v>136892850</v>
      </c>
      <c r="L138" s="50">
        <f>VLOOKUP($A138,'Data shares'!$C:$FB,61)*100</f>
        <v>-28.860000000000003</v>
      </c>
      <c r="M138" s="49">
        <f>VLOOKUP($A138,'Data shares'!$C:$FB,62)</f>
        <v>34950450</v>
      </c>
      <c r="N138" s="49">
        <f>VLOOKUP($A138,'Data shares'!$C:$FB,63)</f>
        <v>55743600</v>
      </c>
      <c r="O138" s="140">
        <f>VLOOKUP($A138,'Data shares'!$C:$FB,65)*100</f>
        <v>-37.299999999999997</v>
      </c>
    </row>
    <row r="139" spans="1:15" x14ac:dyDescent="0.25">
      <c r="A139" s="101" t="str">
        <f>'Data Vlaue (Cr)'!C134</f>
        <v>MPHASIS</v>
      </c>
      <c r="B139" s="50">
        <f>VLOOKUP($A139,'Data shares'!$C:$FB,7)</f>
        <v>2810.1</v>
      </c>
      <c r="C139" s="50">
        <f>VLOOKUP($A139,'Data shares'!$C:$FB,10)*100</f>
        <v>0.4</v>
      </c>
      <c r="D139" s="49">
        <f>VLOOKUP($A139,'Data shares'!$C:$FB,66)</f>
        <v>10783575</v>
      </c>
      <c r="E139" s="49">
        <f>VLOOKUP($A139,'Data shares'!$C:$FB,67)</f>
        <v>11068200</v>
      </c>
      <c r="F139" s="50">
        <f>VLOOKUP($A139,'Data shares'!$C:$FB,69)*100</f>
        <v>-2.5700000000000003</v>
      </c>
      <c r="G139" s="49">
        <f>VLOOKUP($A139,'Data shares'!$C:$FB,42)</f>
        <v>5028925</v>
      </c>
      <c r="H139" s="49">
        <f>VLOOKUP($A139,'Data shares'!$C:$FB,43)</f>
        <v>6003800</v>
      </c>
      <c r="I139" s="50">
        <f>VLOOKUP($A139,'Data shares'!$C:$FB,45)*100</f>
        <v>-16.239999999999998</v>
      </c>
      <c r="J139" s="49">
        <f>VLOOKUP($A139,'Data shares'!$C:$FB,58)</f>
        <v>3278550</v>
      </c>
      <c r="K139" s="49">
        <f>VLOOKUP($A139,'Data shares'!$C:$FB,59)</f>
        <v>1967625</v>
      </c>
      <c r="L139" s="50">
        <f>VLOOKUP($A139,'Data shares'!$C:$FB,61)*100</f>
        <v>66.62</v>
      </c>
      <c r="M139" s="49">
        <f>VLOOKUP($A139,'Data shares'!$C:$FB,62)</f>
        <v>2476100</v>
      </c>
      <c r="N139" s="49">
        <f>VLOOKUP($A139,'Data shares'!$C:$FB,63)</f>
        <v>3096775</v>
      </c>
      <c r="O139" s="140">
        <f>VLOOKUP($A139,'Data shares'!$C:$FB,65)*100</f>
        <v>-20.04</v>
      </c>
    </row>
    <row r="140" spans="1:15" x14ac:dyDescent="0.25">
      <c r="A140" s="101" t="str">
        <f>'Data Vlaue (Cr)'!C135</f>
        <v>MUTHOOTFIN</v>
      </c>
      <c r="B140" s="50">
        <f>VLOOKUP($A140,'Data shares'!$C:$FB,7)</f>
        <v>3861.9</v>
      </c>
      <c r="C140" s="50">
        <f>VLOOKUP($A140,'Data shares'!$C:$FB,10)*100</f>
        <v>-1.1400000000000001</v>
      </c>
      <c r="D140" s="49">
        <f>VLOOKUP($A140,'Data shares'!$C:$FB,66)</f>
        <v>22200200</v>
      </c>
      <c r="E140" s="49">
        <f>VLOOKUP($A140,'Data shares'!$C:$FB,67)</f>
        <v>22754600</v>
      </c>
      <c r="F140" s="50">
        <f>VLOOKUP($A140,'Data shares'!$C:$FB,69)*100</f>
        <v>-2.44</v>
      </c>
      <c r="G140" s="49">
        <f>VLOOKUP($A140,'Data shares'!$C:$FB,42)</f>
        <v>5486525</v>
      </c>
      <c r="H140" s="49">
        <f>VLOOKUP($A140,'Data shares'!$C:$FB,43)</f>
        <v>4150025</v>
      </c>
      <c r="I140" s="50">
        <f>VLOOKUP($A140,'Data shares'!$C:$FB,45)*100</f>
        <v>32.200000000000003</v>
      </c>
      <c r="J140" s="49">
        <f>VLOOKUP($A140,'Data shares'!$C:$FB,58)</f>
        <v>8289600</v>
      </c>
      <c r="K140" s="49">
        <f>VLOOKUP($A140,'Data shares'!$C:$FB,59)</f>
        <v>13174700</v>
      </c>
      <c r="L140" s="50">
        <f>VLOOKUP($A140,'Data shares'!$C:$FB,61)*100</f>
        <v>-37.08</v>
      </c>
      <c r="M140" s="49">
        <f>VLOOKUP($A140,'Data shares'!$C:$FB,62)</f>
        <v>8424075</v>
      </c>
      <c r="N140" s="49">
        <f>VLOOKUP($A140,'Data shares'!$C:$FB,63)</f>
        <v>5429875</v>
      </c>
      <c r="O140" s="140">
        <f>VLOOKUP($A140,'Data shares'!$C:$FB,65)*100</f>
        <v>55.14</v>
      </c>
    </row>
    <row r="141" spans="1:15" x14ac:dyDescent="0.25">
      <c r="A141" s="101" t="str">
        <f>'Data Vlaue (Cr)'!C136</f>
        <v>NATIONALUM</v>
      </c>
      <c r="B141" s="50">
        <f>VLOOKUP($A141,'Data shares'!$C:$FB,7)</f>
        <v>364.6</v>
      </c>
      <c r="C141" s="50">
        <f>VLOOKUP($A141,'Data shares'!$C:$FB,10)*100</f>
        <v>0.86</v>
      </c>
      <c r="D141" s="49">
        <f>VLOOKUP($A141,'Data shares'!$C:$FB,66)</f>
        <v>173223750</v>
      </c>
      <c r="E141" s="49">
        <f>VLOOKUP($A141,'Data shares'!$C:$FB,67)</f>
        <v>228900000</v>
      </c>
      <c r="F141" s="50">
        <f>VLOOKUP($A141,'Data shares'!$C:$FB,69)*100</f>
        <v>-24.32</v>
      </c>
      <c r="G141" s="49">
        <f>VLOOKUP($A141,'Data shares'!$C:$FB,42)</f>
        <v>59385000</v>
      </c>
      <c r="H141" s="49">
        <f>VLOOKUP($A141,'Data shares'!$C:$FB,43)</f>
        <v>38400000</v>
      </c>
      <c r="I141" s="50">
        <f>VLOOKUP($A141,'Data shares'!$C:$FB,45)*100</f>
        <v>54.65</v>
      </c>
      <c r="J141" s="49">
        <f>VLOOKUP($A141,'Data shares'!$C:$FB,58)</f>
        <v>67837500</v>
      </c>
      <c r="K141" s="49">
        <f>VLOOKUP($A141,'Data shares'!$C:$FB,59)</f>
        <v>125741250</v>
      </c>
      <c r="L141" s="50">
        <f>VLOOKUP($A141,'Data shares'!$C:$FB,61)*100</f>
        <v>-46.050000000000004</v>
      </c>
      <c r="M141" s="49">
        <f>VLOOKUP($A141,'Data shares'!$C:$FB,62)</f>
        <v>46001250</v>
      </c>
      <c r="N141" s="49">
        <f>VLOOKUP($A141,'Data shares'!$C:$FB,63)</f>
        <v>64758750</v>
      </c>
      <c r="O141" s="140">
        <f>VLOOKUP($A141,'Data shares'!$C:$FB,65)*100</f>
        <v>-28.970000000000002</v>
      </c>
    </row>
    <row r="142" spans="1:15" x14ac:dyDescent="0.25">
      <c r="A142" s="101" t="str">
        <f>'Data Vlaue (Cr)'!C137</f>
        <v>NAUKRI</v>
      </c>
      <c r="B142" s="50">
        <f>VLOOKUP($A142,'Data shares'!$C:$FB,7)</f>
        <v>1319.5</v>
      </c>
      <c r="C142" s="50">
        <f>VLOOKUP($A142,'Data shares'!$C:$FB,10)*100</f>
        <v>-1.01</v>
      </c>
      <c r="D142" s="49">
        <f>VLOOKUP($A142,'Data shares'!$C:$FB,66)</f>
        <v>19640250</v>
      </c>
      <c r="E142" s="49">
        <f>VLOOKUP($A142,'Data shares'!$C:$FB,67)</f>
        <v>25260750</v>
      </c>
      <c r="F142" s="50">
        <f>VLOOKUP($A142,'Data shares'!$C:$FB,69)*100</f>
        <v>-22.25</v>
      </c>
      <c r="G142" s="49">
        <f>VLOOKUP($A142,'Data shares'!$C:$FB,42)</f>
        <v>9044625</v>
      </c>
      <c r="H142" s="49">
        <f>VLOOKUP($A142,'Data shares'!$C:$FB,43)</f>
        <v>10617375</v>
      </c>
      <c r="I142" s="50">
        <f>VLOOKUP($A142,'Data shares'!$C:$FB,45)*100</f>
        <v>-14.81</v>
      </c>
      <c r="J142" s="49">
        <f>VLOOKUP($A142,'Data shares'!$C:$FB,58)</f>
        <v>6081375</v>
      </c>
      <c r="K142" s="49">
        <f>VLOOKUP($A142,'Data shares'!$C:$FB,59)</f>
        <v>8836500</v>
      </c>
      <c r="L142" s="50">
        <f>VLOOKUP($A142,'Data shares'!$C:$FB,61)*100</f>
        <v>-31.180000000000003</v>
      </c>
      <c r="M142" s="49">
        <f>VLOOKUP($A142,'Data shares'!$C:$FB,62)</f>
        <v>4514250</v>
      </c>
      <c r="N142" s="49">
        <f>VLOOKUP($A142,'Data shares'!$C:$FB,63)</f>
        <v>5806875</v>
      </c>
      <c r="O142" s="140">
        <f>VLOOKUP($A142,'Data shares'!$C:$FB,65)*100</f>
        <v>-22.259999999999998</v>
      </c>
    </row>
    <row r="143" spans="1:15" x14ac:dyDescent="0.25">
      <c r="A143" s="101" t="str">
        <f>'Data Vlaue (Cr)'!C138</f>
        <v>NBCC</v>
      </c>
      <c r="B143" s="50">
        <f>VLOOKUP($A143,'Data shares'!$C:$FB,7)</f>
        <v>98.68</v>
      </c>
      <c r="C143" s="50">
        <f>VLOOKUP($A143,'Data shares'!$C:$FB,10)*100</f>
        <v>2.06</v>
      </c>
      <c r="D143" s="49">
        <f>VLOOKUP($A143,'Data shares'!$C:$FB,66)</f>
        <v>129935000</v>
      </c>
      <c r="E143" s="49">
        <f>VLOOKUP($A143,'Data shares'!$C:$FB,67)</f>
        <v>150338500</v>
      </c>
      <c r="F143" s="50">
        <f>VLOOKUP($A143,'Data shares'!$C:$FB,69)*100</f>
        <v>-13.569999999999999</v>
      </c>
      <c r="G143" s="49">
        <f>VLOOKUP($A143,'Data shares'!$C:$FB,42)</f>
        <v>51629500</v>
      </c>
      <c r="H143" s="49">
        <f>VLOOKUP($A143,'Data shares'!$C:$FB,43)</f>
        <v>50349000</v>
      </c>
      <c r="I143" s="50">
        <f>VLOOKUP($A143,'Data shares'!$C:$FB,45)*100</f>
        <v>2.54</v>
      </c>
      <c r="J143" s="49">
        <f>VLOOKUP($A143,'Data shares'!$C:$FB,58)</f>
        <v>59787000</v>
      </c>
      <c r="K143" s="49">
        <f>VLOOKUP($A143,'Data shares'!$C:$FB,59)</f>
        <v>71396000</v>
      </c>
      <c r="L143" s="50">
        <f>VLOOKUP($A143,'Data shares'!$C:$FB,61)*100</f>
        <v>-16.259999999999998</v>
      </c>
      <c r="M143" s="49">
        <f>VLOOKUP($A143,'Data shares'!$C:$FB,62)</f>
        <v>18518500</v>
      </c>
      <c r="N143" s="49">
        <f>VLOOKUP($A143,'Data shares'!$C:$FB,63)</f>
        <v>28593500</v>
      </c>
      <c r="O143" s="140">
        <f>VLOOKUP($A143,'Data shares'!$C:$FB,65)*100</f>
        <v>-35.24</v>
      </c>
    </row>
    <row r="144" spans="1:15" x14ac:dyDescent="0.25">
      <c r="A144" s="101" t="str">
        <f>'Data Vlaue (Cr)'!C139</f>
        <v>NESTLEIND</v>
      </c>
      <c r="B144" s="50">
        <f>VLOOKUP($A144,'Data shares'!$C:$FB,7)</f>
        <v>1306</v>
      </c>
      <c r="C144" s="50">
        <f>VLOOKUP($A144,'Data shares'!$C:$FB,10)*100</f>
        <v>1.78</v>
      </c>
      <c r="D144" s="49">
        <f>VLOOKUP($A144,'Data shares'!$C:$FB,66)</f>
        <v>20458500</v>
      </c>
      <c r="E144" s="49">
        <f>VLOOKUP($A144,'Data shares'!$C:$FB,67)</f>
        <v>18163000</v>
      </c>
      <c r="F144" s="50">
        <f>VLOOKUP($A144,'Data shares'!$C:$FB,69)*100</f>
        <v>12.64</v>
      </c>
      <c r="G144" s="49">
        <f>VLOOKUP($A144,'Data shares'!$C:$FB,42)</f>
        <v>12886500</v>
      </c>
      <c r="H144" s="49">
        <f>VLOOKUP($A144,'Data shares'!$C:$FB,43)</f>
        <v>10985500</v>
      </c>
      <c r="I144" s="50">
        <f>VLOOKUP($A144,'Data shares'!$C:$FB,45)*100</f>
        <v>17.299999999999997</v>
      </c>
      <c r="J144" s="49">
        <f>VLOOKUP($A144,'Data shares'!$C:$FB,58)</f>
        <v>4813000</v>
      </c>
      <c r="K144" s="49">
        <f>VLOOKUP($A144,'Data shares'!$C:$FB,59)</f>
        <v>4464000</v>
      </c>
      <c r="L144" s="50">
        <f>VLOOKUP($A144,'Data shares'!$C:$FB,61)*100</f>
        <v>7.82</v>
      </c>
      <c r="M144" s="49">
        <f>VLOOKUP($A144,'Data shares'!$C:$FB,62)</f>
        <v>2759000</v>
      </c>
      <c r="N144" s="49">
        <f>VLOOKUP($A144,'Data shares'!$C:$FB,63)</f>
        <v>2713500</v>
      </c>
      <c r="O144" s="140">
        <f>VLOOKUP($A144,'Data shares'!$C:$FB,65)*100</f>
        <v>1.68</v>
      </c>
    </row>
    <row r="145" spans="1:15" x14ac:dyDescent="0.25">
      <c r="A145" s="101" t="str">
        <f>'Data Vlaue (Cr)'!C140</f>
        <v>NHPC</v>
      </c>
      <c r="B145" s="50">
        <f>VLOOKUP($A145,'Data shares'!$C:$FB,7)</f>
        <v>77.45</v>
      </c>
      <c r="C145" s="50">
        <f>VLOOKUP($A145,'Data shares'!$C:$FB,10)*100</f>
        <v>1.7500000000000002</v>
      </c>
      <c r="D145" s="49">
        <f>VLOOKUP($A145,'Data shares'!$C:$FB,66)</f>
        <v>112800000</v>
      </c>
      <c r="E145" s="49">
        <f>VLOOKUP($A145,'Data shares'!$C:$FB,67)</f>
        <v>162329600</v>
      </c>
      <c r="F145" s="50">
        <f>VLOOKUP($A145,'Data shares'!$C:$FB,69)*100</f>
        <v>-30.509999999999998</v>
      </c>
      <c r="G145" s="49">
        <f>VLOOKUP($A145,'Data shares'!$C:$FB,42)</f>
        <v>61644800</v>
      </c>
      <c r="H145" s="49">
        <f>VLOOKUP($A145,'Data shares'!$C:$FB,43)</f>
        <v>57036800</v>
      </c>
      <c r="I145" s="50">
        <f>VLOOKUP($A145,'Data shares'!$C:$FB,45)*100</f>
        <v>8.08</v>
      </c>
      <c r="J145" s="49">
        <f>VLOOKUP($A145,'Data shares'!$C:$FB,58)</f>
        <v>36396800</v>
      </c>
      <c r="K145" s="49">
        <f>VLOOKUP($A145,'Data shares'!$C:$FB,59)</f>
        <v>63820800</v>
      </c>
      <c r="L145" s="50">
        <f>VLOOKUP($A145,'Data shares'!$C:$FB,61)*100</f>
        <v>-42.970000000000006</v>
      </c>
      <c r="M145" s="49">
        <f>VLOOKUP($A145,'Data shares'!$C:$FB,62)</f>
        <v>14758400</v>
      </c>
      <c r="N145" s="49">
        <f>VLOOKUP($A145,'Data shares'!$C:$FB,63)</f>
        <v>41472000</v>
      </c>
      <c r="O145" s="140">
        <f>VLOOKUP($A145,'Data shares'!$C:$FB,65)*100</f>
        <v>-64.41</v>
      </c>
    </row>
    <row r="146" spans="1:15" x14ac:dyDescent="0.25">
      <c r="A146" s="101" t="str">
        <f>'Data Vlaue (Cr)'!C141</f>
        <v>NIFTY</v>
      </c>
      <c r="B146" s="50">
        <f>VLOOKUP($A146,'Data shares'!$C:$FB,7)</f>
        <v>25289.9</v>
      </c>
      <c r="C146" s="50">
        <f>VLOOKUP($A146,'Data shares'!$C:$FB,10)*100</f>
        <v>0.53</v>
      </c>
      <c r="D146" s="49">
        <f>VLOOKUP($A146,'Data shares'!$C:$FB,66)</f>
        <v>6044020450</v>
      </c>
      <c r="E146" s="49">
        <f>VLOOKUP($A146,'Data shares'!$C:$FB,67)</f>
        <v>6695602810</v>
      </c>
      <c r="F146" s="50">
        <f>VLOOKUP($A146,'Data shares'!$C:$FB,69)*100</f>
        <v>-9.73</v>
      </c>
      <c r="G146" s="49">
        <f>VLOOKUP($A146,'Data shares'!$C:$FB,42)</f>
        <v>16181165</v>
      </c>
      <c r="H146" s="49">
        <f>VLOOKUP($A146,'Data shares'!$C:$FB,43)</f>
        <v>14166815</v>
      </c>
      <c r="I146" s="50">
        <f>VLOOKUP($A146,'Data shares'!$C:$FB,45)*100</f>
        <v>14.219999999999999</v>
      </c>
      <c r="J146" s="49">
        <f>VLOOKUP($A146,'Data shares'!$C:$FB,58)</f>
        <v>2947594780</v>
      </c>
      <c r="K146" s="49">
        <f>VLOOKUP($A146,'Data shares'!$C:$FB,59)</f>
        <v>3275599665</v>
      </c>
      <c r="L146" s="50">
        <f>VLOOKUP($A146,'Data shares'!$C:$FB,61)*100</f>
        <v>-10.01</v>
      </c>
      <c r="M146" s="49">
        <f>VLOOKUP($A146,'Data shares'!$C:$FB,62)</f>
        <v>3080244505</v>
      </c>
      <c r="N146" s="49">
        <f>VLOOKUP($A146,'Data shares'!$C:$FB,63)</f>
        <v>3405836330</v>
      </c>
      <c r="O146" s="140">
        <f>VLOOKUP($A146,'Data shares'!$C:$FB,65)*100</f>
        <v>-9.56</v>
      </c>
    </row>
    <row r="147" spans="1:15" x14ac:dyDescent="0.25">
      <c r="A147" s="101" t="str">
        <f>'Data Vlaue (Cr)'!C142</f>
        <v>NIFTYNXT50</v>
      </c>
      <c r="B147" s="50">
        <f>VLOOKUP($A147,'Data shares'!$C:$FB,7)</f>
        <v>67592.800000000003</v>
      </c>
      <c r="C147" s="50">
        <f>VLOOKUP($A147,'Data shares'!$C:$FB,10)*100</f>
        <v>1.0900000000000001</v>
      </c>
      <c r="D147" s="49">
        <f>VLOOKUP($A147,'Data shares'!$C:$FB,66)</f>
        <v>49475</v>
      </c>
      <c r="E147" s="49">
        <f>VLOOKUP($A147,'Data shares'!$C:$FB,67)</f>
        <v>35800</v>
      </c>
      <c r="F147" s="50">
        <f>VLOOKUP($A147,'Data shares'!$C:$FB,69)*100</f>
        <v>38.200000000000003</v>
      </c>
      <c r="G147" s="49">
        <f>VLOOKUP($A147,'Data shares'!$C:$FB,42)</f>
        <v>13775</v>
      </c>
      <c r="H147" s="49">
        <f>VLOOKUP($A147,'Data shares'!$C:$FB,43)</f>
        <v>13525</v>
      </c>
      <c r="I147" s="50">
        <f>VLOOKUP($A147,'Data shares'!$C:$FB,45)*100</f>
        <v>1.8499999999999999</v>
      </c>
      <c r="J147" s="49">
        <f>VLOOKUP($A147,'Data shares'!$C:$FB,58)</f>
        <v>25425</v>
      </c>
      <c r="K147" s="49">
        <f>VLOOKUP($A147,'Data shares'!$C:$FB,59)</f>
        <v>16300</v>
      </c>
      <c r="L147" s="50">
        <f>VLOOKUP($A147,'Data shares'!$C:$FB,61)*100</f>
        <v>55.98</v>
      </c>
      <c r="M147" s="49">
        <f>VLOOKUP($A147,'Data shares'!$C:$FB,62)</f>
        <v>10275</v>
      </c>
      <c r="N147" s="49">
        <f>VLOOKUP($A147,'Data shares'!$C:$FB,63)</f>
        <v>5975</v>
      </c>
      <c r="O147" s="140">
        <f>VLOOKUP($A147,'Data shares'!$C:$FB,65)*100</f>
        <v>71.97</v>
      </c>
    </row>
    <row r="148" spans="1:15" x14ac:dyDescent="0.25">
      <c r="A148" s="101" t="str">
        <f>'Data Vlaue (Cr)'!C143</f>
        <v>NMDC</v>
      </c>
      <c r="B148" s="50">
        <f>VLOOKUP($A148,'Data shares'!$C:$FB,7)</f>
        <v>78.23</v>
      </c>
      <c r="C148" s="50">
        <f>VLOOKUP($A148,'Data shares'!$C:$FB,10)*100</f>
        <v>-0.52</v>
      </c>
      <c r="D148" s="49">
        <f>VLOOKUP($A148,'Data shares'!$C:$FB,66)</f>
        <v>290749500</v>
      </c>
      <c r="E148" s="49">
        <f>VLOOKUP($A148,'Data shares'!$C:$FB,67)</f>
        <v>353396250</v>
      </c>
      <c r="F148" s="50">
        <f>VLOOKUP($A148,'Data shares'!$C:$FB,69)*100</f>
        <v>-17.73</v>
      </c>
      <c r="G148" s="49">
        <f>VLOOKUP($A148,'Data shares'!$C:$FB,42)</f>
        <v>148810500</v>
      </c>
      <c r="H148" s="49">
        <f>VLOOKUP($A148,'Data shares'!$C:$FB,43)</f>
        <v>122343750</v>
      </c>
      <c r="I148" s="50">
        <f>VLOOKUP($A148,'Data shares'!$C:$FB,45)*100</f>
        <v>21.63</v>
      </c>
      <c r="J148" s="49">
        <f>VLOOKUP($A148,'Data shares'!$C:$FB,58)</f>
        <v>101270250</v>
      </c>
      <c r="K148" s="49">
        <f>VLOOKUP($A148,'Data shares'!$C:$FB,59)</f>
        <v>152475750</v>
      </c>
      <c r="L148" s="50">
        <f>VLOOKUP($A148,'Data shares'!$C:$FB,61)*100</f>
        <v>-33.58</v>
      </c>
      <c r="M148" s="49">
        <f>VLOOKUP($A148,'Data shares'!$C:$FB,62)</f>
        <v>40668750</v>
      </c>
      <c r="N148" s="49">
        <f>VLOOKUP($A148,'Data shares'!$C:$FB,63)</f>
        <v>78576750</v>
      </c>
      <c r="O148" s="140">
        <f>VLOOKUP($A148,'Data shares'!$C:$FB,65)*100</f>
        <v>-48.24</v>
      </c>
    </row>
    <row r="149" spans="1:15" x14ac:dyDescent="0.25">
      <c r="A149" s="101" t="str">
        <f>'Data Vlaue (Cr)'!C144</f>
        <v>NTPC</v>
      </c>
      <c r="B149" s="50">
        <f>VLOOKUP($A149,'Data shares'!$C:$FB,7)</f>
        <v>342.45</v>
      </c>
      <c r="C149" s="50">
        <f>VLOOKUP($A149,'Data shares'!$C:$FB,10)*100</f>
        <v>1.1100000000000001</v>
      </c>
      <c r="D149" s="49">
        <f>VLOOKUP($A149,'Data shares'!$C:$FB,66)</f>
        <v>157974000</v>
      </c>
      <c r="E149" s="49">
        <f>VLOOKUP($A149,'Data shares'!$C:$FB,67)</f>
        <v>149140500</v>
      </c>
      <c r="F149" s="50">
        <f>VLOOKUP($A149,'Data shares'!$C:$FB,69)*100</f>
        <v>5.92</v>
      </c>
      <c r="G149" s="49">
        <f>VLOOKUP($A149,'Data shares'!$C:$FB,42)</f>
        <v>53923500</v>
      </c>
      <c r="H149" s="49">
        <f>VLOOKUP($A149,'Data shares'!$C:$FB,43)</f>
        <v>39948000</v>
      </c>
      <c r="I149" s="50">
        <f>VLOOKUP($A149,'Data shares'!$C:$FB,45)*100</f>
        <v>34.979999999999997</v>
      </c>
      <c r="J149" s="49">
        <f>VLOOKUP($A149,'Data shares'!$C:$FB,58)</f>
        <v>63171000</v>
      </c>
      <c r="K149" s="49">
        <f>VLOOKUP($A149,'Data shares'!$C:$FB,59)</f>
        <v>66354000</v>
      </c>
      <c r="L149" s="50">
        <f>VLOOKUP($A149,'Data shares'!$C:$FB,61)*100</f>
        <v>-4.8</v>
      </c>
      <c r="M149" s="49">
        <f>VLOOKUP($A149,'Data shares'!$C:$FB,62)</f>
        <v>40879500</v>
      </c>
      <c r="N149" s="49">
        <f>VLOOKUP($A149,'Data shares'!$C:$FB,63)</f>
        <v>42838500</v>
      </c>
      <c r="O149" s="140">
        <f>VLOOKUP($A149,'Data shares'!$C:$FB,65)*100</f>
        <v>-4.5699999999999994</v>
      </c>
    </row>
    <row r="150" spans="1:15" x14ac:dyDescent="0.25">
      <c r="A150" s="101" t="str">
        <f>'Data Vlaue (Cr)'!C145</f>
        <v>NUVAMA</v>
      </c>
      <c r="B150" s="50">
        <f>VLOOKUP($A150,'Data shares'!$C:$FB,7)</f>
        <v>1383.3</v>
      </c>
      <c r="C150" s="50">
        <f>VLOOKUP($A150,'Data shares'!$C:$FB,10)*100</f>
        <v>1.3599999999999999</v>
      </c>
      <c r="D150" s="49">
        <f>VLOOKUP($A150,'Data shares'!$C:$FB,66)</f>
        <v>3677500</v>
      </c>
      <c r="E150" s="49">
        <f>VLOOKUP($A150,'Data shares'!$C:$FB,67)</f>
        <v>4873000</v>
      </c>
      <c r="F150" s="50">
        <f>VLOOKUP($A150,'Data shares'!$C:$FB,69)*100</f>
        <v>-24.529999999999998</v>
      </c>
      <c r="G150" s="49">
        <f>VLOOKUP($A150,'Data shares'!$C:$FB,42)</f>
        <v>1953500</v>
      </c>
      <c r="H150" s="49">
        <f>VLOOKUP($A150,'Data shares'!$C:$FB,43)</f>
        <v>1809500</v>
      </c>
      <c r="I150" s="50">
        <f>VLOOKUP($A150,'Data shares'!$C:$FB,45)*100</f>
        <v>7.9600000000000009</v>
      </c>
      <c r="J150" s="49">
        <f>VLOOKUP($A150,'Data shares'!$C:$FB,58)</f>
        <v>1091500</v>
      </c>
      <c r="K150" s="49">
        <f>VLOOKUP($A150,'Data shares'!$C:$FB,59)</f>
        <v>1882000</v>
      </c>
      <c r="L150" s="50">
        <f>VLOOKUP($A150,'Data shares'!$C:$FB,61)*100</f>
        <v>-42</v>
      </c>
      <c r="M150" s="49">
        <f>VLOOKUP($A150,'Data shares'!$C:$FB,62)</f>
        <v>632500</v>
      </c>
      <c r="N150" s="49">
        <f>VLOOKUP($A150,'Data shares'!$C:$FB,63)</f>
        <v>1181500</v>
      </c>
      <c r="O150" s="140">
        <f>VLOOKUP($A150,'Data shares'!$C:$FB,65)*100</f>
        <v>-46.47</v>
      </c>
    </row>
    <row r="151" spans="1:15" x14ac:dyDescent="0.25">
      <c r="A151" s="101" t="str">
        <f>'Data Vlaue (Cr)'!C146</f>
        <v>NYKAA</v>
      </c>
      <c r="B151" s="50">
        <f>VLOOKUP($A151,'Data shares'!$C:$FB,7)</f>
        <v>239.45</v>
      </c>
      <c r="C151" s="50">
        <f>VLOOKUP($A151,'Data shares'!$C:$FB,10)*100</f>
        <v>-0.91</v>
      </c>
      <c r="D151" s="49">
        <f>VLOOKUP($A151,'Data shares'!$C:$FB,66)</f>
        <v>78315625</v>
      </c>
      <c r="E151" s="49">
        <f>VLOOKUP($A151,'Data shares'!$C:$FB,67)</f>
        <v>57759375</v>
      </c>
      <c r="F151" s="50">
        <f>VLOOKUP($A151,'Data shares'!$C:$FB,69)*100</f>
        <v>35.589999999999996</v>
      </c>
      <c r="G151" s="49">
        <f>VLOOKUP($A151,'Data shares'!$C:$FB,42)</f>
        <v>40812500</v>
      </c>
      <c r="H151" s="49">
        <f>VLOOKUP($A151,'Data shares'!$C:$FB,43)</f>
        <v>24106250</v>
      </c>
      <c r="I151" s="50">
        <f>VLOOKUP($A151,'Data shares'!$C:$FB,45)*100</f>
        <v>69.3</v>
      </c>
      <c r="J151" s="49">
        <f>VLOOKUP($A151,'Data shares'!$C:$FB,58)</f>
        <v>21906250</v>
      </c>
      <c r="K151" s="49">
        <f>VLOOKUP($A151,'Data shares'!$C:$FB,59)</f>
        <v>22093750</v>
      </c>
      <c r="L151" s="50">
        <f>VLOOKUP($A151,'Data shares'!$C:$FB,61)*100</f>
        <v>-0.85000000000000009</v>
      </c>
      <c r="M151" s="49">
        <f>VLOOKUP($A151,'Data shares'!$C:$FB,62)</f>
        <v>15596875</v>
      </c>
      <c r="N151" s="49">
        <f>VLOOKUP($A151,'Data shares'!$C:$FB,63)</f>
        <v>11559375</v>
      </c>
      <c r="O151" s="140">
        <f>VLOOKUP($A151,'Data shares'!$C:$FB,65)*100</f>
        <v>34.93</v>
      </c>
    </row>
    <row r="152" spans="1:15" x14ac:dyDescent="0.25">
      <c r="A152" s="101" t="str">
        <f>'Data Vlaue (Cr)'!C147</f>
        <v>OBEROIRLTY</v>
      </c>
      <c r="B152" s="50">
        <f>VLOOKUP($A152,'Data shares'!$C:$FB,7)</f>
        <v>1480.2</v>
      </c>
      <c r="C152" s="50">
        <f>VLOOKUP($A152,'Data shares'!$C:$FB,10)*100</f>
        <v>-1.49</v>
      </c>
      <c r="D152" s="49">
        <f>VLOOKUP($A152,'Data shares'!$C:$FB,66)</f>
        <v>12983600</v>
      </c>
      <c r="E152" s="49">
        <f>VLOOKUP($A152,'Data shares'!$C:$FB,67)</f>
        <v>22963500</v>
      </c>
      <c r="F152" s="50">
        <f>VLOOKUP($A152,'Data shares'!$C:$FB,69)*100</f>
        <v>-43.46</v>
      </c>
      <c r="G152" s="49">
        <f>VLOOKUP($A152,'Data shares'!$C:$FB,42)</f>
        <v>4751250</v>
      </c>
      <c r="H152" s="49">
        <f>VLOOKUP($A152,'Data shares'!$C:$FB,43)</f>
        <v>5563950</v>
      </c>
      <c r="I152" s="50">
        <f>VLOOKUP($A152,'Data shares'!$C:$FB,45)*100</f>
        <v>-14.610000000000001</v>
      </c>
      <c r="J152" s="49">
        <f>VLOOKUP($A152,'Data shares'!$C:$FB,58)</f>
        <v>5134500</v>
      </c>
      <c r="K152" s="49">
        <f>VLOOKUP($A152,'Data shares'!$C:$FB,59)</f>
        <v>10321500</v>
      </c>
      <c r="L152" s="50">
        <f>VLOOKUP($A152,'Data shares'!$C:$FB,61)*100</f>
        <v>-50.249999999999993</v>
      </c>
      <c r="M152" s="49">
        <f>VLOOKUP($A152,'Data shares'!$C:$FB,62)</f>
        <v>3097850</v>
      </c>
      <c r="N152" s="49">
        <f>VLOOKUP($A152,'Data shares'!$C:$FB,63)</f>
        <v>7078050</v>
      </c>
      <c r="O152" s="140">
        <f>VLOOKUP($A152,'Data shares'!$C:$FB,65)*100</f>
        <v>-56.230000000000004</v>
      </c>
    </row>
    <row r="153" spans="1:15" x14ac:dyDescent="0.25">
      <c r="A153" s="101" t="str">
        <f>'Data Vlaue (Cr)'!C148</f>
        <v>OFSS</v>
      </c>
      <c r="B153" s="50">
        <f>VLOOKUP($A153,'Data shares'!$C:$FB,7)</f>
        <v>7897</v>
      </c>
      <c r="C153" s="50">
        <f>VLOOKUP($A153,'Data shares'!$C:$FB,10)*100</f>
        <v>2.91</v>
      </c>
      <c r="D153" s="49">
        <f>VLOOKUP($A153,'Data shares'!$C:$FB,66)</f>
        <v>8612325</v>
      </c>
      <c r="E153" s="49">
        <f>VLOOKUP($A153,'Data shares'!$C:$FB,67)</f>
        <v>5604000</v>
      </c>
      <c r="F153" s="50">
        <f>VLOOKUP($A153,'Data shares'!$C:$FB,69)*100</f>
        <v>53.680000000000007</v>
      </c>
      <c r="G153" s="49">
        <f>VLOOKUP($A153,'Data shares'!$C:$FB,42)</f>
        <v>1749000</v>
      </c>
      <c r="H153" s="49">
        <f>VLOOKUP($A153,'Data shares'!$C:$FB,43)</f>
        <v>2143800</v>
      </c>
      <c r="I153" s="50">
        <f>VLOOKUP($A153,'Data shares'!$C:$FB,45)*100</f>
        <v>-18.420000000000002</v>
      </c>
      <c r="J153" s="49">
        <f>VLOOKUP($A153,'Data shares'!$C:$FB,58)</f>
        <v>4718775</v>
      </c>
      <c r="K153" s="49">
        <f>VLOOKUP($A153,'Data shares'!$C:$FB,59)</f>
        <v>1889775</v>
      </c>
      <c r="L153" s="50">
        <f>VLOOKUP($A153,'Data shares'!$C:$FB,61)*100</f>
        <v>149.70000000000002</v>
      </c>
      <c r="M153" s="49">
        <f>VLOOKUP($A153,'Data shares'!$C:$FB,62)</f>
        <v>2144550</v>
      </c>
      <c r="N153" s="49">
        <f>VLOOKUP($A153,'Data shares'!$C:$FB,63)</f>
        <v>1570425</v>
      </c>
      <c r="O153" s="140">
        <f>VLOOKUP($A153,'Data shares'!$C:$FB,65)*100</f>
        <v>36.559999999999995</v>
      </c>
    </row>
    <row r="154" spans="1:15" x14ac:dyDescent="0.25">
      <c r="A154" s="101" t="str">
        <f>'Data Vlaue (Cr)'!C149</f>
        <v>OIL</v>
      </c>
      <c r="B154" s="50">
        <f>VLOOKUP($A154,'Data shares'!$C:$FB,7)</f>
        <v>436.45</v>
      </c>
      <c r="C154" s="50">
        <f>VLOOKUP($A154,'Data shares'!$C:$FB,10)*100</f>
        <v>0.67</v>
      </c>
      <c r="D154" s="49">
        <f>VLOOKUP($A154,'Data shares'!$C:$FB,66)</f>
        <v>33433400</v>
      </c>
      <c r="E154" s="49">
        <f>VLOOKUP($A154,'Data shares'!$C:$FB,67)</f>
        <v>29183000</v>
      </c>
      <c r="F154" s="50">
        <f>VLOOKUP($A154,'Data shares'!$C:$FB,69)*100</f>
        <v>14.56</v>
      </c>
      <c r="G154" s="49">
        <f>VLOOKUP($A154,'Data shares'!$C:$FB,42)</f>
        <v>18663400</v>
      </c>
      <c r="H154" s="49">
        <f>VLOOKUP($A154,'Data shares'!$C:$FB,43)</f>
        <v>10666600</v>
      </c>
      <c r="I154" s="50">
        <f>VLOOKUP($A154,'Data shares'!$C:$FB,45)*100</f>
        <v>74.97</v>
      </c>
      <c r="J154" s="49">
        <f>VLOOKUP($A154,'Data shares'!$C:$FB,58)</f>
        <v>10980200</v>
      </c>
      <c r="K154" s="49">
        <f>VLOOKUP($A154,'Data shares'!$C:$FB,59)</f>
        <v>12962600</v>
      </c>
      <c r="L154" s="50">
        <f>VLOOKUP($A154,'Data shares'!$C:$FB,61)*100</f>
        <v>-15.290000000000001</v>
      </c>
      <c r="M154" s="49">
        <f>VLOOKUP($A154,'Data shares'!$C:$FB,62)</f>
        <v>3789800</v>
      </c>
      <c r="N154" s="49">
        <f>VLOOKUP($A154,'Data shares'!$C:$FB,63)</f>
        <v>5553800</v>
      </c>
      <c r="O154" s="140">
        <f>VLOOKUP($A154,'Data shares'!$C:$FB,65)*100</f>
        <v>-31.759999999999998</v>
      </c>
    </row>
    <row r="155" spans="1:15" x14ac:dyDescent="0.25">
      <c r="A155" s="101" t="str">
        <f>'Data Vlaue (Cr)'!C150</f>
        <v>ONGC</v>
      </c>
      <c r="B155" s="50">
        <f>VLOOKUP($A155,'Data shares'!$C:$FB,7)</f>
        <v>244.01</v>
      </c>
      <c r="C155" s="50">
        <f>VLOOKUP($A155,'Data shares'!$C:$FB,10)*100</f>
        <v>0.67999999999999994</v>
      </c>
      <c r="D155" s="49">
        <f>VLOOKUP($A155,'Data shares'!$C:$FB,66)</f>
        <v>195516000</v>
      </c>
      <c r="E155" s="49">
        <f>VLOOKUP($A155,'Data shares'!$C:$FB,67)</f>
        <v>191747250</v>
      </c>
      <c r="F155" s="50">
        <f>VLOOKUP($A155,'Data shares'!$C:$FB,69)*100</f>
        <v>1.97</v>
      </c>
      <c r="G155" s="49">
        <f>VLOOKUP($A155,'Data shares'!$C:$FB,42)</f>
        <v>56619000</v>
      </c>
      <c r="H155" s="49">
        <f>VLOOKUP($A155,'Data shares'!$C:$FB,43)</f>
        <v>43148250</v>
      </c>
      <c r="I155" s="50">
        <f>VLOOKUP($A155,'Data shares'!$C:$FB,45)*100</f>
        <v>31.22</v>
      </c>
      <c r="J155" s="49">
        <f>VLOOKUP($A155,'Data shares'!$C:$FB,58)</f>
        <v>82136250</v>
      </c>
      <c r="K155" s="49">
        <f>VLOOKUP($A155,'Data shares'!$C:$FB,59)</f>
        <v>87525000</v>
      </c>
      <c r="L155" s="50">
        <f>VLOOKUP($A155,'Data shares'!$C:$FB,61)*100</f>
        <v>-6.16</v>
      </c>
      <c r="M155" s="49">
        <f>VLOOKUP($A155,'Data shares'!$C:$FB,62)</f>
        <v>56760750</v>
      </c>
      <c r="N155" s="49">
        <f>VLOOKUP($A155,'Data shares'!$C:$FB,63)</f>
        <v>61074000</v>
      </c>
      <c r="O155" s="140">
        <f>VLOOKUP($A155,'Data shares'!$C:$FB,65)*100</f>
        <v>-7.06</v>
      </c>
    </row>
    <row r="156" spans="1:15" x14ac:dyDescent="0.25">
      <c r="A156" s="101" t="str">
        <f>'Data Vlaue (Cr)'!C151</f>
        <v>PAGEIND</v>
      </c>
      <c r="B156" s="50">
        <f>VLOOKUP($A156,'Data shares'!$C:$FB,7)</f>
        <v>32875</v>
      </c>
      <c r="C156" s="50">
        <f>VLOOKUP($A156,'Data shares'!$C:$FB,10)*100</f>
        <v>-0.71000000000000008</v>
      </c>
      <c r="D156" s="49">
        <f>VLOOKUP($A156,'Data shares'!$C:$FB,66)</f>
        <v>573690</v>
      </c>
      <c r="E156" s="49">
        <f>VLOOKUP($A156,'Data shares'!$C:$FB,67)</f>
        <v>545385</v>
      </c>
      <c r="F156" s="50">
        <f>VLOOKUP($A156,'Data shares'!$C:$FB,69)*100</f>
        <v>5.19</v>
      </c>
      <c r="G156" s="49">
        <f>VLOOKUP($A156,'Data shares'!$C:$FB,42)</f>
        <v>313140</v>
      </c>
      <c r="H156" s="49">
        <f>VLOOKUP($A156,'Data shares'!$C:$FB,43)</f>
        <v>267195</v>
      </c>
      <c r="I156" s="50">
        <f>VLOOKUP($A156,'Data shares'!$C:$FB,45)*100</f>
        <v>17.2</v>
      </c>
      <c r="J156" s="49">
        <f>VLOOKUP($A156,'Data shares'!$C:$FB,58)</f>
        <v>190605</v>
      </c>
      <c r="K156" s="49">
        <f>VLOOKUP($A156,'Data shares'!$C:$FB,59)</f>
        <v>202815</v>
      </c>
      <c r="L156" s="50">
        <f>VLOOKUP($A156,'Data shares'!$C:$FB,61)*100</f>
        <v>-6.02</v>
      </c>
      <c r="M156" s="49">
        <f>VLOOKUP($A156,'Data shares'!$C:$FB,62)</f>
        <v>69945</v>
      </c>
      <c r="N156" s="49">
        <f>VLOOKUP($A156,'Data shares'!$C:$FB,63)</f>
        <v>75375</v>
      </c>
      <c r="O156" s="140">
        <f>VLOOKUP($A156,'Data shares'!$C:$FB,65)*100</f>
        <v>-7.1999999999999993</v>
      </c>
    </row>
    <row r="157" spans="1:15" x14ac:dyDescent="0.25">
      <c r="A157" s="101" t="str">
        <f>'Data Vlaue (Cr)'!C152</f>
        <v>PATANJALI</v>
      </c>
      <c r="B157" s="50">
        <f>VLOOKUP($A157,'Data shares'!$C:$FB,7)</f>
        <v>511</v>
      </c>
      <c r="C157" s="50">
        <f>VLOOKUP($A157,'Data shares'!$C:$FB,10)*100</f>
        <v>1.1900000000000002</v>
      </c>
      <c r="D157" s="49">
        <f>VLOOKUP($A157,'Data shares'!$C:$FB,66)</f>
        <v>31750200</v>
      </c>
      <c r="E157" s="49">
        <f>VLOOKUP($A157,'Data shares'!$C:$FB,67)</f>
        <v>40482900</v>
      </c>
      <c r="F157" s="50">
        <f>VLOOKUP($A157,'Data shares'!$C:$FB,69)*100</f>
        <v>-21.57</v>
      </c>
      <c r="G157" s="49">
        <f>VLOOKUP($A157,'Data shares'!$C:$FB,42)</f>
        <v>22118400</v>
      </c>
      <c r="H157" s="49">
        <f>VLOOKUP($A157,'Data shares'!$C:$FB,43)</f>
        <v>22613400</v>
      </c>
      <c r="I157" s="50">
        <f>VLOOKUP($A157,'Data shares'!$C:$FB,45)*100</f>
        <v>-2.19</v>
      </c>
      <c r="J157" s="49">
        <f>VLOOKUP($A157,'Data shares'!$C:$FB,58)</f>
        <v>6910200</v>
      </c>
      <c r="K157" s="49">
        <f>VLOOKUP($A157,'Data shares'!$C:$FB,59)</f>
        <v>11182500</v>
      </c>
      <c r="L157" s="50">
        <f>VLOOKUP($A157,'Data shares'!$C:$FB,61)*100</f>
        <v>-38.21</v>
      </c>
      <c r="M157" s="49">
        <f>VLOOKUP($A157,'Data shares'!$C:$FB,62)</f>
        <v>2721600</v>
      </c>
      <c r="N157" s="49">
        <f>VLOOKUP($A157,'Data shares'!$C:$FB,63)</f>
        <v>6687000</v>
      </c>
      <c r="O157" s="140">
        <f>VLOOKUP($A157,'Data shares'!$C:$FB,65)*100</f>
        <v>-59.3</v>
      </c>
    </row>
    <row r="158" spans="1:15" x14ac:dyDescent="0.25">
      <c r="A158" s="101" t="str">
        <f>'Data Vlaue (Cr)'!C153</f>
        <v>PAYTM</v>
      </c>
      <c r="B158" s="50">
        <f>VLOOKUP($A158,'Data shares'!$C:$FB,7)</f>
        <v>1260.5</v>
      </c>
      <c r="C158" s="50">
        <f>VLOOKUP($A158,'Data shares'!$C:$FB,10)*100</f>
        <v>1.9900000000000002</v>
      </c>
      <c r="D158" s="49">
        <f>VLOOKUP($A158,'Data shares'!$C:$FB,66)</f>
        <v>30186100</v>
      </c>
      <c r="E158" s="49">
        <f>VLOOKUP($A158,'Data shares'!$C:$FB,67)</f>
        <v>54864375</v>
      </c>
      <c r="F158" s="50">
        <f>VLOOKUP($A158,'Data shares'!$C:$FB,69)*100</f>
        <v>-44.98</v>
      </c>
      <c r="G158" s="49">
        <f>VLOOKUP($A158,'Data shares'!$C:$FB,42)</f>
        <v>12774500</v>
      </c>
      <c r="H158" s="49">
        <f>VLOOKUP($A158,'Data shares'!$C:$FB,43)</f>
        <v>13393650</v>
      </c>
      <c r="I158" s="50">
        <f>VLOOKUP($A158,'Data shares'!$C:$FB,45)*100</f>
        <v>-4.62</v>
      </c>
      <c r="J158" s="49">
        <f>VLOOKUP($A158,'Data shares'!$C:$FB,58)</f>
        <v>10651700</v>
      </c>
      <c r="K158" s="49">
        <f>VLOOKUP($A158,'Data shares'!$C:$FB,59)</f>
        <v>21858750</v>
      </c>
      <c r="L158" s="50">
        <f>VLOOKUP($A158,'Data shares'!$C:$FB,61)*100</f>
        <v>-51.27</v>
      </c>
      <c r="M158" s="49">
        <f>VLOOKUP($A158,'Data shares'!$C:$FB,62)</f>
        <v>6759900</v>
      </c>
      <c r="N158" s="49">
        <f>VLOOKUP($A158,'Data shares'!$C:$FB,63)</f>
        <v>19611975</v>
      </c>
      <c r="O158" s="140">
        <f>VLOOKUP($A158,'Data shares'!$C:$FB,65)*100</f>
        <v>-65.53</v>
      </c>
    </row>
    <row r="159" spans="1:15" x14ac:dyDescent="0.25">
      <c r="A159" s="101" t="str">
        <f>'Data Vlaue (Cr)'!C154</f>
        <v>PERSISTENT</v>
      </c>
      <c r="B159" s="50">
        <f>VLOOKUP($A159,'Data shares'!$C:$FB,7)</f>
        <v>6320.5</v>
      </c>
      <c r="C159" s="50">
        <f>VLOOKUP($A159,'Data shares'!$C:$FB,10)*100</f>
        <v>1.26</v>
      </c>
      <c r="D159" s="49">
        <f>VLOOKUP($A159,'Data shares'!$C:$FB,66)</f>
        <v>9510000</v>
      </c>
      <c r="E159" s="49">
        <f>VLOOKUP($A159,'Data shares'!$C:$FB,67)</f>
        <v>31996700</v>
      </c>
      <c r="F159" s="50">
        <f>VLOOKUP($A159,'Data shares'!$C:$FB,69)*100</f>
        <v>-70.28</v>
      </c>
      <c r="G159" s="49">
        <f>VLOOKUP($A159,'Data shares'!$C:$FB,42)</f>
        <v>2045700</v>
      </c>
      <c r="H159" s="49">
        <f>VLOOKUP($A159,'Data shares'!$C:$FB,43)</f>
        <v>4495100</v>
      </c>
      <c r="I159" s="50">
        <f>VLOOKUP($A159,'Data shares'!$C:$FB,45)*100</f>
        <v>-54.49</v>
      </c>
      <c r="J159" s="49">
        <f>VLOOKUP($A159,'Data shares'!$C:$FB,58)</f>
        <v>4322200</v>
      </c>
      <c r="K159" s="49">
        <f>VLOOKUP($A159,'Data shares'!$C:$FB,59)</f>
        <v>13400800</v>
      </c>
      <c r="L159" s="50">
        <f>VLOOKUP($A159,'Data shares'!$C:$FB,61)*100</f>
        <v>-67.75</v>
      </c>
      <c r="M159" s="49">
        <f>VLOOKUP($A159,'Data shares'!$C:$FB,62)</f>
        <v>3142100</v>
      </c>
      <c r="N159" s="49">
        <f>VLOOKUP($A159,'Data shares'!$C:$FB,63)</f>
        <v>14100800</v>
      </c>
      <c r="O159" s="140">
        <f>VLOOKUP($A159,'Data shares'!$C:$FB,65)*100</f>
        <v>-77.72</v>
      </c>
    </row>
    <row r="160" spans="1:15" x14ac:dyDescent="0.25">
      <c r="A160" s="101" t="str">
        <f>'Data Vlaue (Cr)'!C155</f>
        <v>PETRONET</v>
      </c>
      <c r="B160" s="50">
        <f>VLOOKUP($A160,'Data shares'!$C:$FB,7)</f>
        <v>275.05</v>
      </c>
      <c r="C160" s="50">
        <f>VLOOKUP($A160,'Data shares'!$C:$FB,10)*100</f>
        <v>-0.28999999999999998</v>
      </c>
      <c r="D160" s="49">
        <f>VLOOKUP($A160,'Data shares'!$C:$FB,66)</f>
        <v>41399100</v>
      </c>
      <c r="E160" s="49">
        <f>VLOOKUP($A160,'Data shares'!$C:$FB,67)</f>
        <v>44976800</v>
      </c>
      <c r="F160" s="50">
        <f>VLOOKUP($A160,'Data shares'!$C:$FB,69)*100</f>
        <v>-7.95</v>
      </c>
      <c r="G160" s="49">
        <f>VLOOKUP($A160,'Data shares'!$C:$FB,42)</f>
        <v>26031900</v>
      </c>
      <c r="H160" s="49">
        <f>VLOOKUP($A160,'Data shares'!$C:$FB,43)</f>
        <v>22535900</v>
      </c>
      <c r="I160" s="50">
        <f>VLOOKUP($A160,'Data shares'!$C:$FB,45)*100</f>
        <v>15.509999999999998</v>
      </c>
      <c r="J160" s="49">
        <f>VLOOKUP($A160,'Data shares'!$C:$FB,58)</f>
        <v>6727900</v>
      </c>
      <c r="K160" s="49">
        <f>VLOOKUP($A160,'Data shares'!$C:$FB,59)</f>
        <v>13904200</v>
      </c>
      <c r="L160" s="50">
        <f>VLOOKUP($A160,'Data shares'!$C:$FB,61)*100</f>
        <v>-51.61</v>
      </c>
      <c r="M160" s="49">
        <f>VLOOKUP($A160,'Data shares'!$C:$FB,62)</f>
        <v>8639300</v>
      </c>
      <c r="N160" s="49">
        <f>VLOOKUP($A160,'Data shares'!$C:$FB,63)</f>
        <v>8536700</v>
      </c>
      <c r="O160" s="140">
        <f>VLOOKUP($A160,'Data shares'!$C:$FB,65)*100</f>
        <v>1.2</v>
      </c>
    </row>
    <row r="161" spans="1:15" x14ac:dyDescent="0.25">
      <c r="A161" s="101" t="str">
        <f>'Data Vlaue (Cr)'!C156</f>
        <v>PFC</v>
      </c>
      <c r="B161" s="50">
        <f>VLOOKUP($A161,'Data shares'!$C:$FB,7)</f>
        <v>364.7</v>
      </c>
      <c r="C161" s="50">
        <f>VLOOKUP($A161,'Data shares'!$C:$FB,10)*100</f>
        <v>1.97</v>
      </c>
      <c r="D161" s="49">
        <f>VLOOKUP($A161,'Data shares'!$C:$FB,66)</f>
        <v>96759000</v>
      </c>
      <c r="E161" s="49">
        <f>VLOOKUP($A161,'Data shares'!$C:$FB,67)</f>
        <v>126742200</v>
      </c>
      <c r="F161" s="50">
        <f>VLOOKUP($A161,'Data shares'!$C:$FB,69)*100</f>
        <v>-23.66</v>
      </c>
      <c r="G161" s="49">
        <f>VLOOKUP($A161,'Data shares'!$C:$FB,42)</f>
        <v>37664900</v>
      </c>
      <c r="H161" s="49">
        <f>VLOOKUP($A161,'Data shares'!$C:$FB,43)</f>
        <v>37967800</v>
      </c>
      <c r="I161" s="50">
        <f>VLOOKUP($A161,'Data shares'!$C:$FB,45)*100</f>
        <v>-0.8</v>
      </c>
      <c r="J161" s="49">
        <f>VLOOKUP($A161,'Data shares'!$C:$FB,58)</f>
        <v>36475400</v>
      </c>
      <c r="K161" s="49">
        <f>VLOOKUP($A161,'Data shares'!$C:$FB,59)</f>
        <v>52982800</v>
      </c>
      <c r="L161" s="50">
        <f>VLOOKUP($A161,'Data shares'!$C:$FB,61)*100</f>
        <v>-31.16</v>
      </c>
      <c r="M161" s="49">
        <f>VLOOKUP($A161,'Data shares'!$C:$FB,62)</f>
        <v>22618700</v>
      </c>
      <c r="N161" s="49">
        <f>VLOOKUP($A161,'Data shares'!$C:$FB,63)</f>
        <v>35791600</v>
      </c>
      <c r="O161" s="140">
        <f>VLOOKUP($A161,'Data shares'!$C:$FB,65)*100</f>
        <v>-36.799999999999997</v>
      </c>
    </row>
    <row r="162" spans="1:15" x14ac:dyDescent="0.25">
      <c r="A162" s="101" t="str">
        <f>'Data Vlaue (Cr)'!C157</f>
        <v>PGEL</v>
      </c>
      <c r="B162" s="50">
        <f>VLOOKUP($A162,'Data shares'!$C:$FB,7)</f>
        <v>530.4</v>
      </c>
      <c r="C162" s="50">
        <f>VLOOKUP($A162,'Data shares'!$C:$FB,10)*100</f>
        <v>-0.49</v>
      </c>
      <c r="D162" s="49">
        <f>VLOOKUP($A162,'Data shares'!$C:$FB,66)</f>
        <v>32050150</v>
      </c>
      <c r="E162" s="49">
        <f>VLOOKUP($A162,'Data shares'!$C:$FB,67)</f>
        <v>55082900</v>
      </c>
      <c r="F162" s="50">
        <f>VLOOKUP($A162,'Data shares'!$C:$FB,69)*100</f>
        <v>-41.81</v>
      </c>
      <c r="G162" s="49">
        <f>VLOOKUP($A162,'Data shares'!$C:$FB,42)</f>
        <v>10407250</v>
      </c>
      <c r="H162" s="49">
        <f>VLOOKUP($A162,'Data shares'!$C:$FB,43)</f>
        <v>12118200</v>
      </c>
      <c r="I162" s="50">
        <f>VLOOKUP($A162,'Data shares'!$C:$FB,45)*100</f>
        <v>-14.12</v>
      </c>
      <c r="J162" s="49">
        <f>VLOOKUP($A162,'Data shares'!$C:$FB,58)</f>
        <v>14390600</v>
      </c>
      <c r="K162" s="49">
        <f>VLOOKUP($A162,'Data shares'!$C:$FB,59)</f>
        <v>20574150</v>
      </c>
      <c r="L162" s="50">
        <f>VLOOKUP($A162,'Data shares'!$C:$FB,61)*100</f>
        <v>-30.049999999999997</v>
      </c>
      <c r="M162" s="49">
        <f>VLOOKUP($A162,'Data shares'!$C:$FB,62)</f>
        <v>7252300</v>
      </c>
      <c r="N162" s="49">
        <f>VLOOKUP($A162,'Data shares'!$C:$FB,63)</f>
        <v>22390550</v>
      </c>
      <c r="O162" s="140">
        <f>VLOOKUP($A162,'Data shares'!$C:$FB,65)*100</f>
        <v>-67.61</v>
      </c>
    </row>
    <row r="163" spans="1:15" x14ac:dyDescent="0.25">
      <c r="A163" s="101" t="str">
        <f>'Data Vlaue (Cr)'!C158</f>
        <v>PHOENIXLTD</v>
      </c>
      <c r="B163" s="50">
        <f>VLOOKUP($A163,'Data shares'!$C:$FB,7)</f>
        <v>1768.2</v>
      </c>
      <c r="C163" s="50">
        <f>VLOOKUP($A163,'Data shares'!$C:$FB,10)*100</f>
        <v>1.23</v>
      </c>
      <c r="D163" s="49">
        <f>VLOOKUP($A163,'Data shares'!$C:$FB,66)</f>
        <v>6746950</v>
      </c>
      <c r="E163" s="49">
        <f>VLOOKUP($A163,'Data shares'!$C:$FB,67)</f>
        <v>6688500</v>
      </c>
      <c r="F163" s="50">
        <f>VLOOKUP($A163,'Data shares'!$C:$FB,69)*100</f>
        <v>0.86999999999999988</v>
      </c>
      <c r="G163" s="49">
        <f>VLOOKUP($A163,'Data shares'!$C:$FB,42)</f>
        <v>3036600</v>
      </c>
      <c r="H163" s="49">
        <f>VLOOKUP($A163,'Data shares'!$C:$FB,43)</f>
        <v>2542750</v>
      </c>
      <c r="I163" s="50">
        <f>VLOOKUP($A163,'Data shares'!$C:$FB,45)*100</f>
        <v>19.420000000000002</v>
      </c>
      <c r="J163" s="49">
        <f>VLOOKUP($A163,'Data shares'!$C:$FB,58)</f>
        <v>2965900</v>
      </c>
      <c r="K163" s="49">
        <f>VLOOKUP($A163,'Data shares'!$C:$FB,59)</f>
        <v>1951250</v>
      </c>
      <c r="L163" s="50">
        <f>VLOOKUP($A163,'Data shares'!$C:$FB,61)*100</f>
        <v>52</v>
      </c>
      <c r="M163" s="49">
        <f>VLOOKUP($A163,'Data shares'!$C:$FB,62)</f>
        <v>744450</v>
      </c>
      <c r="N163" s="49">
        <f>VLOOKUP($A163,'Data shares'!$C:$FB,63)</f>
        <v>2194500</v>
      </c>
      <c r="O163" s="140">
        <f>VLOOKUP($A163,'Data shares'!$C:$FB,65)*100</f>
        <v>-66.080000000000013</v>
      </c>
    </row>
    <row r="164" spans="1:15" x14ac:dyDescent="0.25">
      <c r="A164" s="101" t="str">
        <f>'Data Vlaue (Cr)'!C159</f>
        <v>PIDILITIND</v>
      </c>
      <c r="B164" s="50">
        <f>VLOOKUP($A164,'Data shares'!$C:$FB,7)</f>
        <v>1452.8</v>
      </c>
      <c r="C164" s="50">
        <f>VLOOKUP($A164,'Data shares'!$C:$FB,10)*100</f>
        <v>2.1800000000000002</v>
      </c>
      <c r="D164" s="49">
        <f>VLOOKUP($A164,'Data shares'!$C:$FB,66)</f>
        <v>10569500</v>
      </c>
      <c r="E164" s="49">
        <f>VLOOKUP($A164,'Data shares'!$C:$FB,67)</f>
        <v>8588500</v>
      </c>
      <c r="F164" s="50">
        <f>VLOOKUP($A164,'Data shares'!$C:$FB,69)*100</f>
        <v>23.07</v>
      </c>
      <c r="G164" s="49">
        <f>VLOOKUP($A164,'Data shares'!$C:$FB,42)</f>
        <v>7277500</v>
      </c>
      <c r="H164" s="49">
        <f>VLOOKUP($A164,'Data shares'!$C:$FB,43)</f>
        <v>4966500</v>
      </c>
      <c r="I164" s="50">
        <f>VLOOKUP($A164,'Data shares'!$C:$FB,45)*100</f>
        <v>46.53</v>
      </c>
      <c r="J164" s="49">
        <f>VLOOKUP($A164,'Data shares'!$C:$FB,58)</f>
        <v>1651000</v>
      </c>
      <c r="K164" s="49">
        <f>VLOOKUP($A164,'Data shares'!$C:$FB,59)</f>
        <v>1824500</v>
      </c>
      <c r="L164" s="50">
        <f>VLOOKUP($A164,'Data shares'!$C:$FB,61)*100</f>
        <v>-9.51</v>
      </c>
      <c r="M164" s="49">
        <f>VLOOKUP($A164,'Data shares'!$C:$FB,62)</f>
        <v>1641000</v>
      </c>
      <c r="N164" s="49">
        <f>VLOOKUP($A164,'Data shares'!$C:$FB,63)</f>
        <v>1797500</v>
      </c>
      <c r="O164" s="140">
        <f>VLOOKUP($A164,'Data shares'!$C:$FB,65)*100</f>
        <v>-8.7099999999999991</v>
      </c>
    </row>
    <row r="165" spans="1:15" x14ac:dyDescent="0.25">
      <c r="A165" s="101" t="str">
        <f>'Data Vlaue (Cr)'!C160</f>
        <v>PIIND</v>
      </c>
      <c r="B165" s="50">
        <f>VLOOKUP($A165,'Data shares'!$C:$FB,7)</f>
        <v>3170.4</v>
      </c>
      <c r="C165" s="50">
        <f>VLOOKUP($A165,'Data shares'!$C:$FB,10)*100</f>
        <v>1.8499999999999999</v>
      </c>
      <c r="D165" s="49">
        <f>VLOOKUP($A165,'Data shares'!$C:$FB,66)</f>
        <v>3874500</v>
      </c>
      <c r="E165" s="49">
        <f>VLOOKUP($A165,'Data shares'!$C:$FB,67)</f>
        <v>3427900</v>
      </c>
      <c r="F165" s="50">
        <f>VLOOKUP($A165,'Data shares'!$C:$FB,69)*100</f>
        <v>13.03</v>
      </c>
      <c r="G165" s="49">
        <f>VLOOKUP($A165,'Data shares'!$C:$FB,42)</f>
        <v>2900975</v>
      </c>
      <c r="H165" s="49">
        <f>VLOOKUP($A165,'Data shares'!$C:$FB,43)</f>
        <v>2272200</v>
      </c>
      <c r="I165" s="50">
        <f>VLOOKUP($A165,'Data shares'!$C:$FB,45)*100</f>
        <v>27.67</v>
      </c>
      <c r="J165" s="49">
        <f>VLOOKUP($A165,'Data shares'!$C:$FB,58)</f>
        <v>640850</v>
      </c>
      <c r="K165" s="49">
        <f>VLOOKUP($A165,'Data shares'!$C:$FB,59)</f>
        <v>641725</v>
      </c>
      <c r="L165" s="50">
        <f>VLOOKUP($A165,'Data shares'!$C:$FB,61)*100</f>
        <v>-0.13999999999999999</v>
      </c>
      <c r="M165" s="49">
        <f>VLOOKUP($A165,'Data shares'!$C:$FB,62)</f>
        <v>332675</v>
      </c>
      <c r="N165" s="49">
        <f>VLOOKUP($A165,'Data shares'!$C:$FB,63)</f>
        <v>513975</v>
      </c>
      <c r="O165" s="140">
        <f>VLOOKUP($A165,'Data shares'!$C:$FB,65)*100</f>
        <v>-35.270000000000003</v>
      </c>
    </row>
    <row r="166" spans="1:15" x14ac:dyDescent="0.25">
      <c r="A166" s="101" t="str">
        <f>'Data Vlaue (Cr)'!C161</f>
        <v>PNB</v>
      </c>
      <c r="B166" s="50">
        <f>VLOOKUP($A166,'Data shares'!$C:$FB,7)</f>
        <v>125.16</v>
      </c>
      <c r="C166" s="50">
        <f>VLOOKUP($A166,'Data shares'!$C:$FB,10)*100</f>
        <v>0.94000000000000006</v>
      </c>
      <c r="D166" s="49">
        <f>VLOOKUP($A166,'Data shares'!$C:$FB,66)</f>
        <v>452984000</v>
      </c>
      <c r="E166" s="49">
        <f>VLOOKUP($A166,'Data shares'!$C:$FB,67)</f>
        <v>583840000</v>
      </c>
      <c r="F166" s="50">
        <f>VLOOKUP($A166,'Data shares'!$C:$FB,69)*100</f>
        <v>-22.41</v>
      </c>
      <c r="G166" s="49">
        <f>VLOOKUP($A166,'Data shares'!$C:$FB,42)</f>
        <v>146320000</v>
      </c>
      <c r="H166" s="49">
        <f>VLOOKUP($A166,'Data shares'!$C:$FB,43)</f>
        <v>102712000</v>
      </c>
      <c r="I166" s="50">
        <f>VLOOKUP($A166,'Data shares'!$C:$FB,45)*100</f>
        <v>42.46</v>
      </c>
      <c r="J166" s="49">
        <f>VLOOKUP($A166,'Data shares'!$C:$FB,58)</f>
        <v>195872000</v>
      </c>
      <c r="K166" s="49">
        <f>VLOOKUP($A166,'Data shares'!$C:$FB,59)</f>
        <v>281360000</v>
      </c>
      <c r="L166" s="50">
        <f>VLOOKUP($A166,'Data shares'!$C:$FB,61)*100</f>
        <v>-30.380000000000003</v>
      </c>
      <c r="M166" s="49">
        <f>VLOOKUP($A166,'Data shares'!$C:$FB,62)</f>
        <v>110792000</v>
      </c>
      <c r="N166" s="49">
        <f>VLOOKUP($A166,'Data shares'!$C:$FB,63)</f>
        <v>199768000</v>
      </c>
      <c r="O166" s="140">
        <f>VLOOKUP($A166,'Data shares'!$C:$FB,65)*100</f>
        <v>-44.54</v>
      </c>
    </row>
    <row r="167" spans="1:15" x14ac:dyDescent="0.25">
      <c r="A167" s="101" t="str">
        <f>'Data Vlaue (Cr)'!C162</f>
        <v>PNBHOUSING</v>
      </c>
      <c r="B167" s="50">
        <f>VLOOKUP($A167,'Data shares'!$C:$FB,7)</f>
        <v>860.25</v>
      </c>
      <c r="C167" s="50">
        <f>VLOOKUP($A167,'Data shares'!$C:$FB,10)*100</f>
        <v>-7.55</v>
      </c>
      <c r="D167" s="49">
        <f>VLOOKUP($A167,'Data shares'!$C:$FB,66)</f>
        <v>99245900</v>
      </c>
      <c r="E167" s="49">
        <f>VLOOKUP($A167,'Data shares'!$C:$FB,67)</f>
        <v>25181650</v>
      </c>
      <c r="F167" s="50">
        <f>VLOOKUP($A167,'Data shares'!$C:$FB,69)*100</f>
        <v>294.12</v>
      </c>
      <c r="G167" s="49">
        <f>VLOOKUP($A167,'Data shares'!$C:$FB,42)</f>
        <v>20941050</v>
      </c>
      <c r="H167" s="49">
        <f>VLOOKUP($A167,'Data shares'!$C:$FB,43)</f>
        <v>7522450</v>
      </c>
      <c r="I167" s="50">
        <f>VLOOKUP($A167,'Data shares'!$C:$FB,45)*100</f>
        <v>178.38</v>
      </c>
      <c r="J167" s="49">
        <f>VLOOKUP($A167,'Data shares'!$C:$FB,58)</f>
        <v>37663600</v>
      </c>
      <c r="K167" s="49">
        <f>VLOOKUP($A167,'Data shares'!$C:$FB,59)</f>
        <v>10496850</v>
      </c>
      <c r="L167" s="50">
        <f>VLOOKUP($A167,'Data shares'!$C:$FB,61)*100</f>
        <v>258.81</v>
      </c>
      <c r="M167" s="49">
        <f>VLOOKUP($A167,'Data shares'!$C:$FB,62)</f>
        <v>40641250</v>
      </c>
      <c r="N167" s="49">
        <f>VLOOKUP($A167,'Data shares'!$C:$FB,63)</f>
        <v>7162350</v>
      </c>
      <c r="O167" s="140">
        <f>VLOOKUP($A167,'Data shares'!$C:$FB,65)*100</f>
        <v>467.42999999999995</v>
      </c>
    </row>
    <row r="168" spans="1:15" x14ac:dyDescent="0.25">
      <c r="A168" s="101" t="str">
        <f>'Data Vlaue (Cr)'!C163</f>
        <v>POLICYBZR</v>
      </c>
      <c r="B168" s="50">
        <f>VLOOKUP($A168,'Data shares'!$C:$FB,7)</f>
        <v>1714.6</v>
      </c>
      <c r="C168" s="50">
        <f>VLOOKUP($A168,'Data shares'!$C:$FB,10)*100</f>
        <v>3.06</v>
      </c>
      <c r="D168" s="49">
        <f>VLOOKUP($A168,'Data shares'!$C:$FB,66)</f>
        <v>12929700</v>
      </c>
      <c r="E168" s="49">
        <f>VLOOKUP($A168,'Data shares'!$C:$FB,67)</f>
        <v>9638650</v>
      </c>
      <c r="F168" s="50">
        <f>VLOOKUP($A168,'Data shares'!$C:$FB,69)*100</f>
        <v>34.14</v>
      </c>
      <c r="G168" s="49">
        <f>VLOOKUP($A168,'Data shares'!$C:$FB,42)</f>
        <v>7154700</v>
      </c>
      <c r="H168" s="49">
        <f>VLOOKUP($A168,'Data shares'!$C:$FB,43)</f>
        <v>4678100</v>
      </c>
      <c r="I168" s="50">
        <f>VLOOKUP($A168,'Data shares'!$C:$FB,45)*100</f>
        <v>52.94</v>
      </c>
      <c r="J168" s="49">
        <f>VLOOKUP($A168,'Data shares'!$C:$FB,58)</f>
        <v>4015900</v>
      </c>
      <c r="K168" s="49">
        <f>VLOOKUP($A168,'Data shares'!$C:$FB,59)</f>
        <v>2995650</v>
      </c>
      <c r="L168" s="50">
        <f>VLOOKUP($A168,'Data shares'!$C:$FB,61)*100</f>
        <v>34.06</v>
      </c>
      <c r="M168" s="49">
        <f>VLOOKUP($A168,'Data shares'!$C:$FB,62)</f>
        <v>1759100</v>
      </c>
      <c r="N168" s="49">
        <f>VLOOKUP($A168,'Data shares'!$C:$FB,63)</f>
        <v>1964900</v>
      </c>
      <c r="O168" s="140">
        <f>VLOOKUP($A168,'Data shares'!$C:$FB,65)*100</f>
        <v>-10.47</v>
      </c>
    </row>
    <row r="169" spans="1:15" x14ac:dyDescent="0.25">
      <c r="A169" s="101" t="str">
        <f>'Data Vlaue (Cr)'!C164</f>
        <v>POLYCAB</v>
      </c>
      <c r="B169" s="50">
        <f>VLOOKUP($A169,'Data shares'!$C:$FB,7)</f>
        <v>6999</v>
      </c>
      <c r="C169" s="50">
        <f>VLOOKUP($A169,'Data shares'!$C:$FB,10)*100</f>
        <v>0.33999999999999997</v>
      </c>
      <c r="D169" s="49">
        <f>VLOOKUP($A169,'Data shares'!$C:$FB,66)</f>
        <v>8922625</v>
      </c>
      <c r="E169" s="49">
        <f>VLOOKUP($A169,'Data shares'!$C:$FB,67)</f>
        <v>15472500</v>
      </c>
      <c r="F169" s="50">
        <f>VLOOKUP($A169,'Data shares'!$C:$FB,69)*100</f>
        <v>-42.33</v>
      </c>
      <c r="G169" s="49">
        <f>VLOOKUP($A169,'Data shares'!$C:$FB,42)</f>
        <v>3203250</v>
      </c>
      <c r="H169" s="49">
        <f>VLOOKUP($A169,'Data shares'!$C:$FB,43)</f>
        <v>2944750</v>
      </c>
      <c r="I169" s="50">
        <f>VLOOKUP($A169,'Data shares'!$C:$FB,45)*100</f>
        <v>8.7800000000000011</v>
      </c>
      <c r="J169" s="49">
        <f>VLOOKUP($A169,'Data shares'!$C:$FB,58)</f>
        <v>3873000</v>
      </c>
      <c r="K169" s="49">
        <f>VLOOKUP($A169,'Data shares'!$C:$FB,59)</f>
        <v>7453500</v>
      </c>
      <c r="L169" s="50">
        <f>VLOOKUP($A169,'Data shares'!$C:$FB,61)*100</f>
        <v>-48.04</v>
      </c>
      <c r="M169" s="49">
        <f>VLOOKUP($A169,'Data shares'!$C:$FB,62)</f>
        <v>1846375</v>
      </c>
      <c r="N169" s="49">
        <f>VLOOKUP($A169,'Data shares'!$C:$FB,63)</f>
        <v>5074250</v>
      </c>
      <c r="O169" s="140">
        <f>VLOOKUP($A169,'Data shares'!$C:$FB,65)*100</f>
        <v>-63.61</v>
      </c>
    </row>
    <row r="170" spans="1:15" x14ac:dyDescent="0.25">
      <c r="A170" s="101" t="str">
        <f>'Data Vlaue (Cr)'!C165</f>
        <v>POWERGRID</v>
      </c>
      <c r="B170" s="50">
        <f>VLOOKUP($A170,'Data shares'!$C:$FB,7)</f>
        <v>259.25</v>
      </c>
      <c r="C170" s="50">
        <f>VLOOKUP($A170,'Data shares'!$C:$FB,10)*100</f>
        <v>1.35</v>
      </c>
      <c r="D170" s="49">
        <f>VLOOKUP($A170,'Data shares'!$C:$FB,66)</f>
        <v>80465000</v>
      </c>
      <c r="E170" s="49">
        <f>VLOOKUP($A170,'Data shares'!$C:$FB,67)</f>
        <v>119069200</v>
      </c>
      <c r="F170" s="50">
        <f>VLOOKUP($A170,'Data shares'!$C:$FB,69)*100</f>
        <v>-32.42</v>
      </c>
      <c r="G170" s="49">
        <f>VLOOKUP($A170,'Data shares'!$C:$FB,42)</f>
        <v>40179300</v>
      </c>
      <c r="H170" s="49">
        <f>VLOOKUP($A170,'Data shares'!$C:$FB,43)</f>
        <v>42436500</v>
      </c>
      <c r="I170" s="50">
        <f>VLOOKUP($A170,'Data shares'!$C:$FB,45)*100</f>
        <v>-5.3199999999999994</v>
      </c>
      <c r="J170" s="49">
        <f>VLOOKUP($A170,'Data shares'!$C:$FB,58)</f>
        <v>26548700</v>
      </c>
      <c r="K170" s="49">
        <f>VLOOKUP($A170,'Data shares'!$C:$FB,59)</f>
        <v>47864800</v>
      </c>
      <c r="L170" s="50">
        <f>VLOOKUP($A170,'Data shares'!$C:$FB,61)*100</f>
        <v>-44.529999999999994</v>
      </c>
      <c r="M170" s="49">
        <f>VLOOKUP($A170,'Data shares'!$C:$FB,62)</f>
        <v>13737000</v>
      </c>
      <c r="N170" s="49">
        <f>VLOOKUP($A170,'Data shares'!$C:$FB,63)</f>
        <v>28767900</v>
      </c>
      <c r="O170" s="140">
        <f>VLOOKUP($A170,'Data shares'!$C:$FB,65)*100</f>
        <v>-52.25</v>
      </c>
    </row>
    <row r="171" spans="1:15" x14ac:dyDescent="0.25">
      <c r="A171" s="101" t="str">
        <f>'Data Vlaue (Cr)'!C166</f>
        <v>POWERINDIA</v>
      </c>
      <c r="B171" s="50">
        <f>VLOOKUP($A171,'Data shares'!$C:$FB,7)</f>
        <v>16847</v>
      </c>
      <c r="C171" s="50">
        <f>VLOOKUP($A171,'Data shares'!$C:$FB,10)*100</f>
        <v>0.95</v>
      </c>
      <c r="D171" s="49">
        <f>VLOOKUP($A171,'Data shares'!$C:$FB,66)</f>
        <v>998550</v>
      </c>
      <c r="E171" s="49">
        <f>VLOOKUP($A171,'Data shares'!$C:$FB,67)</f>
        <v>1257600</v>
      </c>
      <c r="F171" s="50">
        <f>VLOOKUP($A171,'Data shares'!$C:$FB,69)*100</f>
        <v>-20.599999999999998</v>
      </c>
      <c r="G171" s="49">
        <f>VLOOKUP($A171,'Data shares'!$C:$FB,42)</f>
        <v>271250</v>
      </c>
      <c r="H171" s="49">
        <f>VLOOKUP($A171,'Data shares'!$C:$FB,43)</f>
        <v>222800</v>
      </c>
      <c r="I171" s="50">
        <f>VLOOKUP($A171,'Data shares'!$C:$FB,45)*100</f>
        <v>21.75</v>
      </c>
      <c r="J171" s="49">
        <f>VLOOKUP($A171,'Data shares'!$C:$FB,58)</f>
        <v>563800</v>
      </c>
      <c r="K171" s="49">
        <f>VLOOKUP($A171,'Data shares'!$C:$FB,59)</f>
        <v>784200</v>
      </c>
      <c r="L171" s="50">
        <f>VLOOKUP($A171,'Data shares'!$C:$FB,61)*100</f>
        <v>-28.110000000000003</v>
      </c>
      <c r="M171" s="49">
        <f>VLOOKUP($A171,'Data shares'!$C:$FB,62)</f>
        <v>163500</v>
      </c>
      <c r="N171" s="49">
        <f>VLOOKUP($A171,'Data shares'!$C:$FB,63)</f>
        <v>250600</v>
      </c>
      <c r="O171" s="140">
        <f>VLOOKUP($A171,'Data shares'!$C:$FB,65)*100</f>
        <v>-34.760000000000005</v>
      </c>
    </row>
    <row r="172" spans="1:15" x14ac:dyDescent="0.25">
      <c r="A172" s="101" t="str">
        <f>'Data Vlaue (Cr)'!C167</f>
        <v>PPLPHARMA</v>
      </c>
      <c r="B172" s="50">
        <f>VLOOKUP($A172,'Data shares'!$C:$FB,7)</f>
        <v>156.5</v>
      </c>
      <c r="C172" s="50">
        <f>VLOOKUP($A172,'Data shares'!$C:$FB,10)*100</f>
        <v>0.89999999999999991</v>
      </c>
      <c r="D172" s="49">
        <f>VLOOKUP($A172,'Data shares'!$C:$FB,66)</f>
        <v>32397750</v>
      </c>
      <c r="E172" s="49">
        <f>VLOOKUP($A172,'Data shares'!$C:$FB,67)</f>
        <v>45031875</v>
      </c>
      <c r="F172" s="50">
        <f>VLOOKUP($A172,'Data shares'!$C:$FB,69)*100</f>
        <v>-28.060000000000002</v>
      </c>
      <c r="G172" s="49">
        <f>VLOOKUP($A172,'Data shares'!$C:$FB,42)</f>
        <v>19653375</v>
      </c>
      <c r="H172" s="49">
        <f>VLOOKUP($A172,'Data shares'!$C:$FB,43)</f>
        <v>21567000</v>
      </c>
      <c r="I172" s="50">
        <f>VLOOKUP($A172,'Data shares'!$C:$FB,45)*100</f>
        <v>-8.870000000000001</v>
      </c>
      <c r="J172" s="49">
        <f>VLOOKUP($A172,'Data shares'!$C:$FB,58)</f>
        <v>8930250</v>
      </c>
      <c r="K172" s="49">
        <f>VLOOKUP($A172,'Data shares'!$C:$FB,59)</f>
        <v>13392750</v>
      </c>
      <c r="L172" s="50">
        <f>VLOOKUP($A172,'Data shares'!$C:$FB,61)*100</f>
        <v>-33.32</v>
      </c>
      <c r="M172" s="49">
        <f>VLOOKUP($A172,'Data shares'!$C:$FB,62)</f>
        <v>3814125</v>
      </c>
      <c r="N172" s="49">
        <f>VLOOKUP($A172,'Data shares'!$C:$FB,63)</f>
        <v>10072125</v>
      </c>
      <c r="O172" s="140">
        <f>VLOOKUP($A172,'Data shares'!$C:$FB,65)*100</f>
        <v>-62.129999999999995</v>
      </c>
    </row>
    <row r="173" spans="1:15" x14ac:dyDescent="0.25">
      <c r="A173" s="101" t="str">
        <f>'Data Vlaue (Cr)'!C168</f>
        <v>PREMIERENE</v>
      </c>
      <c r="B173" s="50">
        <f>VLOOKUP($A173,'Data shares'!$C:$FB,7)</f>
        <v>739.75</v>
      </c>
      <c r="C173" s="50">
        <f>VLOOKUP($A173,'Data shares'!$C:$FB,10)*100</f>
        <v>4.01</v>
      </c>
      <c r="D173" s="49">
        <f>VLOOKUP($A173,'Data shares'!$C:$FB,66)</f>
        <v>32908400</v>
      </c>
      <c r="E173" s="49">
        <f>VLOOKUP($A173,'Data shares'!$C:$FB,67)</f>
        <v>8567500</v>
      </c>
      <c r="F173" s="50">
        <f>VLOOKUP($A173,'Data shares'!$C:$FB,69)*100</f>
        <v>284.11</v>
      </c>
      <c r="G173" s="49">
        <f>VLOOKUP($A173,'Data shares'!$C:$FB,42)</f>
        <v>9280500</v>
      </c>
      <c r="H173" s="49">
        <f>VLOOKUP($A173,'Data shares'!$C:$FB,43)</f>
        <v>3205050</v>
      </c>
      <c r="I173" s="50">
        <f>VLOOKUP($A173,'Data shares'!$C:$FB,45)*100</f>
        <v>189.56</v>
      </c>
      <c r="J173" s="49">
        <f>VLOOKUP($A173,'Data shares'!$C:$FB,58)</f>
        <v>16366225</v>
      </c>
      <c r="K173" s="49">
        <f>VLOOKUP($A173,'Data shares'!$C:$FB,59)</f>
        <v>2521950</v>
      </c>
      <c r="L173" s="50">
        <f>VLOOKUP($A173,'Data shares'!$C:$FB,61)*100</f>
        <v>548.94999999999993</v>
      </c>
      <c r="M173" s="49">
        <f>VLOOKUP($A173,'Data shares'!$C:$FB,62)</f>
        <v>7261675</v>
      </c>
      <c r="N173" s="49">
        <f>VLOOKUP($A173,'Data shares'!$C:$FB,63)</f>
        <v>2840500</v>
      </c>
      <c r="O173" s="140">
        <f>VLOOKUP($A173,'Data shares'!$C:$FB,65)*100</f>
        <v>155.65</v>
      </c>
    </row>
    <row r="174" spans="1:15" x14ac:dyDescent="0.25">
      <c r="A174" s="101" t="str">
        <f>'Data Vlaue (Cr)'!C169</f>
        <v>PRESTIGE</v>
      </c>
      <c r="B174" s="50">
        <f>VLOOKUP($A174,'Data shares'!$C:$FB,7)</f>
        <v>1422.6</v>
      </c>
      <c r="C174" s="50">
        <f>VLOOKUP($A174,'Data shares'!$C:$FB,10)*100</f>
        <v>-1.1499999999999999</v>
      </c>
      <c r="D174" s="49">
        <f>VLOOKUP($A174,'Data shares'!$C:$FB,66)</f>
        <v>6925950</v>
      </c>
      <c r="E174" s="49">
        <f>VLOOKUP($A174,'Data shares'!$C:$FB,67)</f>
        <v>9222300</v>
      </c>
      <c r="F174" s="50">
        <f>VLOOKUP($A174,'Data shares'!$C:$FB,69)*100</f>
        <v>-24.9</v>
      </c>
      <c r="G174" s="49">
        <f>VLOOKUP($A174,'Data shares'!$C:$FB,42)</f>
        <v>3449250</v>
      </c>
      <c r="H174" s="49">
        <f>VLOOKUP($A174,'Data shares'!$C:$FB,43)</f>
        <v>3143250</v>
      </c>
      <c r="I174" s="50">
        <f>VLOOKUP($A174,'Data shares'!$C:$FB,45)*100</f>
        <v>9.74</v>
      </c>
      <c r="J174" s="49">
        <f>VLOOKUP($A174,'Data shares'!$C:$FB,58)</f>
        <v>2515500</v>
      </c>
      <c r="K174" s="49">
        <f>VLOOKUP($A174,'Data shares'!$C:$FB,59)</f>
        <v>3664800</v>
      </c>
      <c r="L174" s="50">
        <f>VLOOKUP($A174,'Data shares'!$C:$FB,61)*100</f>
        <v>-31.36</v>
      </c>
      <c r="M174" s="49">
        <f>VLOOKUP($A174,'Data shares'!$C:$FB,62)</f>
        <v>961200</v>
      </c>
      <c r="N174" s="49">
        <f>VLOOKUP($A174,'Data shares'!$C:$FB,63)</f>
        <v>2414250</v>
      </c>
      <c r="O174" s="140">
        <f>VLOOKUP($A174,'Data shares'!$C:$FB,65)*100</f>
        <v>-60.19</v>
      </c>
    </row>
    <row r="175" spans="1:15" x14ac:dyDescent="0.25">
      <c r="A175" s="101" t="str">
        <f>'Data Vlaue (Cr)'!C170</f>
        <v>RBLBANK</v>
      </c>
      <c r="B175" s="50">
        <f>VLOOKUP($A175,'Data shares'!$C:$FB,7)</f>
        <v>296.2</v>
      </c>
      <c r="C175" s="50">
        <f>VLOOKUP($A175,'Data shares'!$C:$FB,10)*100</f>
        <v>-0.44</v>
      </c>
      <c r="D175" s="49">
        <f>VLOOKUP($A175,'Data shares'!$C:$FB,66)</f>
        <v>101069775</v>
      </c>
      <c r="E175" s="49">
        <f>VLOOKUP($A175,'Data shares'!$C:$FB,67)</f>
        <v>178419125</v>
      </c>
      <c r="F175" s="50">
        <f>VLOOKUP($A175,'Data shares'!$C:$FB,69)*100</f>
        <v>-43.35</v>
      </c>
      <c r="G175" s="49">
        <f>VLOOKUP($A175,'Data shares'!$C:$FB,42)</f>
        <v>40408225</v>
      </c>
      <c r="H175" s="49">
        <f>VLOOKUP($A175,'Data shares'!$C:$FB,43)</f>
        <v>60553600</v>
      </c>
      <c r="I175" s="50">
        <f>VLOOKUP($A175,'Data shares'!$C:$FB,45)*100</f>
        <v>-33.269999999999996</v>
      </c>
      <c r="J175" s="49">
        <f>VLOOKUP($A175,'Data shares'!$C:$FB,58)</f>
        <v>38855650</v>
      </c>
      <c r="K175" s="49">
        <f>VLOOKUP($A175,'Data shares'!$C:$FB,59)</f>
        <v>77844650</v>
      </c>
      <c r="L175" s="50">
        <f>VLOOKUP($A175,'Data shares'!$C:$FB,61)*100</f>
        <v>-50.09</v>
      </c>
      <c r="M175" s="49">
        <f>VLOOKUP($A175,'Data shares'!$C:$FB,62)</f>
        <v>21805900</v>
      </c>
      <c r="N175" s="49">
        <f>VLOOKUP($A175,'Data shares'!$C:$FB,63)</f>
        <v>40020875</v>
      </c>
      <c r="O175" s="140">
        <f>VLOOKUP($A175,'Data shares'!$C:$FB,65)*100</f>
        <v>-45.51</v>
      </c>
    </row>
    <row r="176" spans="1:15" x14ac:dyDescent="0.25">
      <c r="A176" s="101" t="str">
        <f>'Data Vlaue (Cr)'!C171</f>
        <v>RECLTD</v>
      </c>
      <c r="B176" s="50">
        <f>VLOOKUP($A176,'Data shares'!$C:$FB,7)</f>
        <v>366.2</v>
      </c>
      <c r="C176" s="50">
        <f>VLOOKUP($A176,'Data shares'!$C:$FB,10)*100</f>
        <v>2.92</v>
      </c>
      <c r="D176" s="49">
        <f>VLOOKUP($A176,'Data shares'!$C:$FB,66)</f>
        <v>141559600</v>
      </c>
      <c r="E176" s="49">
        <f>VLOOKUP($A176,'Data shares'!$C:$FB,67)</f>
        <v>151461800</v>
      </c>
      <c r="F176" s="50">
        <f>VLOOKUP($A176,'Data shares'!$C:$FB,69)*100</f>
        <v>-6.54</v>
      </c>
      <c r="G176" s="49">
        <f>VLOOKUP($A176,'Data shares'!$C:$FB,42)</f>
        <v>41034000</v>
      </c>
      <c r="H176" s="49">
        <f>VLOOKUP($A176,'Data shares'!$C:$FB,43)</f>
        <v>44609600</v>
      </c>
      <c r="I176" s="50">
        <f>VLOOKUP($A176,'Data shares'!$C:$FB,45)*100</f>
        <v>-8.02</v>
      </c>
      <c r="J176" s="49">
        <f>VLOOKUP($A176,'Data shares'!$C:$FB,58)</f>
        <v>56116200</v>
      </c>
      <c r="K176" s="49">
        <f>VLOOKUP($A176,'Data shares'!$C:$FB,59)</f>
        <v>62168400</v>
      </c>
      <c r="L176" s="50">
        <f>VLOOKUP($A176,'Data shares'!$C:$FB,61)*100</f>
        <v>-9.74</v>
      </c>
      <c r="M176" s="49">
        <f>VLOOKUP($A176,'Data shares'!$C:$FB,62)</f>
        <v>44409400</v>
      </c>
      <c r="N176" s="49">
        <f>VLOOKUP($A176,'Data shares'!$C:$FB,63)</f>
        <v>44683800</v>
      </c>
      <c r="O176" s="140">
        <f>VLOOKUP($A176,'Data shares'!$C:$FB,65)*100</f>
        <v>-0.61</v>
      </c>
    </row>
    <row r="177" spans="1:15" x14ac:dyDescent="0.25">
      <c r="A177" s="101" t="str">
        <f>'Data Vlaue (Cr)'!C172</f>
        <v>RELIANCE</v>
      </c>
      <c r="B177" s="50">
        <f>VLOOKUP($A177,'Data shares'!$C:$FB,7)</f>
        <v>1402.5</v>
      </c>
      <c r="C177" s="50">
        <f>VLOOKUP($A177,'Data shares'!$C:$FB,10)*100</f>
        <v>-0.15</v>
      </c>
      <c r="D177" s="49">
        <f>VLOOKUP($A177,'Data shares'!$C:$FB,66)</f>
        <v>302702000</v>
      </c>
      <c r="E177" s="49">
        <f>VLOOKUP($A177,'Data shares'!$C:$FB,67)</f>
        <v>391172000</v>
      </c>
      <c r="F177" s="50">
        <f>VLOOKUP($A177,'Data shares'!$C:$FB,69)*100</f>
        <v>-22.62</v>
      </c>
      <c r="G177" s="49">
        <f>VLOOKUP($A177,'Data shares'!$C:$FB,42)</f>
        <v>65788500</v>
      </c>
      <c r="H177" s="49">
        <f>VLOOKUP($A177,'Data shares'!$C:$FB,43)</f>
        <v>47500000</v>
      </c>
      <c r="I177" s="50">
        <f>VLOOKUP($A177,'Data shares'!$C:$FB,45)*100</f>
        <v>38.5</v>
      </c>
      <c r="J177" s="49">
        <f>VLOOKUP($A177,'Data shares'!$C:$FB,58)</f>
        <v>154975500</v>
      </c>
      <c r="K177" s="49">
        <f>VLOOKUP($A177,'Data shares'!$C:$FB,59)</f>
        <v>229470500</v>
      </c>
      <c r="L177" s="50">
        <f>VLOOKUP($A177,'Data shares'!$C:$FB,61)*100</f>
        <v>-32.46</v>
      </c>
      <c r="M177" s="49">
        <f>VLOOKUP($A177,'Data shares'!$C:$FB,62)</f>
        <v>81938000</v>
      </c>
      <c r="N177" s="49">
        <f>VLOOKUP($A177,'Data shares'!$C:$FB,63)</f>
        <v>114201500</v>
      </c>
      <c r="O177" s="140">
        <f>VLOOKUP($A177,'Data shares'!$C:$FB,65)*100</f>
        <v>-28.249999999999996</v>
      </c>
    </row>
    <row r="178" spans="1:15" x14ac:dyDescent="0.25">
      <c r="A178" s="101" t="str">
        <f>'Data Vlaue (Cr)'!C173</f>
        <v>RVNL</v>
      </c>
      <c r="B178" s="50">
        <f>VLOOKUP($A178,'Data shares'!$C:$FB,7)</f>
        <v>329</v>
      </c>
      <c r="C178" s="50">
        <f>VLOOKUP($A178,'Data shares'!$C:$FB,10)*100</f>
        <v>3.75</v>
      </c>
      <c r="D178" s="49">
        <f>VLOOKUP($A178,'Data shares'!$C:$FB,66)</f>
        <v>136124550</v>
      </c>
      <c r="E178" s="49">
        <f>VLOOKUP($A178,'Data shares'!$C:$FB,67)</f>
        <v>115584325</v>
      </c>
      <c r="F178" s="50">
        <f>VLOOKUP($A178,'Data shares'!$C:$FB,69)*100</f>
        <v>17.77</v>
      </c>
      <c r="G178" s="49">
        <f>VLOOKUP($A178,'Data shares'!$C:$FB,42)</f>
        <v>54486725</v>
      </c>
      <c r="H178" s="49">
        <f>VLOOKUP($A178,'Data shares'!$C:$FB,43)</f>
        <v>40639725</v>
      </c>
      <c r="I178" s="50">
        <f>VLOOKUP($A178,'Data shares'!$C:$FB,45)*100</f>
        <v>34.07</v>
      </c>
      <c r="J178" s="49">
        <f>VLOOKUP($A178,'Data shares'!$C:$FB,58)</f>
        <v>66242950</v>
      </c>
      <c r="K178" s="49">
        <f>VLOOKUP($A178,'Data shares'!$C:$FB,59)</f>
        <v>52925125</v>
      </c>
      <c r="L178" s="50">
        <f>VLOOKUP($A178,'Data shares'!$C:$FB,61)*100</f>
        <v>25.16</v>
      </c>
      <c r="M178" s="49">
        <f>VLOOKUP($A178,'Data shares'!$C:$FB,62)</f>
        <v>15394875</v>
      </c>
      <c r="N178" s="49">
        <f>VLOOKUP($A178,'Data shares'!$C:$FB,63)</f>
        <v>22019475</v>
      </c>
      <c r="O178" s="140">
        <f>VLOOKUP($A178,'Data shares'!$C:$FB,65)*100</f>
        <v>-30.09</v>
      </c>
    </row>
    <row r="179" spans="1:15" x14ac:dyDescent="0.25">
      <c r="A179" s="101" t="str">
        <f>'Data Vlaue (Cr)'!C174</f>
        <v>SAIL</v>
      </c>
      <c r="B179" s="50">
        <f>VLOOKUP($A179,'Data shares'!$C:$FB,7)</f>
        <v>151.65</v>
      </c>
      <c r="C179" s="50">
        <f>VLOOKUP($A179,'Data shares'!$C:$FB,10)*100</f>
        <v>3.55</v>
      </c>
      <c r="D179" s="49">
        <f>VLOOKUP($A179,'Data shares'!$C:$FB,66)</f>
        <v>485928300</v>
      </c>
      <c r="E179" s="49">
        <f>VLOOKUP($A179,'Data shares'!$C:$FB,67)</f>
        <v>20026700</v>
      </c>
      <c r="F179" s="50">
        <f>VLOOKUP($A179,'Data shares'!$C:$FB,69)*100</f>
        <v>2326.4</v>
      </c>
      <c r="G179" s="49">
        <f>VLOOKUP($A179,'Data shares'!$C:$FB,42)</f>
        <v>312080000</v>
      </c>
      <c r="H179" s="49">
        <f>VLOOKUP($A179,'Data shares'!$C:$FB,43)</f>
        <v>14292700</v>
      </c>
      <c r="I179" s="50">
        <f>VLOOKUP($A179,'Data shares'!$C:$FB,45)*100</f>
        <v>2083.4900000000002</v>
      </c>
      <c r="J179" s="49">
        <f>VLOOKUP($A179,'Data shares'!$C:$FB,58)</f>
        <v>113406300</v>
      </c>
      <c r="K179" s="49">
        <f>VLOOKUP($A179,'Data shares'!$C:$FB,59)</f>
        <v>3167800</v>
      </c>
      <c r="L179" s="50">
        <f>VLOOKUP($A179,'Data shares'!$C:$FB,61)*100</f>
        <v>3479.9700000000003</v>
      </c>
      <c r="M179" s="49">
        <f>VLOOKUP($A179,'Data shares'!$C:$FB,62)</f>
        <v>60442000</v>
      </c>
      <c r="N179" s="49">
        <f>VLOOKUP($A179,'Data shares'!$C:$FB,63)</f>
        <v>2566200</v>
      </c>
      <c r="O179" s="140">
        <f>VLOOKUP($A179,'Data shares'!$C:$FB,65)*100</f>
        <v>2255.31</v>
      </c>
    </row>
    <row r="180" spans="1:15" x14ac:dyDescent="0.25">
      <c r="A180" s="101" t="str">
        <f>'Data Vlaue (Cr)'!C175</f>
        <v>SAMMAANCAP</v>
      </c>
      <c r="B180" s="50">
        <f>VLOOKUP($A180,'Data shares'!$C:$FB,7)</f>
        <v>139.97</v>
      </c>
      <c r="C180" s="50">
        <f>VLOOKUP($A180,'Data shares'!$C:$FB,10)*100</f>
        <v>1.37</v>
      </c>
      <c r="D180" s="49">
        <f>VLOOKUP($A180,'Data shares'!$C:$FB,66)</f>
        <v>11571300</v>
      </c>
      <c r="E180" s="49">
        <f>VLOOKUP($A180,'Data shares'!$C:$FB,67)</f>
        <v>7838900</v>
      </c>
      <c r="F180" s="50">
        <f>VLOOKUP($A180,'Data shares'!$C:$FB,69)*100</f>
        <v>47.61</v>
      </c>
      <c r="G180" s="49">
        <f>VLOOKUP($A180,'Data shares'!$C:$FB,42)</f>
        <v>10393100</v>
      </c>
      <c r="H180" s="49">
        <f>VLOOKUP($A180,'Data shares'!$C:$FB,43)</f>
        <v>6308100</v>
      </c>
      <c r="I180" s="50">
        <f>VLOOKUP($A180,'Data shares'!$C:$FB,45)*100</f>
        <v>64.759999999999991</v>
      </c>
      <c r="J180" s="49">
        <f>VLOOKUP($A180,'Data shares'!$C:$FB,58)</f>
        <v>786900</v>
      </c>
      <c r="K180" s="49">
        <f>VLOOKUP($A180,'Data shares'!$C:$FB,59)</f>
        <v>946000</v>
      </c>
      <c r="L180" s="50">
        <f>VLOOKUP($A180,'Data shares'!$C:$FB,61)*100</f>
        <v>-16.82</v>
      </c>
      <c r="M180" s="49">
        <f>VLOOKUP($A180,'Data shares'!$C:$FB,62)</f>
        <v>391300</v>
      </c>
      <c r="N180" s="49">
        <f>VLOOKUP($A180,'Data shares'!$C:$FB,63)</f>
        <v>584800</v>
      </c>
      <c r="O180" s="140">
        <f>VLOOKUP($A180,'Data shares'!$C:$FB,65)*100</f>
        <v>-33.090000000000003</v>
      </c>
    </row>
    <row r="181" spans="1:15" x14ac:dyDescent="0.25">
      <c r="A181" s="101" t="str">
        <f>'Data Vlaue (Cr)'!C176</f>
        <v>SBICARD</v>
      </c>
      <c r="B181" s="50">
        <f>VLOOKUP($A181,'Data shares'!$C:$FB,7)</f>
        <v>789.1</v>
      </c>
      <c r="C181" s="50">
        <f>VLOOKUP($A181,'Data shares'!$C:$FB,10)*100</f>
        <v>0.69</v>
      </c>
      <c r="D181" s="49">
        <f>VLOOKUP($A181,'Data shares'!$C:$FB,66)</f>
        <v>32810400</v>
      </c>
      <c r="E181" s="49">
        <f>VLOOKUP($A181,'Data shares'!$C:$FB,67)</f>
        <v>36559200</v>
      </c>
      <c r="F181" s="50">
        <f>VLOOKUP($A181,'Data shares'!$C:$FB,69)*100</f>
        <v>-10.25</v>
      </c>
      <c r="G181" s="49">
        <f>VLOOKUP($A181,'Data shares'!$C:$FB,42)</f>
        <v>19937600</v>
      </c>
      <c r="H181" s="49">
        <f>VLOOKUP($A181,'Data shares'!$C:$FB,43)</f>
        <v>15837600</v>
      </c>
      <c r="I181" s="50">
        <f>VLOOKUP($A181,'Data shares'!$C:$FB,45)*100</f>
        <v>25.89</v>
      </c>
      <c r="J181" s="49">
        <f>VLOOKUP($A181,'Data shares'!$C:$FB,58)</f>
        <v>7607200</v>
      </c>
      <c r="K181" s="49">
        <f>VLOOKUP($A181,'Data shares'!$C:$FB,59)</f>
        <v>11755200</v>
      </c>
      <c r="L181" s="50">
        <f>VLOOKUP($A181,'Data shares'!$C:$FB,61)*100</f>
        <v>-35.29</v>
      </c>
      <c r="M181" s="49">
        <f>VLOOKUP($A181,'Data shares'!$C:$FB,62)</f>
        <v>5265600</v>
      </c>
      <c r="N181" s="49">
        <f>VLOOKUP($A181,'Data shares'!$C:$FB,63)</f>
        <v>8966400</v>
      </c>
      <c r="O181" s="140">
        <f>VLOOKUP($A181,'Data shares'!$C:$FB,65)*100</f>
        <v>-41.27</v>
      </c>
    </row>
    <row r="182" spans="1:15" x14ac:dyDescent="0.25">
      <c r="A182" s="101" t="str">
        <f>'Data Vlaue (Cr)'!C177</f>
        <v>SBILIFE</v>
      </c>
      <c r="B182" s="50">
        <f>VLOOKUP($A182,'Data shares'!$C:$FB,7)</f>
        <v>2022</v>
      </c>
      <c r="C182" s="50">
        <f>VLOOKUP($A182,'Data shares'!$C:$FB,10)*100</f>
        <v>-1.6199999999999999</v>
      </c>
      <c r="D182" s="49">
        <f>VLOOKUP($A182,'Data shares'!$C:$FB,66)</f>
        <v>27417375</v>
      </c>
      <c r="E182" s="49">
        <f>VLOOKUP($A182,'Data shares'!$C:$FB,67)</f>
        <v>19668750</v>
      </c>
      <c r="F182" s="50">
        <f>VLOOKUP($A182,'Data shares'!$C:$FB,69)*100</f>
        <v>39.4</v>
      </c>
      <c r="G182" s="49">
        <f>VLOOKUP($A182,'Data shares'!$C:$FB,42)</f>
        <v>9991875</v>
      </c>
      <c r="H182" s="49">
        <f>VLOOKUP($A182,'Data shares'!$C:$FB,43)</f>
        <v>5063250</v>
      </c>
      <c r="I182" s="50">
        <f>VLOOKUP($A182,'Data shares'!$C:$FB,45)*100</f>
        <v>97.34</v>
      </c>
      <c r="J182" s="49">
        <f>VLOOKUP($A182,'Data shares'!$C:$FB,58)</f>
        <v>9151500</v>
      </c>
      <c r="K182" s="49">
        <f>VLOOKUP($A182,'Data shares'!$C:$FB,59)</f>
        <v>9697500</v>
      </c>
      <c r="L182" s="50">
        <f>VLOOKUP($A182,'Data shares'!$C:$FB,61)*100</f>
        <v>-5.63</v>
      </c>
      <c r="M182" s="49">
        <f>VLOOKUP($A182,'Data shares'!$C:$FB,62)</f>
        <v>8274000</v>
      </c>
      <c r="N182" s="49">
        <f>VLOOKUP($A182,'Data shares'!$C:$FB,63)</f>
        <v>4908000</v>
      </c>
      <c r="O182" s="140">
        <f>VLOOKUP($A182,'Data shares'!$C:$FB,65)*100</f>
        <v>68.58</v>
      </c>
    </row>
    <row r="183" spans="1:15" x14ac:dyDescent="0.25">
      <c r="A183" s="101" t="str">
        <f>'Data Vlaue (Cr)'!C178</f>
        <v>SBIN</v>
      </c>
      <c r="B183" s="50">
        <f>VLOOKUP($A183,'Data shares'!$C:$FB,7)</f>
        <v>1048.3499999999999</v>
      </c>
      <c r="C183" s="50">
        <f>VLOOKUP($A183,'Data shares'!$C:$FB,10)*100</f>
        <v>1.92</v>
      </c>
      <c r="D183" s="49">
        <f>VLOOKUP($A183,'Data shares'!$C:$FB,66)</f>
        <v>303967500</v>
      </c>
      <c r="E183" s="49">
        <f>VLOOKUP($A183,'Data shares'!$C:$FB,67)</f>
        <v>295823250</v>
      </c>
      <c r="F183" s="50">
        <f>VLOOKUP($A183,'Data shares'!$C:$FB,69)*100</f>
        <v>2.75</v>
      </c>
      <c r="G183" s="49">
        <f>VLOOKUP($A183,'Data shares'!$C:$FB,42)</f>
        <v>56434500</v>
      </c>
      <c r="H183" s="49">
        <f>VLOOKUP($A183,'Data shares'!$C:$FB,43)</f>
        <v>47331750</v>
      </c>
      <c r="I183" s="50">
        <f>VLOOKUP($A183,'Data shares'!$C:$FB,45)*100</f>
        <v>19.23</v>
      </c>
      <c r="J183" s="49">
        <f>VLOOKUP($A183,'Data shares'!$C:$FB,58)</f>
        <v>145829250</v>
      </c>
      <c r="K183" s="49">
        <f>VLOOKUP($A183,'Data shares'!$C:$FB,59)</f>
        <v>135624750</v>
      </c>
      <c r="L183" s="50">
        <f>VLOOKUP($A183,'Data shares'!$C:$FB,61)*100</f>
        <v>7.5200000000000005</v>
      </c>
      <c r="M183" s="49">
        <f>VLOOKUP($A183,'Data shares'!$C:$FB,62)</f>
        <v>101703750</v>
      </c>
      <c r="N183" s="49">
        <f>VLOOKUP($A183,'Data shares'!$C:$FB,63)</f>
        <v>112866750</v>
      </c>
      <c r="O183" s="140">
        <f>VLOOKUP($A183,'Data shares'!$C:$FB,65)*100</f>
        <v>-9.89</v>
      </c>
    </row>
    <row r="184" spans="1:15" x14ac:dyDescent="0.25">
      <c r="A184" s="101" t="str">
        <f>'Data Vlaue (Cr)'!C179</f>
        <v>SHREECEM</v>
      </c>
      <c r="B184" s="50">
        <f>VLOOKUP($A184,'Data shares'!$C:$FB,7)</f>
        <v>27430</v>
      </c>
      <c r="C184" s="50">
        <f>VLOOKUP($A184,'Data shares'!$C:$FB,10)*100</f>
        <v>0.22</v>
      </c>
      <c r="D184" s="49">
        <f>VLOOKUP($A184,'Data shares'!$C:$FB,66)</f>
        <v>389000</v>
      </c>
      <c r="E184" s="49">
        <f>VLOOKUP($A184,'Data shares'!$C:$FB,67)</f>
        <v>461600</v>
      </c>
      <c r="F184" s="50">
        <f>VLOOKUP($A184,'Data shares'!$C:$FB,69)*100</f>
        <v>-15.73</v>
      </c>
      <c r="G184" s="49">
        <f>VLOOKUP($A184,'Data shares'!$C:$FB,42)</f>
        <v>227575</v>
      </c>
      <c r="H184" s="49">
        <f>VLOOKUP($A184,'Data shares'!$C:$FB,43)</f>
        <v>189800</v>
      </c>
      <c r="I184" s="50">
        <f>VLOOKUP($A184,'Data shares'!$C:$FB,45)*100</f>
        <v>19.900000000000002</v>
      </c>
      <c r="J184" s="49">
        <f>VLOOKUP($A184,'Data shares'!$C:$FB,58)</f>
        <v>104875</v>
      </c>
      <c r="K184" s="49">
        <f>VLOOKUP($A184,'Data shares'!$C:$FB,59)</f>
        <v>179200</v>
      </c>
      <c r="L184" s="50">
        <f>VLOOKUP($A184,'Data shares'!$C:$FB,61)*100</f>
        <v>-41.48</v>
      </c>
      <c r="M184" s="49">
        <f>VLOOKUP($A184,'Data shares'!$C:$FB,62)</f>
        <v>56550</v>
      </c>
      <c r="N184" s="49">
        <f>VLOOKUP($A184,'Data shares'!$C:$FB,63)</f>
        <v>92600</v>
      </c>
      <c r="O184" s="140">
        <f>VLOOKUP($A184,'Data shares'!$C:$FB,65)*100</f>
        <v>-38.93</v>
      </c>
    </row>
    <row r="185" spans="1:15" x14ac:dyDescent="0.25">
      <c r="A185" s="101" t="str">
        <f>'Data Vlaue (Cr)'!C180</f>
        <v>SHRIRAMFIN</v>
      </c>
      <c r="B185" s="50">
        <f>VLOOKUP($A185,'Data shares'!$C:$FB,7)</f>
        <v>1005.5</v>
      </c>
      <c r="C185" s="50">
        <f>VLOOKUP($A185,'Data shares'!$C:$FB,10)*100</f>
        <v>1.9800000000000002</v>
      </c>
      <c r="D185" s="49">
        <f>VLOOKUP($A185,'Data shares'!$C:$FB,66)</f>
        <v>77126775</v>
      </c>
      <c r="E185" s="49">
        <f>VLOOKUP($A185,'Data shares'!$C:$FB,67)</f>
        <v>56906025</v>
      </c>
      <c r="F185" s="50">
        <f>VLOOKUP($A185,'Data shares'!$C:$FB,69)*100</f>
        <v>35.53</v>
      </c>
      <c r="G185" s="49">
        <f>VLOOKUP($A185,'Data shares'!$C:$FB,42)</f>
        <v>34454475</v>
      </c>
      <c r="H185" s="49">
        <f>VLOOKUP($A185,'Data shares'!$C:$FB,43)</f>
        <v>22591800</v>
      </c>
      <c r="I185" s="50">
        <f>VLOOKUP($A185,'Data shares'!$C:$FB,45)*100</f>
        <v>52.51</v>
      </c>
      <c r="J185" s="49">
        <f>VLOOKUP($A185,'Data shares'!$C:$FB,58)</f>
        <v>29006175</v>
      </c>
      <c r="K185" s="49">
        <f>VLOOKUP($A185,'Data shares'!$C:$FB,59)</f>
        <v>22279125</v>
      </c>
      <c r="L185" s="50">
        <f>VLOOKUP($A185,'Data shares'!$C:$FB,61)*100</f>
        <v>30.19</v>
      </c>
      <c r="M185" s="49">
        <f>VLOOKUP($A185,'Data shares'!$C:$FB,62)</f>
        <v>13666125</v>
      </c>
      <c r="N185" s="49">
        <f>VLOOKUP($A185,'Data shares'!$C:$FB,63)</f>
        <v>12035100</v>
      </c>
      <c r="O185" s="140">
        <f>VLOOKUP($A185,'Data shares'!$C:$FB,65)*100</f>
        <v>13.55</v>
      </c>
    </row>
    <row r="186" spans="1:15" x14ac:dyDescent="0.25">
      <c r="A186" s="101" t="str">
        <f>'Data Vlaue (Cr)'!C181</f>
        <v>SIEMENS</v>
      </c>
      <c r="B186" s="50">
        <f>VLOOKUP($A186,'Data shares'!$C:$FB,7)</f>
        <v>2928.2</v>
      </c>
      <c r="C186" s="50">
        <f>VLOOKUP($A186,'Data shares'!$C:$FB,10)*100</f>
        <v>1.51</v>
      </c>
      <c r="D186" s="49">
        <f>VLOOKUP($A186,'Data shares'!$C:$FB,66)</f>
        <v>4382875</v>
      </c>
      <c r="E186" s="49">
        <f>VLOOKUP($A186,'Data shares'!$C:$FB,67)</f>
        <v>5128900</v>
      </c>
      <c r="F186" s="50">
        <f>VLOOKUP($A186,'Data shares'!$C:$FB,69)*100</f>
        <v>-14.549999999999999</v>
      </c>
      <c r="G186" s="49">
        <f>VLOOKUP($A186,'Data shares'!$C:$FB,42)</f>
        <v>1402975</v>
      </c>
      <c r="H186" s="49">
        <f>VLOOKUP($A186,'Data shares'!$C:$FB,43)</f>
        <v>2207275</v>
      </c>
      <c r="I186" s="50">
        <f>VLOOKUP($A186,'Data shares'!$C:$FB,45)*100</f>
        <v>-36.44</v>
      </c>
      <c r="J186" s="49">
        <f>VLOOKUP($A186,'Data shares'!$C:$FB,58)</f>
        <v>2135175</v>
      </c>
      <c r="K186" s="49">
        <f>VLOOKUP($A186,'Data shares'!$C:$FB,59)</f>
        <v>2033675</v>
      </c>
      <c r="L186" s="50">
        <f>VLOOKUP($A186,'Data shares'!$C:$FB,61)*100</f>
        <v>4.99</v>
      </c>
      <c r="M186" s="49">
        <f>VLOOKUP($A186,'Data shares'!$C:$FB,62)</f>
        <v>844725</v>
      </c>
      <c r="N186" s="49">
        <f>VLOOKUP($A186,'Data shares'!$C:$FB,63)</f>
        <v>887950</v>
      </c>
      <c r="O186" s="140">
        <f>VLOOKUP($A186,'Data shares'!$C:$FB,65)*100</f>
        <v>-4.87</v>
      </c>
    </row>
    <row r="187" spans="1:15" x14ac:dyDescent="0.25">
      <c r="A187" s="101" t="str">
        <f>'Data Vlaue (Cr)'!C182</f>
        <v>SOLARINDS</v>
      </c>
      <c r="B187" s="50">
        <f>VLOOKUP($A187,'Data shares'!$C:$FB,7)</f>
        <v>12901</v>
      </c>
      <c r="C187" s="50">
        <f>VLOOKUP($A187,'Data shares'!$C:$FB,10)*100</f>
        <v>2.8899999999999997</v>
      </c>
      <c r="D187" s="49">
        <f>VLOOKUP($A187,'Data shares'!$C:$FB,66)</f>
        <v>1531250</v>
      </c>
      <c r="E187" s="49">
        <f>VLOOKUP($A187,'Data shares'!$C:$FB,67)</f>
        <v>1080550</v>
      </c>
      <c r="F187" s="50">
        <f>VLOOKUP($A187,'Data shares'!$C:$FB,69)*100</f>
        <v>41.71</v>
      </c>
      <c r="G187" s="49">
        <f>VLOOKUP($A187,'Data shares'!$C:$FB,42)</f>
        <v>568550</v>
      </c>
      <c r="H187" s="49">
        <f>VLOOKUP($A187,'Data shares'!$C:$FB,43)</f>
        <v>387100</v>
      </c>
      <c r="I187" s="50">
        <f>VLOOKUP($A187,'Data shares'!$C:$FB,45)*100</f>
        <v>46.87</v>
      </c>
      <c r="J187" s="49">
        <f>VLOOKUP($A187,'Data shares'!$C:$FB,58)</f>
        <v>657900</v>
      </c>
      <c r="K187" s="49">
        <f>VLOOKUP($A187,'Data shares'!$C:$FB,59)</f>
        <v>523850</v>
      </c>
      <c r="L187" s="50">
        <f>VLOOKUP($A187,'Data shares'!$C:$FB,61)*100</f>
        <v>25.590000000000003</v>
      </c>
      <c r="M187" s="49">
        <f>VLOOKUP($A187,'Data shares'!$C:$FB,62)</f>
        <v>304800</v>
      </c>
      <c r="N187" s="49">
        <f>VLOOKUP($A187,'Data shares'!$C:$FB,63)</f>
        <v>169600</v>
      </c>
      <c r="O187" s="140">
        <f>VLOOKUP($A187,'Data shares'!$C:$FB,65)*100</f>
        <v>79.72</v>
      </c>
    </row>
    <row r="188" spans="1:15" x14ac:dyDescent="0.25">
      <c r="A188" s="101" t="str">
        <f>'Data Vlaue (Cr)'!C183</f>
        <v>SONACOMS</v>
      </c>
      <c r="B188" s="50">
        <f>VLOOKUP($A188,'Data shares'!$C:$FB,7)</f>
        <v>469.1</v>
      </c>
      <c r="C188" s="50">
        <f>VLOOKUP($A188,'Data shares'!$C:$FB,10)*100</f>
        <v>5.55</v>
      </c>
      <c r="D188" s="49">
        <f>VLOOKUP($A188,'Data shares'!$C:$FB,66)</f>
        <v>39653250</v>
      </c>
      <c r="E188" s="49">
        <f>VLOOKUP($A188,'Data shares'!$C:$FB,67)</f>
        <v>15852725</v>
      </c>
      <c r="F188" s="50">
        <f>VLOOKUP($A188,'Data shares'!$C:$FB,69)*100</f>
        <v>150.14000000000001</v>
      </c>
      <c r="G188" s="49">
        <f>VLOOKUP($A188,'Data shares'!$C:$FB,42)</f>
        <v>15586900</v>
      </c>
      <c r="H188" s="49">
        <f>VLOOKUP($A188,'Data shares'!$C:$FB,43)</f>
        <v>10354925</v>
      </c>
      <c r="I188" s="50">
        <f>VLOOKUP($A188,'Data shares'!$C:$FB,45)*100</f>
        <v>50.529999999999994</v>
      </c>
      <c r="J188" s="49">
        <f>VLOOKUP($A188,'Data shares'!$C:$FB,58)</f>
        <v>16595075</v>
      </c>
      <c r="K188" s="49">
        <f>VLOOKUP($A188,'Data shares'!$C:$FB,59)</f>
        <v>3667650</v>
      </c>
      <c r="L188" s="50">
        <f>VLOOKUP($A188,'Data shares'!$C:$FB,61)*100</f>
        <v>352.47</v>
      </c>
      <c r="M188" s="49">
        <f>VLOOKUP($A188,'Data shares'!$C:$FB,62)</f>
        <v>7471275</v>
      </c>
      <c r="N188" s="49">
        <f>VLOOKUP($A188,'Data shares'!$C:$FB,63)</f>
        <v>1830150</v>
      </c>
      <c r="O188" s="140">
        <f>VLOOKUP($A188,'Data shares'!$C:$FB,65)*100</f>
        <v>308.23</v>
      </c>
    </row>
    <row r="189" spans="1:15" x14ac:dyDescent="0.25">
      <c r="A189" s="101" t="str">
        <f>'Data Vlaue (Cr)'!C184</f>
        <v>SRF</v>
      </c>
      <c r="B189" s="50">
        <f>VLOOKUP($A189,'Data shares'!$C:$FB,7)</f>
        <v>2735.9</v>
      </c>
      <c r="C189" s="50">
        <f>VLOOKUP($A189,'Data shares'!$C:$FB,10)*100</f>
        <v>2.1999999999999997</v>
      </c>
      <c r="D189" s="49">
        <f>VLOOKUP($A189,'Data shares'!$C:$FB,66)</f>
        <v>12121200</v>
      </c>
      <c r="E189" s="49">
        <f>VLOOKUP($A189,'Data shares'!$C:$FB,67)</f>
        <v>44449000</v>
      </c>
      <c r="F189" s="50">
        <f>VLOOKUP($A189,'Data shares'!$C:$FB,69)*100</f>
        <v>-72.72999999999999</v>
      </c>
      <c r="G189" s="49">
        <f>VLOOKUP($A189,'Data shares'!$C:$FB,42)</f>
        <v>2797800</v>
      </c>
      <c r="H189" s="49">
        <f>VLOOKUP($A189,'Data shares'!$C:$FB,43)</f>
        <v>4700400</v>
      </c>
      <c r="I189" s="50">
        <f>VLOOKUP($A189,'Data shares'!$C:$FB,45)*100</f>
        <v>-40.479999999999997</v>
      </c>
      <c r="J189" s="49">
        <f>VLOOKUP($A189,'Data shares'!$C:$FB,58)</f>
        <v>6055000</v>
      </c>
      <c r="K189" s="49">
        <f>VLOOKUP($A189,'Data shares'!$C:$FB,59)</f>
        <v>18914200</v>
      </c>
      <c r="L189" s="50">
        <f>VLOOKUP($A189,'Data shares'!$C:$FB,61)*100</f>
        <v>-67.989999999999995</v>
      </c>
      <c r="M189" s="49">
        <f>VLOOKUP($A189,'Data shares'!$C:$FB,62)</f>
        <v>3268400</v>
      </c>
      <c r="N189" s="49">
        <f>VLOOKUP($A189,'Data shares'!$C:$FB,63)</f>
        <v>20834400</v>
      </c>
      <c r="O189" s="140">
        <f>VLOOKUP($A189,'Data shares'!$C:$FB,65)*100</f>
        <v>-84.31</v>
      </c>
    </row>
    <row r="190" spans="1:15" x14ac:dyDescent="0.25">
      <c r="A190" s="101" t="str">
        <f>'Data Vlaue (Cr)'!C185</f>
        <v>SUNPHARMA</v>
      </c>
      <c r="B190" s="50">
        <f>VLOOKUP($A190,'Data shares'!$C:$FB,7)</f>
        <v>1634.2</v>
      </c>
      <c r="C190" s="50">
        <f>VLOOKUP($A190,'Data shares'!$C:$FB,10)*100</f>
        <v>1.32</v>
      </c>
      <c r="D190" s="49">
        <f>VLOOKUP($A190,'Data shares'!$C:$FB,66)</f>
        <v>32144700</v>
      </c>
      <c r="E190" s="49">
        <f>VLOOKUP($A190,'Data shares'!$C:$FB,67)</f>
        <v>33892600</v>
      </c>
      <c r="F190" s="50">
        <f>VLOOKUP($A190,'Data shares'!$C:$FB,69)*100</f>
        <v>-5.16</v>
      </c>
      <c r="G190" s="49">
        <f>VLOOKUP($A190,'Data shares'!$C:$FB,42)</f>
        <v>14242200</v>
      </c>
      <c r="H190" s="49">
        <f>VLOOKUP($A190,'Data shares'!$C:$FB,43)</f>
        <v>8869000</v>
      </c>
      <c r="I190" s="50">
        <f>VLOOKUP($A190,'Data shares'!$C:$FB,45)*100</f>
        <v>60.58</v>
      </c>
      <c r="J190" s="49">
        <f>VLOOKUP($A190,'Data shares'!$C:$FB,58)</f>
        <v>9476250</v>
      </c>
      <c r="K190" s="49">
        <f>VLOOKUP($A190,'Data shares'!$C:$FB,59)</f>
        <v>16022650</v>
      </c>
      <c r="L190" s="50">
        <f>VLOOKUP($A190,'Data shares'!$C:$FB,61)*100</f>
        <v>-40.86</v>
      </c>
      <c r="M190" s="49">
        <f>VLOOKUP($A190,'Data shares'!$C:$FB,62)</f>
        <v>8426250</v>
      </c>
      <c r="N190" s="49">
        <f>VLOOKUP($A190,'Data shares'!$C:$FB,63)</f>
        <v>9000950</v>
      </c>
      <c r="O190" s="140">
        <f>VLOOKUP($A190,'Data shares'!$C:$FB,65)*100</f>
        <v>-6.38</v>
      </c>
    </row>
    <row r="191" spans="1:15" x14ac:dyDescent="0.25">
      <c r="A191" s="101" t="str">
        <f>'Data Vlaue (Cr)'!C186</f>
        <v>SUPREMEIND</v>
      </c>
      <c r="B191" s="50">
        <f>VLOOKUP($A191,'Data shares'!$C:$FB,7)</f>
        <v>3487.8</v>
      </c>
      <c r="C191" s="50">
        <f>VLOOKUP($A191,'Data shares'!$C:$FB,10)*100</f>
        <v>4.1500000000000004</v>
      </c>
      <c r="D191" s="49">
        <f>VLOOKUP($A191,'Data shares'!$C:$FB,66)</f>
        <v>8686475</v>
      </c>
      <c r="E191" s="49">
        <f>VLOOKUP($A191,'Data shares'!$C:$FB,67)</f>
        <v>14411075</v>
      </c>
      <c r="F191" s="50">
        <f>VLOOKUP($A191,'Data shares'!$C:$FB,69)*100</f>
        <v>-39.72</v>
      </c>
      <c r="G191" s="49">
        <f>VLOOKUP($A191,'Data shares'!$C:$FB,42)</f>
        <v>2085475</v>
      </c>
      <c r="H191" s="49">
        <f>VLOOKUP($A191,'Data shares'!$C:$FB,43)</f>
        <v>3042200</v>
      </c>
      <c r="I191" s="50">
        <f>VLOOKUP($A191,'Data shares'!$C:$FB,45)*100</f>
        <v>-31.45</v>
      </c>
      <c r="J191" s="49">
        <f>VLOOKUP($A191,'Data shares'!$C:$FB,58)</f>
        <v>4177775</v>
      </c>
      <c r="K191" s="49">
        <f>VLOOKUP($A191,'Data shares'!$C:$FB,59)</f>
        <v>6278125</v>
      </c>
      <c r="L191" s="50">
        <f>VLOOKUP($A191,'Data shares'!$C:$FB,61)*100</f>
        <v>-33.46</v>
      </c>
      <c r="M191" s="49">
        <f>VLOOKUP($A191,'Data shares'!$C:$FB,62)</f>
        <v>2423225</v>
      </c>
      <c r="N191" s="49">
        <f>VLOOKUP($A191,'Data shares'!$C:$FB,63)</f>
        <v>5090750</v>
      </c>
      <c r="O191" s="140">
        <f>VLOOKUP($A191,'Data shares'!$C:$FB,65)*100</f>
        <v>-52.400000000000006</v>
      </c>
    </row>
    <row r="192" spans="1:15" x14ac:dyDescent="0.25">
      <c r="A192" s="101" t="str">
        <f>'Data Vlaue (Cr)'!C187</f>
        <v>SUZLON</v>
      </c>
      <c r="B192" s="50">
        <f>VLOOKUP($A192,'Data shares'!$C:$FB,7)</f>
        <v>46.99</v>
      </c>
      <c r="C192" s="50">
        <f>VLOOKUP($A192,'Data shares'!$C:$FB,10)*100</f>
        <v>3.2099999999999995</v>
      </c>
      <c r="D192" s="49">
        <f>VLOOKUP($A192,'Data shares'!$C:$FB,66)</f>
        <v>385620200</v>
      </c>
      <c r="E192" s="49">
        <f>VLOOKUP($A192,'Data shares'!$C:$FB,67)</f>
        <v>468830700</v>
      </c>
      <c r="F192" s="50">
        <f>VLOOKUP($A192,'Data shares'!$C:$FB,69)*100</f>
        <v>-17.75</v>
      </c>
      <c r="G192" s="49">
        <f>VLOOKUP($A192,'Data shares'!$C:$FB,42)</f>
        <v>170373950</v>
      </c>
      <c r="H192" s="49">
        <f>VLOOKUP($A192,'Data shares'!$C:$FB,43)</f>
        <v>166023900</v>
      </c>
      <c r="I192" s="50">
        <f>VLOOKUP($A192,'Data shares'!$C:$FB,45)*100</f>
        <v>2.62</v>
      </c>
      <c r="J192" s="49">
        <f>VLOOKUP($A192,'Data shares'!$C:$FB,58)</f>
        <v>158199225</v>
      </c>
      <c r="K192" s="49">
        <f>VLOOKUP($A192,'Data shares'!$C:$FB,59)</f>
        <v>186402350</v>
      </c>
      <c r="L192" s="50">
        <f>VLOOKUP($A192,'Data shares'!$C:$FB,61)*100</f>
        <v>-15.129999999999999</v>
      </c>
      <c r="M192" s="49">
        <f>VLOOKUP($A192,'Data shares'!$C:$FB,62)</f>
        <v>57047025</v>
      </c>
      <c r="N192" s="49">
        <f>VLOOKUP($A192,'Data shares'!$C:$FB,63)</f>
        <v>116404450</v>
      </c>
      <c r="O192" s="140">
        <f>VLOOKUP($A192,'Data shares'!$C:$FB,65)*100</f>
        <v>-50.99</v>
      </c>
    </row>
    <row r="193" spans="1:15" x14ac:dyDescent="0.25">
      <c r="A193" s="101" t="str">
        <f>'Data Vlaue (Cr)'!C188</f>
        <v>SWIGGY</v>
      </c>
      <c r="B193" s="50">
        <f>VLOOKUP($A193,'Data shares'!$C:$FB,7)</f>
        <v>320.3</v>
      </c>
      <c r="C193" s="50">
        <f>VLOOKUP($A193,'Data shares'!$C:$FB,10)*100</f>
        <v>-4.26</v>
      </c>
      <c r="D193" s="49">
        <f>VLOOKUP($A193,'Data shares'!$C:$FB,66)</f>
        <v>88299900</v>
      </c>
      <c r="E193" s="49">
        <f>VLOOKUP($A193,'Data shares'!$C:$FB,67)</f>
        <v>61834500</v>
      </c>
      <c r="F193" s="50">
        <f>VLOOKUP($A193,'Data shares'!$C:$FB,69)*100</f>
        <v>42.8</v>
      </c>
      <c r="G193" s="49">
        <f>VLOOKUP($A193,'Data shares'!$C:$FB,42)</f>
        <v>52023400</v>
      </c>
      <c r="H193" s="49">
        <f>VLOOKUP($A193,'Data shares'!$C:$FB,43)</f>
        <v>34058700</v>
      </c>
      <c r="I193" s="50">
        <f>VLOOKUP($A193,'Data shares'!$C:$FB,45)*100</f>
        <v>52.75</v>
      </c>
      <c r="J193" s="49">
        <f>VLOOKUP($A193,'Data shares'!$C:$FB,58)</f>
        <v>20241000</v>
      </c>
      <c r="K193" s="49">
        <f>VLOOKUP($A193,'Data shares'!$C:$FB,59)</f>
        <v>19168500</v>
      </c>
      <c r="L193" s="50">
        <f>VLOOKUP($A193,'Data shares'!$C:$FB,61)*100</f>
        <v>5.6000000000000005</v>
      </c>
      <c r="M193" s="49">
        <f>VLOOKUP($A193,'Data shares'!$C:$FB,62)</f>
        <v>16035500</v>
      </c>
      <c r="N193" s="49">
        <f>VLOOKUP($A193,'Data shares'!$C:$FB,63)</f>
        <v>8607300</v>
      </c>
      <c r="O193" s="140">
        <f>VLOOKUP($A193,'Data shares'!$C:$FB,65)*100</f>
        <v>86.3</v>
      </c>
    </row>
    <row r="194" spans="1:15" x14ac:dyDescent="0.25">
      <c r="A194" s="101" t="str">
        <f>'Data Vlaue (Cr)'!C189</f>
        <v>SYNGENE</v>
      </c>
      <c r="B194" s="50">
        <f>VLOOKUP($A194,'Data shares'!$C:$FB,7)</f>
        <v>592.6</v>
      </c>
      <c r="C194" s="50">
        <f>VLOOKUP($A194,'Data shares'!$C:$FB,10)*100</f>
        <v>-1.37</v>
      </c>
      <c r="D194" s="49">
        <f>VLOOKUP($A194,'Data shares'!$C:$FB,66)</f>
        <v>24126000</v>
      </c>
      <c r="E194" s="49">
        <f>VLOOKUP($A194,'Data shares'!$C:$FB,67)</f>
        <v>11825000</v>
      </c>
      <c r="F194" s="50">
        <f>VLOOKUP($A194,'Data shares'!$C:$FB,69)*100</f>
        <v>104.03</v>
      </c>
      <c r="G194" s="49">
        <f>VLOOKUP($A194,'Data shares'!$C:$FB,42)</f>
        <v>10170000</v>
      </c>
      <c r="H194" s="49">
        <f>VLOOKUP($A194,'Data shares'!$C:$FB,43)</f>
        <v>5039000</v>
      </c>
      <c r="I194" s="50">
        <f>VLOOKUP($A194,'Data shares'!$C:$FB,45)*100</f>
        <v>101.83</v>
      </c>
      <c r="J194" s="49">
        <f>VLOOKUP($A194,'Data shares'!$C:$FB,58)</f>
        <v>6325000</v>
      </c>
      <c r="K194" s="49">
        <f>VLOOKUP($A194,'Data shares'!$C:$FB,59)</f>
        <v>4265000</v>
      </c>
      <c r="L194" s="50">
        <f>VLOOKUP($A194,'Data shares'!$C:$FB,61)*100</f>
        <v>48.3</v>
      </c>
      <c r="M194" s="49">
        <f>VLOOKUP($A194,'Data shares'!$C:$FB,62)</f>
        <v>7631000</v>
      </c>
      <c r="N194" s="49">
        <f>VLOOKUP($A194,'Data shares'!$C:$FB,63)</f>
        <v>2521000</v>
      </c>
      <c r="O194" s="140">
        <f>VLOOKUP($A194,'Data shares'!$C:$FB,65)*100</f>
        <v>202.70000000000002</v>
      </c>
    </row>
    <row r="195" spans="1:15" x14ac:dyDescent="0.25">
      <c r="A195" s="101" t="str">
        <f>'Data Vlaue (Cr)'!C190</f>
        <v>TATACONSUM</v>
      </c>
      <c r="B195" s="50">
        <f>VLOOKUP($A195,'Data shares'!$C:$FB,7)</f>
        <v>1175.2</v>
      </c>
      <c r="C195" s="50">
        <f>VLOOKUP($A195,'Data shares'!$C:$FB,10)*100</f>
        <v>1</v>
      </c>
      <c r="D195" s="49">
        <f>VLOOKUP($A195,'Data shares'!$C:$FB,66)</f>
        <v>19568450</v>
      </c>
      <c r="E195" s="49">
        <f>VLOOKUP($A195,'Data shares'!$C:$FB,67)</f>
        <v>19023400</v>
      </c>
      <c r="F195" s="50">
        <f>VLOOKUP($A195,'Data shares'!$C:$FB,69)*100</f>
        <v>2.87</v>
      </c>
      <c r="G195" s="49">
        <f>VLOOKUP($A195,'Data shares'!$C:$FB,42)</f>
        <v>9967650</v>
      </c>
      <c r="H195" s="49">
        <f>VLOOKUP($A195,'Data shares'!$C:$FB,43)</f>
        <v>7684600</v>
      </c>
      <c r="I195" s="50">
        <f>VLOOKUP($A195,'Data shares'!$C:$FB,45)*100</f>
        <v>29.709999999999997</v>
      </c>
      <c r="J195" s="49">
        <f>VLOOKUP($A195,'Data shares'!$C:$FB,58)</f>
        <v>5929000</v>
      </c>
      <c r="K195" s="49">
        <f>VLOOKUP($A195,'Data shares'!$C:$FB,59)</f>
        <v>7714850</v>
      </c>
      <c r="L195" s="50">
        <f>VLOOKUP($A195,'Data shares'!$C:$FB,61)*100</f>
        <v>-23.150000000000002</v>
      </c>
      <c r="M195" s="49">
        <f>VLOOKUP($A195,'Data shares'!$C:$FB,62)</f>
        <v>3671800</v>
      </c>
      <c r="N195" s="49">
        <f>VLOOKUP($A195,'Data shares'!$C:$FB,63)</f>
        <v>3623950</v>
      </c>
      <c r="O195" s="140">
        <f>VLOOKUP($A195,'Data shares'!$C:$FB,65)*100</f>
        <v>1.32</v>
      </c>
    </row>
    <row r="196" spans="1:15" x14ac:dyDescent="0.25">
      <c r="A196" s="101" t="str">
        <f>'Data Vlaue (Cr)'!C191</f>
        <v>TATAELXSI</v>
      </c>
      <c r="B196" s="50">
        <f>VLOOKUP($A196,'Data shares'!$C:$FB,7)</f>
        <v>5464</v>
      </c>
      <c r="C196" s="50">
        <f>VLOOKUP($A196,'Data shares'!$C:$FB,10)*100</f>
        <v>2.1800000000000002</v>
      </c>
      <c r="D196" s="49">
        <f>VLOOKUP($A196,'Data shares'!$C:$FB,66)</f>
        <v>7698100</v>
      </c>
      <c r="E196" s="49">
        <f>VLOOKUP($A196,'Data shares'!$C:$FB,67)</f>
        <v>6677500</v>
      </c>
      <c r="F196" s="50">
        <f>VLOOKUP($A196,'Data shares'!$C:$FB,69)*100</f>
        <v>15.28</v>
      </c>
      <c r="G196" s="49">
        <f>VLOOKUP($A196,'Data shares'!$C:$FB,42)</f>
        <v>1553500</v>
      </c>
      <c r="H196" s="49">
        <f>VLOOKUP($A196,'Data shares'!$C:$FB,43)</f>
        <v>1229600</v>
      </c>
      <c r="I196" s="50">
        <f>VLOOKUP($A196,'Data shares'!$C:$FB,45)*100</f>
        <v>26.340000000000003</v>
      </c>
      <c r="J196" s="49">
        <f>VLOOKUP($A196,'Data shares'!$C:$FB,58)</f>
        <v>4163300</v>
      </c>
      <c r="K196" s="49">
        <f>VLOOKUP($A196,'Data shares'!$C:$FB,59)</f>
        <v>3400800</v>
      </c>
      <c r="L196" s="50">
        <f>VLOOKUP($A196,'Data shares'!$C:$FB,61)*100</f>
        <v>22.42</v>
      </c>
      <c r="M196" s="49">
        <f>VLOOKUP($A196,'Data shares'!$C:$FB,62)</f>
        <v>1981300</v>
      </c>
      <c r="N196" s="49">
        <f>VLOOKUP($A196,'Data shares'!$C:$FB,63)</f>
        <v>2047100</v>
      </c>
      <c r="O196" s="140">
        <f>VLOOKUP($A196,'Data shares'!$C:$FB,65)*100</f>
        <v>-3.2099999999999995</v>
      </c>
    </row>
    <row r="197" spans="1:15" x14ac:dyDescent="0.25">
      <c r="A197" s="101" t="str">
        <f>'Data Vlaue (Cr)'!C192</f>
        <v>TATAPOWER</v>
      </c>
      <c r="B197" s="50">
        <f>VLOOKUP($A197,'Data shares'!$C:$FB,7)</f>
        <v>353.3</v>
      </c>
      <c r="C197" s="50">
        <f>VLOOKUP($A197,'Data shares'!$C:$FB,10)*100</f>
        <v>1.1299999999999999</v>
      </c>
      <c r="D197" s="49">
        <f>VLOOKUP($A197,'Data shares'!$C:$FB,66)</f>
        <v>91271700</v>
      </c>
      <c r="E197" s="49">
        <f>VLOOKUP($A197,'Data shares'!$C:$FB,67)</f>
        <v>99802050</v>
      </c>
      <c r="F197" s="50">
        <f>VLOOKUP($A197,'Data shares'!$C:$FB,69)*100</f>
        <v>-8.5500000000000007</v>
      </c>
      <c r="G197" s="49">
        <f>VLOOKUP($A197,'Data shares'!$C:$FB,42)</f>
        <v>35258200</v>
      </c>
      <c r="H197" s="49">
        <f>VLOOKUP($A197,'Data shares'!$C:$FB,43)</f>
        <v>30766100</v>
      </c>
      <c r="I197" s="50">
        <f>VLOOKUP($A197,'Data shares'!$C:$FB,45)*100</f>
        <v>14.6</v>
      </c>
      <c r="J197" s="49">
        <f>VLOOKUP($A197,'Data shares'!$C:$FB,58)</f>
        <v>35794700</v>
      </c>
      <c r="K197" s="49">
        <f>VLOOKUP($A197,'Data shares'!$C:$FB,59)</f>
        <v>43736350</v>
      </c>
      <c r="L197" s="50">
        <f>VLOOKUP($A197,'Data shares'!$C:$FB,61)*100</f>
        <v>-18.16</v>
      </c>
      <c r="M197" s="49">
        <f>VLOOKUP($A197,'Data shares'!$C:$FB,62)</f>
        <v>20218800</v>
      </c>
      <c r="N197" s="49">
        <f>VLOOKUP($A197,'Data shares'!$C:$FB,63)</f>
        <v>25299600</v>
      </c>
      <c r="O197" s="140">
        <f>VLOOKUP($A197,'Data shares'!$C:$FB,65)*100</f>
        <v>-20.080000000000002</v>
      </c>
    </row>
    <row r="198" spans="1:15" x14ac:dyDescent="0.25">
      <c r="A198" s="101" t="str">
        <f>'Data Vlaue (Cr)'!C193</f>
        <v>TATASTEEL</v>
      </c>
      <c r="B198" s="50">
        <f>VLOOKUP($A198,'Data shares'!$C:$FB,7)</f>
        <v>189.1</v>
      </c>
      <c r="C198" s="50">
        <f>VLOOKUP($A198,'Data shares'!$C:$FB,10)*100</f>
        <v>2.54</v>
      </c>
      <c r="D198" s="49">
        <f>VLOOKUP($A198,'Data shares'!$C:$FB,66)</f>
        <v>728695000</v>
      </c>
      <c r="E198" s="49">
        <f>VLOOKUP($A198,'Data shares'!$C:$FB,67)</f>
        <v>527983500</v>
      </c>
      <c r="F198" s="50">
        <f>VLOOKUP($A198,'Data shares'!$C:$FB,69)*100</f>
        <v>38.01</v>
      </c>
      <c r="G198" s="49">
        <f>VLOOKUP($A198,'Data shares'!$C:$FB,42)</f>
        <v>200579500</v>
      </c>
      <c r="H198" s="49">
        <f>VLOOKUP($A198,'Data shares'!$C:$FB,43)</f>
        <v>141977000</v>
      </c>
      <c r="I198" s="50">
        <f>VLOOKUP($A198,'Data shares'!$C:$FB,45)*100</f>
        <v>41.28</v>
      </c>
      <c r="J198" s="49">
        <f>VLOOKUP($A198,'Data shares'!$C:$FB,58)</f>
        <v>336396500</v>
      </c>
      <c r="K198" s="49">
        <f>VLOOKUP($A198,'Data shares'!$C:$FB,59)</f>
        <v>246009500</v>
      </c>
      <c r="L198" s="50">
        <f>VLOOKUP($A198,'Data shares'!$C:$FB,61)*100</f>
        <v>36.74</v>
      </c>
      <c r="M198" s="49">
        <f>VLOOKUP($A198,'Data shares'!$C:$FB,62)</f>
        <v>191719000</v>
      </c>
      <c r="N198" s="49">
        <f>VLOOKUP($A198,'Data shares'!$C:$FB,63)</f>
        <v>139997000</v>
      </c>
      <c r="O198" s="140">
        <f>VLOOKUP($A198,'Data shares'!$C:$FB,65)*100</f>
        <v>36.950000000000003</v>
      </c>
    </row>
    <row r="199" spans="1:15" x14ac:dyDescent="0.25">
      <c r="A199" s="101" t="str">
        <f>'Data Vlaue (Cr)'!C194</f>
        <v>TATATECH</v>
      </c>
      <c r="B199" s="50">
        <f>VLOOKUP($A199,'Data shares'!$C:$FB,7)</f>
        <v>652.15</v>
      </c>
      <c r="C199" s="50">
        <f>VLOOKUP($A199,'Data shares'!$C:$FB,10)*100</f>
        <v>1.3</v>
      </c>
      <c r="D199" s="49">
        <f>VLOOKUP($A199,'Data shares'!$C:$FB,66)</f>
        <v>21852800</v>
      </c>
      <c r="E199" s="49">
        <f>VLOOKUP($A199,'Data shares'!$C:$FB,67)</f>
        <v>26108000</v>
      </c>
      <c r="F199" s="50">
        <f>VLOOKUP($A199,'Data shares'!$C:$FB,69)*100</f>
        <v>-16.3</v>
      </c>
      <c r="G199" s="49">
        <f>VLOOKUP($A199,'Data shares'!$C:$FB,42)</f>
        <v>10064800</v>
      </c>
      <c r="H199" s="49">
        <f>VLOOKUP($A199,'Data shares'!$C:$FB,43)</f>
        <v>5125600</v>
      </c>
      <c r="I199" s="50">
        <f>VLOOKUP($A199,'Data shares'!$C:$FB,45)*100</f>
        <v>96.36</v>
      </c>
      <c r="J199" s="49">
        <f>VLOOKUP($A199,'Data shares'!$C:$FB,58)</f>
        <v>7144000</v>
      </c>
      <c r="K199" s="49">
        <f>VLOOKUP($A199,'Data shares'!$C:$FB,59)</f>
        <v>12056000</v>
      </c>
      <c r="L199" s="50">
        <f>VLOOKUP($A199,'Data shares'!$C:$FB,61)*100</f>
        <v>-40.739999999999995</v>
      </c>
      <c r="M199" s="49">
        <f>VLOOKUP($A199,'Data shares'!$C:$FB,62)</f>
        <v>4644000</v>
      </c>
      <c r="N199" s="49">
        <f>VLOOKUP($A199,'Data shares'!$C:$FB,63)</f>
        <v>8926400</v>
      </c>
      <c r="O199" s="140">
        <f>VLOOKUP($A199,'Data shares'!$C:$FB,65)*100</f>
        <v>-47.97</v>
      </c>
    </row>
    <row r="200" spans="1:15" x14ac:dyDescent="0.25">
      <c r="A200" s="101" t="str">
        <f>'Data Vlaue (Cr)'!C195</f>
        <v>TCS</v>
      </c>
      <c r="B200" s="50">
        <f>VLOOKUP($A200,'Data shares'!$C:$FB,7)</f>
        <v>3150.4</v>
      </c>
      <c r="C200" s="50">
        <f>VLOOKUP($A200,'Data shares'!$C:$FB,10)*100</f>
        <v>0.89</v>
      </c>
      <c r="D200" s="49">
        <f>VLOOKUP($A200,'Data shares'!$C:$FB,66)</f>
        <v>40762925</v>
      </c>
      <c r="E200" s="49">
        <f>VLOOKUP($A200,'Data shares'!$C:$FB,67)</f>
        <v>58798075</v>
      </c>
      <c r="F200" s="50">
        <f>VLOOKUP($A200,'Data shares'!$C:$FB,69)*100</f>
        <v>-30.669999999999998</v>
      </c>
      <c r="G200" s="49">
        <f>VLOOKUP($A200,'Data shares'!$C:$FB,42)</f>
        <v>11853975</v>
      </c>
      <c r="H200" s="49">
        <f>VLOOKUP($A200,'Data shares'!$C:$FB,43)</f>
        <v>20502125</v>
      </c>
      <c r="I200" s="50">
        <f>VLOOKUP($A200,'Data shares'!$C:$FB,45)*100</f>
        <v>-42.18</v>
      </c>
      <c r="J200" s="49">
        <f>VLOOKUP($A200,'Data shares'!$C:$FB,58)</f>
        <v>18113900</v>
      </c>
      <c r="K200" s="49">
        <f>VLOOKUP($A200,'Data shares'!$C:$FB,59)</f>
        <v>23171925</v>
      </c>
      <c r="L200" s="50">
        <f>VLOOKUP($A200,'Data shares'!$C:$FB,61)*100</f>
        <v>-21.83</v>
      </c>
      <c r="M200" s="49">
        <f>VLOOKUP($A200,'Data shares'!$C:$FB,62)</f>
        <v>10795050</v>
      </c>
      <c r="N200" s="49">
        <f>VLOOKUP($A200,'Data shares'!$C:$FB,63)</f>
        <v>15124025</v>
      </c>
      <c r="O200" s="140">
        <f>VLOOKUP($A200,'Data shares'!$C:$FB,65)*100</f>
        <v>-28.62</v>
      </c>
    </row>
    <row r="201" spans="1:15" x14ac:dyDescent="0.25">
      <c r="A201" s="101" t="str">
        <f>'Data Vlaue (Cr)'!C196</f>
        <v>TECHM</v>
      </c>
      <c r="B201" s="50">
        <f>VLOOKUP($A201,'Data shares'!$C:$FB,7)</f>
        <v>1687.4</v>
      </c>
      <c r="C201" s="50">
        <f>VLOOKUP($A201,'Data shares'!$C:$FB,10)*100</f>
        <v>0.04</v>
      </c>
      <c r="D201" s="49">
        <f>VLOOKUP($A201,'Data shares'!$C:$FB,66)</f>
        <v>44214000</v>
      </c>
      <c r="E201" s="49">
        <f>VLOOKUP($A201,'Data shares'!$C:$FB,67)</f>
        <v>30587400</v>
      </c>
      <c r="F201" s="50">
        <f>VLOOKUP($A201,'Data shares'!$C:$FB,69)*100</f>
        <v>44.55</v>
      </c>
      <c r="G201" s="49">
        <f>VLOOKUP($A201,'Data shares'!$C:$FB,42)</f>
        <v>18345000</v>
      </c>
      <c r="H201" s="49">
        <f>VLOOKUP($A201,'Data shares'!$C:$FB,43)</f>
        <v>10161000</v>
      </c>
      <c r="I201" s="50">
        <f>VLOOKUP($A201,'Data shares'!$C:$FB,45)*100</f>
        <v>80.540000000000006</v>
      </c>
      <c r="J201" s="49">
        <f>VLOOKUP($A201,'Data shares'!$C:$FB,58)</f>
        <v>16974000</v>
      </c>
      <c r="K201" s="49">
        <f>VLOOKUP($A201,'Data shares'!$C:$FB,59)</f>
        <v>11722800</v>
      </c>
      <c r="L201" s="50">
        <f>VLOOKUP($A201,'Data shares'!$C:$FB,61)*100</f>
        <v>44.79</v>
      </c>
      <c r="M201" s="49">
        <f>VLOOKUP($A201,'Data shares'!$C:$FB,62)</f>
        <v>8895000</v>
      </c>
      <c r="N201" s="49">
        <f>VLOOKUP($A201,'Data shares'!$C:$FB,63)</f>
        <v>8703600</v>
      </c>
      <c r="O201" s="140">
        <f>VLOOKUP($A201,'Data shares'!$C:$FB,65)*100</f>
        <v>2.1999999999999997</v>
      </c>
    </row>
    <row r="202" spans="1:15" x14ac:dyDescent="0.25">
      <c r="A202" s="101" t="str">
        <f>'Data Vlaue (Cr)'!C197</f>
        <v>TIINDIA</v>
      </c>
      <c r="B202" s="50">
        <f>VLOOKUP($A202,'Data shares'!$C:$FB,7)</f>
        <v>2296.8000000000002</v>
      </c>
      <c r="C202" s="50">
        <f>VLOOKUP($A202,'Data shares'!$C:$FB,10)*100</f>
        <v>1.05</v>
      </c>
      <c r="D202" s="49">
        <f>VLOOKUP($A202,'Data shares'!$C:$FB,66)</f>
        <v>3826000</v>
      </c>
      <c r="E202" s="49">
        <f>VLOOKUP($A202,'Data shares'!$C:$FB,67)</f>
        <v>4090400</v>
      </c>
      <c r="F202" s="50">
        <f>VLOOKUP($A202,'Data shares'!$C:$FB,69)*100</f>
        <v>-6.4600000000000009</v>
      </c>
      <c r="G202" s="49">
        <f>VLOOKUP($A202,'Data shares'!$C:$FB,42)</f>
        <v>2655600</v>
      </c>
      <c r="H202" s="49">
        <f>VLOOKUP($A202,'Data shares'!$C:$FB,43)</f>
        <v>2107200</v>
      </c>
      <c r="I202" s="50">
        <f>VLOOKUP($A202,'Data shares'!$C:$FB,45)*100</f>
        <v>26.029999999999998</v>
      </c>
      <c r="J202" s="49">
        <f>VLOOKUP($A202,'Data shares'!$C:$FB,58)</f>
        <v>783000</v>
      </c>
      <c r="K202" s="49">
        <f>VLOOKUP($A202,'Data shares'!$C:$FB,59)</f>
        <v>1195200</v>
      </c>
      <c r="L202" s="50">
        <f>VLOOKUP($A202,'Data shares'!$C:$FB,61)*100</f>
        <v>-34.489999999999995</v>
      </c>
      <c r="M202" s="49">
        <f>VLOOKUP($A202,'Data shares'!$C:$FB,62)</f>
        <v>387400</v>
      </c>
      <c r="N202" s="49">
        <f>VLOOKUP($A202,'Data shares'!$C:$FB,63)</f>
        <v>788000</v>
      </c>
      <c r="O202" s="140">
        <f>VLOOKUP($A202,'Data shares'!$C:$FB,65)*100</f>
        <v>-50.839999999999996</v>
      </c>
    </row>
    <row r="203" spans="1:15" x14ac:dyDescent="0.25">
      <c r="A203" s="101" t="str">
        <f>'Data Vlaue (Cr)'!C198</f>
        <v>TITAN</v>
      </c>
      <c r="B203" s="50">
        <f>VLOOKUP($A203,'Data shares'!$C:$FB,7)</f>
        <v>4018.6</v>
      </c>
      <c r="C203" s="50">
        <f>VLOOKUP($A203,'Data shares'!$C:$FB,10)*100</f>
        <v>-1.49</v>
      </c>
      <c r="D203" s="49">
        <f>VLOOKUP($A203,'Data shares'!$C:$FB,66)</f>
        <v>26336450</v>
      </c>
      <c r="E203" s="49">
        <f>VLOOKUP($A203,'Data shares'!$C:$FB,67)</f>
        <v>15237950</v>
      </c>
      <c r="F203" s="50">
        <f>VLOOKUP($A203,'Data shares'!$C:$FB,69)*100</f>
        <v>72.83</v>
      </c>
      <c r="G203" s="49">
        <f>VLOOKUP($A203,'Data shares'!$C:$FB,42)</f>
        <v>6704950</v>
      </c>
      <c r="H203" s="49">
        <f>VLOOKUP($A203,'Data shares'!$C:$FB,43)</f>
        <v>4863425</v>
      </c>
      <c r="I203" s="50">
        <f>VLOOKUP($A203,'Data shares'!$C:$FB,45)*100</f>
        <v>37.86</v>
      </c>
      <c r="J203" s="49">
        <f>VLOOKUP($A203,'Data shares'!$C:$FB,58)</f>
        <v>11252325</v>
      </c>
      <c r="K203" s="49">
        <f>VLOOKUP($A203,'Data shares'!$C:$FB,59)</f>
        <v>5818225</v>
      </c>
      <c r="L203" s="50">
        <f>VLOOKUP($A203,'Data shares'!$C:$FB,61)*100</f>
        <v>93.4</v>
      </c>
      <c r="M203" s="49">
        <f>VLOOKUP($A203,'Data shares'!$C:$FB,62)</f>
        <v>8379175</v>
      </c>
      <c r="N203" s="49">
        <f>VLOOKUP($A203,'Data shares'!$C:$FB,63)</f>
        <v>4556300</v>
      </c>
      <c r="O203" s="140">
        <f>VLOOKUP($A203,'Data shares'!$C:$FB,65)*100</f>
        <v>83.899999999999991</v>
      </c>
    </row>
    <row r="204" spans="1:15" x14ac:dyDescent="0.25">
      <c r="A204" s="101" t="str">
        <f>'Data Vlaue (Cr)'!C199</f>
        <v>TMPV</v>
      </c>
      <c r="B204" s="50">
        <f>VLOOKUP($A204,'Data shares'!$C:$FB,7)</f>
        <v>347.3</v>
      </c>
      <c r="C204" s="50">
        <f>VLOOKUP($A204,'Data shares'!$C:$FB,10)*100</f>
        <v>2.37</v>
      </c>
      <c r="D204" s="49">
        <f>VLOOKUP($A204,'Data shares'!$C:$FB,66)</f>
        <v>218515200</v>
      </c>
      <c r="E204" s="49">
        <f>VLOOKUP($A204,'Data shares'!$C:$FB,67)</f>
        <v>174445600</v>
      </c>
      <c r="F204" s="50">
        <f>VLOOKUP($A204,'Data shares'!$C:$FB,69)*100</f>
        <v>25.259999999999998</v>
      </c>
      <c r="G204" s="49">
        <f>VLOOKUP($A204,'Data shares'!$C:$FB,42)</f>
        <v>74836800</v>
      </c>
      <c r="H204" s="49">
        <f>VLOOKUP($A204,'Data shares'!$C:$FB,43)</f>
        <v>60676800</v>
      </c>
      <c r="I204" s="50">
        <f>VLOOKUP($A204,'Data shares'!$C:$FB,45)*100</f>
        <v>23.34</v>
      </c>
      <c r="J204" s="49">
        <f>VLOOKUP($A204,'Data shares'!$C:$FB,58)</f>
        <v>97452800</v>
      </c>
      <c r="K204" s="49">
        <f>VLOOKUP($A204,'Data shares'!$C:$FB,59)</f>
        <v>70716000</v>
      </c>
      <c r="L204" s="50">
        <f>VLOOKUP($A204,'Data shares'!$C:$FB,61)*100</f>
        <v>37.81</v>
      </c>
      <c r="M204" s="49">
        <f>VLOOKUP($A204,'Data shares'!$C:$FB,62)</f>
        <v>46225600</v>
      </c>
      <c r="N204" s="49">
        <f>VLOOKUP($A204,'Data shares'!$C:$FB,63)</f>
        <v>43052800</v>
      </c>
      <c r="O204" s="140">
        <f>VLOOKUP($A204,'Data shares'!$C:$FB,65)*100</f>
        <v>7.37</v>
      </c>
    </row>
    <row r="205" spans="1:15" x14ac:dyDescent="0.25">
      <c r="A205" s="101" t="str">
        <f>'Data Vlaue (Cr)'!C200</f>
        <v>TORNTPHARM</v>
      </c>
      <c r="B205" s="50">
        <f>VLOOKUP($A205,'Data shares'!$C:$FB,7)</f>
        <v>4020.5</v>
      </c>
      <c r="C205" s="50">
        <f>VLOOKUP($A205,'Data shares'!$C:$FB,10)*100</f>
        <v>0.97</v>
      </c>
      <c r="D205" s="49">
        <f>VLOOKUP($A205,'Data shares'!$C:$FB,66)</f>
        <v>2840750</v>
      </c>
      <c r="E205" s="49">
        <f>VLOOKUP($A205,'Data shares'!$C:$FB,67)</f>
        <v>3169250</v>
      </c>
      <c r="F205" s="50">
        <f>VLOOKUP($A205,'Data shares'!$C:$FB,69)*100</f>
        <v>-10.37</v>
      </c>
      <c r="G205" s="49">
        <f>VLOOKUP($A205,'Data shares'!$C:$FB,42)</f>
        <v>1827500</v>
      </c>
      <c r="H205" s="49">
        <f>VLOOKUP($A205,'Data shares'!$C:$FB,43)</f>
        <v>1915000</v>
      </c>
      <c r="I205" s="50">
        <f>VLOOKUP($A205,'Data shares'!$C:$FB,45)*100</f>
        <v>-4.5699999999999994</v>
      </c>
      <c r="J205" s="49">
        <f>VLOOKUP($A205,'Data shares'!$C:$FB,58)</f>
        <v>572500</v>
      </c>
      <c r="K205" s="49">
        <f>VLOOKUP($A205,'Data shares'!$C:$FB,59)</f>
        <v>804250</v>
      </c>
      <c r="L205" s="50">
        <f>VLOOKUP($A205,'Data shares'!$C:$FB,61)*100</f>
        <v>-28.82</v>
      </c>
      <c r="M205" s="49">
        <f>VLOOKUP($A205,'Data shares'!$C:$FB,62)</f>
        <v>440750</v>
      </c>
      <c r="N205" s="49">
        <f>VLOOKUP($A205,'Data shares'!$C:$FB,63)</f>
        <v>450000</v>
      </c>
      <c r="O205" s="140">
        <f>VLOOKUP($A205,'Data shares'!$C:$FB,65)*100</f>
        <v>-2.06</v>
      </c>
    </row>
    <row r="206" spans="1:15" x14ac:dyDescent="0.25">
      <c r="A206" s="101" t="str">
        <f>'Data Vlaue (Cr)'!C201</f>
        <v>TORNTPOWER</v>
      </c>
      <c r="B206" s="50">
        <f>VLOOKUP($A206,'Data shares'!$C:$FB,7)</f>
        <v>1321.4</v>
      </c>
      <c r="C206" s="50">
        <f>VLOOKUP($A206,'Data shares'!$C:$FB,10)*100</f>
        <v>1.63</v>
      </c>
      <c r="D206" s="49">
        <f>VLOOKUP($A206,'Data shares'!$C:$FB,66)</f>
        <v>4079575</v>
      </c>
      <c r="E206" s="49">
        <f>VLOOKUP($A206,'Data shares'!$C:$FB,67)</f>
        <v>5578125</v>
      </c>
      <c r="F206" s="50">
        <f>VLOOKUP($A206,'Data shares'!$C:$FB,69)*100</f>
        <v>-26.86</v>
      </c>
      <c r="G206" s="49">
        <f>VLOOKUP($A206,'Data shares'!$C:$FB,42)</f>
        <v>2957575</v>
      </c>
      <c r="H206" s="49">
        <f>VLOOKUP($A206,'Data shares'!$C:$FB,43)</f>
        <v>3224900</v>
      </c>
      <c r="I206" s="50">
        <f>VLOOKUP($A206,'Data shares'!$C:$FB,45)*100</f>
        <v>-8.2900000000000009</v>
      </c>
      <c r="J206" s="49">
        <f>VLOOKUP($A206,'Data shares'!$C:$FB,58)</f>
        <v>807500</v>
      </c>
      <c r="K206" s="49">
        <f>VLOOKUP($A206,'Data shares'!$C:$FB,59)</f>
        <v>1252050</v>
      </c>
      <c r="L206" s="50">
        <f>VLOOKUP($A206,'Data shares'!$C:$FB,61)*100</f>
        <v>-35.510000000000005</v>
      </c>
      <c r="M206" s="49">
        <f>VLOOKUP($A206,'Data shares'!$C:$FB,62)</f>
        <v>314500</v>
      </c>
      <c r="N206" s="49">
        <f>VLOOKUP($A206,'Data shares'!$C:$FB,63)</f>
        <v>1101175</v>
      </c>
      <c r="O206" s="140">
        <f>VLOOKUP($A206,'Data shares'!$C:$FB,65)*100</f>
        <v>-71.44</v>
      </c>
    </row>
    <row r="207" spans="1:15" x14ac:dyDescent="0.25">
      <c r="A207" s="101" t="str">
        <f>'Data Vlaue (Cr)'!C202</f>
        <v>TRENT</v>
      </c>
      <c r="B207" s="50">
        <f>VLOOKUP($A207,'Data shares'!$C:$FB,7)</f>
        <v>3803.8</v>
      </c>
      <c r="C207" s="50">
        <f>VLOOKUP($A207,'Data shares'!$C:$FB,10)*100</f>
        <v>1.05</v>
      </c>
      <c r="D207" s="49">
        <f>VLOOKUP($A207,'Data shares'!$C:$FB,66)</f>
        <v>19358400</v>
      </c>
      <c r="E207" s="49">
        <f>VLOOKUP($A207,'Data shares'!$C:$FB,67)</f>
        <v>23017500</v>
      </c>
      <c r="F207" s="50">
        <f>VLOOKUP($A207,'Data shares'!$C:$FB,69)*100</f>
        <v>-15.9</v>
      </c>
      <c r="G207" s="49">
        <f>VLOOKUP($A207,'Data shares'!$C:$FB,42)</f>
        <v>5751000</v>
      </c>
      <c r="H207" s="49">
        <f>VLOOKUP($A207,'Data shares'!$C:$FB,43)</f>
        <v>4552900</v>
      </c>
      <c r="I207" s="50">
        <f>VLOOKUP($A207,'Data shares'!$C:$FB,45)*100</f>
        <v>26.32</v>
      </c>
      <c r="J207" s="49">
        <f>VLOOKUP($A207,'Data shares'!$C:$FB,58)</f>
        <v>9458400</v>
      </c>
      <c r="K207" s="49">
        <f>VLOOKUP($A207,'Data shares'!$C:$FB,59)</f>
        <v>11240100</v>
      </c>
      <c r="L207" s="50">
        <f>VLOOKUP($A207,'Data shares'!$C:$FB,61)*100</f>
        <v>-15.85</v>
      </c>
      <c r="M207" s="49">
        <f>VLOOKUP($A207,'Data shares'!$C:$FB,62)</f>
        <v>4149000</v>
      </c>
      <c r="N207" s="49">
        <f>VLOOKUP($A207,'Data shares'!$C:$FB,63)</f>
        <v>7224500</v>
      </c>
      <c r="O207" s="140">
        <f>VLOOKUP($A207,'Data shares'!$C:$FB,65)*100</f>
        <v>-42.57</v>
      </c>
    </row>
    <row r="208" spans="1:15" x14ac:dyDescent="0.25">
      <c r="A208" s="101" t="str">
        <f>'Data Vlaue (Cr)'!C203</f>
        <v>TVSMOTOR</v>
      </c>
      <c r="B208" s="50">
        <f>VLOOKUP($A208,'Data shares'!$C:$FB,7)</f>
        <v>3570.1</v>
      </c>
      <c r="C208" s="50">
        <f>VLOOKUP($A208,'Data shares'!$C:$FB,10)*100</f>
        <v>-0.89</v>
      </c>
      <c r="D208" s="49">
        <f>VLOOKUP($A208,'Data shares'!$C:$FB,66)</f>
        <v>10631600</v>
      </c>
      <c r="E208" s="49">
        <f>VLOOKUP($A208,'Data shares'!$C:$FB,67)</f>
        <v>10418625</v>
      </c>
      <c r="F208" s="50">
        <f>VLOOKUP($A208,'Data shares'!$C:$FB,69)*100</f>
        <v>2.04</v>
      </c>
      <c r="G208" s="49">
        <f>VLOOKUP($A208,'Data shares'!$C:$FB,42)</f>
        <v>6833400</v>
      </c>
      <c r="H208" s="49">
        <f>VLOOKUP($A208,'Data shares'!$C:$FB,43)</f>
        <v>5335750</v>
      </c>
      <c r="I208" s="50">
        <f>VLOOKUP($A208,'Data shares'!$C:$FB,45)*100</f>
        <v>28.07</v>
      </c>
      <c r="J208" s="49">
        <f>VLOOKUP($A208,'Data shares'!$C:$FB,58)</f>
        <v>2695000</v>
      </c>
      <c r="K208" s="49">
        <f>VLOOKUP($A208,'Data shares'!$C:$FB,59)</f>
        <v>3408650</v>
      </c>
      <c r="L208" s="50">
        <f>VLOOKUP($A208,'Data shares'!$C:$FB,61)*100</f>
        <v>-20.94</v>
      </c>
      <c r="M208" s="49">
        <f>VLOOKUP($A208,'Data shares'!$C:$FB,62)</f>
        <v>1103200</v>
      </c>
      <c r="N208" s="49">
        <f>VLOOKUP($A208,'Data shares'!$C:$FB,63)</f>
        <v>1674225</v>
      </c>
      <c r="O208" s="140">
        <f>VLOOKUP($A208,'Data shares'!$C:$FB,65)*100</f>
        <v>-34.11</v>
      </c>
    </row>
    <row r="209" spans="1:15" x14ac:dyDescent="0.25">
      <c r="A209" s="101" t="str">
        <f>'Data Vlaue (Cr)'!C204</f>
        <v>ULTRACEMCO</v>
      </c>
      <c r="B209" s="50">
        <f>VLOOKUP($A209,'Data shares'!$C:$FB,7)</f>
        <v>12364</v>
      </c>
      <c r="C209" s="50">
        <f>VLOOKUP($A209,'Data shares'!$C:$FB,10)*100</f>
        <v>1.0900000000000001</v>
      </c>
      <c r="D209" s="49">
        <f>VLOOKUP($A209,'Data shares'!$C:$FB,66)</f>
        <v>4701900</v>
      </c>
      <c r="E209" s="49">
        <f>VLOOKUP($A209,'Data shares'!$C:$FB,67)</f>
        <v>3960950</v>
      </c>
      <c r="F209" s="50">
        <f>VLOOKUP($A209,'Data shares'!$C:$FB,69)*100</f>
        <v>18.709999999999997</v>
      </c>
      <c r="G209" s="49">
        <f>VLOOKUP($A209,'Data shares'!$C:$FB,42)</f>
        <v>2382500</v>
      </c>
      <c r="H209" s="49">
        <f>VLOOKUP($A209,'Data shares'!$C:$FB,43)</f>
        <v>1443750</v>
      </c>
      <c r="I209" s="50">
        <f>VLOOKUP($A209,'Data shares'!$C:$FB,45)*100</f>
        <v>65.02</v>
      </c>
      <c r="J209" s="49">
        <f>VLOOKUP($A209,'Data shares'!$C:$FB,58)</f>
        <v>1611400</v>
      </c>
      <c r="K209" s="49">
        <f>VLOOKUP($A209,'Data shares'!$C:$FB,59)</f>
        <v>1581550</v>
      </c>
      <c r="L209" s="50">
        <f>VLOOKUP($A209,'Data shares'!$C:$FB,61)*100</f>
        <v>1.8900000000000001</v>
      </c>
      <c r="M209" s="49">
        <f>VLOOKUP($A209,'Data shares'!$C:$FB,62)</f>
        <v>708000</v>
      </c>
      <c r="N209" s="49">
        <f>VLOOKUP($A209,'Data shares'!$C:$FB,63)</f>
        <v>935650</v>
      </c>
      <c r="O209" s="140">
        <f>VLOOKUP($A209,'Data shares'!$C:$FB,65)*100</f>
        <v>-24.33</v>
      </c>
    </row>
    <row r="210" spans="1:15" x14ac:dyDescent="0.25">
      <c r="A210" s="101" t="str">
        <f>'Data Vlaue (Cr)'!C205</f>
        <v>UNIONBANK</v>
      </c>
      <c r="B210" s="50">
        <f>VLOOKUP($A210,'Data shares'!$C:$FB,7)</f>
        <v>174.78</v>
      </c>
      <c r="C210" s="50">
        <f>VLOOKUP($A210,'Data shares'!$C:$FB,10)*100</f>
        <v>1.34</v>
      </c>
      <c r="D210" s="49">
        <f>VLOOKUP($A210,'Data shares'!$C:$FB,66)</f>
        <v>218271975</v>
      </c>
      <c r="E210" s="49">
        <f>VLOOKUP($A210,'Data shares'!$C:$FB,67)</f>
        <v>242910375</v>
      </c>
      <c r="F210" s="50">
        <f>VLOOKUP($A210,'Data shares'!$C:$FB,69)*100</f>
        <v>-10.14</v>
      </c>
      <c r="G210" s="49">
        <f>VLOOKUP($A210,'Data shares'!$C:$FB,42)</f>
        <v>68645025</v>
      </c>
      <c r="H210" s="49">
        <f>VLOOKUP($A210,'Data shares'!$C:$FB,43)</f>
        <v>57224100</v>
      </c>
      <c r="I210" s="50">
        <f>VLOOKUP($A210,'Data shares'!$C:$FB,45)*100</f>
        <v>19.96</v>
      </c>
      <c r="J210" s="49">
        <f>VLOOKUP($A210,'Data shares'!$C:$FB,58)</f>
        <v>96040200</v>
      </c>
      <c r="K210" s="49">
        <f>VLOOKUP($A210,'Data shares'!$C:$FB,59)</f>
        <v>114319875</v>
      </c>
      <c r="L210" s="50">
        <f>VLOOKUP($A210,'Data shares'!$C:$FB,61)*100</f>
        <v>-15.989999999999998</v>
      </c>
      <c r="M210" s="49">
        <f>VLOOKUP($A210,'Data shares'!$C:$FB,62)</f>
        <v>53586750</v>
      </c>
      <c r="N210" s="49">
        <f>VLOOKUP($A210,'Data shares'!$C:$FB,63)</f>
        <v>71366400</v>
      </c>
      <c r="O210" s="140">
        <f>VLOOKUP($A210,'Data shares'!$C:$FB,65)*100</f>
        <v>-24.91</v>
      </c>
    </row>
    <row r="211" spans="1:15" x14ac:dyDescent="0.25">
      <c r="A211" s="101" t="str">
        <f>'Data Vlaue (Cr)'!C206</f>
        <v>UNITDSPR</v>
      </c>
      <c r="B211" s="50">
        <f>VLOOKUP($A211,'Data shares'!$C:$FB,7)</f>
        <v>1338.4</v>
      </c>
      <c r="C211" s="50">
        <f>VLOOKUP($A211,'Data shares'!$C:$FB,10)*100</f>
        <v>1.39</v>
      </c>
      <c r="D211" s="49">
        <f>VLOOKUP($A211,'Data shares'!$C:$FB,66)</f>
        <v>23589600</v>
      </c>
      <c r="E211" s="49">
        <f>VLOOKUP($A211,'Data shares'!$C:$FB,67)</f>
        <v>34764800</v>
      </c>
      <c r="F211" s="50">
        <f>VLOOKUP($A211,'Data shares'!$C:$FB,69)*100</f>
        <v>-32.15</v>
      </c>
      <c r="G211" s="49">
        <f>VLOOKUP($A211,'Data shares'!$C:$FB,42)</f>
        <v>9075200</v>
      </c>
      <c r="H211" s="49">
        <f>VLOOKUP($A211,'Data shares'!$C:$FB,43)</f>
        <v>7184800</v>
      </c>
      <c r="I211" s="50">
        <f>VLOOKUP($A211,'Data shares'!$C:$FB,45)*100</f>
        <v>26.31</v>
      </c>
      <c r="J211" s="49">
        <f>VLOOKUP($A211,'Data shares'!$C:$FB,58)</f>
        <v>9226800</v>
      </c>
      <c r="K211" s="49">
        <f>VLOOKUP($A211,'Data shares'!$C:$FB,59)</f>
        <v>15518800</v>
      </c>
      <c r="L211" s="50">
        <f>VLOOKUP($A211,'Data shares'!$C:$FB,61)*100</f>
        <v>-40.54</v>
      </c>
      <c r="M211" s="49">
        <f>VLOOKUP($A211,'Data shares'!$C:$FB,62)</f>
        <v>5287600</v>
      </c>
      <c r="N211" s="49">
        <f>VLOOKUP($A211,'Data shares'!$C:$FB,63)</f>
        <v>12061200</v>
      </c>
      <c r="O211" s="140">
        <f>VLOOKUP($A211,'Data shares'!$C:$FB,65)*100</f>
        <v>-56.16</v>
      </c>
    </row>
    <row r="212" spans="1:15" x14ac:dyDescent="0.25">
      <c r="A212" s="101" t="str">
        <f>'Data Vlaue (Cr)'!C207</f>
        <v>UNOMINDA</v>
      </c>
      <c r="B212" s="50">
        <f>VLOOKUP($A212,'Data shares'!$C:$FB,7)</f>
        <v>1173.5</v>
      </c>
      <c r="C212" s="50">
        <f>VLOOKUP($A212,'Data shares'!$C:$FB,10)*100</f>
        <v>4</v>
      </c>
      <c r="D212" s="49">
        <f>VLOOKUP($A212,'Data shares'!$C:$FB,66)</f>
        <v>9886250</v>
      </c>
      <c r="E212" s="49">
        <f>VLOOKUP($A212,'Data shares'!$C:$FB,67)</f>
        <v>5066600</v>
      </c>
      <c r="F212" s="50">
        <f>VLOOKUP($A212,'Data shares'!$C:$FB,69)*100</f>
        <v>95.13000000000001</v>
      </c>
      <c r="G212" s="49">
        <f>VLOOKUP($A212,'Data shares'!$C:$FB,42)</f>
        <v>5591850</v>
      </c>
      <c r="H212" s="49">
        <f>VLOOKUP($A212,'Data shares'!$C:$FB,43)</f>
        <v>2952400</v>
      </c>
      <c r="I212" s="50">
        <f>VLOOKUP($A212,'Data shares'!$C:$FB,45)*100</f>
        <v>89.4</v>
      </c>
      <c r="J212" s="49">
        <f>VLOOKUP($A212,'Data shares'!$C:$FB,58)</f>
        <v>3025550</v>
      </c>
      <c r="K212" s="49">
        <f>VLOOKUP($A212,'Data shares'!$C:$FB,59)</f>
        <v>1547700</v>
      </c>
      <c r="L212" s="50">
        <f>VLOOKUP($A212,'Data shares'!$C:$FB,61)*100</f>
        <v>95.49</v>
      </c>
      <c r="M212" s="49">
        <f>VLOOKUP($A212,'Data shares'!$C:$FB,62)</f>
        <v>1268850</v>
      </c>
      <c r="N212" s="49">
        <f>VLOOKUP($A212,'Data shares'!$C:$FB,63)</f>
        <v>566500</v>
      </c>
      <c r="O212" s="140">
        <f>VLOOKUP($A212,'Data shares'!$C:$FB,65)*100</f>
        <v>123.98</v>
      </c>
    </row>
    <row r="213" spans="1:15" x14ac:dyDescent="0.25">
      <c r="A213" s="101" t="str">
        <f>'Data Vlaue (Cr)'!C208</f>
        <v>UPL</v>
      </c>
      <c r="B213" s="50">
        <f>VLOOKUP($A213,'Data shares'!$C:$FB,7)</f>
        <v>700.5</v>
      </c>
      <c r="C213" s="50">
        <f>VLOOKUP($A213,'Data shares'!$C:$FB,10)*100</f>
        <v>1.27</v>
      </c>
      <c r="D213" s="49">
        <f>VLOOKUP($A213,'Data shares'!$C:$FB,66)</f>
        <v>80520875</v>
      </c>
      <c r="E213" s="49">
        <f>VLOOKUP($A213,'Data shares'!$C:$FB,67)</f>
        <v>192313795</v>
      </c>
      <c r="F213" s="50">
        <f>VLOOKUP($A213,'Data shares'!$C:$FB,69)*100</f>
        <v>-58.13</v>
      </c>
      <c r="G213" s="49">
        <f>VLOOKUP($A213,'Data shares'!$C:$FB,42)</f>
        <v>25071565</v>
      </c>
      <c r="H213" s="49">
        <f>VLOOKUP($A213,'Data shares'!$C:$FB,43)</f>
        <v>39979275</v>
      </c>
      <c r="I213" s="50">
        <f>VLOOKUP($A213,'Data shares'!$C:$FB,45)*100</f>
        <v>-37.29</v>
      </c>
      <c r="J213" s="49">
        <f>VLOOKUP($A213,'Data shares'!$C:$FB,58)</f>
        <v>35590430</v>
      </c>
      <c r="K213" s="49">
        <f>VLOOKUP($A213,'Data shares'!$C:$FB,59)</f>
        <v>81125205</v>
      </c>
      <c r="L213" s="50">
        <f>VLOOKUP($A213,'Data shares'!$C:$FB,61)*100</f>
        <v>-56.13</v>
      </c>
      <c r="M213" s="49">
        <f>VLOOKUP($A213,'Data shares'!$C:$FB,62)</f>
        <v>19858880</v>
      </c>
      <c r="N213" s="49">
        <f>VLOOKUP($A213,'Data shares'!$C:$FB,63)</f>
        <v>71209315</v>
      </c>
      <c r="O213" s="140">
        <f>VLOOKUP($A213,'Data shares'!$C:$FB,65)*100</f>
        <v>-72.11</v>
      </c>
    </row>
    <row r="214" spans="1:15" x14ac:dyDescent="0.25">
      <c r="A214" s="101" t="str">
        <f>'Data Vlaue (Cr)'!C209</f>
        <v>VBL</v>
      </c>
      <c r="B214" s="50">
        <f>VLOOKUP($A214,'Data shares'!$C:$FB,7)</f>
        <v>487.1</v>
      </c>
      <c r="C214" s="50">
        <f>VLOOKUP($A214,'Data shares'!$C:$FB,10)*100</f>
        <v>1.9</v>
      </c>
      <c r="D214" s="49">
        <f>VLOOKUP($A214,'Data shares'!$C:$FB,66)</f>
        <v>55738125</v>
      </c>
      <c r="E214" s="49">
        <f>VLOOKUP($A214,'Data shares'!$C:$FB,67)</f>
        <v>67028625</v>
      </c>
      <c r="F214" s="50">
        <f>VLOOKUP($A214,'Data shares'!$C:$FB,69)*100</f>
        <v>-16.84</v>
      </c>
      <c r="G214" s="49">
        <f>VLOOKUP($A214,'Data shares'!$C:$FB,42)</f>
        <v>35703000</v>
      </c>
      <c r="H214" s="49">
        <f>VLOOKUP($A214,'Data shares'!$C:$FB,43)</f>
        <v>27930375</v>
      </c>
      <c r="I214" s="50">
        <f>VLOOKUP($A214,'Data shares'!$C:$FB,45)*100</f>
        <v>27.83</v>
      </c>
      <c r="J214" s="49">
        <f>VLOOKUP($A214,'Data shares'!$C:$FB,58)</f>
        <v>11856375</v>
      </c>
      <c r="K214" s="49">
        <f>VLOOKUP($A214,'Data shares'!$C:$FB,59)</f>
        <v>21102750</v>
      </c>
      <c r="L214" s="50">
        <f>VLOOKUP($A214,'Data shares'!$C:$FB,61)*100</f>
        <v>-43.82</v>
      </c>
      <c r="M214" s="49">
        <f>VLOOKUP($A214,'Data shares'!$C:$FB,62)</f>
        <v>8178750</v>
      </c>
      <c r="N214" s="49">
        <f>VLOOKUP($A214,'Data shares'!$C:$FB,63)</f>
        <v>17995500</v>
      </c>
      <c r="O214" s="140">
        <f>VLOOKUP($A214,'Data shares'!$C:$FB,65)*100</f>
        <v>-54.55</v>
      </c>
    </row>
    <row r="215" spans="1:15" x14ac:dyDescent="0.25">
      <c r="A215" s="101" t="str">
        <f>'Data Vlaue (Cr)'!C210</f>
        <v>VEDL</v>
      </c>
      <c r="B215" s="50">
        <f>VLOOKUP($A215,'Data shares'!$C:$FB,7)</f>
        <v>678.65</v>
      </c>
      <c r="C215" s="50">
        <f>VLOOKUP($A215,'Data shares'!$C:$FB,10)*100</f>
        <v>0.3</v>
      </c>
      <c r="D215" s="49">
        <f>VLOOKUP($A215,'Data shares'!$C:$FB,66)</f>
        <v>332685800</v>
      </c>
      <c r="E215" s="49">
        <f>VLOOKUP($A215,'Data shares'!$C:$FB,67)</f>
        <v>333942750</v>
      </c>
      <c r="F215" s="50">
        <f>VLOOKUP($A215,'Data shares'!$C:$FB,69)*100</f>
        <v>-0.38</v>
      </c>
      <c r="G215" s="49">
        <f>VLOOKUP($A215,'Data shares'!$C:$FB,42)</f>
        <v>59865550</v>
      </c>
      <c r="H215" s="49">
        <f>VLOOKUP($A215,'Data shares'!$C:$FB,43)</f>
        <v>59280200</v>
      </c>
      <c r="I215" s="50">
        <f>VLOOKUP($A215,'Data shares'!$C:$FB,45)*100</f>
        <v>0.9900000000000001</v>
      </c>
      <c r="J215" s="49">
        <f>VLOOKUP($A215,'Data shares'!$C:$FB,58)</f>
        <v>179199900</v>
      </c>
      <c r="K215" s="49">
        <f>VLOOKUP($A215,'Data shares'!$C:$FB,59)</f>
        <v>197054800</v>
      </c>
      <c r="L215" s="50">
        <f>VLOOKUP($A215,'Data shares'!$C:$FB,61)*100</f>
        <v>-9.06</v>
      </c>
      <c r="M215" s="49">
        <f>VLOOKUP($A215,'Data shares'!$C:$FB,62)</f>
        <v>93620350</v>
      </c>
      <c r="N215" s="49">
        <f>VLOOKUP($A215,'Data shares'!$C:$FB,63)</f>
        <v>77607750</v>
      </c>
      <c r="O215" s="140">
        <f>VLOOKUP($A215,'Data shares'!$C:$FB,65)*100</f>
        <v>20.630000000000003</v>
      </c>
    </row>
    <row r="216" spans="1:15" x14ac:dyDescent="0.25">
      <c r="A216" s="101" t="str">
        <f>'Data Vlaue (Cr)'!C211</f>
        <v>VOLTAS</v>
      </c>
      <c r="B216" s="50">
        <f>VLOOKUP($A216,'Data shares'!$C:$FB,7)</f>
        <v>1293.5</v>
      </c>
      <c r="C216" s="50">
        <f>VLOOKUP($A216,'Data shares'!$C:$FB,10)*100</f>
        <v>0.22</v>
      </c>
      <c r="D216" s="49">
        <f>VLOOKUP($A216,'Data shares'!$C:$FB,66)</f>
        <v>21135375</v>
      </c>
      <c r="E216" s="49">
        <f>VLOOKUP($A216,'Data shares'!$C:$FB,67)</f>
        <v>35733000</v>
      </c>
      <c r="F216" s="50">
        <f>VLOOKUP($A216,'Data shares'!$C:$FB,69)*100</f>
        <v>-40.849999999999994</v>
      </c>
      <c r="G216" s="49">
        <f>VLOOKUP($A216,'Data shares'!$C:$FB,42)</f>
        <v>11913375</v>
      </c>
      <c r="H216" s="49">
        <f>VLOOKUP($A216,'Data shares'!$C:$FB,43)</f>
        <v>11203125</v>
      </c>
      <c r="I216" s="50">
        <f>VLOOKUP($A216,'Data shares'!$C:$FB,45)*100</f>
        <v>6.34</v>
      </c>
      <c r="J216" s="49">
        <f>VLOOKUP($A216,'Data shares'!$C:$FB,58)</f>
        <v>5698875</v>
      </c>
      <c r="K216" s="49">
        <f>VLOOKUP($A216,'Data shares'!$C:$FB,59)</f>
        <v>13687875</v>
      </c>
      <c r="L216" s="50">
        <f>VLOOKUP($A216,'Data shares'!$C:$FB,61)*100</f>
        <v>-58.37</v>
      </c>
      <c r="M216" s="49">
        <f>VLOOKUP($A216,'Data shares'!$C:$FB,62)</f>
        <v>3523125</v>
      </c>
      <c r="N216" s="49">
        <f>VLOOKUP($A216,'Data shares'!$C:$FB,63)</f>
        <v>10842000</v>
      </c>
      <c r="O216" s="140">
        <f>VLOOKUP($A216,'Data shares'!$C:$FB,65)*100</f>
        <v>-67.5</v>
      </c>
    </row>
    <row r="217" spans="1:15" x14ac:dyDescent="0.25">
      <c r="A217" s="101" t="str">
        <f>'Data Vlaue (Cr)'!C212</f>
        <v>WAAREEENER</v>
      </c>
      <c r="B217" s="50">
        <f>VLOOKUP($A217,'Data shares'!$C:$FB,7)</f>
        <v>2641.7</v>
      </c>
      <c r="C217" s="50">
        <f>VLOOKUP($A217,'Data shares'!$C:$FB,10)*100</f>
        <v>9.2100000000000009</v>
      </c>
      <c r="D217" s="49">
        <f>VLOOKUP($A217,'Data shares'!$C:$FB,66)</f>
        <v>54910450</v>
      </c>
      <c r="E217" s="49">
        <f>VLOOKUP($A217,'Data shares'!$C:$FB,67)</f>
        <v>10890250</v>
      </c>
      <c r="F217" s="50">
        <f>VLOOKUP($A217,'Data shares'!$C:$FB,69)*100</f>
        <v>404.22</v>
      </c>
      <c r="G217" s="49">
        <f>VLOOKUP($A217,'Data shares'!$C:$FB,42)</f>
        <v>6865425</v>
      </c>
      <c r="H217" s="49">
        <f>VLOOKUP($A217,'Data shares'!$C:$FB,43)</f>
        <v>2777950</v>
      </c>
      <c r="I217" s="50">
        <f>VLOOKUP($A217,'Data shares'!$C:$FB,45)*100</f>
        <v>147.14000000000001</v>
      </c>
      <c r="J217" s="49">
        <f>VLOOKUP($A217,'Data shares'!$C:$FB,58)</f>
        <v>34669425</v>
      </c>
      <c r="K217" s="49">
        <f>VLOOKUP($A217,'Data shares'!$C:$FB,59)</f>
        <v>4432575</v>
      </c>
      <c r="L217" s="50">
        <f>VLOOKUP($A217,'Data shares'!$C:$FB,61)*100</f>
        <v>682.15000000000009</v>
      </c>
      <c r="M217" s="49">
        <f>VLOOKUP($A217,'Data shares'!$C:$FB,62)</f>
        <v>13375600</v>
      </c>
      <c r="N217" s="49">
        <f>VLOOKUP($A217,'Data shares'!$C:$FB,63)</f>
        <v>3679725</v>
      </c>
      <c r="O217" s="140">
        <f>VLOOKUP($A217,'Data shares'!$C:$FB,65)*100</f>
        <v>263.49</v>
      </c>
    </row>
    <row r="218" spans="1:15" x14ac:dyDescent="0.25">
      <c r="A218" s="101" t="str">
        <f>'Data Vlaue (Cr)'!C213</f>
        <v>WIPRO</v>
      </c>
      <c r="B218" s="50">
        <f>VLOOKUP($A218,'Data shares'!$C:$FB,7)</f>
        <v>240.65</v>
      </c>
      <c r="C218" s="50">
        <f>VLOOKUP($A218,'Data shares'!$C:$FB,10)*100</f>
        <v>0.45999999999999996</v>
      </c>
      <c r="D218" s="49">
        <f>VLOOKUP($A218,'Data shares'!$C:$FB,66)</f>
        <v>213525000</v>
      </c>
      <c r="E218" s="49">
        <f>VLOOKUP($A218,'Data shares'!$C:$FB,67)</f>
        <v>311175000</v>
      </c>
      <c r="F218" s="50">
        <f>VLOOKUP($A218,'Data shares'!$C:$FB,69)*100</f>
        <v>-31.380000000000003</v>
      </c>
      <c r="G218" s="49">
        <f>VLOOKUP($A218,'Data shares'!$C:$FB,42)</f>
        <v>104211000</v>
      </c>
      <c r="H218" s="49">
        <f>VLOOKUP($A218,'Data shares'!$C:$FB,43)</f>
        <v>121146000</v>
      </c>
      <c r="I218" s="50">
        <f>VLOOKUP($A218,'Data shares'!$C:$FB,45)*100</f>
        <v>-13.98</v>
      </c>
      <c r="J218" s="49">
        <f>VLOOKUP($A218,'Data shares'!$C:$FB,58)</f>
        <v>73725000</v>
      </c>
      <c r="K218" s="49">
        <f>VLOOKUP($A218,'Data shares'!$C:$FB,59)</f>
        <v>123174000</v>
      </c>
      <c r="L218" s="50">
        <f>VLOOKUP($A218,'Data shares'!$C:$FB,61)*100</f>
        <v>-40.150000000000006</v>
      </c>
      <c r="M218" s="49">
        <f>VLOOKUP($A218,'Data shares'!$C:$FB,62)</f>
        <v>35589000</v>
      </c>
      <c r="N218" s="49">
        <f>VLOOKUP($A218,'Data shares'!$C:$FB,63)</f>
        <v>66855000</v>
      </c>
      <c r="O218" s="140">
        <f>VLOOKUP($A218,'Data shares'!$C:$FB,65)*100</f>
        <v>-46.77</v>
      </c>
    </row>
    <row r="219" spans="1:15" x14ac:dyDescent="0.25">
      <c r="A219" s="101" t="str">
        <f>'Data Vlaue (Cr)'!C214</f>
        <v>YESBANK</v>
      </c>
      <c r="B219" s="50">
        <f>VLOOKUP($A219,'Data shares'!$C:$FB,7)</f>
        <v>21.63</v>
      </c>
      <c r="C219" s="50">
        <f>VLOOKUP($A219,'Data shares'!$C:$FB,10)*100</f>
        <v>-0.13999999999999999</v>
      </c>
      <c r="D219" s="49">
        <f>VLOOKUP($A219,'Data shares'!$C:$FB,66)</f>
        <v>1220084100</v>
      </c>
      <c r="E219" s="49">
        <f>VLOOKUP($A219,'Data shares'!$C:$FB,67)</f>
        <v>1568124200</v>
      </c>
      <c r="F219" s="50">
        <f>VLOOKUP($A219,'Data shares'!$C:$FB,69)*100</f>
        <v>-22.189999999999998</v>
      </c>
      <c r="G219" s="49">
        <f>VLOOKUP($A219,'Data shares'!$C:$FB,42)</f>
        <v>533458300</v>
      </c>
      <c r="H219" s="49">
        <f>VLOOKUP($A219,'Data shares'!$C:$FB,43)</f>
        <v>545338500</v>
      </c>
      <c r="I219" s="50">
        <f>VLOOKUP($A219,'Data shares'!$C:$FB,45)*100</f>
        <v>-2.1800000000000002</v>
      </c>
      <c r="J219" s="49">
        <f>VLOOKUP($A219,'Data shares'!$C:$FB,58)</f>
        <v>494147900</v>
      </c>
      <c r="K219" s="49">
        <f>VLOOKUP($A219,'Data shares'!$C:$FB,59)</f>
        <v>697884000</v>
      </c>
      <c r="L219" s="50">
        <f>VLOOKUP($A219,'Data shares'!$C:$FB,61)*100</f>
        <v>-29.189999999999998</v>
      </c>
      <c r="M219" s="49">
        <f>VLOOKUP($A219,'Data shares'!$C:$FB,62)</f>
        <v>192477900</v>
      </c>
      <c r="N219" s="49">
        <f>VLOOKUP($A219,'Data shares'!$C:$FB,63)</f>
        <v>324901700</v>
      </c>
      <c r="O219" s="140">
        <f>VLOOKUP($A219,'Data shares'!$C:$FB,65)*100</f>
        <v>-40.760000000000005</v>
      </c>
    </row>
    <row r="220" spans="1:15" x14ac:dyDescent="0.25">
      <c r="A220" s="101" t="str">
        <f>'Data Vlaue (Cr)'!C215</f>
        <v>ZYDUSLIFE</v>
      </c>
      <c r="B220" s="50">
        <f>VLOOKUP($A220,'Data shares'!$C:$FB,7)</f>
        <v>885.3</v>
      </c>
      <c r="C220" s="50">
        <f>VLOOKUP($A220,'Data shares'!$C:$FB,10)*100</f>
        <v>1.03</v>
      </c>
      <c r="D220" s="49">
        <f>VLOOKUP($A220,'Data shares'!$C:$FB,66)</f>
        <v>11968200</v>
      </c>
      <c r="E220" s="49">
        <f>VLOOKUP($A220,'Data shares'!$C:$FB,67)</f>
        <v>16900200</v>
      </c>
      <c r="F220" s="50">
        <f>VLOOKUP($A220,'Data shares'!$C:$FB,69)*100</f>
        <v>-29.18</v>
      </c>
      <c r="G220" s="49">
        <f>VLOOKUP($A220,'Data shares'!$C:$FB,42)</f>
        <v>6368400</v>
      </c>
      <c r="H220" s="49">
        <f>VLOOKUP($A220,'Data shares'!$C:$FB,43)</f>
        <v>9345600</v>
      </c>
      <c r="I220" s="50">
        <f>VLOOKUP($A220,'Data shares'!$C:$FB,45)*100</f>
        <v>-31.86</v>
      </c>
      <c r="J220" s="49">
        <f>VLOOKUP($A220,'Data shares'!$C:$FB,58)</f>
        <v>4104000</v>
      </c>
      <c r="K220" s="49">
        <f>VLOOKUP($A220,'Data shares'!$C:$FB,59)</f>
        <v>4873500</v>
      </c>
      <c r="L220" s="50">
        <f>VLOOKUP($A220,'Data shares'!$C:$FB,61)*100</f>
        <v>-15.790000000000001</v>
      </c>
      <c r="M220" s="49">
        <f>VLOOKUP($A220,'Data shares'!$C:$FB,62)</f>
        <v>1495800</v>
      </c>
      <c r="N220" s="49">
        <f>VLOOKUP($A220,'Data shares'!$C:$FB,63)</f>
        <v>2681100</v>
      </c>
      <c r="O220" s="140">
        <f>VLOOKUP($A220,'Data shares'!$C:$FB,65)*100</f>
        <v>-44.21</v>
      </c>
    </row>
    <row r="221" spans="1:15" x14ac:dyDescent="0.25">
      <c r="A221" s="101"/>
      <c r="B221" s="50"/>
      <c r="C221" s="50"/>
      <c r="D221" s="49"/>
      <c r="E221" s="49"/>
      <c r="F221" s="50"/>
      <c r="G221" s="49"/>
      <c r="H221" s="49"/>
      <c r="I221" s="50"/>
      <c r="J221" s="49"/>
      <c r="K221" s="49"/>
      <c r="L221" s="50"/>
      <c r="M221" s="49"/>
      <c r="N221" s="49"/>
      <c r="O221" s="140"/>
    </row>
    <row r="222" spans="1:15" x14ac:dyDescent="0.25">
      <c r="A222" s="101"/>
      <c r="B222" s="50"/>
      <c r="C222" s="50"/>
      <c r="D222" s="49"/>
      <c r="E222" s="49"/>
      <c r="F222" s="50"/>
      <c r="G222" s="49"/>
      <c r="H222" s="49"/>
      <c r="I222" s="50"/>
      <c r="J222" s="49"/>
      <c r="K222" s="49"/>
      <c r="L222" s="50"/>
      <c r="M222" s="49"/>
      <c r="N222" s="49"/>
      <c r="O222" s="140"/>
    </row>
    <row r="223" spans="1:15" x14ac:dyDescent="0.25">
      <c r="A223" s="101"/>
      <c r="B223" s="50"/>
      <c r="C223" s="50"/>
      <c r="D223" s="49"/>
      <c r="E223" s="49"/>
      <c r="F223" s="50"/>
      <c r="G223" s="49"/>
      <c r="H223" s="49"/>
      <c r="I223" s="50"/>
      <c r="J223" s="49"/>
      <c r="K223" s="49"/>
      <c r="L223" s="50"/>
      <c r="M223" s="49"/>
      <c r="N223" s="49"/>
      <c r="O223" s="140"/>
    </row>
    <row r="224" spans="1:15" x14ac:dyDescent="0.25">
      <c r="A224" s="101"/>
      <c r="B224" s="50"/>
      <c r="C224" s="50"/>
      <c r="D224" s="49"/>
      <c r="E224" s="49"/>
      <c r="F224" s="50"/>
      <c r="G224" s="49"/>
      <c r="H224" s="49"/>
      <c r="I224" s="50"/>
      <c r="J224" s="49"/>
      <c r="K224" s="49"/>
      <c r="L224" s="50"/>
      <c r="M224" s="49"/>
      <c r="N224" s="49"/>
      <c r="O224" s="140"/>
    </row>
    <row r="225" spans="1:15" x14ac:dyDescent="0.25">
      <c r="A225" s="101"/>
      <c r="B225" s="17"/>
      <c r="C225" s="17"/>
      <c r="D225" s="17"/>
      <c r="E225" s="17"/>
      <c r="F225" s="17"/>
      <c r="G225" s="17"/>
      <c r="H225" s="17"/>
      <c r="I225" s="17"/>
      <c r="J225" s="17"/>
      <c r="K225" s="17"/>
      <c r="L225" s="17"/>
      <c r="M225" s="17"/>
      <c r="N225" s="17"/>
      <c r="O225" s="17"/>
    </row>
    <row r="226" spans="1:15" x14ac:dyDescent="0.25">
      <c r="A226" s="102"/>
      <c r="B226" s="17"/>
      <c r="C226" s="17"/>
      <c r="D226" s="17"/>
      <c r="E226" s="17"/>
      <c r="F226" s="17"/>
      <c r="G226" s="17"/>
      <c r="H226" s="17"/>
      <c r="I226" s="17"/>
      <c r="J226" s="17"/>
      <c r="K226" s="17"/>
      <c r="L226" s="17"/>
      <c r="M226" s="17"/>
      <c r="N226" s="17"/>
      <c r="O226" s="17"/>
    </row>
    <row r="227" spans="1:15" x14ac:dyDescent="0.25">
      <c r="A227" s="133" t="s">
        <v>391</v>
      </c>
      <c r="B227" s="133"/>
      <c r="C227" s="133"/>
      <c r="D227" s="133">
        <f>SUM(D7:D221)</f>
        <v>31229379086</v>
      </c>
      <c r="E227" s="133">
        <f>SUM(E7:E221)</f>
        <v>35478203020</v>
      </c>
      <c r="F227" s="134">
        <f>(D227-E227)/E227</f>
        <v>-0.11975871302176229</v>
      </c>
      <c r="G227" s="133">
        <f>SUM(G7:G221)</f>
        <v>9741166712</v>
      </c>
      <c r="H227" s="133">
        <f>SUM(H7:H221)</f>
        <v>10164284628</v>
      </c>
      <c r="I227" s="134">
        <f>(G227-H227)/H227</f>
        <v>-4.1627909044815468E-2</v>
      </c>
      <c r="J227" s="133">
        <f>SUM(J7:J221)</f>
        <v>12887037560</v>
      </c>
      <c r="K227" s="133">
        <f>SUM(K7:K221)</f>
        <v>15033728444</v>
      </c>
      <c r="L227" s="134">
        <f>(J227-K227)/K227</f>
        <v>-0.14279164958954343</v>
      </c>
      <c r="M227" s="133">
        <f>SUM(M7:M221)</f>
        <v>8601174814</v>
      </c>
      <c r="N227" s="133">
        <f>SUM(N7:N221)</f>
        <v>10280189948</v>
      </c>
      <c r="O227" s="134">
        <f>(M227-N227)/N227</f>
        <v>-0.16332530259585823</v>
      </c>
    </row>
    <row r="228" spans="1:15" x14ac:dyDescent="0.25">
      <c r="A228" s="133" t="s">
        <v>398</v>
      </c>
      <c r="B228" s="133"/>
      <c r="C228" s="133"/>
      <c r="D228" s="133">
        <f>D227/10000000</f>
        <v>3122.9379085999999</v>
      </c>
      <c r="E228" s="133">
        <f>E227/10000000</f>
        <v>3547.8203020000001</v>
      </c>
      <c r="F228" s="134">
        <f>(D228-E228)/E228</f>
        <v>-0.11975871302176233</v>
      </c>
      <c r="G228" s="133">
        <f>G227/10000000</f>
        <v>974.11667120000004</v>
      </c>
      <c r="H228" s="133">
        <f>H227/10000000</f>
        <v>1016.4284628</v>
      </c>
      <c r="I228" s="134">
        <f>(G228-H228)/H228</f>
        <v>-4.1627909044815455E-2</v>
      </c>
      <c r="J228" s="133">
        <f>J227/10000000</f>
        <v>1288.7037560000001</v>
      </c>
      <c r="K228" s="133">
        <f>K227/10000000</f>
        <v>1503.3728444000001</v>
      </c>
      <c r="L228" s="134">
        <f>(J228-K228)/K228</f>
        <v>-0.14279164958954341</v>
      </c>
      <c r="M228" s="133">
        <f>M227/10000000</f>
        <v>860.11748139999997</v>
      </c>
      <c r="N228" s="133">
        <f>N227/10000000</f>
        <v>1028.0189948</v>
      </c>
      <c r="O228" s="134">
        <f>(M228-N228)/N228</f>
        <v>-0.16332530259585823</v>
      </c>
    </row>
    <row r="229" spans="1:15" x14ac:dyDescent="0.25">
      <c r="A229" s="17"/>
      <c r="B229" s="17"/>
      <c r="C229" s="17"/>
      <c r="D229" s="17"/>
      <c r="E229" s="17"/>
      <c r="F229" s="17"/>
      <c r="G229" s="17"/>
      <c r="H229" s="17"/>
      <c r="I229" s="17"/>
      <c r="J229" s="17"/>
      <c r="K229" s="17"/>
      <c r="L229" s="17"/>
      <c r="M229" s="17"/>
      <c r="N229" s="17"/>
      <c r="O229"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2"/>
  <sheetViews>
    <sheetView workbookViewId="0">
      <pane ySplit="6" topLeftCell="A225" activePane="bottomLeft" state="frozen"/>
      <selection pane="bottomLeft" activeCell="I242" sqref="I242"/>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6" t="s">
        <v>311</v>
      </c>
      <c r="B3" s="307"/>
      <c r="C3" s="307"/>
      <c r="D3" s="307"/>
      <c r="E3" s="307"/>
      <c r="F3" s="307"/>
      <c r="G3" s="307"/>
      <c r="H3" s="307"/>
      <c r="I3" s="307"/>
      <c r="J3" s="307"/>
      <c r="K3" s="307"/>
      <c r="L3" s="266"/>
      <c r="M3" s="266"/>
      <c r="N3" s="266"/>
      <c r="O3" s="308"/>
    </row>
    <row r="4" spans="1:19" s="104" customFormat="1" x14ac:dyDescent="0.25">
      <c r="A4" s="285" t="s">
        <v>330</v>
      </c>
      <c r="B4" s="285" t="s">
        <v>311</v>
      </c>
      <c r="C4" s="285"/>
      <c r="D4" s="285"/>
      <c r="E4" s="285"/>
      <c r="F4" s="285"/>
      <c r="G4" s="285"/>
      <c r="H4" s="285" t="s">
        <v>365</v>
      </c>
      <c r="I4" s="285"/>
      <c r="J4" s="285"/>
      <c r="K4" s="285"/>
      <c r="L4" s="285" t="s">
        <v>309</v>
      </c>
      <c r="M4" s="285"/>
      <c r="N4" s="285"/>
      <c r="O4" s="285"/>
    </row>
    <row r="5" spans="1:19" s="104" customFormat="1" x14ac:dyDescent="0.25">
      <c r="A5" s="304"/>
      <c r="B5" s="304" t="s">
        <v>316</v>
      </c>
      <c r="C5" s="304"/>
      <c r="D5" s="304"/>
      <c r="E5" s="304" t="s">
        <v>317</v>
      </c>
      <c r="F5" s="304"/>
      <c r="G5" s="304"/>
      <c r="H5" s="304" t="s">
        <v>336</v>
      </c>
      <c r="I5" s="304"/>
      <c r="J5" s="304" t="s">
        <v>342</v>
      </c>
      <c r="K5" s="304"/>
      <c r="L5" s="304" t="s">
        <v>336</v>
      </c>
      <c r="M5" s="304"/>
      <c r="N5" s="304" t="s">
        <v>342</v>
      </c>
      <c r="O5" s="305"/>
    </row>
    <row r="6" spans="1:19" s="104" customFormat="1" x14ac:dyDescent="0.25">
      <c r="A6" s="76" t="s">
        <v>318</v>
      </c>
      <c r="B6" s="3">
        <f>'Total Valume'!B6</f>
        <v>46044</v>
      </c>
      <c r="C6" s="76" t="s">
        <v>322</v>
      </c>
      <c r="D6" s="76" t="s">
        <v>328</v>
      </c>
      <c r="E6" s="3">
        <f>B6</f>
        <v>46044</v>
      </c>
      <c r="F6" s="76" t="s">
        <v>322</v>
      </c>
      <c r="G6" s="76" t="s">
        <v>328</v>
      </c>
      <c r="H6" s="3">
        <f>E6</f>
        <v>46044</v>
      </c>
      <c r="I6" s="76" t="s">
        <v>333</v>
      </c>
      <c r="J6" s="3">
        <f>E6</f>
        <v>46044</v>
      </c>
      <c r="K6" s="76" t="s">
        <v>333</v>
      </c>
      <c r="L6" s="3">
        <f>E6</f>
        <v>46044</v>
      </c>
      <c r="M6" s="76" t="s">
        <v>333</v>
      </c>
      <c r="N6" s="3">
        <f>E6</f>
        <v>46044</v>
      </c>
      <c r="O6" s="76" t="s">
        <v>333</v>
      </c>
    </row>
    <row r="7" spans="1:19" x14ac:dyDescent="0.25">
      <c r="A7" s="105" t="str">
        <f>'Data Vlaue (Cr)'!C2</f>
        <v>360ONE</v>
      </c>
      <c r="B7" s="143">
        <f>VLOOKUP($A7,'Data shares'!$C:$FA,118)</f>
        <v>0.56999999999999995</v>
      </c>
      <c r="C7" s="143">
        <f>VLOOKUP($A7,'Data shares'!$C:$FA,119)</f>
        <v>0.53</v>
      </c>
      <c r="D7" s="143">
        <f>VLOOKUP($A7,'Data shares'!$C:$FA,121)*100</f>
        <v>7.55</v>
      </c>
      <c r="E7" s="143">
        <f>VLOOKUP($A7,'Data shares'!$C:$FA,124)</f>
        <v>0.31</v>
      </c>
      <c r="F7" s="143">
        <f>VLOOKUP($A7,'Data shares'!$C:$FA,125)</f>
        <v>0.64</v>
      </c>
      <c r="G7" s="143">
        <f>VLOOKUP($A7,'Data shares'!$C:$FA,127)*100</f>
        <v>-51.559999999999995</v>
      </c>
      <c r="H7" s="103">
        <f>VLOOKUP($A7,'OI(Volume)'!$A$7:$O$440,8)</f>
        <v>3130500</v>
      </c>
      <c r="I7" s="103">
        <f>VLOOKUP($A7,'OI(Volume)'!$A$7:$O$440,9)</f>
        <v>-498000</v>
      </c>
      <c r="J7" s="103">
        <f>VLOOKUP($A7,'OI(Volume)'!$A$7:$O$440,11)</f>
        <v>1776500</v>
      </c>
      <c r="K7" s="103">
        <f>VLOOKUP($A7,'OI(Volume)'!$A$7:$O$440,12)</f>
        <v>-160500</v>
      </c>
      <c r="L7" s="103">
        <f>VLOOKUP($A7,'OI(Value)'!$A$7:$O$323,8,0)</f>
        <v>347</v>
      </c>
      <c r="M7" s="103">
        <f>VLOOKUP($A7,'OI(Value)'!$A$7:$O$323,9,0)</f>
        <v>-55</v>
      </c>
      <c r="N7" s="103">
        <f>VLOOKUP($A7,'OI(Value)'!$A$7:$O$323,11,0)</f>
        <v>197</v>
      </c>
      <c r="O7" s="103">
        <f>VLOOKUP($A7,'OI(Value)'!$A$7:$O$323,12,0)</f>
        <v>-18</v>
      </c>
      <c r="P7" s="179">
        <f>VLOOKUP(A7,'OI(Value)'!A7:O182,8,0)</f>
        <v>347</v>
      </c>
      <c r="Q7" s="179">
        <f>VLOOKUP(A7,'OI(Value)'!A7:O182,9,0)</f>
        <v>-55</v>
      </c>
      <c r="R7" s="179">
        <f>VLOOKUP(A7,'OI(Value)'!A7:O182,11,0)</f>
        <v>197</v>
      </c>
      <c r="S7" s="179">
        <f>VLOOKUP(A7,'OI(Value)'!A7:O182,12,0)</f>
        <v>-18</v>
      </c>
    </row>
    <row r="8" spans="1:19" x14ac:dyDescent="0.25">
      <c r="A8" s="105" t="str">
        <f>'Data Vlaue (Cr)'!C3</f>
        <v>ABB</v>
      </c>
      <c r="B8" s="143">
        <f>VLOOKUP($A8,'Data shares'!$C:$FA,118)</f>
        <v>0.63</v>
      </c>
      <c r="C8" s="143">
        <f>VLOOKUP($A8,'Data shares'!$C:$FA,119)</f>
        <v>0.62</v>
      </c>
      <c r="D8" s="143">
        <f>VLOOKUP($A8,'Data shares'!$C:$FA,121)*100</f>
        <v>1.6099999999999999</v>
      </c>
      <c r="E8" s="143">
        <f>VLOOKUP($A8,'Data shares'!$C:$FA,124)</f>
        <v>0.4</v>
      </c>
      <c r="F8" s="143">
        <f>VLOOKUP($A8,'Data shares'!$C:$FA,125)</f>
        <v>0.51</v>
      </c>
      <c r="G8" s="143">
        <f>VLOOKUP($A8,'Data shares'!$C:$FA,127)*100</f>
        <v>-21.57</v>
      </c>
      <c r="H8" s="103">
        <f>VLOOKUP($A8,'OI(Volume)'!$A$7:$O$440,8)</f>
        <v>1362250</v>
      </c>
      <c r="I8" s="103">
        <f>VLOOKUP($A8,'OI(Volume)'!$A$7:$O$440,9)</f>
        <v>-85875</v>
      </c>
      <c r="J8" s="103">
        <f>VLOOKUP($A8,'OI(Volume)'!$A$7:$O$440,11)</f>
        <v>857375</v>
      </c>
      <c r="K8" s="103">
        <f>VLOOKUP($A8,'OI(Volume)'!$A$7:$O$440,12)</f>
        <v>-43625</v>
      </c>
      <c r="L8" s="103">
        <f>VLOOKUP($A8,'OI(Value)'!$A$7:$O$323,8,0)</f>
        <v>650</v>
      </c>
      <c r="M8" s="103">
        <f>VLOOKUP($A8,'OI(Value)'!$A$7:$O$323,9,0)</f>
        <v>-41</v>
      </c>
      <c r="N8" s="103">
        <f>VLOOKUP($A8,'OI(Value)'!$A$7:$O$323,11,0)</f>
        <v>409</v>
      </c>
      <c r="O8" s="103">
        <f>VLOOKUP($A8,'OI(Value)'!$A$7:$O$323,12,0)</f>
        <v>-21</v>
      </c>
      <c r="P8" s="179">
        <f>VLOOKUP(A8,'OI(Value)'!A8:O226,8,0)</f>
        <v>650</v>
      </c>
      <c r="Q8" s="179">
        <f>VLOOKUP(A8,'OI(Value)'!A8:O226,9,0)</f>
        <v>-41</v>
      </c>
      <c r="R8" s="179">
        <f>VLOOKUP(A8,'OI(Value)'!A8:O226,11,0)</f>
        <v>409</v>
      </c>
      <c r="S8" s="179">
        <f>VLOOKUP(A8,'OI(Value)'!A8:O226,11,0)</f>
        <v>409</v>
      </c>
    </row>
    <row r="9" spans="1:19" x14ac:dyDescent="0.25">
      <c r="A9" s="105" t="str">
        <f>'Data Vlaue (Cr)'!C4</f>
        <v>ABCAPITAL</v>
      </c>
      <c r="B9" s="143">
        <f>VLOOKUP($A9,'Data shares'!$C:$FA,118)</f>
        <v>0.56000000000000005</v>
      </c>
      <c r="C9" s="143">
        <f>VLOOKUP($A9,'Data shares'!$C:$FA,119)</f>
        <v>0.51</v>
      </c>
      <c r="D9" s="143">
        <f>VLOOKUP($A9,'Data shares'!$C:$FA,121)*100</f>
        <v>9.8000000000000007</v>
      </c>
      <c r="E9" s="143">
        <f>VLOOKUP($A9,'Data shares'!$C:$FA,124)</f>
        <v>0.77</v>
      </c>
      <c r="F9" s="143">
        <f>VLOOKUP($A9,'Data shares'!$C:$FA,125)</f>
        <v>0.72</v>
      </c>
      <c r="G9" s="143">
        <f>VLOOKUP($A9,'Data shares'!$C:$FA,127)*100</f>
        <v>6.94</v>
      </c>
      <c r="H9" s="103">
        <f>VLOOKUP($A9,'OI(Volume)'!$A$7:$O$440,8)</f>
        <v>26095800</v>
      </c>
      <c r="I9" s="103">
        <f>VLOOKUP($A9,'OI(Volume)'!$A$7:$O$440,9)</f>
        <v>-2991500</v>
      </c>
      <c r="J9" s="103">
        <f>VLOOKUP($A9,'OI(Volume)'!$A$7:$O$440,11)</f>
        <v>14601000</v>
      </c>
      <c r="K9" s="103">
        <f>VLOOKUP($A9,'OI(Volume)'!$A$7:$O$440,12)</f>
        <v>-331700</v>
      </c>
      <c r="L9" s="103">
        <f>VLOOKUP($A9,'OI(Value)'!$A$7:$O$323,8,0)</f>
        <v>924</v>
      </c>
      <c r="M9" s="103">
        <f>VLOOKUP($A9,'OI(Value)'!$A$7:$O$323,9,0)</f>
        <v>-106</v>
      </c>
      <c r="N9" s="103">
        <f>VLOOKUP($A9,'OI(Value)'!$A$7:$O$323,11,0)</f>
        <v>517</v>
      </c>
      <c r="O9" s="103">
        <f>VLOOKUP($A9,'OI(Value)'!$A$7:$O$323,12,0)</f>
        <v>-12</v>
      </c>
      <c r="P9" s="179">
        <f>VLOOKUP(A9,'OI(Value)'!A9:O227,8,0)</f>
        <v>924</v>
      </c>
      <c r="Q9" s="179">
        <f>VLOOKUP(A9,'OI(Value)'!A9:O227,9,0)</f>
        <v>-106</v>
      </c>
      <c r="R9" s="179">
        <f>VLOOKUP(A9,'OI(Value)'!A9:O227,11,0)</f>
        <v>517</v>
      </c>
      <c r="S9" s="179">
        <f>VLOOKUP(A9,'OI(Value)'!A9:O227,11,0)</f>
        <v>517</v>
      </c>
    </row>
    <row r="10" spans="1:19" x14ac:dyDescent="0.25">
      <c r="A10" s="105" t="str">
        <f>'Data Vlaue (Cr)'!C5</f>
        <v>ADANIENSOL</v>
      </c>
      <c r="B10" s="143">
        <f>VLOOKUP($A10,'Data shares'!$C:$FA,118)</f>
        <v>0.6</v>
      </c>
      <c r="C10" s="143">
        <f>VLOOKUP($A10,'Data shares'!$C:$FA,119)</f>
        <v>0.51</v>
      </c>
      <c r="D10" s="143">
        <f>VLOOKUP($A10,'Data shares'!$C:$FA,121)*100</f>
        <v>17.649999999999999</v>
      </c>
      <c r="E10" s="143">
        <f>VLOOKUP($A10,'Data shares'!$C:$FA,124)</f>
        <v>0.45</v>
      </c>
      <c r="F10" s="143">
        <f>VLOOKUP($A10,'Data shares'!$C:$FA,125)</f>
        <v>0.44</v>
      </c>
      <c r="G10" s="143">
        <f>VLOOKUP($A10,'Data shares'!$C:$FA,127)*100</f>
        <v>2.27</v>
      </c>
      <c r="H10" s="103">
        <f>VLOOKUP($A10,'OI(Volume)'!$A$7:$O$440,8)</f>
        <v>6272100</v>
      </c>
      <c r="I10" s="103">
        <f>VLOOKUP($A10,'OI(Volume)'!$A$7:$O$440,9)</f>
        <v>-313875</v>
      </c>
      <c r="J10" s="103">
        <f>VLOOKUP($A10,'OI(Volume)'!$A$7:$O$440,11)</f>
        <v>3786075</v>
      </c>
      <c r="K10" s="103">
        <f>VLOOKUP($A10,'OI(Volume)'!$A$7:$O$440,12)</f>
        <v>452925</v>
      </c>
      <c r="L10" s="103">
        <f>VLOOKUP($A10,'OI(Value)'!$A$7:$O$323,8,0)</f>
        <v>581</v>
      </c>
      <c r="M10" s="103">
        <f>VLOOKUP($A10,'OI(Value)'!$A$7:$O$323,9,0)</f>
        <v>-29</v>
      </c>
      <c r="N10" s="103">
        <f>VLOOKUP($A10,'OI(Value)'!$A$7:$O$323,11,0)</f>
        <v>351</v>
      </c>
      <c r="O10" s="103">
        <f>VLOOKUP($A10,'OI(Value)'!$A$7:$O$323,12,0)</f>
        <v>42</v>
      </c>
      <c r="P10" s="179">
        <f>VLOOKUP(A10,'OI(Value)'!A10:O228,8,0)</f>
        <v>581</v>
      </c>
      <c r="Q10" s="179">
        <f>VLOOKUP(A10,'OI(Value)'!A10:O228,9,0)</f>
        <v>-29</v>
      </c>
      <c r="R10" s="179">
        <f>VLOOKUP(A10,'OI(Value)'!A10:O228,11,0)</f>
        <v>351</v>
      </c>
      <c r="S10" s="179">
        <f>VLOOKUP(A10,'OI(Value)'!A10:O228,11,0)</f>
        <v>351</v>
      </c>
    </row>
    <row r="11" spans="1:19" x14ac:dyDescent="0.25">
      <c r="A11" s="105" t="str">
        <f>'Data Vlaue (Cr)'!C6</f>
        <v>ADANIENT</v>
      </c>
      <c r="B11" s="143">
        <f>VLOOKUP($A11,'Data shares'!$C:$FA,118)</f>
        <v>0.78</v>
      </c>
      <c r="C11" s="143">
        <f>VLOOKUP($A11,'Data shares'!$C:$FA,119)</f>
        <v>0.73</v>
      </c>
      <c r="D11" s="143">
        <f>VLOOKUP($A11,'Data shares'!$C:$FA,121)*100</f>
        <v>6.8500000000000005</v>
      </c>
      <c r="E11" s="143">
        <f>VLOOKUP($A11,'Data shares'!$C:$FA,124)</f>
        <v>0.46</v>
      </c>
      <c r="F11" s="143">
        <f>VLOOKUP($A11,'Data shares'!$C:$FA,125)</f>
        <v>0.52</v>
      </c>
      <c r="G11" s="143">
        <f>VLOOKUP($A11,'Data shares'!$C:$FA,127)*100</f>
        <v>-11.540000000000001</v>
      </c>
      <c r="H11" s="103">
        <f>VLOOKUP($A11,'OI(Volume)'!$A$7:$O$440,8)</f>
        <v>9751113</v>
      </c>
      <c r="I11" s="103">
        <f>VLOOKUP($A11,'OI(Volume)'!$A$7:$O$440,9)</f>
        <v>-478641</v>
      </c>
      <c r="J11" s="103">
        <f>VLOOKUP($A11,'OI(Volume)'!$A$7:$O$440,11)</f>
        <v>7586568</v>
      </c>
      <c r="K11" s="103">
        <f>VLOOKUP($A11,'OI(Volume)'!$A$7:$O$440,12)</f>
        <v>109386</v>
      </c>
      <c r="L11" s="103">
        <f>VLOOKUP($A11,'OI(Value)'!$A$7:$O$323,8,0)</f>
        <v>2035</v>
      </c>
      <c r="M11" s="103">
        <f>VLOOKUP($A11,'OI(Value)'!$A$7:$O$323,9,0)</f>
        <v>-100</v>
      </c>
      <c r="N11" s="103">
        <f>VLOOKUP($A11,'OI(Value)'!$A$7:$O$323,11,0)</f>
        <v>1583</v>
      </c>
      <c r="O11" s="103">
        <f>VLOOKUP($A11,'OI(Value)'!$A$7:$O$323,12,0)</f>
        <v>23</v>
      </c>
      <c r="P11" s="179">
        <f>VLOOKUP(A11,'OI(Value)'!A11:O229,8,0)</f>
        <v>2035</v>
      </c>
      <c r="Q11" s="179">
        <f>VLOOKUP(A11,'OI(Value)'!A11:O229,9,0)</f>
        <v>-100</v>
      </c>
      <c r="R11" s="179">
        <f>VLOOKUP(A11,'OI(Value)'!A11:O229,11,0)</f>
        <v>1583</v>
      </c>
      <c r="S11" s="179">
        <f>VLOOKUP(A11,'OI(Value)'!A11:O229,11,0)</f>
        <v>1583</v>
      </c>
    </row>
    <row r="12" spans="1:19" x14ac:dyDescent="0.25">
      <c r="A12" s="105" t="str">
        <f>'Data Vlaue (Cr)'!C7</f>
        <v>ADANIGREEN</v>
      </c>
      <c r="B12" s="143">
        <f>VLOOKUP($A12,'Data shares'!$C:$FA,118)</f>
        <v>0.57999999999999996</v>
      </c>
      <c r="C12" s="143">
        <f>VLOOKUP($A12,'Data shares'!$C:$FA,119)</f>
        <v>0.59</v>
      </c>
      <c r="D12" s="143">
        <f>VLOOKUP($A12,'Data shares'!$C:$FA,121)*100</f>
        <v>-1.69</v>
      </c>
      <c r="E12" s="143">
        <f>VLOOKUP($A12,'Data shares'!$C:$FA,124)</f>
        <v>0.32</v>
      </c>
      <c r="F12" s="143">
        <f>VLOOKUP($A12,'Data shares'!$C:$FA,125)</f>
        <v>0.42</v>
      </c>
      <c r="G12" s="143">
        <f>VLOOKUP($A12,'Data shares'!$C:$FA,127)*100</f>
        <v>-23.810000000000002</v>
      </c>
      <c r="H12" s="103">
        <f>VLOOKUP($A12,'OI(Volume)'!$A$7:$O$440,8)</f>
        <v>9550800</v>
      </c>
      <c r="I12" s="103">
        <f>VLOOKUP($A12,'OI(Volume)'!$A$7:$O$440,9)</f>
        <v>103200</v>
      </c>
      <c r="J12" s="103">
        <f>VLOOKUP($A12,'OI(Volume)'!$A$7:$O$440,11)</f>
        <v>5500200</v>
      </c>
      <c r="K12" s="103">
        <f>VLOOKUP($A12,'OI(Volume)'!$A$7:$O$440,12)</f>
        <v>-58200</v>
      </c>
      <c r="L12" s="103">
        <f>VLOOKUP($A12,'OI(Value)'!$A$7:$O$323,8,0)</f>
        <v>864</v>
      </c>
      <c r="M12" s="103">
        <f>VLOOKUP($A12,'OI(Value)'!$A$7:$O$323,9,0)</f>
        <v>9</v>
      </c>
      <c r="N12" s="103">
        <f>VLOOKUP($A12,'OI(Value)'!$A$7:$O$323,11,0)</f>
        <v>497</v>
      </c>
      <c r="O12" s="103">
        <f>VLOOKUP($A12,'OI(Value)'!$A$7:$O$323,12,0)</f>
        <v>-5</v>
      </c>
      <c r="P12" s="179">
        <f>VLOOKUP(A12,'OI(Value)'!A12:O230,8,0)</f>
        <v>864</v>
      </c>
      <c r="Q12" s="179">
        <f>VLOOKUP(A12,'OI(Value)'!A12:O230,9,0)</f>
        <v>9</v>
      </c>
      <c r="R12" s="179">
        <f>VLOOKUP(A12,'OI(Value)'!A12:O230,11,0)</f>
        <v>497</v>
      </c>
      <c r="S12" s="179">
        <f>VLOOKUP(A12,'OI(Value)'!A12:O230,11,0)</f>
        <v>497</v>
      </c>
    </row>
    <row r="13" spans="1:19" x14ac:dyDescent="0.25">
      <c r="A13" s="105" t="str">
        <f>'Data Vlaue (Cr)'!C8</f>
        <v>ADANIPORTS</v>
      </c>
      <c r="B13" s="143">
        <f>VLOOKUP($A13,'Data shares'!$C:$FA,118)</f>
        <v>0.68</v>
      </c>
      <c r="C13" s="143">
        <f>VLOOKUP($A13,'Data shares'!$C:$FA,119)</f>
        <v>0.63</v>
      </c>
      <c r="D13" s="143">
        <f>VLOOKUP($A13,'Data shares'!$C:$FA,121)*100</f>
        <v>7.9399999999999995</v>
      </c>
      <c r="E13" s="143">
        <f>VLOOKUP($A13,'Data shares'!$C:$FA,124)</f>
        <v>0.65</v>
      </c>
      <c r="F13" s="143">
        <f>VLOOKUP($A13,'Data shares'!$C:$FA,125)</f>
        <v>0.77</v>
      </c>
      <c r="G13" s="143">
        <f>VLOOKUP($A13,'Data shares'!$C:$FA,127)*100</f>
        <v>-15.58</v>
      </c>
      <c r="H13" s="103">
        <f>VLOOKUP($A13,'OI(Volume)'!$A$7:$O$440,8)</f>
        <v>8788450</v>
      </c>
      <c r="I13" s="103">
        <f>VLOOKUP($A13,'OI(Volume)'!$A$7:$O$440,9)</f>
        <v>-573325</v>
      </c>
      <c r="J13" s="103">
        <f>VLOOKUP($A13,'OI(Volume)'!$A$7:$O$440,11)</f>
        <v>6004475</v>
      </c>
      <c r="K13" s="103">
        <f>VLOOKUP($A13,'OI(Volume)'!$A$7:$O$440,12)</f>
        <v>101175</v>
      </c>
      <c r="L13" s="103">
        <f>VLOOKUP($A13,'OI(Value)'!$A$7:$O$323,8,0)</f>
        <v>1244</v>
      </c>
      <c r="M13" s="103">
        <f>VLOOKUP($A13,'OI(Value)'!$A$7:$O$323,9,0)</f>
        <v>-81</v>
      </c>
      <c r="N13" s="103">
        <f>VLOOKUP($A13,'OI(Value)'!$A$7:$O$323,11,0)</f>
        <v>850</v>
      </c>
      <c r="O13" s="103">
        <f>VLOOKUP($A13,'OI(Value)'!$A$7:$O$323,12,0)</f>
        <v>14</v>
      </c>
      <c r="P13" s="179">
        <f>VLOOKUP(A13,'OI(Value)'!A13:O231,8,0)</f>
        <v>1244</v>
      </c>
      <c r="Q13" s="179">
        <f>VLOOKUP(A13,'OI(Value)'!A13:O231,9,0)</f>
        <v>-81</v>
      </c>
      <c r="R13" s="179">
        <f>VLOOKUP(A13,'OI(Value)'!A13:O231,11,0)</f>
        <v>850</v>
      </c>
      <c r="S13" s="179">
        <f>VLOOKUP(A13,'OI(Value)'!A13:O231,11,0)</f>
        <v>850</v>
      </c>
    </row>
    <row r="14" spans="1:19" x14ac:dyDescent="0.25">
      <c r="A14" s="105" t="str">
        <f>'Data Vlaue (Cr)'!C9</f>
        <v>ALKEM</v>
      </c>
      <c r="B14" s="143">
        <f>VLOOKUP($A14,'Data shares'!$C:$FA,118)</f>
        <v>0.51</v>
      </c>
      <c r="C14" s="143">
        <f>VLOOKUP($A14,'Data shares'!$C:$FA,119)</f>
        <v>0.44</v>
      </c>
      <c r="D14" s="143">
        <f>VLOOKUP($A14,'Data shares'!$C:$FA,121)*100</f>
        <v>15.909999999999998</v>
      </c>
      <c r="E14" s="143">
        <f>VLOOKUP($A14,'Data shares'!$C:$FA,124)</f>
        <v>0.46</v>
      </c>
      <c r="F14" s="143">
        <f>VLOOKUP($A14,'Data shares'!$C:$FA,125)</f>
        <v>0.6</v>
      </c>
      <c r="G14" s="143">
        <f>VLOOKUP($A14,'Data shares'!$C:$FA,127)*100</f>
        <v>-23.330000000000002</v>
      </c>
      <c r="H14" s="103">
        <f>VLOOKUP($A14,'OI(Volume)'!$A$7:$O$440,8)</f>
        <v>371625</v>
      </c>
      <c r="I14" s="103">
        <f>VLOOKUP($A14,'OI(Volume)'!$A$7:$O$440,9)</f>
        <v>-57500</v>
      </c>
      <c r="J14" s="103">
        <f>VLOOKUP($A14,'OI(Volume)'!$A$7:$O$440,11)</f>
        <v>189250</v>
      </c>
      <c r="K14" s="103">
        <f>VLOOKUP($A14,'OI(Volume)'!$A$7:$O$440,12)</f>
        <v>1625</v>
      </c>
      <c r="L14" s="103">
        <f>VLOOKUP($A14,'OI(Value)'!$A$7:$O$323,8,0)</f>
        <v>214</v>
      </c>
      <c r="M14" s="103">
        <f>VLOOKUP($A14,'OI(Value)'!$A$7:$O$323,9,0)</f>
        <v>-33</v>
      </c>
      <c r="N14" s="103">
        <f>VLOOKUP($A14,'OI(Value)'!$A$7:$O$323,11,0)</f>
        <v>109</v>
      </c>
      <c r="O14" s="103">
        <f>VLOOKUP($A14,'OI(Value)'!$A$7:$O$323,12,0)</f>
        <v>1</v>
      </c>
      <c r="P14" s="179">
        <f>VLOOKUP(A14,'OI(Value)'!A14:O232,8,0)</f>
        <v>214</v>
      </c>
      <c r="Q14" s="179">
        <f>VLOOKUP(A14,'OI(Value)'!A14:O232,9,0)</f>
        <v>-33</v>
      </c>
      <c r="R14" s="179">
        <f>VLOOKUP(A14,'OI(Value)'!A14:O232,11,0)</f>
        <v>109</v>
      </c>
      <c r="S14" s="179">
        <f>VLOOKUP(A14,'OI(Value)'!A14:O232,11,0)</f>
        <v>109</v>
      </c>
    </row>
    <row r="15" spans="1:19" x14ac:dyDescent="0.25">
      <c r="A15" s="105" t="str">
        <f>'Data Vlaue (Cr)'!C10</f>
        <v>AMBER</v>
      </c>
      <c r="B15" s="143">
        <f>VLOOKUP($A15,'Data shares'!$C:$FA,118)</f>
        <v>0.46</v>
      </c>
      <c r="C15" s="143">
        <f>VLOOKUP($A15,'Data shares'!$C:$FA,119)</f>
        <v>0.51</v>
      </c>
      <c r="D15" s="143">
        <f>VLOOKUP($A15,'Data shares'!$C:$FA,121)*100</f>
        <v>-9.8000000000000007</v>
      </c>
      <c r="E15" s="143">
        <f>VLOOKUP($A15,'Data shares'!$C:$FA,124)</f>
        <v>1.37</v>
      </c>
      <c r="F15" s="143">
        <f>VLOOKUP($A15,'Data shares'!$C:$FA,125)</f>
        <v>0.62</v>
      </c>
      <c r="G15" s="143">
        <f>VLOOKUP($A15,'Data shares'!$C:$FA,127)*100</f>
        <v>120.97</v>
      </c>
      <c r="H15" s="103">
        <f>VLOOKUP($A15,'OI(Volume)'!$A$7:$O$440,8)</f>
        <v>607700</v>
      </c>
      <c r="I15" s="103">
        <f>VLOOKUP($A15,'OI(Volume)'!$A$7:$O$440,9)</f>
        <v>-33500</v>
      </c>
      <c r="J15" s="103">
        <f>VLOOKUP($A15,'OI(Volume)'!$A$7:$O$440,11)</f>
        <v>282000</v>
      </c>
      <c r="K15" s="103">
        <f>VLOOKUP($A15,'OI(Volume)'!$A$7:$O$440,12)</f>
        <v>-43700</v>
      </c>
      <c r="L15" s="103">
        <f>VLOOKUP($A15,'OI(Value)'!$A$7:$O$323,8,0)</f>
        <v>350</v>
      </c>
      <c r="M15" s="103">
        <f>VLOOKUP($A15,'OI(Value)'!$A$7:$O$323,9,0)</f>
        <v>-19</v>
      </c>
      <c r="N15" s="103">
        <f>VLOOKUP($A15,'OI(Value)'!$A$7:$O$323,11,0)</f>
        <v>162</v>
      </c>
      <c r="O15" s="103">
        <f>VLOOKUP($A15,'OI(Value)'!$A$7:$O$323,12,0)</f>
        <v>-25</v>
      </c>
      <c r="P15" s="179">
        <f>VLOOKUP(A15,'OI(Value)'!A15:O233,8,0)</f>
        <v>350</v>
      </c>
      <c r="Q15" s="179">
        <f>VLOOKUP(A15,'OI(Value)'!A15:O233,9,0)</f>
        <v>-19</v>
      </c>
      <c r="R15" s="179">
        <f>VLOOKUP(A15,'OI(Value)'!A15:O233,11,0)</f>
        <v>162</v>
      </c>
      <c r="S15" s="179">
        <f>VLOOKUP(A15,'OI(Value)'!A15:O233,11,0)</f>
        <v>162</v>
      </c>
    </row>
    <row r="16" spans="1:19" x14ac:dyDescent="0.25">
      <c r="A16" s="105" t="str">
        <f>'Data Vlaue (Cr)'!C11</f>
        <v>AMBUJACEM</v>
      </c>
      <c r="B16" s="143">
        <f>VLOOKUP($A16,'Data shares'!$C:$FA,118)</f>
        <v>0.83</v>
      </c>
      <c r="C16" s="143">
        <f>VLOOKUP($A16,'Data shares'!$C:$FA,119)</f>
        <v>0.8</v>
      </c>
      <c r="D16" s="143">
        <f>VLOOKUP($A16,'Data shares'!$C:$FA,121)*100</f>
        <v>3.75</v>
      </c>
      <c r="E16" s="143">
        <f>VLOOKUP($A16,'Data shares'!$C:$FA,124)</f>
        <v>0.56999999999999995</v>
      </c>
      <c r="F16" s="143">
        <f>VLOOKUP($A16,'Data shares'!$C:$FA,125)</f>
        <v>0.44</v>
      </c>
      <c r="G16" s="143">
        <f>VLOOKUP($A16,'Data shares'!$C:$FA,127)*100</f>
        <v>29.549999999999997</v>
      </c>
      <c r="H16" s="103">
        <f>VLOOKUP($A16,'OI(Volume)'!$A$7:$O$440,8)</f>
        <v>14545650</v>
      </c>
      <c r="I16" s="103">
        <f>VLOOKUP($A16,'OI(Volume)'!$A$7:$O$440,9)</f>
        <v>-694050</v>
      </c>
      <c r="J16" s="103">
        <f>VLOOKUP($A16,'OI(Volume)'!$A$7:$O$440,11)</f>
        <v>12038250</v>
      </c>
      <c r="K16" s="103">
        <f>VLOOKUP($A16,'OI(Volume)'!$A$7:$O$440,12)</f>
        <v>-216300</v>
      </c>
      <c r="L16" s="103">
        <f>VLOOKUP($A16,'OI(Value)'!$A$7:$O$323,8,0)</f>
        <v>795</v>
      </c>
      <c r="M16" s="103">
        <f>VLOOKUP($A16,'OI(Value)'!$A$7:$O$323,9,0)</f>
        <v>-38</v>
      </c>
      <c r="N16" s="103">
        <f>VLOOKUP($A16,'OI(Value)'!$A$7:$O$323,11,0)</f>
        <v>658</v>
      </c>
      <c r="O16" s="103">
        <f>VLOOKUP($A16,'OI(Value)'!$A$7:$O$323,12,0)</f>
        <v>-12</v>
      </c>
      <c r="P16" s="179">
        <f>VLOOKUP(A16,'OI(Value)'!A16:O234,8,0)</f>
        <v>795</v>
      </c>
      <c r="Q16" s="179">
        <f>VLOOKUP(A16,'OI(Value)'!A16:O234,9,0)</f>
        <v>-38</v>
      </c>
      <c r="R16" s="179">
        <f>VLOOKUP(A16,'OI(Value)'!A16:O234,11,0)</f>
        <v>658</v>
      </c>
      <c r="S16" s="179">
        <f>VLOOKUP(A16,'OI(Value)'!A16:O234,11,0)</f>
        <v>658</v>
      </c>
    </row>
    <row r="17" spans="1:19" x14ac:dyDescent="0.25">
      <c r="A17" s="105" t="str">
        <f>'Data Vlaue (Cr)'!C12</f>
        <v>ANGELONE</v>
      </c>
      <c r="B17" s="143">
        <f>VLOOKUP($A17,'Data shares'!$C:$FA,118)</f>
        <v>0.68</v>
      </c>
      <c r="C17" s="143">
        <f>VLOOKUP($A17,'Data shares'!$C:$FA,119)</f>
        <v>0.75</v>
      </c>
      <c r="D17" s="143">
        <f>VLOOKUP($A17,'Data shares'!$C:$FA,121)*100</f>
        <v>-9.33</v>
      </c>
      <c r="E17" s="143">
        <f>VLOOKUP($A17,'Data shares'!$C:$FA,124)</f>
        <v>0.54</v>
      </c>
      <c r="F17" s="143">
        <f>VLOOKUP($A17,'Data shares'!$C:$FA,125)</f>
        <v>0.96</v>
      </c>
      <c r="G17" s="143">
        <f>VLOOKUP($A17,'Data shares'!$C:$FA,127)*100</f>
        <v>-43.75</v>
      </c>
      <c r="H17" s="103">
        <f>VLOOKUP($A17,'OI(Volume)'!$A$7:$O$440,8)</f>
        <v>3059250</v>
      </c>
      <c r="I17" s="103">
        <f>VLOOKUP($A17,'OI(Volume)'!$A$7:$O$440,9)</f>
        <v>-295750</v>
      </c>
      <c r="J17" s="103">
        <f>VLOOKUP($A17,'OI(Volume)'!$A$7:$O$440,11)</f>
        <v>2083000</v>
      </c>
      <c r="K17" s="103">
        <f>VLOOKUP($A17,'OI(Volume)'!$A$7:$O$440,12)</f>
        <v>-446500</v>
      </c>
      <c r="L17" s="103">
        <f>VLOOKUP($A17,'OI(Value)'!$A$7:$O$323,8,0)</f>
        <v>786</v>
      </c>
      <c r="M17" s="103">
        <f>VLOOKUP($A17,'OI(Value)'!$A$7:$O$323,9,0)</f>
        <v>-76</v>
      </c>
      <c r="N17" s="103">
        <f>VLOOKUP($A17,'OI(Value)'!$A$7:$O$323,11,0)</f>
        <v>535</v>
      </c>
      <c r="O17" s="103">
        <f>VLOOKUP($A17,'OI(Value)'!$A$7:$O$323,12,0)</f>
        <v>-115</v>
      </c>
      <c r="P17" s="179">
        <f>VLOOKUP(A17,'OI(Value)'!A17:O235,8,0)</f>
        <v>786</v>
      </c>
      <c r="Q17" s="179">
        <f>VLOOKUP(A17,'OI(Value)'!A17:O235,9,0)</f>
        <v>-76</v>
      </c>
      <c r="R17" s="179">
        <f>VLOOKUP(A17,'OI(Value)'!A17:O235,11,0)</f>
        <v>535</v>
      </c>
      <c r="S17" s="179">
        <f>VLOOKUP(A17,'OI(Value)'!A17:O235,11,0)</f>
        <v>535</v>
      </c>
    </row>
    <row r="18" spans="1:19" x14ac:dyDescent="0.25">
      <c r="A18" s="105" t="str">
        <f>'Data Vlaue (Cr)'!C13</f>
        <v>APLAPOLLO</v>
      </c>
      <c r="B18" s="143">
        <f>VLOOKUP($A18,'Data shares'!$C:$FA,118)</f>
        <v>0.6</v>
      </c>
      <c r="C18" s="143">
        <f>VLOOKUP($A18,'Data shares'!$C:$FA,119)</f>
        <v>0.55000000000000004</v>
      </c>
      <c r="D18" s="143">
        <f>VLOOKUP($A18,'Data shares'!$C:$FA,121)*100</f>
        <v>9.09</v>
      </c>
      <c r="E18" s="143">
        <f>VLOOKUP($A18,'Data shares'!$C:$FA,124)</f>
        <v>0.35</v>
      </c>
      <c r="F18" s="143">
        <f>VLOOKUP($A18,'Data shares'!$C:$FA,125)</f>
        <v>0.66</v>
      </c>
      <c r="G18" s="143">
        <f>VLOOKUP($A18,'Data shares'!$C:$FA,127)*100</f>
        <v>-46.97</v>
      </c>
      <c r="H18" s="103">
        <f>VLOOKUP($A18,'OI(Volume)'!$A$7:$O$440,8)</f>
        <v>2094750</v>
      </c>
      <c r="I18" s="103">
        <f>VLOOKUP($A18,'OI(Volume)'!$A$7:$O$440,9)</f>
        <v>223300</v>
      </c>
      <c r="J18" s="103">
        <f>VLOOKUP($A18,'OI(Volume)'!$A$7:$O$440,11)</f>
        <v>1263500</v>
      </c>
      <c r="K18" s="103">
        <f>VLOOKUP($A18,'OI(Volume)'!$A$7:$O$440,12)</f>
        <v>234150</v>
      </c>
      <c r="L18" s="103">
        <f>VLOOKUP($A18,'OI(Value)'!$A$7:$O$323,8,0)</f>
        <v>415</v>
      </c>
      <c r="M18" s="103">
        <f>VLOOKUP($A18,'OI(Value)'!$A$7:$O$323,9,0)</f>
        <v>44</v>
      </c>
      <c r="N18" s="103">
        <f>VLOOKUP($A18,'OI(Value)'!$A$7:$O$323,11,0)</f>
        <v>250</v>
      </c>
      <c r="O18" s="103">
        <f>VLOOKUP($A18,'OI(Value)'!$A$7:$O$323,12,0)</f>
        <v>46</v>
      </c>
      <c r="P18" s="179">
        <f>VLOOKUP(A18,'OI(Value)'!A18:O236,8,0)</f>
        <v>415</v>
      </c>
      <c r="Q18" s="179">
        <f>VLOOKUP(A18,'OI(Value)'!A18:O236,9,0)</f>
        <v>44</v>
      </c>
      <c r="R18" s="179">
        <f>VLOOKUP(A18,'OI(Value)'!A18:O236,11,0)</f>
        <v>250</v>
      </c>
      <c r="S18" s="179">
        <f>VLOOKUP(A18,'OI(Value)'!A18:O236,11,0)</f>
        <v>250</v>
      </c>
    </row>
    <row r="19" spans="1:19" x14ac:dyDescent="0.25">
      <c r="A19" s="105" t="str">
        <f>'Data Vlaue (Cr)'!C14</f>
        <v>APOLLOHOSP</v>
      </c>
      <c r="B19" s="143">
        <f>VLOOKUP($A19,'Data shares'!$C:$FA,118)</f>
        <v>0.55000000000000004</v>
      </c>
      <c r="C19" s="143">
        <f>VLOOKUP($A19,'Data shares'!$C:$FA,119)</f>
        <v>0.57999999999999996</v>
      </c>
      <c r="D19" s="143">
        <f>VLOOKUP($A19,'Data shares'!$C:$FA,121)*100</f>
        <v>-5.17</v>
      </c>
      <c r="E19" s="143">
        <f>VLOOKUP($A19,'Data shares'!$C:$FA,124)</f>
        <v>0.36</v>
      </c>
      <c r="F19" s="143">
        <f>VLOOKUP($A19,'Data shares'!$C:$FA,125)</f>
        <v>0.49</v>
      </c>
      <c r="G19" s="143">
        <f>VLOOKUP($A19,'Data shares'!$C:$FA,127)*100</f>
        <v>-26.529999999999998</v>
      </c>
      <c r="H19" s="103">
        <f>VLOOKUP($A19,'OI(Volume)'!$A$7:$O$440,8)</f>
        <v>2007875</v>
      </c>
      <c r="I19" s="103">
        <f>VLOOKUP($A19,'OI(Volume)'!$A$7:$O$440,9)</f>
        <v>152750</v>
      </c>
      <c r="J19" s="103">
        <f>VLOOKUP($A19,'OI(Volume)'!$A$7:$O$440,11)</f>
        <v>1095375</v>
      </c>
      <c r="K19" s="103">
        <f>VLOOKUP($A19,'OI(Volume)'!$A$7:$O$440,12)</f>
        <v>14875</v>
      </c>
      <c r="L19" s="103">
        <f>VLOOKUP($A19,'OI(Value)'!$A$7:$O$323,8,0)</f>
        <v>1368</v>
      </c>
      <c r="M19" s="103">
        <f>VLOOKUP($A19,'OI(Value)'!$A$7:$O$323,9,0)</f>
        <v>104</v>
      </c>
      <c r="N19" s="103">
        <f>VLOOKUP($A19,'OI(Value)'!$A$7:$O$323,11,0)</f>
        <v>746</v>
      </c>
      <c r="O19" s="103">
        <f>VLOOKUP($A19,'OI(Value)'!$A$7:$O$323,12,0)</f>
        <v>10</v>
      </c>
      <c r="P19" s="179">
        <f>VLOOKUP(A19,'OI(Value)'!A19:O237,8,0)</f>
        <v>1368</v>
      </c>
      <c r="Q19" s="179">
        <f>VLOOKUP(A19,'OI(Value)'!A19:O237,9,0)</f>
        <v>104</v>
      </c>
      <c r="R19" s="179">
        <f>VLOOKUP(A19,'OI(Value)'!A19:O237,11,0)</f>
        <v>746</v>
      </c>
      <c r="S19" s="179">
        <f>VLOOKUP(A19,'OI(Value)'!A19:O237,11,0)</f>
        <v>746</v>
      </c>
    </row>
    <row r="20" spans="1:19" x14ac:dyDescent="0.25">
      <c r="A20" s="105" t="str">
        <f>'Data Vlaue (Cr)'!C15</f>
        <v>ASHOKLEY</v>
      </c>
      <c r="B20" s="143">
        <f>VLOOKUP($A20,'Data shares'!$C:$FA,118)</f>
        <v>0.76</v>
      </c>
      <c r="C20" s="143">
        <f>VLOOKUP($A20,'Data shares'!$C:$FA,119)</f>
        <v>0.54</v>
      </c>
      <c r="D20" s="143">
        <f>VLOOKUP($A20,'Data shares'!$C:$FA,121)*100</f>
        <v>40.739999999999995</v>
      </c>
      <c r="E20" s="143">
        <f>VLOOKUP($A20,'Data shares'!$C:$FA,124)</f>
        <v>0.48</v>
      </c>
      <c r="F20" s="143">
        <f>VLOOKUP($A20,'Data shares'!$C:$FA,125)</f>
        <v>0.65</v>
      </c>
      <c r="G20" s="143">
        <f>VLOOKUP($A20,'Data shares'!$C:$FA,127)*100</f>
        <v>-26.150000000000002</v>
      </c>
      <c r="H20" s="103">
        <f>VLOOKUP($A20,'OI(Volume)'!$A$7:$O$440,8)</f>
        <v>60885000</v>
      </c>
      <c r="I20" s="103">
        <f>VLOOKUP($A20,'OI(Volume)'!$A$7:$O$440,9)</f>
        <v>-17235000</v>
      </c>
      <c r="J20" s="103">
        <f>VLOOKUP($A20,'OI(Volume)'!$A$7:$O$440,11)</f>
        <v>46240000</v>
      </c>
      <c r="K20" s="103">
        <f>VLOOKUP($A20,'OI(Volume)'!$A$7:$O$440,12)</f>
        <v>3975000</v>
      </c>
      <c r="L20" s="103">
        <f>VLOOKUP($A20,'OI(Value)'!$A$7:$O$323,8,0)</f>
        <v>1163</v>
      </c>
      <c r="M20" s="103">
        <f>VLOOKUP($A20,'OI(Value)'!$A$7:$O$323,9,0)</f>
        <v>-329</v>
      </c>
      <c r="N20" s="103">
        <f>VLOOKUP($A20,'OI(Value)'!$A$7:$O$323,11,0)</f>
        <v>883</v>
      </c>
      <c r="O20" s="103">
        <f>VLOOKUP($A20,'OI(Value)'!$A$7:$O$323,12,0)</f>
        <v>76</v>
      </c>
      <c r="P20" s="179">
        <f>VLOOKUP(A20,'OI(Value)'!A20:O238,8,0)</f>
        <v>1163</v>
      </c>
      <c r="Q20" s="179">
        <f>VLOOKUP(A20,'OI(Value)'!A20:O238,9,0)</f>
        <v>-329</v>
      </c>
      <c r="R20" s="179">
        <f>VLOOKUP(A20,'OI(Value)'!A20:O238,11,0)</f>
        <v>883</v>
      </c>
      <c r="S20" s="179">
        <f>VLOOKUP(A20,'OI(Value)'!A20:O238,11,0)</f>
        <v>883</v>
      </c>
    </row>
    <row r="21" spans="1:19" x14ac:dyDescent="0.25">
      <c r="A21" s="105" t="str">
        <f>'Data Vlaue (Cr)'!C16</f>
        <v>ASIANPAINT</v>
      </c>
      <c r="B21" s="143">
        <f>VLOOKUP($A21,'Data shares'!$C:$FA,118)</f>
        <v>0.71</v>
      </c>
      <c r="C21" s="143">
        <f>VLOOKUP($A21,'Data shares'!$C:$FA,119)</f>
        <v>0.67</v>
      </c>
      <c r="D21" s="143">
        <f>VLOOKUP($A21,'Data shares'!$C:$FA,121)*100</f>
        <v>5.9700000000000006</v>
      </c>
      <c r="E21" s="143">
        <f>VLOOKUP($A21,'Data shares'!$C:$FA,124)</f>
        <v>0.8</v>
      </c>
      <c r="F21" s="143">
        <f>VLOOKUP($A21,'Data shares'!$C:$FA,125)</f>
        <v>0.83</v>
      </c>
      <c r="G21" s="143">
        <f>VLOOKUP($A21,'Data shares'!$C:$FA,127)*100</f>
        <v>-3.61</v>
      </c>
      <c r="H21" s="103">
        <f>VLOOKUP($A21,'OI(Volume)'!$A$7:$O$440,8)</f>
        <v>4993750</v>
      </c>
      <c r="I21" s="103">
        <f>VLOOKUP($A21,'OI(Volume)'!$A$7:$O$440,9)</f>
        <v>-210250</v>
      </c>
      <c r="J21" s="103">
        <f>VLOOKUP($A21,'OI(Volume)'!$A$7:$O$440,11)</f>
        <v>3526500</v>
      </c>
      <c r="K21" s="103">
        <f>VLOOKUP($A21,'OI(Volume)'!$A$7:$O$440,12)</f>
        <v>65750</v>
      </c>
      <c r="L21" s="103">
        <f>VLOOKUP($A21,'OI(Value)'!$A$7:$O$323,8,0)</f>
        <v>1351</v>
      </c>
      <c r="M21" s="103">
        <f>VLOOKUP($A21,'OI(Value)'!$A$7:$O$323,9,0)</f>
        <v>-57</v>
      </c>
      <c r="N21" s="103">
        <f>VLOOKUP($A21,'OI(Value)'!$A$7:$O$323,11,0)</f>
        <v>954</v>
      </c>
      <c r="O21" s="103">
        <f>VLOOKUP($A21,'OI(Value)'!$A$7:$O$323,12,0)</f>
        <v>18</v>
      </c>
      <c r="P21" s="179">
        <f>VLOOKUP(A21,'OI(Value)'!A21:O239,8,0)</f>
        <v>1351</v>
      </c>
      <c r="Q21" s="179">
        <f>VLOOKUP(A21,'OI(Value)'!A21:O239,9,0)</f>
        <v>-57</v>
      </c>
      <c r="R21" s="179">
        <f>VLOOKUP(A21,'OI(Value)'!A21:O239,11,0)</f>
        <v>954</v>
      </c>
      <c r="S21" s="179">
        <f>VLOOKUP(A21,'OI(Value)'!A21:O239,11,0)</f>
        <v>954</v>
      </c>
    </row>
    <row r="22" spans="1:19" x14ac:dyDescent="0.25">
      <c r="A22" s="105" t="str">
        <f>'Data Vlaue (Cr)'!C17</f>
        <v>ASTRAL</v>
      </c>
      <c r="B22" s="143">
        <f>VLOOKUP($A22,'Data shares'!$C:$FA,118)</f>
        <v>0.66</v>
      </c>
      <c r="C22" s="143">
        <f>VLOOKUP($A22,'Data shares'!$C:$FA,119)</f>
        <v>0.77</v>
      </c>
      <c r="D22" s="143">
        <f>VLOOKUP($A22,'Data shares'!$C:$FA,121)*100</f>
        <v>-14.29</v>
      </c>
      <c r="E22" s="143">
        <f>VLOOKUP($A22,'Data shares'!$C:$FA,124)</f>
        <v>0.52</v>
      </c>
      <c r="F22" s="143">
        <f>VLOOKUP($A22,'Data shares'!$C:$FA,125)</f>
        <v>1.29</v>
      </c>
      <c r="G22" s="143">
        <f>VLOOKUP($A22,'Data shares'!$C:$FA,127)*100</f>
        <v>-59.69</v>
      </c>
      <c r="H22" s="103">
        <f>VLOOKUP($A22,'OI(Volume)'!$A$7:$O$440,8)</f>
        <v>3476925</v>
      </c>
      <c r="I22" s="103">
        <f>VLOOKUP($A22,'OI(Volume)'!$A$7:$O$440,9)</f>
        <v>252875</v>
      </c>
      <c r="J22" s="103">
        <f>VLOOKUP($A22,'OI(Volume)'!$A$7:$O$440,11)</f>
        <v>2308175</v>
      </c>
      <c r="K22" s="103">
        <f>VLOOKUP($A22,'OI(Volume)'!$A$7:$O$440,12)</f>
        <v>-182750</v>
      </c>
      <c r="L22" s="103">
        <f>VLOOKUP($A22,'OI(Value)'!$A$7:$O$323,8,0)</f>
        <v>490</v>
      </c>
      <c r="M22" s="103">
        <f>VLOOKUP($A22,'OI(Value)'!$A$7:$O$323,9,0)</f>
        <v>36</v>
      </c>
      <c r="N22" s="103">
        <f>VLOOKUP($A22,'OI(Value)'!$A$7:$O$323,11,0)</f>
        <v>325</v>
      </c>
      <c r="O22" s="103">
        <f>VLOOKUP($A22,'OI(Value)'!$A$7:$O$323,12,0)</f>
        <v>-26</v>
      </c>
      <c r="P22" s="179">
        <f>VLOOKUP(A22,'OI(Value)'!A22:O240,8,0)</f>
        <v>490</v>
      </c>
      <c r="Q22" s="179">
        <f>VLOOKUP(A22,'OI(Value)'!A22:O240,9,0)</f>
        <v>36</v>
      </c>
      <c r="R22" s="179">
        <f>VLOOKUP(A22,'OI(Value)'!A22:O240,11,0)</f>
        <v>325</v>
      </c>
      <c r="S22" s="179">
        <f>VLOOKUP(A22,'OI(Value)'!A22:O240,11,0)</f>
        <v>325</v>
      </c>
    </row>
    <row r="23" spans="1:19" x14ac:dyDescent="0.25">
      <c r="A23" s="105" t="str">
        <f>'Data Vlaue (Cr)'!C18</f>
        <v>AUBANK</v>
      </c>
      <c r="B23" s="143">
        <f>VLOOKUP($A23,'Data shares'!$C:$FA,118)</f>
        <v>0.73</v>
      </c>
      <c r="C23" s="143">
        <f>VLOOKUP($A23,'Data shares'!$C:$FA,119)</f>
        <v>0.74</v>
      </c>
      <c r="D23" s="143">
        <f>VLOOKUP($A23,'Data shares'!$C:$FA,121)*100</f>
        <v>-1.35</v>
      </c>
      <c r="E23" s="143">
        <f>VLOOKUP($A23,'Data shares'!$C:$FA,124)</f>
        <v>0.67</v>
      </c>
      <c r="F23" s="143">
        <f>VLOOKUP($A23,'Data shares'!$C:$FA,125)</f>
        <v>0.77</v>
      </c>
      <c r="G23" s="143">
        <f>VLOOKUP($A23,'Data shares'!$C:$FA,127)*100</f>
        <v>-12.989999999999998</v>
      </c>
      <c r="H23" s="103">
        <f>VLOOKUP($A23,'OI(Volume)'!$A$7:$O$440,8)</f>
        <v>9885000</v>
      </c>
      <c r="I23" s="103">
        <f>VLOOKUP($A23,'OI(Volume)'!$A$7:$O$440,9)</f>
        <v>-1211000</v>
      </c>
      <c r="J23" s="103">
        <f>VLOOKUP($A23,'OI(Volume)'!$A$7:$O$440,11)</f>
        <v>7188000</v>
      </c>
      <c r="K23" s="103">
        <f>VLOOKUP($A23,'OI(Volume)'!$A$7:$O$440,12)</f>
        <v>-978000</v>
      </c>
      <c r="L23" s="103">
        <f>VLOOKUP($A23,'OI(Value)'!$A$7:$O$323,8,0)</f>
        <v>991</v>
      </c>
      <c r="M23" s="103">
        <f>VLOOKUP($A23,'OI(Value)'!$A$7:$O$323,9,0)</f>
        <v>-121</v>
      </c>
      <c r="N23" s="103">
        <f>VLOOKUP($A23,'OI(Value)'!$A$7:$O$323,11,0)</f>
        <v>721</v>
      </c>
      <c r="O23" s="103">
        <f>VLOOKUP($A23,'OI(Value)'!$A$7:$O$323,12,0)</f>
        <v>-98</v>
      </c>
      <c r="P23" s="179">
        <f>VLOOKUP(A23,'OI(Value)'!A23:O241,8,0)</f>
        <v>991</v>
      </c>
      <c r="Q23" s="179">
        <f>VLOOKUP(A23,'OI(Value)'!A23:O241,9,0)</f>
        <v>-121</v>
      </c>
      <c r="R23" s="179">
        <f>VLOOKUP(A23,'OI(Value)'!A23:O241,11,0)</f>
        <v>721</v>
      </c>
      <c r="S23" s="179">
        <f>VLOOKUP(A23,'OI(Value)'!A23:O241,11,0)</f>
        <v>721</v>
      </c>
    </row>
    <row r="24" spans="1:19" x14ac:dyDescent="0.25">
      <c r="A24" s="105" t="str">
        <f>'Data Vlaue (Cr)'!C19</f>
        <v>AUROPHARMA</v>
      </c>
      <c r="B24" s="143">
        <f>VLOOKUP($A24,'Data shares'!$C:$FA,118)</f>
        <v>0.51</v>
      </c>
      <c r="C24" s="143">
        <f>VLOOKUP($A24,'Data shares'!$C:$FA,119)</f>
        <v>0.51</v>
      </c>
      <c r="D24" s="143">
        <f>VLOOKUP($A24,'Data shares'!$C:$FA,121)*100</f>
        <v>0</v>
      </c>
      <c r="E24" s="143">
        <f>VLOOKUP($A24,'Data shares'!$C:$FA,124)</f>
        <v>0.51</v>
      </c>
      <c r="F24" s="143">
        <f>VLOOKUP($A24,'Data shares'!$C:$FA,125)</f>
        <v>0.7</v>
      </c>
      <c r="G24" s="143">
        <f>VLOOKUP($A24,'Data shares'!$C:$FA,127)*100</f>
        <v>-27.139999999999997</v>
      </c>
      <c r="H24" s="103">
        <f>VLOOKUP($A24,'OI(Volume)'!$A$7:$O$440,8)</f>
        <v>6144600</v>
      </c>
      <c r="I24" s="103">
        <f>VLOOKUP($A24,'OI(Volume)'!$A$7:$O$440,9)</f>
        <v>-371250</v>
      </c>
      <c r="J24" s="103">
        <f>VLOOKUP($A24,'OI(Volume)'!$A$7:$O$440,11)</f>
        <v>3130050</v>
      </c>
      <c r="K24" s="103">
        <f>VLOOKUP($A24,'OI(Volume)'!$A$7:$O$440,12)</f>
        <v>-223300</v>
      </c>
      <c r="L24" s="103">
        <f>VLOOKUP($A24,'OI(Value)'!$A$7:$O$323,8,0)</f>
        <v>703</v>
      </c>
      <c r="M24" s="103">
        <f>VLOOKUP($A24,'OI(Value)'!$A$7:$O$323,9,0)</f>
        <v>-42</v>
      </c>
      <c r="N24" s="103">
        <f>VLOOKUP($A24,'OI(Value)'!$A$7:$O$323,11,0)</f>
        <v>358</v>
      </c>
      <c r="O24" s="103">
        <f>VLOOKUP($A24,'OI(Value)'!$A$7:$O$323,12,0)</f>
        <v>-26</v>
      </c>
      <c r="P24" s="179">
        <f>VLOOKUP(A24,'OI(Value)'!A24:O242,8,0)</f>
        <v>703</v>
      </c>
      <c r="Q24" s="179">
        <f>VLOOKUP(A24,'OI(Value)'!A24:O242,9,0)</f>
        <v>-42</v>
      </c>
      <c r="R24" s="179">
        <f>VLOOKUP(A24,'OI(Value)'!A24:O242,11,0)</f>
        <v>358</v>
      </c>
      <c r="S24" s="179">
        <f>VLOOKUP(A24,'OI(Value)'!A24:O242,11,0)</f>
        <v>358</v>
      </c>
    </row>
    <row r="25" spans="1:19" x14ac:dyDescent="0.25">
      <c r="A25" s="105" t="str">
        <f>'Data Vlaue (Cr)'!C20</f>
        <v>AXISBANK</v>
      </c>
      <c r="B25" s="143">
        <f>VLOOKUP($A25,'Data shares'!$C:$FA,118)</f>
        <v>0.41</v>
      </c>
      <c r="C25" s="143">
        <f>VLOOKUP($A25,'Data shares'!$C:$FA,119)</f>
        <v>0.41</v>
      </c>
      <c r="D25" s="143">
        <f>VLOOKUP($A25,'Data shares'!$C:$FA,121)*100</f>
        <v>0</v>
      </c>
      <c r="E25" s="143">
        <f>VLOOKUP($A25,'Data shares'!$C:$FA,124)</f>
        <v>0.65</v>
      </c>
      <c r="F25" s="143">
        <f>VLOOKUP($A25,'Data shares'!$C:$FA,125)</f>
        <v>0.69</v>
      </c>
      <c r="G25" s="143">
        <f>VLOOKUP($A25,'Data shares'!$C:$FA,127)*100</f>
        <v>-5.8000000000000007</v>
      </c>
      <c r="H25" s="103">
        <f>VLOOKUP($A25,'OI(Volume)'!$A$7:$O$440,8)</f>
        <v>36246250</v>
      </c>
      <c r="I25" s="103">
        <f>VLOOKUP($A25,'OI(Volume)'!$A$7:$O$440,9)</f>
        <v>109375</v>
      </c>
      <c r="J25" s="103">
        <f>VLOOKUP($A25,'OI(Volume)'!$A$7:$O$440,11)</f>
        <v>14944375</v>
      </c>
      <c r="K25" s="103">
        <f>VLOOKUP($A25,'OI(Volume)'!$A$7:$O$440,12)</f>
        <v>205625</v>
      </c>
      <c r="L25" s="103">
        <f>VLOOKUP($A25,'OI(Value)'!$A$7:$O$323,8,0)</f>
        <v>4701</v>
      </c>
      <c r="M25" s="103">
        <f>VLOOKUP($A25,'OI(Value)'!$A$7:$O$323,9,0)</f>
        <v>14</v>
      </c>
      <c r="N25" s="103">
        <f>VLOOKUP($A25,'OI(Value)'!$A$7:$O$323,11,0)</f>
        <v>1938</v>
      </c>
      <c r="O25" s="103">
        <f>VLOOKUP($A25,'OI(Value)'!$A$7:$O$323,12,0)</f>
        <v>27</v>
      </c>
      <c r="P25" s="179">
        <f>VLOOKUP(A25,'OI(Value)'!A25:O243,8,0)</f>
        <v>4701</v>
      </c>
      <c r="Q25" s="179">
        <f>VLOOKUP(A25,'OI(Value)'!A25:O243,9,0)</f>
        <v>14</v>
      </c>
      <c r="R25" s="179">
        <f>VLOOKUP(A25,'OI(Value)'!A25:O243,11,0)</f>
        <v>1938</v>
      </c>
      <c r="S25" s="179">
        <f>VLOOKUP(A25,'OI(Value)'!A25:O243,11,0)</f>
        <v>1938</v>
      </c>
    </row>
    <row r="26" spans="1:19" x14ac:dyDescent="0.25">
      <c r="A26" s="105" t="str">
        <f>'Data Vlaue (Cr)'!C21</f>
        <v>BAJAJ-AUTO</v>
      </c>
      <c r="B26" s="143">
        <f>VLOOKUP($A26,'Data shares'!$C:$FA,118)</f>
        <v>0.6</v>
      </c>
      <c r="C26" s="143">
        <f>VLOOKUP($A26,'Data shares'!$C:$FA,119)</f>
        <v>0.55000000000000004</v>
      </c>
      <c r="D26" s="143">
        <f>VLOOKUP($A26,'Data shares'!$C:$FA,121)*100</f>
        <v>9.09</v>
      </c>
      <c r="E26" s="143">
        <f>VLOOKUP($A26,'Data shares'!$C:$FA,124)</f>
        <v>0.49</v>
      </c>
      <c r="F26" s="143">
        <f>VLOOKUP($A26,'Data shares'!$C:$FA,125)</f>
        <v>0.54</v>
      </c>
      <c r="G26" s="143">
        <f>VLOOKUP($A26,'Data shares'!$C:$FA,127)*100</f>
        <v>-9.26</v>
      </c>
      <c r="H26" s="103">
        <f>VLOOKUP($A26,'OI(Volume)'!$A$7:$O$440,8)</f>
        <v>1473975</v>
      </c>
      <c r="I26" s="103">
        <f>VLOOKUP($A26,'OI(Volume)'!$A$7:$O$440,9)</f>
        <v>-228450</v>
      </c>
      <c r="J26" s="103">
        <f>VLOOKUP($A26,'OI(Volume)'!$A$7:$O$440,11)</f>
        <v>879375</v>
      </c>
      <c r="K26" s="103">
        <f>VLOOKUP($A26,'OI(Volume)'!$A$7:$O$440,12)</f>
        <v>-51675</v>
      </c>
      <c r="L26" s="103">
        <f>VLOOKUP($A26,'OI(Value)'!$A$7:$O$323,8,0)</f>
        <v>1383</v>
      </c>
      <c r="M26" s="103">
        <f>VLOOKUP($A26,'OI(Value)'!$A$7:$O$323,9,0)</f>
        <v>-214</v>
      </c>
      <c r="N26" s="103">
        <f>VLOOKUP($A26,'OI(Value)'!$A$7:$O$323,11,0)</f>
        <v>825</v>
      </c>
      <c r="O26" s="103">
        <f>VLOOKUP($A26,'OI(Value)'!$A$7:$O$323,12,0)</f>
        <v>-48</v>
      </c>
      <c r="P26" s="179">
        <f>VLOOKUP(A26,'OI(Value)'!A26:O244,8,0)</f>
        <v>1383</v>
      </c>
      <c r="Q26" s="179">
        <f>VLOOKUP(A26,'OI(Value)'!A26:O244,9,0)</f>
        <v>-214</v>
      </c>
      <c r="R26" s="179">
        <f>VLOOKUP(A26,'OI(Value)'!A26:O244,11,0)</f>
        <v>825</v>
      </c>
      <c r="S26" s="179">
        <f>VLOOKUP(A26,'OI(Value)'!A26:O244,11,0)</f>
        <v>825</v>
      </c>
    </row>
    <row r="27" spans="1:19" x14ac:dyDescent="0.25">
      <c r="A27" s="105" t="str">
        <f>'Data Vlaue (Cr)'!C22</f>
        <v>BAJAJFINSV</v>
      </c>
      <c r="B27" s="143">
        <f>VLOOKUP($A27,'Data shares'!$C:$FA,118)</f>
        <v>0.59</v>
      </c>
      <c r="C27" s="143">
        <f>VLOOKUP($A27,'Data shares'!$C:$FA,119)</f>
        <v>0.55000000000000004</v>
      </c>
      <c r="D27" s="143">
        <f>VLOOKUP($A27,'Data shares'!$C:$FA,121)*100</f>
        <v>7.2700000000000005</v>
      </c>
      <c r="E27" s="143">
        <f>VLOOKUP($A27,'Data shares'!$C:$FA,124)</f>
        <v>0.46</v>
      </c>
      <c r="F27" s="143">
        <f>VLOOKUP($A27,'Data shares'!$C:$FA,125)</f>
        <v>0.66</v>
      </c>
      <c r="G27" s="143">
        <f>VLOOKUP($A27,'Data shares'!$C:$FA,127)*100</f>
        <v>-30.3</v>
      </c>
      <c r="H27" s="103">
        <f>VLOOKUP($A27,'OI(Volume)'!$A$7:$O$440,8)</f>
        <v>5674750</v>
      </c>
      <c r="I27" s="103">
        <f>VLOOKUP($A27,'OI(Volume)'!$A$7:$O$440,9)</f>
        <v>-214500</v>
      </c>
      <c r="J27" s="103">
        <f>VLOOKUP($A27,'OI(Volume)'!$A$7:$O$440,11)</f>
        <v>3326500</v>
      </c>
      <c r="K27" s="103">
        <f>VLOOKUP($A27,'OI(Volume)'!$A$7:$O$440,12)</f>
        <v>88250</v>
      </c>
      <c r="L27" s="103">
        <f>VLOOKUP($A27,'OI(Value)'!$A$7:$O$323,8,0)</f>
        <v>1130</v>
      </c>
      <c r="M27" s="103">
        <f>VLOOKUP($A27,'OI(Value)'!$A$7:$O$323,9,0)</f>
        <v>-43</v>
      </c>
      <c r="N27" s="103">
        <f>VLOOKUP($A27,'OI(Value)'!$A$7:$O$323,11,0)</f>
        <v>662</v>
      </c>
      <c r="O27" s="103">
        <f>VLOOKUP($A27,'OI(Value)'!$A$7:$O$323,12,0)</f>
        <v>18</v>
      </c>
      <c r="P27" s="179">
        <f>VLOOKUP(A27,'OI(Value)'!A27:O245,8,0)</f>
        <v>1130</v>
      </c>
      <c r="Q27" s="179">
        <f>VLOOKUP(A27,'OI(Value)'!A27:O245,9,0)</f>
        <v>-43</v>
      </c>
      <c r="R27" s="179">
        <f>VLOOKUP(A27,'OI(Value)'!A27:O245,11,0)</f>
        <v>662</v>
      </c>
      <c r="S27" s="179">
        <f>VLOOKUP(A27,'OI(Value)'!A27:O245,11,0)</f>
        <v>662</v>
      </c>
    </row>
    <row r="28" spans="1:19" x14ac:dyDescent="0.25">
      <c r="A28" s="105" t="str">
        <f>'Data Vlaue (Cr)'!C23</f>
        <v>BAJAJHLDNG</v>
      </c>
      <c r="B28" s="143">
        <f>VLOOKUP($A28,'Data shares'!$C:$FA,118)</f>
        <v>0.5</v>
      </c>
      <c r="C28" s="143">
        <f>VLOOKUP($A28,'Data shares'!$C:$FA,119)</f>
        <v>0.34</v>
      </c>
      <c r="D28" s="143">
        <f>VLOOKUP($A28,'Data shares'!$C:$FA,121)*100</f>
        <v>47.06</v>
      </c>
      <c r="E28" s="143">
        <f>VLOOKUP($A28,'Data shares'!$C:$FA,124)</f>
        <v>0.13</v>
      </c>
      <c r="F28" s="143">
        <f>VLOOKUP($A28,'Data shares'!$C:$FA,125)</f>
        <v>0.11</v>
      </c>
      <c r="G28" s="143">
        <f>VLOOKUP($A28,'Data shares'!$C:$FA,127)*100</f>
        <v>18.18</v>
      </c>
      <c r="H28" s="103">
        <f>VLOOKUP($A28,'OI(Volume)'!$A$7:$O$440,8)</f>
        <v>174200</v>
      </c>
      <c r="I28" s="103">
        <f>VLOOKUP($A28,'OI(Volume)'!$A$7:$O$440,9)</f>
        <v>-65650</v>
      </c>
      <c r="J28" s="103">
        <f>VLOOKUP($A28,'OI(Volume)'!$A$7:$O$440,11)</f>
        <v>87900</v>
      </c>
      <c r="K28" s="103">
        <f>VLOOKUP($A28,'OI(Volume)'!$A$7:$O$440,12)</f>
        <v>7300</v>
      </c>
      <c r="L28" s="103">
        <f>VLOOKUP($A28,'OI(Value)'!$A$7:$O$323,8,0)</f>
        <v>187</v>
      </c>
      <c r="M28" s="103">
        <f>VLOOKUP($A28,'OI(Value)'!$A$7:$O$323,9,0)</f>
        <v>-71</v>
      </c>
      <c r="N28" s="103">
        <f>VLOOKUP($A28,'OI(Value)'!$A$7:$O$323,11,0)</f>
        <v>94</v>
      </c>
      <c r="O28" s="103">
        <f>VLOOKUP($A28,'OI(Value)'!$A$7:$O$323,12,0)</f>
        <v>8</v>
      </c>
      <c r="P28" s="179">
        <f>VLOOKUP(A28,'OI(Value)'!A28:O246,8,0)</f>
        <v>187</v>
      </c>
      <c r="Q28" s="179">
        <f>VLOOKUP(A28,'OI(Value)'!A28:O246,9,0)</f>
        <v>-71</v>
      </c>
      <c r="R28" s="179">
        <f>VLOOKUP(A28,'OI(Value)'!A28:O246,11,0)</f>
        <v>94</v>
      </c>
      <c r="S28" s="179">
        <f>VLOOKUP(A28,'OI(Value)'!A28:O246,11,0)</f>
        <v>94</v>
      </c>
    </row>
    <row r="29" spans="1:19" x14ac:dyDescent="0.25">
      <c r="A29" s="105" t="str">
        <f>'Data Vlaue (Cr)'!C24</f>
        <v>BAJFINANCE</v>
      </c>
      <c r="B29" s="143">
        <f>VLOOKUP($A29,'Data shares'!$C:$FA,118)</f>
        <v>0.61</v>
      </c>
      <c r="C29" s="143">
        <f>VLOOKUP($A29,'Data shares'!$C:$FA,119)</f>
        <v>0.6</v>
      </c>
      <c r="D29" s="143">
        <f>VLOOKUP($A29,'Data shares'!$C:$FA,121)*100</f>
        <v>1.67</v>
      </c>
      <c r="E29" s="143">
        <f>VLOOKUP($A29,'Data shares'!$C:$FA,124)</f>
        <v>0.53</v>
      </c>
      <c r="F29" s="143">
        <f>VLOOKUP($A29,'Data shares'!$C:$FA,125)</f>
        <v>0.63</v>
      </c>
      <c r="G29" s="143">
        <f>VLOOKUP($A29,'Data shares'!$C:$FA,127)*100</f>
        <v>-15.870000000000001</v>
      </c>
      <c r="H29" s="103">
        <f>VLOOKUP($A29,'OI(Volume)'!$A$7:$O$440,8)</f>
        <v>30802500</v>
      </c>
      <c r="I29" s="103">
        <f>VLOOKUP($A29,'OI(Volume)'!$A$7:$O$440,9)</f>
        <v>-1321500</v>
      </c>
      <c r="J29" s="103">
        <f>VLOOKUP($A29,'OI(Volume)'!$A$7:$O$440,11)</f>
        <v>18943500</v>
      </c>
      <c r="K29" s="103">
        <f>VLOOKUP($A29,'OI(Volume)'!$A$7:$O$440,12)</f>
        <v>-276750</v>
      </c>
      <c r="L29" s="103">
        <f>VLOOKUP($A29,'OI(Value)'!$A$7:$O$323,8,0)</f>
        <v>2905</v>
      </c>
      <c r="M29" s="103">
        <f>VLOOKUP($A29,'OI(Value)'!$A$7:$O$323,9,0)</f>
        <v>-125</v>
      </c>
      <c r="N29" s="103">
        <f>VLOOKUP($A29,'OI(Value)'!$A$7:$O$323,11,0)</f>
        <v>1787</v>
      </c>
      <c r="O29" s="103">
        <f>VLOOKUP($A29,'OI(Value)'!$A$7:$O$323,12,0)</f>
        <v>-26</v>
      </c>
      <c r="P29" s="179">
        <f>VLOOKUP(A29,'OI(Value)'!A29:O247,8,0)</f>
        <v>2905</v>
      </c>
      <c r="Q29" s="179">
        <f>VLOOKUP(A29,'OI(Value)'!A29:O247,9,0)</f>
        <v>-125</v>
      </c>
      <c r="R29" s="179">
        <f>VLOOKUP(A29,'OI(Value)'!A29:O247,11,0)</f>
        <v>1787</v>
      </c>
      <c r="S29" s="179">
        <f>VLOOKUP(A29,'OI(Value)'!A29:O247,11,0)</f>
        <v>1787</v>
      </c>
    </row>
    <row r="30" spans="1:19" x14ac:dyDescent="0.25">
      <c r="A30" s="105" t="str">
        <f>'Data Vlaue (Cr)'!C25</f>
        <v>BANDHANBNK</v>
      </c>
      <c r="B30" s="143">
        <f>VLOOKUP($A30,'Data shares'!$C:$FA,118)</f>
        <v>0.82</v>
      </c>
      <c r="C30" s="143">
        <f>VLOOKUP($A30,'Data shares'!$C:$FA,119)</f>
        <v>0.8</v>
      </c>
      <c r="D30" s="143">
        <f>VLOOKUP($A30,'Data shares'!$C:$FA,121)*100</f>
        <v>2.5</v>
      </c>
      <c r="E30" s="143">
        <f>VLOOKUP($A30,'Data shares'!$C:$FA,124)</f>
        <v>0.45</v>
      </c>
      <c r="F30" s="143">
        <f>VLOOKUP($A30,'Data shares'!$C:$FA,125)</f>
        <v>0.75</v>
      </c>
      <c r="G30" s="143">
        <f>VLOOKUP($A30,'Data shares'!$C:$FA,127)*100</f>
        <v>-40</v>
      </c>
      <c r="H30" s="103">
        <f>VLOOKUP($A30,'OI(Volume)'!$A$7:$O$440,8)</f>
        <v>38422800</v>
      </c>
      <c r="I30" s="103">
        <f>VLOOKUP($A30,'OI(Volume)'!$A$7:$O$440,9)</f>
        <v>-2080800</v>
      </c>
      <c r="J30" s="103">
        <f>VLOOKUP($A30,'OI(Volume)'!$A$7:$O$440,11)</f>
        <v>31608000</v>
      </c>
      <c r="K30" s="103">
        <f>VLOOKUP($A30,'OI(Volume)'!$A$7:$O$440,12)</f>
        <v>-835200</v>
      </c>
      <c r="L30" s="103">
        <f>VLOOKUP($A30,'OI(Value)'!$A$7:$O$323,8,0)</f>
        <v>547</v>
      </c>
      <c r="M30" s="103">
        <f>VLOOKUP($A30,'OI(Value)'!$A$7:$O$323,9,0)</f>
        <v>-30</v>
      </c>
      <c r="N30" s="103">
        <f>VLOOKUP($A30,'OI(Value)'!$A$7:$O$323,11,0)</f>
        <v>450</v>
      </c>
      <c r="O30" s="103">
        <f>VLOOKUP($A30,'OI(Value)'!$A$7:$O$323,12,0)</f>
        <v>-12</v>
      </c>
      <c r="P30" s="179">
        <f>VLOOKUP(A30,'OI(Value)'!A30:O248,8,0)</f>
        <v>547</v>
      </c>
      <c r="Q30" s="179">
        <f>VLOOKUP(A30,'OI(Value)'!A30:O248,9,0)</f>
        <v>-30</v>
      </c>
      <c r="R30" s="179">
        <f>VLOOKUP(A30,'OI(Value)'!A30:O248,11,0)</f>
        <v>450</v>
      </c>
      <c r="S30" s="179">
        <f>VLOOKUP(A30,'OI(Value)'!A30:O248,11,0)</f>
        <v>450</v>
      </c>
    </row>
    <row r="31" spans="1:19" x14ac:dyDescent="0.25">
      <c r="A31" s="105" t="str">
        <f>'Data Vlaue (Cr)'!C26</f>
        <v>BANKBARODA</v>
      </c>
      <c r="B31" s="143">
        <f>VLOOKUP($A31,'Data shares'!$C:$FA,118)</f>
        <v>0.74</v>
      </c>
      <c r="C31" s="143">
        <f>VLOOKUP($A31,'Data shares'!$C:$FA,119)</f>
        <v>0.66</v>
      </c>
      <c r="D31" s="143">
        <f>VLOOKUP($A31,'Data shares'!$C:$FA,121)*100</f>
        <v>12.120000000000001</v>
      </c>
      <c r="E31" s="143">
        <f>VLOOKUP($A31,'Data shares'!$C:$FA,124)</f>
        <v>0.62</v>
      </c>
      <c r="F31" s="143">
        <f>VLOOKUP($A31,'Data shares'!$C:$FA,125)</f>
        <v>0.72</v>
      </c>
      <c r="G31" s="143">
        <f>VLOOKUP($A31,'Data shares'!$C:$FA,127)*100</f>
        <v>-13.889999999999999</v>
      </c>
      <c r="H31" s="103">
        <f>VLOOKUP($A31,'OI(Volume)'!$A$7:$O$440,8)</f>
        <v>57268575</v>
      </c>
      <c r="I31" s="103">
        <f>VLOOKUP($A31,'OI(Volume)'!$A$7:$O$440,9)</f>
        <v>-8383050</v>
      </c>
      <c r="J31" s="103">
        <f>VLOOKUP($A31,'OI(Volume)'!$A$7:$O$440,11)</f>
        <v>42313050</v>
      </c>
      <c r="K31" s="103">
        <f>VLOOKUP($A31,'OI(Volume)'!$A$7:$O$440,12)</f>
        <v>-1149525</v>
      </c>
      <c r="L31" s="103">
        <f>VLOOKUP($A31,'OI(Value)'!$A$7:$O$323,8,0)</f>
        <v>1750</v>
      </c>
      <c r="M31" s="103">
        <f>VLOOKUP($A31,'OI(Value)'!$A$7:$O$323,9,0)</f>
        <v>-256</v>
      </c>
      <c r="N31" s="103">
        <f>VLOOKUP($A31,'OI(Value)'!$A$7:$O$323,11,0)</f>
        <v>1293</v>
      </c>
      <c r="O31" s="103">
        <f>VLOOKUP($A31,'OI(Value)'!$A$7:$O$323,12,0)</f>
        <v>-35</v>
      </c>
      <c r="P31" s="179">
        <f>VLOOKUP(A31,'OI(Value)'!A31:O249,8,0)</f>
        <v>1750</v>
      </c>
      <c r="Q31" s="179">
        <f>VLOOKUP(A31,'OI(Value)'!A31:O249,9,0)</f>
        <v>-256</v>
      </c>
      <c r="R31" s="179">
        <f>VLOOKUP(A31,'OI(Value)'!A31:O249,11,0)</f>
        <v>1293</v>
      </c>
      <c r="S31" s="179">
        <f>VLOOKUP(A31,'OI(Value)'!A31:O249,11,0)</f>
        <v>1293</v>
      </c>
    </row>
    <row r="32" spans="1:19" x14ac:dyDescent="0.25">
      <c r="A32" s="105" t="str">
        <f>'Data Vlaue (Cr)'!C27</f>
        <v>BANKINDIA</v>
      </c>
      <c r="B32" s="143">
        <f>VLOOKUP($A32,'Data shares'!$C:$FA,118)</f>
        <v>0.81</v>
      </c>
      <c r="C32" s="143">
        <f>VLOOKUP($A32,'Data shares'!$C:$FA,119)</f>
        <v>0.77</v>
      </c>
      <c r="D32" s="143">
        <f>VLOOKUP($A32,'Data shares'!$C:$FA,121)*100</f>
        <v>5.19</v>
      </c>
      <c r="E32" s="143">
        <f>VLOOKUP($A32,'Data shares'!$C:$FA,124)</f>
        <v>0.43</v>
      </c>
      <c r="F32" s="143">
        <f>VLOOKUP($A32,'Data shares'!$C:$FA,125)</f>
        <v>0.7</v>
      </c>
      <c r="G32" s="143">
        <f>VLOOKUP($A32,'Data shares'!$C:$FA,127)*100</f>
        <v>-38.57</v>
      </c>
      <c r="H32" s="103">
        <f>VLOOKUP($A32,'OI(Volume)'!$A$7:$O$440,8)</f>
        <v>42712800</v>
      </c>
      <c r="I32" s="103">
        <f>VLOOKUP($A32,'OI(Volume)'!$A$7:$O$440,9)</f>
        <v>-3541200</v>
      </c>
      <c r="J32" s="103">
        <f>VLOOKUP($A32,'OI(Volume)'!$A$7:$O$440,11)</f>
        <v>34398000</v>
      </c>
      <c r="K32" s="103">
        <f>VLOOKUP($A32,'OI(Volume)'!$A$7:$O$440,12)</f>
        <v>-1040000</v>
      </c>
      <c r="L32" s="103">
        <f>VLOOKUP($A32,'OI(Value)'!$A$7:$O$323,8,0)</f>
        <v>710</v>
      </c>
      <c r="M32" s="103">
        <f>VLOOKUP($A32,'OI(Value)'!$A$7:$O$323,9,0)</f>
        <v>-59</v>
      </c>
      <c r="N32" s="103">
        <f>VLOOKUP($A32,'OI(Value)'!$A$7:$O$323,11,0)</f>
        <v>572</v>
      </c>
      <c r="O32" s="103">
        <f>VLOOKUP($A32,'OI(Value)'!$A$7:$O$323,12,0)</f>
        <v>-17</v>
      </c>
      <c r="P32" s="179">
        <f>VLOOKUP(A32,'OI(Value)'!A32:O250,8,0)</f>
        <v>710</v>
      </c>
      <c r="Q32" s="179">
        <f>VLOOKUP(A32,'OI(Value)'!A32:O250,9,0)</f>
        <v>-59</v>
      </c>
      <c r="R32" s="179">
        <f>VLOOKUP(A32,'OI(Value)'!A32:O250,11,0)</f>
        <v>572</v>
      </c>
      <c r="S32" s="179">
        <f>VLOOKUP(A32,'OI(Value)'!A32:O250,11,0)</f>
        <v>572</v>
      </c>
    </row>
    <row r="33" spans="1:19" x14ac:dyDescent="0.25">
      <c r="A33" s="105" t="str">
        <f>'Data Vlaue (Cr)'!C28</f>
        <v>BANKNIFTY</v>
      </c>
      <c r="B33" s="143">
        <f>VLOOKUP($A33,'Data shares'!$C:$FA,118)</f>
        <v>0.81</v>
      </c>
      <c r="C33" s="143">
        <f>VLOOKUP($A33,'Data shares'!$C:$FA,119)</f>
        <v>0.74</v>
      </c>
      <c r="D33" s="143">
        <f>VLOOKUP($A33,'Data shares'!$C:$FA,121)*100</f>
        <v>9.4600000000000009</v>
      </c>
      <c r="E33" s="143">
        <f>VLOOKUP($A33,'Data shares'!$C:$FA,124)</f>
        <v>0.9</v>
      </c>
      <c r="F33" s="143">
        <f>VLOOKUP($A33,'Data shares'!$C:$FA,125)</f>
        <v>0.98</v>
      </c>
      <c r="G33" s="143">
        <f>VLOOKUP($A33,'Data shares'!$C:$FA,127)*100</f>
        <v>-8.16</v>
      </c>
      <c r="H33" s="103">
        <f>VLOOKUP($A33,'OI(Volume)'!$A$7:$O$440,8)</f>
        <v>21700675</v>
      </c>
      <c r="I33" s="103">
        <f>VLOOKUP($A33,'OI(Volume)'!$A$7:$O$440,9)</f>
        <v>30635</v>
      </c>
      <c r="J33" s="103">
        <f>VLOOKUP($A33,'OI(Volume)'!$A$7:$O$440,11)</f>
        <v>17579320</v>
      </c>
      <c r="K33" s="103">
        <f>VLOOKUP($A33,'OI(Volume)'!$A$7:$O$440,12)</f>
        <v>1586855</v>
      </c>
      <c r="L33" s="103">
        <f>VLOOKUP($A33,'OI(Value)'!$A$7:$O$323,8,0)</f>
        <v>128779</v>
      </c>
      <c r="M33" s="103">
        <f>VLOOKUP($A33,'OI(Value)'!$A$7:$O$323,9,0)</f>
        <v>182</v>
      </c>
      <c r="N33" s="103">
        <f>VLOOKUP($A33,'OI(Value)'!$A$7:$O$323,11,0)</f>
        <v>104321</v>
      </c>
      <c r="O33" s="103">
        <f>VLOOKUP($A33,'OI(Value)'!$A$7:$O$323,12,0)</f>
        <v>9417</v>
      </c>
      <c r="P33" s="179">
        <f>VLOOKUP(A33,'OI(Value)'!A33:O251,8,0)</f>
        <v>128779</v>
      </c>
      <c r="Q33" s="179">
        <f>VLOOKUP(A33,'OI(Value)'!A33:O251,9,0)</f>
        <v>182</v>
      </c>
      <c r="R33" s="179">
        <f>VLOOKUP(A33,'OI(Value)'!A33:O251,11,0)</f>
        <v>104321</v>
      </c>
      <c r="S33" s="179">
        <f>VLOOKUP(A33,'OI(Value)'!A33:O251,11,0)</f>
        <v>104321</v>
      </c>
    </row>
    <row r="34" spans="1:19" x14ac:dyDescent="0.25">
      <c r="A34" s="105" t="str">
        <f>'Data Vlaue (Cr)'!C29</f>
        <v>BDL</v>
      </c>
      <c r="B34" s="143">
        <f>VLOOKUP($A34,'Data shares'!$C:$FA,118)</f>
        <v>0.53</v>
      </c>
      <c r="C34" s="143">
        <f>VLOOKUP($A34,'Data shares'!$C:$FA,119)</f>
        <v>0.53</v>
      </c>
      <c r="D34" s="143">
        <f>VLOOKUP($A34,'Data shares'!$C:$FA,121)*100</f>
        <v>0</v>
      </c>
      <c r="E34" s="143">
        <f>VLOOKUP($A34,'Data shares'!$C:$FA,124)</f>
        <v>0.39</v>
      </c>
      <c r="F34" s="143">
        <f>VLOOKUP($A34,'Data shares'!$C:$FA,125)</f>
        <v>0.48</v>
      </c>
      <c r="G34" s="143">
        <f>VLOOKUP($A34,'Data shares'!$C:$FA,127)*100</f>
        <v>-18.75</v>
      </c>
      <c r="H34" s="103">
        <f>VLOOKUP($A34,'OI(Volume)'!$A$7:$O$440,8)</f>
        <v>5072900</v>
      </c>
      <c r="I34" s="103">
        <f>VLOOKUP($A34,'OI(Volume)'!$A$7:$O$440,9)</f>
        <v>-86800</v>
      </c>
      <c r="J34" s="103">
        <f>VLOOKUP($A34,'OI(Volume)'!$A$7:$O$440,11)</f>
        <v>2707250</v>
      </c>
      <c r="K34" s="103">
        <f>VLOOKUP($A34,'OI(Volume)'!$A$7:$O$440,12)</f>
        <v>-45150</v>
      </c>
      <c r="L34" s="103">
        <f>VLOOKUP($A34,'OI(Value)'!$A$7:$O$323,8,0)</f>
        <v>737</v>
      </c>
      <c r="M34" s="103">
        <f>VLOOKUP($A34,'OI(Value)'!$A$7:$O$323,9,0)</f>
        <v>-13</v>
      </c>
      <c r="N34" s="103">
        <f>VLOOKUP($A34,'OI(Value)'!$A$7:$O$323,11,0)</f>
        <v>393</v>
      </c>
      <c r="O34" s="103">
        <f>VLOOKUP($A34,'OI(Value)'!$A$7:$O$323,12,0)</f>
        <v>-7</v>
      </c>
      <c r="P34" s="179">
        <f>VLOOKUP(A34,'OI(Value)'!A34:O252,8,0)</f>
        <v>737</v>
      </c>
      <c r="Q34" s="179">
        <f>VLOOKUP(A34,'OI(Value)'!A34:O252,9,0)</f>
        <v>-13</v>
      </c>
      <c r="R34" s="179">
        <f>VLOOKUP(A34,'OI(Value)'!A34:O252,11,0)</f>
        <v>393</v>
      </c>
      <c r="S34" s="179">
        <f>VLOOKUP(A34,'OI(Value)'!A34:O252,11,0)</f>
        <v>393</v>
      </c>
    </row>
    <row r="35" spans="1:19" x14ac:dyDescent="0.25">
      <c r="A35" s="105" t="str">
        <f>'Data Vlaue (Cr)'!C30</f>
        <v>BEL</v>
      </c>
      <c r="B35" s="143">
        <f>VLOOKUP($A35,'Data shares'!$C:$FA,118)</f>
        <v>0.62</v>
      </c>
      <c r="C35" s="143">
        <f>VLOOKUP($A35,'Data shares'!$C:$FA,119)</f>
        <v>0.56999999999999995</v>
      </c>
      <c r="D35" s="143">
        <f>VLOOKUP($A35,'Data shares'!$C:$FA,121)*100</f>
        <v>8.77</v>
      </c>
      <c r="E35" s="143">
        <f>VLOOKUP($A35,'Data shares'!$C:$FA,124)</f>
        <v>0.5</v>
      </c>
      <c r="F35" s="143">
        <f>VLOOKUP($A35,'Data shares'!$C:$FA,125)</f>
        <v>0.69</v>
      </c>
      <c r="G35" s="143">
        <f>VLOOKUP($A35,'Data shares'!$C:$FA,127)*100</f>
        <v>-27.54</v>
      </c>
      <c r="H35" s="103">
        <f>VLOOKUP($A35,'OI(Volume)'!$A$7:$O$440,8)</f>
        <v>57252225</v>
      </c>
      <c r="I35" s="103">
        <f>VLOOKUP($A35,'OI(Volume)'!$A$7:$O$440,9)</f>
        <v>-4229400</v>
      </c>
      <c r="J35" s="103">
        <f>VLOOKUP($A35,'OI(Volume)'!$A$7:$O$440,11)</f>
        <v>35508150</v>
      </c>
      <c r="K35" s="103">
        <f>VLOOKUP($A35,'OI(Volume)'!$A$7:$O$440,12)</f>
        <v>453150</v>
      </c>
      <c r="L35" s="103">
        <f>VLOOKUP($A35,'OI(Value)'!$A$7:$O$323,8,0)</f>
        <v>2388</v>
      </c>
      <c r="M35" s="103">
        <f>VLOOKUP($A35,'OI(Value)'!$A$7:$O$323,9,0)</f>
        <v>-176</v>
      </c>
      <c r="N35" s="103">
        <f>VLOOKUP($A35,'OI(Value)'!$A$7:$O$323,11,0)</f>
        <v>1481</v>
      </c>
      <c r="O35" s="103">
        <f>VLOOKUP($A35,'OI(Value)'!$A$7:$O$323,12,0)</f>
        <v>19</v>
      </c>
      <c r="P35" s="179">
        <f>VLOOKUP(A35,'OI(Value)'!A35:O253,8,0)</f>
        <v>2388</v>
      </c>
      <c r="Q35" s="179">
        <f>VLOOKUP(A35,'OI(Value)'!A35:O253,9,0)</f>
        <v>-176</v>
      </c>
      <c r="R35" s="179">
        <f>VLOOKUP(A35,'OI(Value)'!A35:O253,11,0)</f>
        <v>1481</v>
      </c>
      <c r="S35" s="179">
        <f>VLOOKUP(A35,'OI(Value)'!A35:O253,11,0)</f>
        <v>1481</v>
      </c>
    </row>
    <row r="36" spans="1:19" x14ac:dyDescent="0.25">
      <c r="A36" s="105" t="str">
        <f>'Data Vlaue (Cr)'!C31</f>
        <v>BHARATFORG</v>
      </c>
      <c r="B36" s="143">
        <f>VLOOKUP($A36,'Data shares'!$C:$FA,118)</f>
        <v>0.54</v>
      </c>
      <c r="C36" s="143">
        <f>VLOOKUP($A36,'Data shares'!$C:$FA,119)</f>
        <v>0.55000000000000004</v>
      </c>
      <c r="D36" s="143">
        <f>VLOOKUP($A36,'Data shares'!$C:$FA,121)*100</f>
        <v>-1.82</v>
      </c>
      <c r="E36" s="143">
        <f>VLOOKUP($A36,'Data shares'!$C:$FA,124)</f>
        <v>0.41</v>
      </c>
      <c r="F36" s="143">
        <f>VLOOKUP($A36,'Data shares'!$C:$FA,125)</f>
        <v>0.61</v>
      </c>
      <c r="G36" s="143">
        <f>VLOOKUP($A36,'Data shares'!$C:$FA,127)*100</f>
        <v>-32.79</v>
      </c>
      <c r="H36" s="103">
        <f>VLOOKUP($A36,'OI(Volume)'!$A$7:$O$440,8)</f>
        <v>4168500</v>
      </c>
      <c r="I36" s="103">
        <f>VLOOKUP($A36,'OI(Volume)'!$A$7:$O$440,9)</f>
        <v>-393500</v>
      </c>
      <c r="J36" s="103">
        <f>VLOOKUP($A36,'OI(Volume)'!$A$7:$O$440,11)</f>
        <v>2231500</v>
      </c>
      <c r="K36" s="103">
        <f>VLOOKUP($A36,'OI(Volume)'!$A$7:$O$440,12)</f>
        <v>-270000</v>
      </c>
      <c r="L36" s="103">
        <f>VLOOKUP($A36,'OI(Value)'!$A$7:$O$323,8,0)</f>
        <v>598</v>
      </c>
      <c r="M36" s="103">
        <f>VLOOKUP($A36,'OI(Value)'!$A$7:$O$323,9,0)</f>
        <v>-56</v>
      </c>
      <c r="N36" s="103">
        <f>VLOOKUP($A36,'OI(Value)'!$A$7:$O$323,11,0)</f>
        <v>320</v>
      </c>
      <c r="O36" s="103">
        <f>VLOOKUP($A36,'OI(Value)'!$A$7:$O$323,12,0)</f>
        <v>-39</v>
      </c>
      <c r="P36" s="179">
        <f>VLOOKUP(A36,'OI(Value)'!A36:O254,8,0)</f>
        <v>598</v>
      </c>
      <c r="Q36" s="179">
        <f>VLOOKUP(A36,'OI(Value)'!A36:O254,9,0)</f>
        <v>-56</v>
      </c>
      <c r="R36" s="179">
        <f>VLOOKUP(A36,'OI(Value)'!A36:O254,11,0)</f>
        <v>320</v>
      </c>
      <c r="S36" s="179">
        <f>VLOOKUP(A36,'OI(Value)'!A36:O254,11,0)</f>
        <v>320</v>
      </c>
    </row>
    <row r="37" spans="1:19" x14ac:dyDescent="0.25">
      <c r="A37" s="105" t="str">
        <f>'Data Vlaue (Cr)'!C32</f>
        <v>BHARTIARTL</v>
      </c>
      <c r="B37" s="143">
        <f>VLOOKUP($A37,'Data shares'!$C:$FA,118)</f>
        <v>0.47</v>
      </c>
      <c r="C37" s="143">
        <f>VLOOKUP($A37,'Data shares'!$C:$FA,119)</f>
        <v>0.45</v>
      </c>
      <c r="D37" s="143">
        <f>VLOOKUP($A37,'Data shares'!$C:$FA,121)*100</f>
        <v>4.4400000000000004</v>
      </c>
      <c r="E37" s="143">
        <f>VLOOKUP($A37,'Data shares'!$C:$FA,124)</f>
        <v>0.51</v>
      </c>
      <c r="F37" s="143">
        <f>VLOOKUP($A37,'Data shares'!$C:$FA,125)</f>
        <v>0.62</v>
      </c>
      <c r="G37" s="143">
        <f>VLOOKUP($A37,'Data shares'!$C:$FA,127)*100</f>
        <v>-17.740000000000002</v>
      </c>
      <c r="H37" s="103">
        <f>VLOOKUP($A37,'OI(Volume)'!$A$7:$O$440,8)</f>
        <v>15474550</v>
      </c>
      <c r="I37" s="103">
        <f>VLOOKUP($A37,'OI(Volume)'!$A$7:$O$440,9)</f>
        <v>-1137150</v>
      </c>
      <c r="J37" s="103">
        <f>VLOOKUP($A37,'OI(Volume)'!$A$7:$O$440,11)</f>
        <v>7233775</v>
      </c>
      <c r="K37" s="103">
        <f>VLOOKUP($A37,'OI(Volume)'!$A$7:$O$440,12)</f>
        <v>-252225</v>
      </c>
      <c r="L37" s="103">
        <f>VLOOKUP($A37,'OI(Value)'!$A$7:$O$323,8,0)</f>
        <v>3104</v>
      </c>
      <c r="M37" s="103">
        <f>VLOOKUP($A37,'OI(Value)'!$A$7:$O$323,9,0)</f>
        <v>-228</v>
      </c>
      <c r="N37" s="103">
        <f>VLOOKUP($A37,'OI(Value)'!$A$7:$O$323,11,0)</f>
        <v>1451</v>
      </c>
      <c r="O37" s="103">
        <f>VLOOKUP($A37,'OI(Value)'!$A$7:$O$323,12,0)</f>
        <v>-51</v>
      </c>
      <c r="P37" s="179">
        <f>VLOOKUP(A37,'OI(Value)'!A37:O255,8,0)</f>
        <v>3104</v>
      </c>
      <c r="Q37" s="179">
        <f>VLOOKUP(A37,'OI(Value)'!A37:O255,9,0)</f>
        <v>-228</v>
      </c>
      <c r="R37" s="179">
        <f>VLOOKUP(A37,'OI(Value)'!A37:O255,11,0)</f>
        <v>1451</v>
      </c>
      <c r="S37" s="179">
        <f>VLOOKUP(A37,'OI(Value)'!A37:O255,11,0)</f>
        <v>1451</v>
      </c>
    </row>
    <row r="38" spans="1:19" x14ac:dyDescent="0.25">
      <c r="A38" s="105" t="str">
        <f>'Data Vlaue (Cr)'!C33</f>
        <v>BHEL</v>
      </c>
      <c r="B38" s="143">
        <f>VLOOKUP($A38,'Data shares'!$C:$FA,118)</f>
        <v>0.4</v>
      </c>
      <c r="C38" s="143">
        <f>VLOOKUP($A38,'Data shares'!$C:$FA,119)</f>
        <v>0.41</v>
      </c>
      <c r="D38" s="143">
        <f>VLOOKUP($A38,'Data shares'!$C:$FA,121)*100</f>
        <v>-2.44</v>
      </c>
      <c r="E38" s="143">
        <f>VLOOKUP($A38,'Data shares'!$C:$FA,124)</f>
        <v>0.44</v>
      </c>
      <c r="F38" s="143">
        <f>VLOOKUP($A38,'Data shares'!$C:$FA,125)</f>
        <v>0.51</v>
      </c>
      <c r="G38" s="143">
        <f>VLOOKUP($A38,'Data shares'!$C:$FA,127)*100</f>
        <v>-13.73</v>
      </c>
      <c r="H38" s="103">
        <f>VLOOKUP($A38,'OI(Volume)'!$A$7:$O$440,8)</f>
        <v>109798500</v>
      </c>
      <c r="I38" s="103">
        <f>VLOOKUP($A38,'OI(Volume)'!$A$7:$O$440,9)</f>
        <v>-1882125</v>
      </c>
      <c r="J38" s="103">
        <f>VLOOKUP($A38,'OI(Volume)'!$A$7:$O$440,11)</f>
        <v>43451625</v>
      </c>
      <c r="K38" s="103">
        <f>VLOOKUP($A38,'OI(Volume)'!$A$7:$O$440,12)</f>
        <v>-2412375</v>
      </c>
      <c r="L38" s="103">
        <f>VLOOKUP($A38,'OI(Value)'!$A$7:$O$323,8,0)</f>
        <v>2764</v>
      </c>
      <c r="M38" s="103">
        <f>VLOOKUP($A38,'OI(Value)'!$A$7:$O$323,9,0)</f>
        <v>-47</v>
      </c>
      <c r="N38" s="103">
        <f>VLOOKUP($A38,'OI(Value)'!$A$7:$O$323,11,0)</f>
        <v>1094</v>
      </c>
      <c r="O38" s="103">
        <f>VLOOKUP($A38,'OI(Value)'!$A$7:$O$323,12,0)</f>
        <v>-61</v>
      </c>
      <c r="P38" s="179">
        <f>VLOOKUP(A38,'OI(Value)'!A38:O256,8,0)</f>
        <v>2764</v>
      </c>
      <c r="Q38" s="179">
        <f>VLOOKUP(A38,'OI(Value)'!A38:O256,9,0)</f>
        <v>-47</v>
      </c>
      <c r="R38" s="179">
        <f>VLOOKUP(A38,'OI(Value)'!A38:O256,11,0)</f>
        <v>1094</v>
      </c>
      <c r="S38" s="179">
        <f>VLOOKUP(A38,'OI(Value)'!A38:O256,11,0)</f>
        <v>1094</v>
      </c>
    </row>
    <row r="39" spans="1:19" x14ac:dyDescent="0.25">
      <c r="A39" s="105" t="str">
        <f>'Data Vlaue (Cr)'!C34</f>
        <v>BIOCON</v>
      </c>
      <c r="B39" s="143">
        <f>VLOOKUP($A39,'Data shares'!$C:$FA,118)</f>
        <v>0.46</v>
      </c>
      <c r="C39" s="143">
        <f>VLOOKUP($A39,'Data shares'!$C:$FA,119)</f>
        <v>0.43</v>
      </c>
      <c r="D39" s="143">
        <f>VLOOKUP($A39,'Data shares'!$C:$FA,121)*100</f>
        <v>6.98</v>
      </c>
      <c r="E39" s="143">
        <f>VLOOKUP($A39,'Data shares'!$C:$FA,124)</f>
        <v>0.54</v>
      </c>
      <c r="F39" s="143">
        <f>VLOOKUP($A39,'Data shares'!$C:$FA,125)</f>
        <v>0.5</v>
      </c>
      <c r="G39" s="143">
        <f>VLOOKUP($A39,'Data shares'!$C:$FA,127)*100</f>
        <v>8</v>
      </c>
      <c r="H39" s="103">
        <f>VLOOKUP($A39,'OI(Volume)'!$A$7:$O$440,8)</f>
        <v>29702500</v>
      </c>
      <c r="I39" s="103">
        <f>VLOOKUP($A39,'OI(Volume)'!$A$7:$O$440,9)</f>
        <v>-2747500</v>
      </c>
      <c r="J39" s="103">
        <f>VLOOKUP($A39,'OI(Volume)'!$A$7:$O$440,11)</f>
        <v>13550000</v>
      </c>
      <c r="K39" s="103">
        <f>VLOOKUP($A39,'OI(Volume)'!$A$7:$O$440,12)</f>
        <v>-435000</v>
      </c>
      <c r="L39" s="103">
        <f>VLOOKUP($A39,'OI(Value)'!$A$7:$O$323,8,0)</f>
        <v>1108</v>
      </c>
      <c r="M39" s="103">
        <f>VLOOKUP($A39,'OI(Value)'!$A$7:$O$323,9,0)</f>
        <v>-102</v>
      </c>
      <c r="N39" s="103">
        <f>VLOOKUP($A39,'OI(Value)'!$A$7:$O$323,11,0)</f>
        <v>505</v>
      </c>
      <c r="O39" s="103">
        <f>VLOOKUP($A39,'OI(Value)'!$A$7:$O$323,12,0)</f>
        <v>-16</v>
      </c>
      <c r="P39" s="179">
        <f>VLOOKUP(A39,'OI(Value)'!A39:O257,8,0)</f>
        <v>1108</v>
      </c>
      <c r="Q39" s="179">
        <f>VLOOKUP(A39,'OI(Value)'!A39:O257,9,0)</f>
        <v>-102</v>
      </c>
      <c r="R39" s="179">
        <f>VLOOKUP(A39,'OI(Value)'!A39:O257,11,0)</f>
        <v>505</v>
      </c>
      <c r="S39" s="179">
        <f>VLOOKUP(A39,'OI(Value)'!A39:O257,11,0)</f>
        <v>505</v>
      </c>
    </row>
    <row r="40" spans="1:19" x14ac:dyDescent="0.25">
      <c r="A40" s="105" t="str">
        <f>'Data Vlaue (Cr)'!C35</f>
        <v>BLUESTARCO</v>
      </c>
      <c r="B40" s="143">
        <f>VLOOKUP($A40,'Data shares'!$C:$FA,118)</f>
        <v>0.98</v>
      </c>
      <c r="C40" s="143">
        <f>VLOOKUP($A40,'Data shares'!$C:$FA,119)</f>
        <v>1</v>
      </c>
      <c r="D40" s="143">
        <f>VLOOKUP($A40,'Data shares'!$C:$FA,121)*100</f>
        <v>-2</v>
      </c>
      <c r="E40" s="143">
        <f>VLOOKUP($A40,'Data shares'!$C:$FA,124)</f>
        <v>0.66</v>
      </c>
      <c r="F40" s="143">
        <f>VLOOKUP($A40,'Data shares'!$C:$FA,125)</f>
        <v>1.62</v>
      </c>
      <c r="G40" s="143">
        <f>VLOOKUP($A40,'Data shares'!$C:$FA,127)*100</f>
        <v>-59.260000000000005</v>
      </c>
      <c r="H40" s="103">
        <f>VLOOKUP($A40,'OI(Volume)'!$A$7:$O$440,8)</f>
        <v>965575</v>
      </c>
      <c r="I40" s="103">
        <f>VLOOKUP($A40,'OI(Volume)'!$A$7:$O$440,9)</f>
        <v>21450</v>
      </c>
      <c r="J40" s="103">
        <f>VLOOKUP($A40,'OI(Volume)'!$A$7:$O$440,11)</f>
        <v>944450</v>
      </c>
      <c r="K40" s="103">
        <f>VLOOKUP($A40,'OI(Volume)'!$A$7:$O$440,12)</f>
        <v>-2925</v>
      </c>
      <c r="L40" s="103">
        <f>VLOOKUP($A40,'OI(Value)'!$A$7:$O$323,8,0)</f>
        <v>166</v>
      </c>
      <c r="M40" s="103">
        <f>VLOOKUP($A40,'OI(Value)'!$A$7:$O$323,9,0)</f>
        <v>4</v>
      </c>
      <c r="N40" s="103">
        <f>VLOOKUP($A40,'OI(Value)'!$A$7:$O$323,11,0)</f>
        <v>162</v>
      </c>
      <c r="O40" s="103">
        <f>VLOOKUP($A40,'OI(Value)'!$A$7:$O$323,12,0)</f>
        <v>-1</v>
      </c>
      <c r="P40" s="179">
        <f>VLOOKUP(A40,'OI(Value)'!A40:O258,8,0)</f>
        <v>166</v>
      </c>
      <c r="Q40" s="179">
        <f>VLOOKUP(A40,'OI(Value)'!A40:O258,9,0)</f>
        <v>4</v>
      </c>
      <c r="R40" s="179">
        <f>VLOOKUP(A40,'OI(Value)'!A40:O258,11,0)</f>
        <v>162</v>
      </c>
      <c r="S40" s="179">
        <f>VLOOKUP(A40,'OI(Value)'!A40:O258,11,0)</f>
        <v>162</v>
      </c>
    </row>
    <row r="41" spans="1:19" x14ac:dyDescent="0.25">
      <c r="A41" s="105" t="str">
        <f>'Data Vlaue (Cr)'!C36</f>
        <v>BOSCHLTD</v>
      </c>
      <c r="B41" s="143">
        <f>VLOOKUP($A41,'Data shares'!$C:$FA,118)</f>
        <v>0.27</v>
      </c>
      <c r="C41" s="143">
        <f>VLOOKUP($A41,'Data shares'!$C:$FA,119)</f>
        <v>0.27</v>
      </c>
      <c r="D41" s="143">
        <f>VLOOKUP($A41,'Data shares'!$C:$FA,121)*100</f>
        <v>0</v>
      </c>
      <c r="E41" s="143">
        <f>VLOOKUP($A41,'Data shares'!$C:$FA,124)</f>
        <v>0.17</v>
      </c>
      <c r="F41" s="143">
        <f>VLOOKUP($A41,'Data shares'!$C:$FA,125)</f>
        <v>0.34</v>
      </c>
      <c r="G41" s="143">
        <f>VLOOKUP($A41,'Data shares'!$C:$FA,127)*100</f>
        <v>-50</v>
      </c>
      <c r="H41" s="103">
        <f>VLOOKUP($A41,'OI(Volume)'!$A$7:$O$440,8)</f>
        <v>414175</v>
      </c>
      <c r="I41" s="103">
        <f>VLOOKUP($A41,'OI(Volume)'!$A$7:$O$440,9)</f>
        <v>-4625</v>
      </c>
      <c r="J41" s="103">
        <f>VLOOKUP($A41,'OI(Volume)'!$A$7:$O$440,11)</f>
        <v>112175</v>
      </c>
      <c r="K41" s="103">
        <f>VLOOKUP($A41,'OI(Volume)'!$A$7:$O$440,12)</f>
        <v>-2175</v>
      </c>
      <c r="L41" s="103">
        <f>VLOOKUP($A41,'OI(Value)'!$A$7:$O$323,8,0)</f>
        <v>1484</v>
      </c>
      <c r="M41" s="103">
        <f>VLOOKUP($A41,'OI(Value)'!$A$7:$O$323,9,0)</f>
        <v>-17</v>
      </c>
      <c r="N41" s="103">
        <f>VLOOKUP($A41,'OI(Value)'!$A$7:$O$323,11,0)</f>
        <v>402</v>
      </c>
      <c r="O41" s="103">
        <f>VLOOKUP($A41,'OI(Value)'!$A$7:$O$323,12,0)</f>
        <v>-8</v>
      </c>
      <c r="P41" s="179">
        <f>VLOOKUP(A41,'OI(Value)'!A41:O259,8,0)</f>
        <v>1484</v>
      </c>
      <c r="Q41" s="179">
        <f>VLOOKUP(A41,'OI(Value)'!A41:O259,9,0)</f>
        <v>-17</v>
      </c>
      <c r="R41" s="179">
        <f>VLOOKUP(A41,'OI(Value)'!A41:O259,11,0)</f>
        <v>402</v>
      </c>
      <c r="S41" s="179">
        <f>VLOOKUP(A41,'OI(Value)'!A41:O259,11,0)</f>
        <v>402</v>
      </c>
    </row>
    <row r="42" spans="1:19" x14ac:dyDescent="0.25">
      <c r="A42" s="105" t="str">
        <f>'Data Vlaue (Cr)'!C37</f>
        <v>BPCL</v>
      </c>
      <c r="B42" s="143">
        <f>VLOOKUP($A42,'Data shares'!$C:$FA,118)</f>
        <v>0.56000000000000005</v>
      </c>
      <c r="C42" s="143">
        <f>VLOOKUP($A42,'Data shares'!$C:$FA,119)</f>
        <v>0.53</v>
      </c>
      <c r="D42" s="143">
        <f>VLOOKUP($A42,'Data shares'!$C:$FA,121)*100</f>
        <v>5.66</v>
      </c>
      <c r="E42" s="143">
        <f>VLOOKUP($A42,'Data shares'!$C:$FA,124)</f>
        <v>0.82</v>
      </c>
      <c r="F42" s="143">
        <f>VLOOKUP($A42,'Data shares'!$C:$FA,125)</f>
        <v>0.76</v>
      </c>
      <c r="G42" s="143">
        <f>VLOOKUP($A42,'Data shares'!$C:$FA,127)*100</f>
        <v>7.89</v>
      </c>
      <c r="H42" s="103">
        <f>VLOOKUP($A42,'OI(Volume)'!$A$7:$O$440,8)</f>
        <v>21898800</v>
      </c>
      <c r="I42" s="103">
        <f>VLOOKUP($A42,'OI(Volume)'!$A$7:$O$440,9)</f>
        <v>-2069800</v>
      </c>
      <c r="J42" s="103">
        <f>VLOOKUP($A42,'OI(Volume)'!$A$7:$O$440,11)</f>
        <v>12365475</v>
      </c>
      <c r="K42" s="103">
        <f>VLOOKUP($A42,'OI(Volume)'!$A$7:$O$440,12)</f>
        <v>-361425</v>
      </c>
      <c r="L42" s="103">
        <f>VLOOKUP($A42,'OI(Value)'!$A$7:$O$323,8,0)</f>
        <v>775</v>
      </c>
      <c r="M42" s="103">
        <f>VLOOKUP($A42,'OI(Value)'!$A$7:$O$323,9,0)</f>
        <v>-73</v>
      </c>
      <c r="N42" s="103">
        <f>VLOOKUP($A42,'OI(Value)'!$A$7:$O$323,11,0)</f>
        <v>438</v>
      </c>
      <c r="O42" s="103">
        <f>VLOOKUP($A42,'OI(Value)'!$A$7:$O$323,12,0)</f>
        <v>-13</v>
      </c>
      <c r="P42" s="179">
        <f>VLOOKUP(A42,'OI(Value)'!A42:O260,8,0)</f>
        <v>775</v>
      </c>
      <c r="Q42" s="179">
        <f>VLOOKUP(A42,'OI(Value)'!A42:O260,9,0)</f>
        <v>-73</v>
      </c>
      <c r="R42" s="179">
        <f>VLOOKUP(A42,'OI(Value)'!A42:O260,11,0)</f>
        <v>438</v>
      </c>
      <c r="S42" s="179">
        <f>VLOOKUP(A42,'OI(Value)'!A42:O260,11,0)</f>
        <v>438</v>
      </c>
    </row>
    <row r="43" spans="1:19" x14ac:dyDescent="0.25">
      <c r="A43" s="105" t="str">
        <f>'Data Vlaue (Cr)'!C38</f>
        <v>BRITANNIA</v>
      </c>
      <c r="B43" s="143">
        <f>VLOOKUP($A43,'Data shares'!$C:$FA,118)</f>
        <v>0.6</v>
      </c>
      <c r="C43" s="143">
        <f>VLOOKUP($A43,'Data shares'!$C:$FA,119)</f>
        <v>0.47</v>
      </c>
      <c r="D43" s="143">
        <f>VLOOKUP($A43,'Data shares'!$C:$FA,121)*100</f>
        <v>27.66</v>
      </c>
      <c r="E43" s="143">
        <f>VLOOKUP($A43,'Data shares'!$C:$FA,124)</f>
        <v>0.49</v>
      </c>
      <c r="F43" s="143">
        <f>VLOOKUP($A43,'Data shares'!$C:$FA,125)</f>
        <v>0.7</v>
      </c>
      <c r="G43" s="143">
        <f>VLOOKUP($A43,'Data shares'!$C:$FA,127)*100</f>
        <v>-30</v>
      </c>
      <c r="H43" s="103">
        <f>VLOOKUP($A43,'OI(Volume)'!$A$7:$O$440,8)</f>
        <v>962875</v>
      </c>
      <c r="I43" s="103">
        <f>VLOOKUP($A43,'OI(Volume)'!$A$7:$O$440,9)</f>
        <v>-187625</v>
      </c>
      <c r="J43" s="103">
        <f>VLOOKUP($A43,'OI(Volume)'!$A$7:$O$440,11)</f>
        <v>581250</v>
      </c>
      <c r="K43" s="103">
        <f>VLOOKUP($A43,'OI(Volume)'!$A$7:$O$440,12)</f>
        <v>40875</v>
      </c>
      <c r="L43" s="103">
        <f>VLOOKUP($A43,'OI(Value)'!$A$7:$O$323,8,0)</f>
        <v>572</v>
      </c>
      <c r="M43" s="103">
        <f>VLOOKUP($A43,'OI(Value)'!$A$7:$O$323,9,0)</f>
        <v>-111</v>
      </c>
      <c r="N43" s="103">
        <f>VLOOKUP($A43,'OI(Value)'!$A$7:$O$323,11,0)</f>
        <v>345</v>
      </c>
      <c r="O43" s="103">
        <f>VLOOKUP($A43,'OI(Value)'!$A$7:$O$323,12,0)</f>
        <v>24</v>
      </c>
      <c r="P43" s="179">
        <f>VLOOKUP(A43,'OI(Value)'!A43:O261,8,0)</f>
        <v>572</v>
      </c>
      <c r="Q43" s="179">
        <f>VLOOKUP(A43,'OI(Value)'!A43:O261,9,0)</f>
        <v>-111</v>
      </c>
      <c r="R43" s="179">
        <f>VLOOKUP(A43,'OI(Value)'!A43:O261,11,0)</f>
        <v>345</v>
      </c>
      <c r="S43" s="179">
        <f>VLOOKUP(A43,'OI(Value)'!A43:O261,11,0)</f>
        <v>345</v>
      </c>
    </row>
    <row r="44" spans="1:19" x14ac:dyDescent="0.25">
      <c r="A44" s="105" t="str">
        <f>'Data Vlaue (Cr)'!C39</f>
        <v>BSE</v>
      </c>
      <c r="B44" s="143">
        <f>VLOOKUP($A44,'Data shares'!$C:$FA,118)</f>
        <v>0.59</v>
      </c>
      <c r="C44" s="143">
        <f>VLOOKUP($A44,'Data shares'!$C:$FA,119)</f>
        <v>0.5</v>
      </c>
      <c r="D44" s="143">
        <f>VLOOKUP($A44,'Data shares'!$C:$FA,121)*100</f>
        <v>18</v>
      </c>
      <c r="E44" s="143">
        <f>VLOOKUP($A44,'Data shares'!$C:$FA,124)</f>
        <v>0.49</v>
      </c>
      <c r="F44" s="143">
        <f>VLOOKUP($A44,'Data shares'!$C:$FA,125)</f>
        <v>0.77</v>
      </c>
      <c r="G44" s="143">
        <f>VLOOKUP($A44,'Data shares'!$C:$FA,127)*100</f>
        <v>-36.36</v>
      </c>
      <c r="H44" s="103">
        <f>VLOOKUP($A44,'OI(Volume)'!$A$7:$O$440,8)</f>
        <v>8788500</v>
      </c>
      <c r="I44" s="103">
        <f>VLOOKUP($A44,'OI(Volume)'!$A$7:$O$440,9)</f>
        <v>-2233875</v>
      </c>
      <c r="J44" s="103">
        <f>VLOOKUP($A44,'OI(Volume)'!$A$7:$O$440,11)</f>
        <v>5215500</v>
      </c>
      <c r="K44" s="103">
        <f>VLOOKUP($A44,'OI(Volume)'!$A$7:$O$440,12)</f>
        <v>-337875</v>
      </c>
      <c r="L44" s="103">
        <f>VLOOKUP($A44,'OI(Value)'!$A$7:$O$323,8,0)</f>
        <v>2379</v>
      </c>
      <c r="M44" s="103">
        <f>VLOOKUP($A44,'OI(Value)'!$A$7:$O$323,9,0)</f>
        <v>-605</v>
      </c>
      <c r="N44" s="103">
        <f>VLOOKUP($A44,'OI(Value)'!$A$7:$O$323,11,0)</f>
        <v>1412</v>
      </c>
      <c r="O44" s="103">
        <f>VLOOKUP($A44,'OI(Value)'!$A$7:$O$323,12,0)</f>
        <v>-91</v>
      </c>
      <c r="P44" s="179">
        <f>VLOOKUP(A44,'OI(Value)'!A44:O262,8,0)</f>
        <v>2379</v>
      </c>
      <c r="Q44" s="179">
        <f>VLOOKUP(A44,'OI(Value)'!A44:O262,9,0)</f>
        <v>-605</v>
      </c>
      <c r="R44" s="179">
        <f>VLOOKUP(A44,'OI(Value)'!A44:O262,11,0)</f>
        <v>1412</v>
      </c>
      <c r="S44" s="179">
        <f>VLOOKUP(A44,'OI(Value)'!A44:O262,11,0)</f>
        <v>1412</v>
      </c>
    </row>
    <row r="45" spans="1:19" x14ac:dyDescent="0.25">
      <c r="A45" s="105" t="str">
        <f>'Data Vlaue (Cr)'!C40</f>
        <v>CAMS</v>
      </c>
      <c r="B45" s="143">
        <f>VLOOKUP($A45,'Data shares'!$C:$FA,118)</f>
        <v>0.67</v>
      </c>
      <c r="C45" s="143">
        <f>VLOOKUP($A45,'Data shares'!$C:$FA,119)</f>
        <v>0.75</v>
      </c>
      <c r="D45" s="143">
        <f>VLOOKUP($A45,'Data shares'!$C:$FA,121)*100</f>
        <v>-10.67</v>
      </c>
      <c r="E45" s="143">
        <f>VLOOKUP($A45,'Data shares'!$C:$FA,124)</f>
        <v>0.5</v>
      </c>
      <c r="F45" s="143">
        <f>VLOOKUP($A45,'Data shares'!$C:$FA,125)</f>
        <v>1.21</v>
      </c>
      <c r="G45" s="143">
        <f>VLOOKUP($A45,'Data shares'!$C:$FA,127)*100</f>
        <v>-58.68</v>
      </c>
      <c r="H45" s="103">
        <f>VLOOKUP($A45,'OI(Volume)'!$A$7:$O$440,8)</f>
        <v>5443500</v>
      </c>
      <c r="I45" s="103">
        <f>VLOOKUP($A45,'OI(Volume)'!$A$7:$O$440,9)</f>
        <v>913500</v>
      </c>
      <c r="J45" s="103">
        <f>VLOOKUP($A45,'OI(Volume)'!$A$7:$O$440,11)</f>
        <v>3671250</v>
      </c>
      <c r="K45" s="103">
        <f>VLOOKUP($A45,'OI(Volume)'!$A$7:$O$440,12)</f>
        <v>282750</v>
      </c>
      <c r="L45" s="103">
        <f>VLOOKUP($A45,'OI(Value)'!$A$7:$O$323,8,0)</f>
        <v>387</v>
      </c>
      <c r="M45" s="103">
        <f>VLOOKUP($A45,'OI(Value)'!$A$7:$O$323,9,0)</f>
        <v>65</v>
      </c>
      <c r="N45" s="103">
        <f>VLOOKUP($A45,'OI(Value)'!$A$7:$O$323,11,0)</f>
        <v>261</v>
      </c>
      <c r="O45" s="103">
        <f>VLOOKUP($A45,'OI(Value)'!$A$7:$O$323,12,0)</f>
        <v>20</v>
      </c>
      <c r="P45" s="179">
        <f>VLOOKUP(A45,'OI(Value)'!A45:O263,8,0)</f>
        <v>387</v>
      </c>
      <c r="Q45" s="179">
        <f>VLOOKUP(A45,'OI(Value)'!A45:O263,9,0)</f>
        <v>65</v>
      </c>
      <c r="R45" s="179">
        <f>VLOOKUP(A45,'OI(Value)'!A45:O263,11,0)</f>
        <v>261</v>
      </c>
      <c r="S45" s="179">
        <f>VLOOKUP(A45,'OI(Value)'!A45:O263,11,0)</f>
        <v>261</v>
      </c>
    </row>
    <row r="46" spans="1:19" x14ac:dyDescent="0.25">
      <c r="A46" s="105" t="str">
        <f>'Data Vlaue (Cr)'!C41</f>
        <v>CANBK</v>
      </c>
      <c r="B46" s="143">
        <f>VLOOKUP($A46,'Data shares'!$C:$FA,118)</f>
        <v>0.9</v>
      </c>
      <c r="C46" s="143">
        <f>VLOOKUP($A46,'Data shares'!$C:$FA,119)</f>
        <v>0.81</v>
      </c>
      <c r="D46" s="143">
        <f>VLOOKUP($A46,'Data shares'!$C:$FA,121)*100</f>
        <v>11.110000000000001</v>
      </c>
      <c r="E46" s="143">
        <f>VLOOKUP($A46,'Data shares'!$C:$FA,124)</f>
        <v>0.65</v>
      </c>
      <c r="F46" s="143">
        <f>VLOOKUP($A46,'Data shares'!$C:$FA,125)</f>
        <v>0.54</v>
      </c>
      <c r="G46" s="143">
        <f>VLOOKUP($A46,'Data shares'!$C:$FA,127)*100</f>
        <v>20.369999999999997</v>
      </c>
      <c r="H46" s="103">
        <f>VLOOKUP($A46,'OI(Volume)'!$A$7:$O$440,8)</f>
        <v>103673250</v>
      </c>
      <c r="I46" s="103">
        <f>VLOOKUP($A46,'OI(Volume)'!$A$7:$O$440,9)</f>
        <v>-11313000</v>
      </c>
      <c r="J46" s="103">
        <f>VLOOKUP($A46,'OI(Volume)'!$A$7:$O$440,11)</f>
        <v>93588750</v>
      </c>
      <c r="K46" s="103">
        <f>VLOOKUP($A46,'OI(Volume)'!$A$7:$O$440,12)</f>
        <v>972000</v>
      </c>
      <c r="L46" s="103">
        <f>VLOOKUP($A46,'OI(Value)'!$A$7:$O$323,8,0)</f>
        <v>1603</v>
      </c>
      <c r="M46" s="103">
        <f>VLOOKUP($A46,'OI(Value)'!$A$7:$O$323,9,0)</f>
        <v>-175</v>
      </c>
      <c r="N46" s="103">
        <f>VLOOKUP($A46,'OI(Value)'!$A$7:$O$323,11,0)</f>
        <v>1447</v>
      </c>
      <c r="O46" s="103">
        <f>VLOOKUP($A46,'OI(Value)'!$A$7:$O$323,12,0)</f>
        <v>15</v>
      </c>
      <c r="P46" s="179">
        <f>VLOOKUP(A46,'OI(Value)'!A46:O264,8,0)</f>
        <v>1603</v>
      </c>
      <c r="Q46" s="179">
        <f>VLOOKUP(A46,'OI(Value)'!A46:O264,9,0)</f>
        <v>-175</v>
      </c>
      <c r="R46" s="179">
        <f>VLOOKUP(A46,'OI(Value)'!A46:O264,11,0)</f>
        <v>1447</v>
      </c>
      <c r="S46" s="179">
        <f>VLOOKUP(A46,'OI(Value)'!A46:O264,11,0)</f>
        <v>1447</v>
      </c>
    </row>
    <row r="47" spans="1:19" x14ac:dyDescent="0.25">
      <c r="A47" s="105" t="str">
        <f>'Data Vlaue (Cr)'!C42</f>
        <v>CDSL</v>
      </c>
      <c r="B47" s="143">
        <f>VLOOKUP($A47,'Data shares'!$C:$FA,118)</f>
        <v>0.63</v>
      </c>
      <c r="C47" s="143">
        <f>VLOOKUP($A47,'Data shares'!$C:$FA,119)</f>
        <v>0.53</v>
      </c>
      <c r="D47" s="143">
        <f>VLOOKUP($A47,'Data shares'!$C:$FA,121)*100</f>
        <v>18.87</v>
      </c>
      <c r="E47" s="143">
        <f>VLOOKUP($A47,'Data shares'!$C:$FA,124)</f>
        <v>0.35</v>
      </c>
      <c r="F47" s="143">
        <f>VLOOKUP($A47,'Data shares'!$C:$FA,125)</f>
        <v>0.62</v>
      </c>
      <c r="G47" s="143">
        <f>VLOOKUP($A47,'Data shares'!$C:$FA,127)*100</f>
        <v>-43.55</v>
      </c>
      <c r="H47" s="103">
        <f>VLOOKUP($A47,'OI(Volume)'!$A$7:$O$440,8)</f>
        <v>9295275</v>
      </c>
      <c r="I47" s="103">
        <f>VLOOKUP($A47,'OI(Volume)'!$A$7:$O$440,9)</f>
        <v>-1445900</v>
      </c>
      <c r="J47" s="103">
        <f>VLOOKUP($A47,'OI(Volume)'!$A$7:$O$440,11)</f>
        <v>5890950</v>
      </c>
      <c r="K47" s="103">
        <f>VLOOKUP($A47,'OI(Volume)'!$A$7:$O$440,12)</f>
        <v>145350</v>
      </c>
      <c r="L47" s="103">
        <f>VLOOKUP($A47,'OI(Value)'!$A$7:$O$323,8,0)</f>
        <v>1264</v>
      </c>
      <c r="M47" s="103">
        <f>VLOOKUP($A47,'OI(Value)'!$A$7:$O$323,9,0)</f>
        <v>-197</v>
      </c>
      <c r="N47" s="103">
        <f>VLOOKUP($A47,'OI(Value)'!$A$7:$O$323,11,0)</f>
        <v>801</v>
      </c>
      <c r="O47" s="103">
        <f>VLOOKUP($A47,'OI(Value)'!$A$7:$O$323,12,0)</f>
        <v>20</v>
      </c>
      <c r="P47" s="179">
        <f>VLOOKUP(A47,'OI(Value)'!A47:O265,8,0)</f>
        <v>1264</v>
      </c>
      <c r="Q47" s="179">
        <f>VLOOKUP(A47,'OI(Value)'!A47:O265,9,0)</f>
        <v>-197</v>
      </c>
      <c r="R47" s="179">
        <f>VLOOKUP(A47,'OI(Value)'!A47:O265,11,0)</f>
        <v>801</v>
      </c>
      <c r="S47" s="179">
        <f>VLOOKUP(A47,'OI(Value)'!A47:O265,11,0)</f>
        <v>801</v>
      </c>
    </row>
    <row r="48" spans="1:19" x14ac:dyDescent="0.25">
      <c r="A48" s="105" t="str">
        <f>'Data Vlaue (Cr)'!C43</f>
        <v>CGPOWER</v>
      </c>
      <c r="B48" s="143">
        <f>VLOOKUP($A48,'Data shares'!$C:$FA,118)</f>
        <v>0.51</v>
      </c>
      <c r="C48" s="143">
        <f>VLOOKUP($A48,'Data shares'!$C:$FA,119)</f>
        <v>0.51</v>
      </c>
      <c r="D48" s="143">
        <f>VLOOKUP($A48,'Data shares'!$C:$FA,121)*100</f>
        <v>0</v>
      </c>
      <c r="E48" s="143">
        <f>VLOOKUP($A48,'Data shares'!$C:$FA,124)</f>
        <v>0.46</v>
      </c>
      <c r="F48" s="143">
        <f>VLOOKUP($A48,'Data shares'!$C:$FA,125)</f>
        <v>0.62</v>
      </c>
      <c r="G48" s="143">
        <f>VLOOKUP($A48,'Data shares'!$C:$FA,127)*100</f>
        <v>-25.81</v>
      </c>
      <c r="H48" s="103">
        <f>VLOOKUP($A48,'OI(Volume)'!$A$7:$O$440,8)</f>
        <v>15294900</v>
      </c>
      <c r="I48" s="103">
        <f>VLOOKUP($A48,'OI(Volume)'!$A$7:$O$440,9)</f>
        <v>-1297950</v>
      </c>
      <c r="J48" s="103">
        <f>VLOOKUP($A48,'OI(Volume)'!$A$7:$O$440,11)</f>
        <v>7850600</v>
      </c>
      <c r="K48" s="103">
        <f>VLOOKUP($A48,'OI(Volume)'!$A$7:$O$440,12)</f>
        <v>-551650</v>
      </c>
      <c r="L48" s="103">
        <f>VLOOKUP($A48,'OI(Value)'!$A$7:$O$323,8,0)</f>
        <v>880</v>
      </c>
      <c r="M48" s="103">
        <f>VLOOKUP($A48,'OI(Value)'!$A$7:$O$323,9,0)</f>
        <v>-75</v>
      </c>
      <c r="N48" s="103">
        <f>VLOOKUP($A48,'OI(Value)'!$A$7:$O$323,11,0)</f>
        <v>451</v>
      </c>
      <c r="O48" s="103">
        <f>VLOOKUP($A48,'OI(Value)'!$A$7:$O$323,12,0)</f>
        <v>-32</v>
      </c>
      <c r="P48" s="179">
        <f>VLOOKUP(A48,'OI(Value)'!A48:O266,8,0)</f>
        <v>880</v>
      </c>
      <c r="Q48" s="179">
        <f>VLOOKUP(A48,'OI(Value)'!A48:O266,9,0)</f>
        <v>-75</v>
      </c>
      <c r="R48" s="179">
        <f>VLOOKUP(A48,'OI(Value)'!A48:O266,11,0)</f>
        <v>451</v>
      </c>
      <c r="S48" s="179">
        <f>VLOOKUP(A48,'OI(Value)'!A48:O266,11,0)</f>
        <v>451</v>
      </c>
    </row>
    <row r="49" spans="1:19" x14ac:dyDescent="0.25">
      <c r="A49" s="105" t="str">
        <f>'Data Vlaue (Cr)'!C44</f>
        <v>CHOLAFIN</v>
      </c>
      <c r="B49" s="143">
        <f>VLOOKUP($A49,'Data shares'!$C:$FA,118)</f>
        <v>0.72</v>
      </c>
      <c r="C49" s="143">
        <f>VLOOKUP($A49,'Data shares'!$C:$FA,119)</f>
        <v>0.66</v>
      </c>
      <c r="D49" s="143">
        <f>VLOOKUP($A49,'Data shares'!$C:$FA,121)*100</f>
        <v>9.09</v>
      </c>
      <c r="E49" s="143">
        <f>VLOOKUP($A49,'Data shares'!$C:$FA,124)</f>
        <v>0.56999999999999995</v>
      </c>
      <c r="F49" s="143">
        <f>VLOOKUP($A49,'Data shares'!$C:$FA,125)</f>
        <v>0.73</v>
      </c>
      <c r="G49" s="143">
        <f>VLOOKUP($A49,'Data shares'!$C:$FA,127)*100</f>
        <v>-21.92</v>
      </c>
      <c r="H49" s="103">
        <f>VLOOKUP($A49,'OI(Volume)'!$A$7:$O$440,8)</f>
        <v>4818125</v>
      </c>
      <c r="I49" s="103">
        <f>VLOOKUP($A49,'OI(Volume)'!$A$7:$O$440,9)</f>
        <v>-705000</v>
      </c>
      <c r="J49" s="103">
        <f>VLOOKUP($A49,'OI(Volume)'!$A$7:$O$440,11)</f>
        <v>3453750</v>
      </c>
      <c r="K49" s="103">
        <f>VLOOKUP($A49,'OI(Volume)'!$A$7:$O$440,12)</f>
        <v>-186250</v>
      </c>
      <c r="L49" s="103">
        <f>VLOOKUP($A49,'OI(Value)'!$A$7:$O$323,8,0)</f>
        <v>802</v>
      </c>
      <c r="M49" s="103">
        <f>VLOOKUP($A49,'OI(Value)'!$A$7:$O$323,9,0)</f>
        <v>-117</v>
      </c>
      <c r="N49" s="103">
        <f>VLOOKUP($A49,'OI(Value)'!$A$7:$O$323,11,0)</f>
        <v>575</v>
      </c>
      <c r="O49" s="103">
        <f>VLOOKUP($A49,'OI(Value)'!$A$7:$O$323,12,0)</f>
        <v>-31</v>
      </c>
      <c r="P49" s="179">
        <f>VLOOKUP(A49,'OI(Value)'!A49:O267,8,0)</f>
        <v>802</v>
      </c>
      <c r="Q49" s="179">
        <f>VLOOKUP(A49,'OI(Value)'!A49:O267,9,0)</f>
        <v>-117</v>
      </c>
      <c r="R49" s="179">
        <f>VLOOKUP(A49,'OI(Value)'!A49:O267,11,0)</f>
        <v>575</v>
      </c>
      <c r="S49" s="179">
        <f>VLOOKUP(A49,'OI(Value)'!A49:O267,11,0)</f>
        <v>575</v>
      </c>
    </row>
    <row r="50" spans="1:19" x14ac:dyDescent="0.25">
      <c r="A50" s="105" t="str">
        <f>'Data Vlaue (Cr)'!C45</f>
        <v>CIPLA</v>
      </c>
      <c r="B50" s="143">
        <f>VLOOKUP($A50,'Data shares'!$C:$FA,118)</f>
        <v>0.76</v>
      </c>
      <c r="C50" s="143">
        <f>VLOOKUP($A50,'Data shares'!$C:$FA,119)</f>
        <v>0.77</v>
      </c>
      <c r="D50" s="143">
        <f>VLOOKUP($A50,'Data shares'!$C:$FA,121)*100</f>
        <v>-1.3</v>
      </c>
      <c r="E50" s="143">
        <f>VLOOKUP($A50,'Data shares'!$C:$FA,124)</f>
        <v>0.6</v>
      </c>
      <c r="F50" s="143">
        <f>VLOOKUP($A50,'Data shares'!$C:$FA,125)</f>
        <v>0.75</v>
      </c>
      <c r="G50" s="143">
        <f>VLOOKUP($A50,'Data shares'!$C:$FA,127)*100</f>
        <v>-20</v>
      </c>
      <c r="H50" s="103">
        <f>VLOOKUP($A50,'OI(Volume)'!$A$7:$O$440,8)</f>
        <v>7841250</v>
      </c>
      <c r="I50" s="103">
        <f>VLOOKUP($A50,'OI(Volume)'!$A$7:$O$440,9)</f>
        <v>-84000</v>
      </c>
      <c r="J50" s="103">
        <f>VLOOKUP($A50,'OI(Volume)'!$A$7:$O$440,11)</f>
        <v>5990250</v>
      </c>
      <c r="K50" s="103">
        <f>VLOOKUP($A50,'OI(Volume)'!$A$7:$O$440,12)</f>
        <v>-79500</v>
      </c>
      <c r="L50" s="103">
        <f>VLOOKUP($A50,'OI(Value)'!$A$7:$O$323,8,0)</f>
        <v>1077</v>
      </c>
      <c r="M50" s="103">
        <f>VLOOKUP($A50,'OI(Value)'!$A$7:$O$323,9,0)</f>
        <v>-12</v>
      </c>
      <c r="N50" s="103">
        <f>VLOOKUP($A50,'OI(Value)'!$A$7:$O$323,11,0)</f>
        <v>823</v>
      </c>
      <c r="O50" s="103">
        <f>VLOOKUP($A50,'OI(Value)'!$A$7:$O$323,12,0)</f>
        <v>-11</v>
      </c>
      <c r="P50" s="179">
        <f>VLOOKUP(A50,'OI(Value)'!A50:O268,8,0)</f>
        <v>1077</v>
      </c>
      <c r="Q50" s="179">
        <f>VLOOKUP(A50,'OI(Value)'!A50:O268,9,0)</f>
        <v>-12</v>
      </c>
      <c r="R50" s="179">
        <f>VLOOKUP(A50,'OI(Value)'!A50:O268,11,0)</f>
        <v>823</v>
      </c>
      <c r="S50" s="179">
        <f>VLOOKUP(A50,'OI(Value)'!A50:O268,11,0)</f>
        <v>823</v>
      </c>
    </row>
    <row r="51" spans="1:19" x14ac:dyDescent="0.25">
      <c r="A51" s="105" t="str">
        <f>'Data Vlaue (Cr)'!C46</f>
        <v>COALINDIA</v>
      </c>
      <c r="B51" s="143">
        <f>VLOOKUP($A51,'Data shares'!$C:$FA,118)</f>
        <v>0.5</v>
      </c>
      <c r="C51" s="143">
        <f>VLOOKUP($A51,'Data shares'!$C:$FA,119)</f>
        <v>0.46</v>
      </c>
      <c r="D51" s="143">
        <f>VLOOKUP($A51,'Data shares'!$C:$FA,121)*100</f>
        <v>8.6999999999999993</v>
      </c>
      <c r="E51" s="143">
        <f>VLOOKUP($A51,'Data shares'!$C:$FA,124)</f>
        <v>0.43</v>
      </c>
      <c r="F51" s="143">
        <f>VLOOKUP($A51,'Data shares'!$C:$FA,125)</f>
        <v>0.47</v>
      </c>
      <c r="G51" s="143">
        <f>VLOOKUP($A51,'Data shares'!$C:$FA,127)*100</f>
        <v>-8.51</v>
      </c>
      <c r="H51" s="103">
        <f>VLOOKUP($A51,'OI(Volume)'!$A$7:$O$440,8)</f>
        <v>52323300</v>
      </c>
      <c r="I51" s="103">
        <f>VLOOKUP($A51,'OI(Volume)'!$A$7:$O$440,9)</f>
        <v>-4225500</v>
      </c>
      <c r="J51" s="103">
        <f>VLOOKUP($A51,'OI(Volume)'!$A$7:$O$440,11)</f>
        <v>26190000</v>
      </c>
      <c r="K51" s="103">
        <f>VLOOKUP($A51,'OI(Volume)'!$A$7:$O$440,12)</f>
        <v>-64800</v>
      </c>
      <c r="L51" s="103">
        <f>VLOOKUP($A51,'OI(Value)'!$A$7:$O$323,8,0)</f>
        <v>2213</v>
      </c>
      <c r="M51" s="103">
        <f>VLOOKUP($A51,'OI(Value)'!$A$7:$O$323,9,0)</f>
        <v>-179</v>
      </c>
      <c r="N51" s="103">
        <f>VLOOKUP($A51,'OI(Value)'!$A$7:$O$323,11,0)</f>
        <v>1108</v>
      </c>
      <c r="O51" s="103">
        <f>VLOOKUP($A51,'OI(Value)'!$A$7:$O$323,12,0)</f>
        <v>-3</v>
      </c>
      <c r="P51" s="179">
        <f>VLOOKUP(A51,'OI(Value)'!A51:O269,8,0)</f>
        <v>2213</v>
      </c>
      <c r="Q51" s="179">
        <f>VLOOKUP(A51,'OI(Value)'!A51:O269,9,0)</f>
        <v>-179</v>
      </c>
      <c r="R51" s="179">
        <f>VLOOKUP(A51,'OI(Value)'!A51:O269,11,0)</f>
        <v>1108</v>
      </c>
      <c r="S51" s="179">
        <f>VLOOKUP(A51,'OI(Value)'!A51:O269,11,0)</f>
        <v>1108</v>
      </c>
    </row>
    <row r="52" spans="1:19" x14ac:dyDescent="0.25">
      <c r="A52" s="105" t="str">
        <f>'Data Vlaue (Cr)'!C47</f>
        <v>COFORGE</v>
      </c>
      <c r="B52" s="143">
        <f>VLOOKUP($A52,'Data shares'!$C:$FA,118)</f>
        <v>0.56999999999999995</v>
      </c>
      <c r="C52" s="143">
        <f>VLOOKUP($A52,'Data shares'!$C:$FA,119)</f>
        <v>0.56999999999999995</v>
      </c>
      <c r="D52" s="143">
        <f>VLOOKUP($A52,'Data shares'!$C:$FA,121)*100</f>
        <v>0</v>
      </c>
      <c r="E52" s="143">
        <f>VLOOKUP($A52,'Data shares'!$C:$FA,124)</f>
        <v>0.66</v>
      </c>
      <c r="F52" s="143">
        <f>VLOOKUP($A52,'Data shares'!$C:$FA,125)</f>
        <v>0.89</v>
      </c>
      <c r="G52" s="143">
        <f>VLOOKUP($A52,'Data shares'!$C:$FA,127)*100</f>
        <v>-25.840000000000003</v>
      </c>
      <c r="H52" s="103">
        <f>VLOOKUP($A52,'OI(Volume)'!$A$7:$O$440,8)</f>
        <v>9026625</v>
      </c>
      <c r="I52" s="103">
        <f>VLOOKUP($A52,'OI(Volume)'!$A$7:$O$440,9)</f>
        <v>477375</v>
      </c>
      <c r="J52" s="103">
        <f>VLOOKUP($A52,'OI(Volume)'!$A$7:$O$440,11)</f>
        <v>5109000</v>
      </c>
      <c r="K52" s="103">
        <f>VLOOKUP($A52,'OI(Volume)'!$A$7:$O$440,12)</f>
        <v>194250</v>
      </c>
      <c r="L52" s="103">
        <f>VLOOKUP($A52,'OI(Value)'!$A$7:$O$323,8,0)</f>
        <v>1528</v>
      </c>
      <c r="M52" s="103">
        <f>VLOOKUP($A52,'OI(Value)'!$A$7:$O$323,9,0)</f>
        <v>81</v>
      </c>
      <c r="N52" s="103">
        <f>VLOOKUP($A52,'OI(Value)'!$A$7:$O$323,11,0)</f>
        <v>865</v>
      </c>
      <c r="O52" s="103">
        <f>VLOOKUP($A52,'OI(Value)'!$A$7:$O$323,12,0)</f>
        <v>33</v>
      </c>
      <c r="P52" s="179">
        <f>VLOOKUP(A52,'OI(Value)'!A52:O270,8,0)</f>
        <v>1528</v>
      </c>
      <c r="Q52" s="179">
        <f>VLOOKUP(A52,'OI(Value)'!A52:O270,9,0)</f>
        <v>81</v>
      </c>
      <c r="R52" s="179">
        <f>VLOOKUP(A52,'OI(Value)'!A52:O270,11,0)</f>
        <v>865</v>
      </c>
      <c r="S52" s="179">
        <f>VLOOKUP(A52,'OI(Value)'!A52:O270,11,0)</f>
        <v>865</v>
      </c>
    </row>
    <row r="53" spans="1:19" x14ac:dyDescent="0.25">
      <c r="A53" s="105" t="str">
        <f>'Data Vlaue (Cr)'!C48</f>
        <v>COLPAL</v>
      </c>
      <c r="B53" s="143">
        <f>VLOOKUP($A53,'Data shares'!$C:$FA,118)</f>
        <v>0.74</v>
      </c>
      <c r="C53" s="143">
        <f>VLOOKUP($A53,'Data shares'!$C:$FA,119)</f>
        <v>0.65</v>
      </c>
      <c r="D53" s="143">
        <f>VLOOKUP($A53,'Data shares'!$C:$FA,121)*100</f>
        <v>13.850000000000001</v>
      </c>
      <c r="E53" s="143">
        <f>VLOOKUP($A53,'Data shares'!$C:$FA,124)</f>
        <v>0.45</v>
      </c>
      <c r="F53" s="143">
        <f>VLOOKUP($A53,'Data shares'!$C:$FA,125)</f>
        <v>0.49</v>
      </c>
      <c r="G53" s="143">
        <f>VLOOKUP($A53,'Data shares'!$C:$FA,127)*100</f>
        <v>-8.16</v>
      </c>
      <c r="H53" s="103">
        <f>VLOOKUP($A53,'OI(Volume)'!$A$7:$O$440,8)</f>
        <v>2282400</v>
      </c>
      <c r="I53" s="103">
        <f>VLOOKUP($A53,'OI(Volume)'!$A$7:$O$440,9)</f>
        <v>-435375</v>
      </c>
      <c r="J53" s="103">
        <f>VLOOKUP($A53,'OI(Volume)'!$A$7:$O$440,11)</f>
        <v>1683450</v>
      </c>
      <c r="K53" s="103">
        <f>VLOOKUP($A53,'OI(Volume)'!$A$7:$O$440,12)</f>
        <v>-86175</v>
      </c>
      <c r="L53" s="103">
        <f>VLOOKUP($A53,'OI(Value)'!$A$7:$O$323,8,0)</f>
        <v>498</v>
      </c>
      <c r="M53" s="103">
        <f>VLOOKUP($A53,'OI(Value)'!$A$7:$O$323,9,0)</f>
        <v>-95</v>
      </c>
      <c r="N53" s="103">
        <f>VLOOKUP($A53,'OI(Value)'!$A$7:$O$323,11,0)</f>
        <v>367</v>
      </c>
      <c r="O53" s="103">
        <f>VLOOKUP($A53,'OI(Value)'!$A$7:$O$323,12,0)</f>
        <v>-19</v>
      </c>
      <c r="P53" s="179">
        <f>VLOOKUP(A53,'OI(Value)'!A53:O271,8,0)</f>
        <v>498</v>
      </c>
      <c r="Q53" s="179">
        <f>VLOOKUP(A53,'OI(Value)'!A53:O271,9,0)</f>
        <v>-95</v>
      </c>
      <c r="R53" s="179">
        <f>VLOOKUP(A53,'OI(Value)'!A53:O271,11,0)</f>
        <v>367</v>
      </c>
      <c r="S53" s="179">
        <f>VLOOKUP(A53,'OI(Value)'!A53:O271,11,0)</f>
        <v>367</v>
      </c>
    </row>
    <row r="54" spans="1:19" x14ac:dyDescent="0.25">
      <c r="A54" s="105" t="str">
        <f>'Data Vlaue (Cr)'!C49</f>
        <v>CONCOR</v>
      </c>
      <c r="B54" s="143">
        <f>VLOOKUP($A54,'Data shares'!$C:$FA,118)</f>
        <v>0.77</v>
      </c>
      <c r="C54" s="143">
        <f>VLOOKUP($A54,'Data shares'!$C:$FA,119)</f>
        <v>0.75</v>
      </c>
      <c r="D54" s="143">
        <f>VLOOKUP($A54,'Data shares'!$C:$FA,121)*100</f>
        <v>2.67</v>
      </c>
      <c r="E54" s="143">
        <f>VLOOKUP($A54,'Data shares'!$C:$FA,124)</f>
        <v>0.64</v>
      </c>
      <c r="F54" s="143">
        <f>VLOOKUP($A54,'Data shares'!$C:$FA,125)</f>
        <v>0.53</v>
      </c>
      <c r="G54" s="143">
        <f>VLOOKUP($A54,'Data shares'!$C:$FA,127)*100</f>
        <v>20.75</v>
      </c>
      <c r="H54" s="103">
        <f>VLOOKUP($A54,'OI(Volume)'!$A$7:$O$440,8)</f>
        <v>12691250</v>
      </c>
      <c r="I54" s="103">
        <f>VLOOKUP($A54,'OI(Volume)'!$A$7:$O$440,9)</f>
        <v>675000</v>
      </c>
      <c r="J54" s="103">
        <f>VLOOKUP($A54,'OI(Volume)'!$A$7:$O$440,11)</f>
        <v>9781250</v>
      </c>
      <c r="K54" s="103">
        <f>VLOOKUP($A54,'OI(Volume)'!$A$7:$O$440,12)</f>
        <v>722500</v>
      </c>
      <c r="L54" s="103">
        <f>VLOOKUP($A54,'OI(Value)'!$A$7:$O$323,8,0)</f>
        <v>628</v>
      </c>
      <c r="M54" s="103">
        <f>VLOOKUP($A54,'OI(Value)'!$A$7:$O$323,9,0)</f>
        <v>33</v>
      </c>
      <c r="N54" s="103">
        <f>VLOOKUP($A54,'OI(Value)'!$A$7:$O$323,11,0)</f>
        <v>484</v>
      </c>
      <c r="O54" s="103">
        <f>VLOOKUP($A54,'OI(Value)'!$A$7:$O$323,12,0)</f>
        <v>36</v>
      </c>
      <c r="P54" s="179">
        <f>VLOOKUP(A54,'OI(Value)'!A54:O272,8,0)</f>
        <v>628</v>
      </c>
      <c r="Q54" s="179">
        <f>VLOOKUP(A54,'OI(Value)'!A54:O272,9,0)</f>
        <v>33</v>
      </c>
      <c r="R54" s="179">
        <f>VLOOKUP(A54,'OI(Value)'!A54:O272,11,0)</f>
        <v>484</v>
      </c>
      <c r="S54" s="179">
        <f>VLOOKUP(A54,'OI(Value)'!A54:O272,11,0)</f>
        <v>484</v>
      </c>
    </row>
    <row r="55" spans="1:19" x14ac:dyDescent="0.25">
      <c r="A55" s="105" t="str">
        <f>'Data Vlaue (Cr)'!C50</f>
        <v>CROMPTON</v>
      </c>
      <c r="B55" s="143">
        <f>VLOOKUP($A55,'Data shares'!$C:$FA,118)</f>
        <v>0.53</v>
      </c>
      <c r="C55" s="143">
        <f>VLOOKUP($A55,'Data shares'!$C:$FA,119)</f>
        <v>0.56000000000000005</v>
      </c>
      <c r="D55" s="143">
        <f>VLOOKUP($A55,'Data shares'!$C:$FA,121)*100</f>
        <v>-5.36</v>
      </c>
      <c r="E55" s="143">
        <f>VLOOKUP($A55,'Data shares'!$C:$FA,124)</f>
        <v>0.42</v>
      </c>
      <c r="F55" s="143">
        <f>VLOOKUP($A55,'Data shares'!$C:$FA,125)</f>
        <v>0.53</v>
      </c>
      <c r="G55" s="143">
        <f>VLOOKUP($A55,'Data shares'!$C:$FA,127)*100</f>
        <v>-20.75</v>
      </c>
      <c r="H55" s="103">
        <f>VLOOKUP($A55,'OI(Volume)'!$A$7:$O$440,8)</f>
        <v>22813200</v>
      </c>
      <c r="I55" s="103">
        <f>VLOOKUP($A55,'OI(Volume)'!$A$7:$O$440,9)</f>
        <v>252000</v>
      </c>
      <c r="J55" s="103">
        <f>VLOOKUP($A55,'OI(Volume)'!$A$7:$O$440,11)</f>
        <v>12081600</v>
      </c>
      <c r="K55" s="103">
        <f>VLOOKUP($A55,'OI(Volume)'!$A$7:$O$440,12)</f>
        <v>-489600</v>
      </c>
      <c r="L55" s="103">
        <f>VLOOKUP($A55,'OI(Value)'!$A$7:$O$323,8,0)</f>
        <v>525</v>
      </c>
      <c r="M55" s="103">
        <f>VLOOKUP($A55,'OI(Value)'!$A$7:$O$323,9,0)</f>
        <v>6</v>
      </c>
      <c r="N55" s="103">
        <f>VLOOKUP($A55,'OI(Value)'!$A$7:$O$323,11,0)</f>
        <v>278</v>
      </c>
      <c r="O55" s="103">
        <f>VLOOKUP($A55,'OI(Value)'!$A$7:$O$323,12,0)</f>
        <v>-11</v>
      </c>
      <c r="P55" s="179">
        <f>VLOOKUP(A55,'OI(Value)'!A55:O273,8,0)</f>
        <v>525</v>
      </c>
      <c r="Q55" s="179">
        <f>VLOOKUP(A55,'OI(Value)'!A55:O273,9,0)</f>
        <v>6</v>
      </c>
      <c r="R55" s="179">
        <f>VLOOKUP(A55,'OI(Value)'!A55:O273,11,0)</f>
        <v>278</v>
      </c>
      <c r="S55" s="179">
        <f>VLOOKUP(A55,'OI(Value)'!A55:O273,11,0)</f>
        <v>278</v>
      </c>
    </row>
    <row r="56" spans="1:19" x14ac:dyDescent="0.25">
      <c r="A56" s="105" t="str">
        <f>'Data Vlaue (Cr)'!C51</f>
        <v>CUMMINSIND</v>
      </c>
      <c r="B56" s="143">
        <f>VLOOKUP($A56,'Data shares'!$C:$FA,118)</f>
        <v>0.6</v>
      </c>
      <c r="C56" s="143">
        <f>VLOOKUP($A56,'Data shares'!$C:$FA,119)</f>
        <v>0.57999999999999996</v>
      </c>
      <c r="D56" s="143">
        <f>VLOOKUP($A56,'Data shares'!$C:$FA,121)*100</f>
        <v>3.45</v>
      </c>
      <c r="E56" s="143">
        <f>VLOOKUP($A56,'Data shares'!$C:$FA,124)</f>
        <v>0.43</v>
      </c>
      <c r="F56" s="143">
        <f>VLOOKUP($A56,'Data shares'!$C:$FA,125)</f>
        <v>0.56000000000000005</v>
      </c>
      <c r="G56" s="143">
        <f>VLOOKUP($A56,'Data shares'!$C:$FA,127)*100</f>
        <v>-23.21</v>
      </c>
      <c r="H56" s="103">
        <f>VLOOKUP($A56,'OI(Volume)'!$A$7:$O$440,8)</f>
        <v>1713200</v>
      </c>
      <c r="I56" s="103">
        <f>VLOOKUP($A56,'OI(Volume)'!$A$7:$O$440,9)</f>
        <v>-118800</v>
      </c>
      <c r="J56" s="103">
        <f>VLOOKUP($A56,'OI(Volume)'!$A$7:$O$440,11)</f>
        <v>1024000</v>
      </c>
      <c r="K56" s="103">
        <f>VLOOKUP($A56,'OI(Volume)'!$A$7:$O$440,12)</f>
        <v>-31400</v>
      </c>
      <c r="L56" s="103">
        <f>VLOOKUP($A56,'OI(Value)'!$A$7:$O$323,8,0)</f>
        <v>697</v>
      </c>
      <c r="M56" s="103">
        <f>VLOOKUP($A56,'OI(Value)'!$A$7:$O$323,9,0)</f>
        <v>-48</v>
      </c>
      <c r="N56" s="103">
        <f>VLOOKUP($A56,'OI(Value)'!$A$7:$O$323,11,0)</f>
        <v>416</v>
      </c>
      <c r="O56" s="103">
        <f>VLOOKUP($A56,'OI(Value)'!$A$7:$O$323,12,0)</f>
        <v>-13</v>
      </c>
      <c r="P56" s="179">
        <f>VLOOKUP(A56,'OI(Value)'!A56:O274,8,0)</f>
        <v>697</v>
      </c>
      <c r="Q56" s="179">
        <f>VLOOKUP(A56,'OI(Value)'!A56:O274,9,0)</f>
        <v>-48</v>
      </c>
      <c r="R56" s="179">
        <f>VLOOKUP(A56,'OI(Value)'!A56:O274,11,0)</f>
        <v>416</v>
      </c>
      <c r="S56" s="179">
        <f>VLOOKUP(A56,'OI(Value)'!A56:O274,11,0)</f>
        <v>416</v>
      </c>
    </row>
    <row r="57" spans="1:19" x14ac:dyDescent="0.25">
      <c r="A57" s="105" t="str">
        <f>'Data Vlaue (Cr)'!C52</f>
        <v>DABUR</v>
      </c>
      <c r="B57" s="143">
        <f>VLOOKUP($A57,'Data shares'!$C:$FA,118)</f>
        <v>0.66</v>
      </c>
      <c r="C57" s="143">
        <f>VLOOKUP($A57,'Data shares'!$C:$FA,119)</f>
        <v>0.64</v>
      </c>
      <c r="D57" s="143">
        <f>VLOOKUP($A57,'Data shares'!$C:$FA,121)*100</f>
        <v>3.1300000000000003</v>
      </c>
      <c r="E57" s="143">
        <f>VLOOKUP($A57,'Data shares'!$C:$FA,124)</f>
        <v>0.52</v>
      </c>
      <c r="F57" s="143">
        <f>VLOOKUP($A57,'Data shares'!$C:$FA,125)</f>
        <v>0.55000000000000004</v>
      </c>
      <c r="G57" s="143">
        <f>VLOOKUP($A57,'Data shares'!$C:$FA,127)*100</f>
        <v>-5.45</v>
      </c>
      <c r="H57" s="103">
        <f>VLOOKUP($A57,'OI(Volume)'!$A$7:$O$440,8)</f>
        <v>11762500</v>
      </c>
      <c r="I57" s="103">
        <f>VLOOKUP($A57,'OI(Volume)'!$A$7:$O$440,9)</f>
        <v>-617500</v>
      </c>
      <c r="J57" s="103">
        <f>VLOOKUP($A57,'OI(Volume)'!$A$7:$O$440,11)</f>
        <v>7763750</v>
      </c>
      <c r="K57" s="103">
        <f>VLOOKUP($A57,'OI(Volume)'!$A$7:$O$440,12)</f>
        <v>-128750</v>
      </c>
      <c r="L57" s="103">
        <f>VLOOKUP($A57,'OI(Value)'!$A$7:$O$323,8,0)</f>
        <v>619</v>
      </c>
      <c r="M57" s="103">
        <f>VLOOKUP($A57,'OI(Value)'!$A$7:$O$323,9,0)</f>
        <v>-32</v>
      </c>
      <c r="N57" s="103">
        <f>VLOOKUP($A57,'OI(Value)'!$A$7:$O$323,11,0)</f>
        <v>408</v>
      </c>
      <c r="O57" s="103">
        <f>VLOOKUP($A57,'OI(Value)'!$A$7:$O$323,12,0)</f>
        <v>-7</v>
      </c>
      <c r="P57" s="179">
        <f>VLOOKUP(A57,'OI(Value)'!A57:O275,8,0)</f>
        <v>619</v>
      </c>
      <c r="Q57" s="179">
        <f>VLOOKUP(A57,'OI(Value)'!A57:O275,9,0)</f>
        <v>-32</v>
      </c>
      <c r="R57" s="179">
        <f>VLOOKUP(A57,'OI(Value)'!A57:O275,11,0)</f>
        <v>408</v>
      </c>
      <c r="S57" s="179">
        <f>VLOOKUP(A57,'OI(Value)'!A57:O275,11,0)</f>
        <v>408</v>
      </c>
    </row>
    <row r="58" spans="1:19" x14ac:dyDescent="0.25">
      <c r="A58" s="105" t="str">
        <f>'Data Vlaue (Cr)'!C53</f>
        <v>DALBHARAT</v>
      </c>
      <c r="B58" s="143">
        <f>VLOOKUP($A58,'Data shares'!$C:$FA,118)</f>
        <v>0.49</v>
      </c>
      <c r="C58" s="143">
        <f>VLOOKUP($A58,'Data shares'!$C:$FA,119)</f>
        <v>0.61</v>
      </c>
      <c r="D58" s="143">
        <f>VLOOKUP($A58,'Data shares'!$C:$FA,121)*100</f>
        <v>-19.670000000000002</v>
      </c>
      <c r="E58" s="143">
        <f>VLOOKUP($A58,'Data shares'!$C:$FA,124)</f>
        <v>0.53</v>
      </c>
      <c r="F58" s="143">
        <f>VLOOKUP($A58,'Data shares'!$C:$FA,125)</f>
        <v>0.48</v>
      </c>
      <c r="G58" s="143">
        <f>VLOOKUP($A58,'Data shares'!$C:$FA,127)*100</f>
        <v>10.42</v>
      </c>
      <c r="H58" s="103">
        <f>VLOOKUP($A58,'OI(Volume)'!$A$7:$O$440,8)</f>
        <v>1542775</v>
      </c>
      <c r="I58" s="103">
        <f>VLOOKUP($A58,'OI(Volume)'!$A$7:$O$440,9)</f>
        <v>-177450</v>
      </c>
      <c r="J58" s="103">
        <f>VLOOKUP($A58,'OI(Volume)'!$A$7:$O$440,11)</f>
        <v>758550</v>
      </c>
      <c r="K58" s="103">
        <f>VLOOKUP($A58,'OI(Volume)'!$A$7:$O$440,12)</f>
        <v>-296400</v>
      </c>
      <c r="L58" s="103">
        <f>VLOOKUP($A58,'OI(Value)'!$A$7:$O$323,8,0)</f>
        <v>332</v>
      </c>
      <c r="M58" s="103">
        <f>VLOOKUP($A58,'OI(Value)'!$A$7:$O$323,9,0)</f>
        <v>-38</v>
      </c>
      <c r="N58" s="103">
        <f>VLOOKUP($A58,'OI(Value)'!$A$7:$O$323,11,0)</f>
        <v>163</v>
      </c>
      <c r="O58" s="103">
        <f>VLOOKUP($A58,'OI(Value)'!$A$7:$O$323,12,0)</f>
        <v>-64</v>
      </c>
      <c r="P58" s="179">
        <f>VLOOKUP(A58,'OI(Value)'!A58:O276,8,0)</f>
        <v>332</v>
      </c>
      <c r="Q58" s="179">
        <f>VLOOKUP(A58,'OI(Value)'!A58:O276,9,0)</f>
        <v>-38</v>
      </c>
      <c r="R58" s="179">
        <f>VLOOKUP(A58,'OI(Value)'!A58:O276,11,0)</f>
        <v>163</v>
      </c>
      <c r="S58" s="179">
        <f>VLOOKUP(A58,'OI(Value)'!A58:O276,11,0)</f>
        <v>163</v>
      </c>
    </row>
    <row r="59" spans="1:19" x14ac:dyDescent="0.25">
      <c r="A59" s="105" t="str">
        <f>'Data Vlaue (Cr)'!C54</f>
        <v>DELHIVERY</v>
      </c>
      <c r="B59" s="143">
        <f>VLOOKUP($A59,'Data shares'!$C:$FA,118)</f>
        <v>0.81</v>
      </c>
      <c r="C59" s="143">
        <f>VLOOKUP($A59,'Data shares'!$C:$FA,119)</f>
        <v>0.78</v>
      </c>
      <c r="D59" s="143">
        <f>VLOOKUP($A59,'Data shares'!$C:$FA,121)*100</f>
        <v>3.85</v>
      </c>
      <c r="E59" s="143">
        <f>VLOOKUP($A59,'Data shares'!$C:$FA,124)</f>
        <v>0.56000000000000005</v>
      </c>
      <c r="F59" s="143">
        <f>VLOOKUP($A59,'Data shares'!$C:$FA,125)</f>
        <v>1.21</v>
      </c>
      <c r="G59" s="143">
        <f>VLOOKUP($A59,'Data shares'!$C:$FA,127)*100</f>
        <v>-53.72</v>
      </c>
      <c r="H59" s="103">
        <f>VLOOKUP($A59,'OI(Volume)'!$A$7:$O$440,8)</f>
        <v>7156675</v>
      </c>
      <c r="I59" s="103">
        <f>VLOOKUP($A59,'OI(Volume)'!$A$7:$O$440,9)</f>
        <v>-939975</v>
      </c>
      <c r="J59" s="103">
        <f>VLOOKUP($A59,'OI(Volume)'!$A$7:$O$440,11)</f>
        <v>5824525</v>
      </c>
      <c r="K59" s="103">
        <f>VLOOKUP($A59,'OI(Volume)'!$A$7:$O$440,12)</f>
        <v>-452350</v>
      </c>
      <c r="L59" s="103">
        <f>VLOOKUP($A59,'OI(Value)'!$A$7:$O$323,8,0)</f>
        <v>279</v>
      </c>
      <c r="M59" s="103">
        <f>VLOOKUP($A59,'OI(Value)'!$A$7:$O$323,9,0)</f>
        <v>-37</v>
      </c>
      <c r="N59" s="103">
        <f>VLOOKUP($A59,'OI(Value)'!$A$7:$O$323,11,0)</f>
        <v>227</v>
      </c>
      <c r="O59" s="103">
        <f>VLOOKUP($A59,'OI(Value)'!$A$7:$O$323,12,0)</f>
        <v>-18</v>
      </c>
      <c r="P59" s="179">
        <f>VLOOKUP(A59,'OI(Value)'!A59:O277,8,0)</f>
        <v>279</v>
      </c>
      <c r="Q59" s="179">
        <f>VLOOKUP(A59,'OI(Value)'!A59:O277,9,0)</f>
        <v>-37</v>
      </c>
      <c r="R59" s="179">
        <f>VLOOKUP(A59,'OI(Value)'!A59:O277,11,0)</f>
        <v>227</v>
      </c>
      <c r="S59" s="179">
        <f>VLOOKUP(A59,'OI(Value)'!A59:O277,11,0)</f>
        <v>227</v>
      </c>
    </row>
    <row r="60" spans="1:19" x14ac:dyDescent="0.25">
      <c r="A60" s="105" t="str">
        <f>'Data Vlaue (Cr)'!C55</f>
        <v>DIVISLAB</v>
      </c>
      <c r="B60" s="143">
        <f>VLOOKUP($A60,'Data shares'!$C:$FA,118)</f>
        <v>0.49</v>
      </c>
      <c r="C60" s="143">
        <f>VLOOKUP($A60,'Data shares'!$C:$FA,119)</f>
        <v>0.51</v>
      </c>
      <c r="D60" s="143">
        <f>VLOOKUP($A60,'Data shares'!$C:$FA,121)*100</f>
        <v>-3.92</v>
      </c>
      <c r="E60" s="143">
        <f>VLOOKUP($A60,'Data shares'!$C:$FA,124)</f>
        <v>0.33</v>
      </c>
      <c r="F60" s="143">
        <f>VLOOKUP($A60,'Data shares'!$C:$FA,125)</f>
        <v>0.51</v>
      </c>
      <c r="G60" s="143">
        <f>VLOOKUP($A60,'Data shares'!$C:$FA,127)*100</f>
        <v>-35.29</v>
      </c>
      <c r="H60" s="103">
        <f>VLOOKUP($A60,'OI(Volume)'!$A$7:$O$440,8)</f>
        <v>1901900</v>
      </c>
      <c r="I60" s="103">
        <f>VLOOKUP($A60,'OI(Volume)'!$A$7:$O$440,9)</f>
        <v>-9100</v>
      </c>
      <c r="J60" s="103">
        <f>VLOOKUP($A60,'OI(Volume)'!$A$7:$O$440,11)</f>
        <v>932500</v>
      </c>
      <c r="K60" s="103">
        <f>VLOOKUP($A60,'OI(Volume)'!$A$7:$O$440,12)</f>
        <v>-37400</v>
      </c>
      <c r="L60" s="103">
        <f>VLOOKUP($A60,'OI(Value)'!$A$7:$O$323,8,0)</f>
        <v>1157</v>
      </c>
      <c r="M60" s="103">
        <f>VLOOKUP($A60,'OI(Value)'!$A$7:$O$323,9,0)</f>
        <v>-6</v>
      </c>
      <c r="N60" s="103">
        <f>VLOOKUP($A60,'OI(Value)'!$A$7:$O$323,11,0)</f>
        <v>567</v>
      </c>
      <c r="O60" s="103">
        <f>VLOOKUP($A60,'OI(Value)'!$A$7:$O$323,12,0)</f>
        <v>-23</v>
      </c>
      <c r="P60" s="179">
        <f>VLOOKUP(A60,'OI(Value)'!A60:O278,8,0)</f>
        <v>1157</v>
      </c>
      <c r="Q60" s="179">
        <f>VLOOKUP(A60,'OI(Value)'!A60:O278,9,0)</f>
        <v>-6</v>
      </c>
      <c r="R60" s="179">
        <f>VLOOKUP(A60,'OI(Value)'!A60:O278,11,0)</f>
        <v>567</v>
      </c>
      <c r="S60" s="179">
        <f>VLOOKUP(A60,'OI(Value)'!A60:O278,11,0)</f>
        <v>567</v>
      </c>
    </row>
    <row r="61" spans="1:19" x14ac:dyDescent="0.25">
      <c r="A61" s="105" t="str">
        <f>'Data Vlaue (Cr)'!C56</f>
        <v>DIXON</v>
      </c>
      <c r="B61" s="143">
        <f>VLOOKUP($A61,'Data shares'!$C:$FA,118)</f>
        <v>0.53</v>
      </c>
      <c r="C61" s="143">
        <f>VLOOKUP($A61,'Data shares'!$C:$FA,119)</f>
        <v>0.54</v>
      </c>
      <c r="D61" s="143">
        <f>VLOOKUP($A61,'Data shares'!$C:$FA,121)*100</f>
        <v>-1.8499999999999999</v>
      </c>
      <c r="E61" s="143">
        <f>VLOOKUP($A61,'Data shares'!$C:$FA,124)</f>
        <v>0.57999999999999996</v>
      </c>
      <c r="F61" s="143">
        <f>VLOOKUP($A61,'Data shares'!$C:$FA,125)</f>
        <v>0.74</v>
      </c>
      <c r="G61" s="143">
        <f>VLOOKUP($A61,'Data shares'!$C:$FA,127)*100</f>
        <v>-21.62</v>
      </c>
      <c r="H61" s="103">
        <f>VLOOKUP($A61,'OI(Volume)'!$A$7:$O$440,8)</f>
        <v>3759350</v>
      </c>
      <c r="I61" s="103">
        <f>VLOOKUP($A61,'OI(Volume)'!$A$7:$O$440,9)</f>
        <v>-52900</v>
      </c>
      <c r="J61" s="103">
        <f>VLOOKUP($A61,'OI(Volume)'!$A$7:$O$440,11)</f>
        <v>1990850</v>
      </c>
      <c r="K61" s="103">
        <f>VLOOKUP($A61,'OI(Volume)'!$A$7:$O$440,12)</f>
        <v>-53250</v>
      </c>
      <c r="L61" s="103">
        <f>VLOOKUP($A61,'OI(Value)'!$A$7:$O$323,8,0)</f>
        <v>3960</v>
      </c>
      <c r="M61" s="103">
        <f>VLOOKUP($A61,'OI(Value)'!$A$7:$O$323,9,0)</f>
        <v>-56</v>
      </c>
      <c r="N61" s="103">
        <f>VLOOKUP($A61,'OI(Value)'!$A$7:$O$323,11,0)</f>
        <v>2097</v>
      </c>
      <c r="O61" s="103">
        <f>VLOOKUP($A61,'OI(Value)'!$A$7:$O$323,12,0)</f>
        <v>-56</v>
      </c>
      <c r="P61" s="179">
        <f>VLOOKUP(A61,'OI(Value)'!A61:O279,8,0)</f>
        <v>3960</v>
      </c>
      <c r="Q61" s="179">
        <f>VLOOKUP(A61,'OI(Value)'!A61:O279,9,0)</f>
        <v>-56</v>
      </c>
      <c r="R61" s="179">
        <f>VLOOKUP(A61,'OI(Value)'!A61:O279,11,0)</f>
        <v>2097</v>
      </c>
      <c r="S61" s="179">
        <f>VLOOKUP(A61,'OI(Value)'!A61:O279,11,0)</f>
        <v>2097</v>
      </c>
    </row>
    <row r="62" spans="1:19" x14ac:dyDescent="0.25">
      <c r="A62" s="105" t="str">
        <f>'Data Vlaue (Cr)'!C57</f>
        <v>DLF</v>
      </c>
      <c r="B62" s="143">
        <f>VLOOKUP($A62,'Data shares'!$C:$FA,118)</f>
        <v>0.6</v>
      </c>
      <c r="C62" s="143">
        <f>VLOOKUP($A62,'Data shares'!$C:$FA,119)</f>
        <v>0.56000000000000005</v>
      </c>
      <c r="D62" s="143">
        <f>VLOOKUP($A62,'Data shares'!$C:$FA,121)*100</f>
        <v>7.1400000000000006</v>
      </c>
      <c r="E62" s="143">
        <f>VLOOKUP($A62,'Data shares'!$C:$FA,124)</f>
        <v>0.61</v>
      </c>
      <c r="F62" s="143">
        <f>VLOOKUP($A62,'Data shares'!$C:$FA,125)</f>
        <v>0.59</v>
      </c>
      <c r="G62" s="143">
        <f>VLOOKUP($A62,'Data shares'!$C:$FA,127)*100</f>
        <v>3.39</v>
      </c>
      <c r="H62" s="103">
        <f>VLOOKUP($A62,'OI(Volume)'!$A$7:$O$440,8)</f>
        <v>25742475</v>
      </c>
      <c r="I62" s="103">
        <f>VLOOKUP($A62,'OI(Volume)'!$A$7:$O$440,9)</f>
        <v>2295150</v>
      </c>
      <c r="J62" s="103">
        <f>VLOOKUP($A62,'OI(Volume)'!$A$7:$O$440,11)</f>
        <v>15477825</v>
      </c>
      <c r="K62" s="103">
        <f>VLOOKUP($A62,'OI(Volume)'!$A$7:$O$440,12)</f>
        <v>2439525</v>
      </c>
      <c r="L62" s="103">
        <f>VLOOKUP($A62,'OI(Value)'!$A$7:$O$323,8,0)</f>
        <v>1579</v>
      </c>
      <c r="M62" s="103">
        <f>VLOOKUP($A62,'OI(Value)'!$A$7:$O$323,9,0)</f>
        <v>141</v>
      </c>
      <c r="N62" s="103">
        <f>VLOOKUP($A62,'OI(Value)'!$A$7:$O$323,11,0)</f>
        <v>950</v>
      </c>
      <c r="O62" s="103">
        <f>VLOOKUP($A62,'OI(Value)'!$A$7:$O$323,12,0)</f>
        <v>150</v>
      </c>
      <c r="P62" s="179">
        <f>VLOOKUP(A62,'OI(Value)'!A62:O280,8,0)</f>
        <v>1579</v>
      </c>
      <c r="Q62" s="179">
        <f>VLOOKUP(A62,'OI(Value)'!A62:O280,9,0)</f>
        <v>141</v>
      </c>
      <c r="R62" s="179">
        <f>VLOOKUP(A62,'OI(Value)'!A62:O280,11,0)</f>
        <v>950</v>
      </c>
      <c r="S62" s="179">
        <f>VLOOKUP(A62,'OI(Value)'!A62:O280,11,0)</f>
        <v>950</v>
      </c>
    </row>
    <row r="63" spans="1:19" x14ac:dyDescent="0.25">
      <c r="A63" s="105" t="str">
        <f>'Data Vlaue (Cr)'!C58</f>
        <v>DMART</v>
      </c>
      <c r="B63" s="143">
        <f>VLOOKUP($A63,'Data shares'!$C:$FA,118)</f>
        <v>0.39</v>
      </c>
      <c r="C63" s="143">
        <f>VLOOKUP($A63,'Data shares'!$C:$FA,119)</f>
        <v>0.39</v>
      </c>
      <c r="D63" s="143">
        <f>VLOOKUP($A63,'Data shares'!$C:$FA,121)*100</f>
        <v>0</v>
      </c>
      <c r="E63" s="143">
        <f>VLOOKUP($A63,'Data shares'!$C:$FA,124)</f>
        <v>0.36</v>
      </c>
      <c r="F63" s="143">
        <f>VLOOKUP($A63,'Data shares'!$C:$FA,125)</f>
        <v>0.45</v>
      </c>
      <c r="G63" s="143">
        <f>VLOOKUP($A63,'Data shares'!$C:$FA,127)*100</f>
        <v>-20</v>
      </c>
      <c r="H63" s="103">
        <f>VLOOKUP($A63,'OI(Volume)'!$A$7:$O$440,8)</f>
        <v>3534000</v>
      </c>
      <c r="I63" s="103">
        <f>VLOOKUP($A63,'OI(Volume)'!$A$7:$O$440,9)</f>
        <v>-352650</v>
      </c>
      <c r="J63" s="103">
        <f>VLOOKUP($A63,'OI(Volume)'!$A$7:$O$440,11)</f>
        <v>1384350</v>
      </c>
      <c r="K63" s="103">
        <f>VLOOKUP($A63,'OI(Volume)'!$A$7:$O$440,12)</f>
        <v>-124650</v>
      </c>
      <c r="L63" s="103">
        <f>VLOOKUP($A63,'OI(Value)'!$A$7:$O$323,8,0)</f>
        <v>1315</v>
      </c>
      <c r="M63" s="103">
        <f>VLOOKUP($A63,'OI(Value)'!$A$7:$O$323,9,0)</f>
        <v>-131</v>
      </c>
      <c r="N63" s="103">
        <f>VLOOKUP($A63,'OI(Value)'!$A$7:$O$323,11,0)</f>
        <v>515</v>
      </c>
      <c r="O63" s="103">
        <f>VLOOKUP($A63,'OI(Value)'!$A$7:$O$323,12,0)</f>
        <v>-46</v>
      </c>
      <c r="P63" s="179">
        <f>VLOOKUP(A63,'OI(Value)'!A63:O281,8,0)</f>
        <v>1315</v>
      </c>
      <c r="Q63" s="179">
        <f>VLOOKUP(A63,'OI(Value)'!A63:O281,9,0)</f>
        <v>-131</v>
      </c>
      <c r="R63" s="179">
        <f>VLOOKUP(A63,'OI(Value)'!A63:O281,11,0)</f>
        <v>515</v>
      </c>
      <c r="S63" s="179">
        <f>VLOOKUP(A63,'OI(Value)'!A63:O281,11,0)</f>
        <v>515</v>
      </c>
    </row>
    <row r="64" spans="1:19" x14ac:dyDescent="0.25">
      <c r="A64" s="105" t="str">
        <f>'Data Vlaue (Cr)'!C59</f>
        <v>DRREDDY</v>
      </c>
      <c r="B64" s="143">
        <f>VLOOKUP($A64,'Data shares'!$C:$FA,118)</f>
        <v>0.6</v>
      </c>
      <c r="C64" s="143">
        <f>VLOOKUP($A64,'Data shares'!$C:$FA,119)</f>
        <v>0.62</v>
      </c>
      <c r="D64" s="143">
        <f>VLOOKUP($A64,'Data shares'!$C:$FA,121)*100</f>
        <v>-3.2300000000000004</v>
      </c>
      <c r="E64" s="143">
        <f>VLOOKUP($A64,'Data shares'!$C:$FA,124)</f>
        <v>0.49</v>
      </c>
      <c r="F64" s="143">
        <f>VLOOKUP($A64,'Data shares'!$C:$FA,125)</f>
        <v>0.73</v>
      </c>
      <c r="G64" s="143">
        <f>VLOOKUP($A64,'Data shares'!$C:$FA,127)*100</f>
        <v>-32.879999999999995</v>
      </c>
      <c r="H64" s="103">
        <f>VLOOKUP($A64,'OI(Volume)'!$A$7:$O$440,8)</f>
        <v>11327500</v>
      </c>
      <c r="I64" s="103">
        <f>VLOOKUP($A64,'OI(Volume)'!$A$7:$O$440,9)</f>
        <v>-430625</v>
      </c>
      <c r="J64" s="103">
        <f>VLOOKUP($A64,'OI(Volume)'!$A$7:$O$440,11)</f>
        <v>6790000</v>
      </c>
      <c r="K64" s="103">
        <f>VLOOKUP($A64,'OI(Volume)'!$A$7:$O$440,12)</f>
        <v>-471875</v>
      </c>
      <c r="L64" s="103">
        <f>VLOOKUP($A64,'OI(Value)'!$A$7:$O$323,8,0)</f>
        <v>1383</v>
      </c>
      <c r="M64" s="103">
        <f>VLOOKUP($A64,'OI(Value)'!$A$7:$O$323,9,0)</f>
        <v>-53</v>
      </c>
      <c r="N64" s="103">
        <f>VLOOKUP($A64,'OI(Value)'!$A$7:$O$323,11,0)</f>
        <v>829</v>
      </c>
      <c r="O64" s="103">
        <f>VLOOKUP($A64,'OI(Value)'!$A$7:$O$323,12,0)</f>
        <v>-58</v>
      </c>
      <c r="P64" s="179">
        <f>VLOOKUP(A64,'OI(Value)'!A64:O282,8,0)</f>
        <v>1383</v>
      </c>
      <c r="Q64" s="179">
        <f>VLOOKUP(A64,'OI(Value)'!A64:O282,9,0)</f>
        <v>-53</v>
      </c>
      <c r="R64" s="179">
        <f>VLOOKUP(A64,'OI(Value)'!A64:O282,11,0)</f>
        <v>829</v>
      </c>
      <c r="S64" s="179">
        <f>VLOOKUP(A64,'OI(Value)'!A64:O282,11,0)</f>
        <v>829</v>
      </c>
    </row>
    <row r="65" spans="1:19" x14ac:dyDescent="0.25">
      <c r="A65" s="105" t="str">
        <f>'Data Vlaue (Cr)'!C60</f>
        <v>EICHERMOT</v>
      </c>
      <c r="B65" s="143">
        <f>VLOOKUP($A65,'Data shares'!$C:$FA,118)</f>
        <v>0.49</v>
      </c>
      <c r="C65" s="143">
        <f>VLOOKUP($A65,'Data shares'!$C:$FA,119)</f>
        <v>0.51</v>
      </c>
      <c r="D65" s="143">
        <f>VLOOKUP($A65,'Data shares'!$C:$FA,121)*100</f>
        <v>-3.92</v>
      </c>
      <c r="E65" s="143">
        <f>VLOOKUP($A65,'Data shares'!$C:$FA,124)</f>
        <v>0.43</v>
      </c>
      <c r="F65" s="143">
        <f>VLOOKUP($A65,'Data shares'!$C:$FA,125)</f>
        <v>0.51</v>
      </c>
      <c r="G65" s="143">
        <f>VLOOKUP($A65,'Data shares'!$C:$FA,127)*100</f>
        <v>-15.690000000000001</v>
      </c>
      <c r="H65" s="103">
        <f>VLOOKUP($A65,'OI(Volume)'!$A$7:$O$440,8)</f>
        <v>1931100</v>
      </c>
      <c r="I65" s="103">
        <f>VLOOKUP($A65,'OI(Volume)'!$A$7:$O$440,9)</f>
        <v>82800</v>
      </c>
      <c r="J65" s="103">
        <f>VLOOKUP($A65,'OI(Volume)'!$A$7:$O$440,11)</f>
        <v>947600</v>
      </c>
      <c r="K65" s="103">
        <f>VLOOKUP($A65,'OI(Volume)'!$A$7:$O$440,12)</f>
        <v>3500</v>
      </c>
      <c r="L65" s="103">
        <f>VLOOKUP($A65,'OI(Value)'!$A$7:$O$323,8,0)</f>
        <v>1359</v>
      </c>
      <c r="M65" s="103">
        <f>VLOOKUP($A65,'OI(Value)'!$A$7:$O$323,9,0)</f>
        <v>58</v>
      </c>
      <c r="N65" s="103">
        <f>VLOOKUP($A65,'OI(Value)'!$A$7:$O$323,11,0)</f>
        <v>667</v>
      </c>
      <c r="O65" s="103">
        <f>VLOOKUP($A65,'OI(Value)'!$A$7:$O$323,12,0)</f>
        <v>2</v>
      </c>
      <c r="P65" s="179">
        <f>VLOOKUP(A65,'OI(Value)'!A65:O283,8,0)</f>
        <v>1359</v>
      </c>
      <c r="Q65" s="179">
        <f>VLOOKUP(A65,'OI(Value)'!A65:O283,9,0)</f>
        <v>58</v>
      </c>
      <c r="R65" s="179">
        <f>VLOOKUP(A65,'OI(Value)'!A65:O283,11,0)</f>
        <v>667</v>
      </c>
      <c r="S65" s="179">
        <f>VLOOKUP(A65,'OI(Value)'!A65:O283,11,0)</f>
        <v>667</v>
      </c>
    </row>
    <row r="66" spans="1:19" x14ac:dyDescent="0.25">
      <c r="A66" s="105" t="str">
        <f>'Data Vlaue (Cr)'!C61</f>
        <v>ETERNAL</v>
      </c>
      <c r="B66" s="143">
        <f>VLOOKUP($A66,'Data shares'!$C:$FA,118)</f>
        <v>0.55000000000000004</v>
      </c>
      <c r="C66" s="143">
        <f>VLOOKUP($A66,'Data shares'!$C:$FA,119)</f>
        <v>0.77</v>
      </c>
      <c r="D66" s="143">
        <f>VLOOKUP($A66,'Data shares'!$C:$FA,121)*100</f>
        <v>-28.57</v>
      </c>
      <c r="E66" s="143">
        <f>VLOOKUP($A66,'Data shares'!$C:$FA,124)</f>
        <v>0.81</v>
      </c>
      <c r="F66" s="143">
        <f>VLOOKUP($A66,'Data shares'!$C:$FA,125)</f>
        <v>0.62</v>
      </c>
      <c r="G66" s="143">
        <f>VLOOKUP($A66,'Data shares'!$C:$FA,127)*100</f>
        <v>30.65</v>
      </c>
      <c r="H66" s="103">
        <f>VLOOKUP($A66,'OI(Volume)'!$A$7:$O$440,8)</f>
        <v>109629400</v>
      </c>
      <c r="I66" s="103">
        <f>VLOOKUP($A66,'OI(Volume)'!$A$7:$O$440,9)</f>
        <v>7134350</v>
      </c>
      <c r="J66" s="103">
        <f>VLOOKUP($A66,'OI(Volume)'!$A$7:$O$440,11)</f>
        <v>60365525</v>
      </c>
      <c r="K66" s="103">
        <f>VLOOKUP($A66,'OI(Volume)'!$A$7:$O$440,12)</f>
        <v>-18117175</v>
      </c>
      <c r="L66" s="103">
        <f>VLOOKUP($A66,'OI(Value)'!$A$7:$O$323,8,0)</f>
        <v>3030</v>
      </c>
      <c r="M66" s="103">
        <f>VLOOKUP($A66,'OI(Value)'!$A$7:$O$323,9,0)</f>
        <v>197</v>
      </c>
      <c r="N66" s="103">
        <f>VLOOKUP($A66,'OI(Value)'!$A$7:$O$323,11,0)</f>
        <v>1669</v>
      </c>
      <c r="O66" s="103">
        <f>VLOOKUP($A66,'OI(Value)'!$A$7:$O$323,12,0)</f>
        <v>-501</v>
      </c>
      <c r="P66" s="179">
        <f>VLOOKUP(A66,'OI(Value)'!A66:O284,8,0)</f>
        <v>3030</v>
      </c>
      <c r="Q66" s="179">
        <f>VLOOKUP(A66,'OI(Value)'!A66:O284,9,0)</f>
        <v>197</v>
      </c>
      <c r="R66" s="179">
        <f>VLOOKUP(A66,'OI(Value)'!A66:O284,11,0)</f>
        <v>1669</v>
      </c>
      <c r="S66" s="179">
        <f>VLOOKUP(A66,'OI(Value)'!A66:O284,11,0)</f>
        <v>1669</v>
      </c>
    </row>
    <row r="67" spans="1:19" x14ac:dyDescent="0.25">
      <c r="A67" s="105" t="str">
        <f>'Data Vlaue (Cr)'!C62</f>
        <v>EXIDEIND</v>
      </c>
      <c r="B67" s="143">
        <f>VLOOKUP($A67,'Data shares'!$C:$FA,118)</f>
        <v>0.64</v>
      </c>
      <c r="C67" s="143">
        <f>VLOOKUP($A67,'Data shares'!$C:$FA,119)</f>
        <v>0.59</v>
      </c>
      <c r="D67" s="143">
        <f>VLOOKUP($A67,'Data shares'!$C:$FA,121)*100</f>
        <v>8.4699999999999989</v>
      </c>
      <c r="E67" s="143">
        <f>VLOOKUP($A67,'Data shares'!$C:$FA,124)</f>
        <v>0.55000000000000004</v>
      </c>
      <c r="F67" s="143">
        <f>VLOOKUP($A67,'Data shares'!$C:$FA,125)</f>
        <v>0.68</v>
      </c>
      <c r="G67" s="143">
        <f>VLOOKUP($A67,'Data shares'!$C:$FA,127)*100</f>
        <v>-19.12</v>
      </c>
      <c r="H67" s="103">
        <f>VLOOKUP($A67,'OI(Volume)'!$A$7:$O$440,8)</f>
        <v>18842400</v>
      </c>
      <c r="I67" s="103">
        <f>VLOOKUP($A67,'OI(Volume)'!$A$7:$O$440,9)</f>
        <v>-2358000</v>
      </c>
      <c r="J67" s="103">
        <f>VLOOKUP($A67,'OI(Volume)'!$A$7:$O$440,11)</f>
        <v>12056400</v>
      </c>
      <c r="K67" s="103">
        <f>VLOOKUP($A67,'OI(Volume)'!$A$7:$O$440,12)</f>
        <v>-532800</v>
      </c>
      <c r="L67" s="103">
        <f>VLOOKUP($A67,'OI(Value)'!$A$7:$O$323,8,0)</f>
        <v>630</v>
      </c>
      <c r="M67" s="103">
        <f>VLOOKUP($A67,'OI(Value)'!$A$7:$O$323,9,0)</f>
        <v>-79</v>
      </c>
      <c r="N67" s="103">
        <f>VLOOKUP($A67,'OI(Value)'!$A$7:$O$323,11,0)</f>
        <v>403</v>
      </c>
      <c r="O67" s="103">
        <f>VLOOKUP($A67,'OI(Value)'!$A$7:$O$323,12,0)</f>
        <v>-18</v>
      </c>
      <c r="P67" s="179">
        <f>VLOOKUP(A67,'OI(Value)'!A67:O285,8,0)</f>
        <v>630</v>
      </c>
      <c r="Q67" s="179">
        <f>VLOOKUP(A67,'OI(Value)'!A67:O285,9,0)</f>
        <v>-79</v>
      </c>
      <c r="R67" s="179">
        <f>VLOOKUP(A67,'OI(Value)'!A67:O285,11,0)</f>
        <v>403</v>
      </c>
      <c r="S67" s="179">
        <f>VLOOKUP(A67,'OI(Value)'!A67:O285,11,0)</f>
        <v>403</v>
      </c>
    </row>
    <row r="68" spans="1:19" x14ac:dyDescent="0.25">
      <c r="A68" s="105" t="str">
        <f>'Data Vlaue (Cr)'!C63</f>
        <v>FEDERALBNK</v>
      </c>
      <c r="B68" s="143">
        <f>VLOOKUP($A68,'Data shares'!$C:$FA,118)</f>
        <v>1.1399999999999999</v>
      </c>
      <c r="C68" s="143">
        <f>VLOOKUP($A68,'Data shares'!$C:$FA,119)</f>
        <v>1.0900000000000001</v>
      </c>
      <c r="D68" s="143">
        <f>VLOOKUP($A68,'Data shares'!$C:$FA,121)*100</f>
        <v>4.5900000000000007</v>
      </c>
      <c r="E68" s="143">
        <f>VLOOKUP($A68,'Data shares'!$C:$FA,124)</f>
        <v>0.55000000000000004</v>
      </c>
      <c r="F68" s="143">
        <f>VLOOKUP($A68,'Data shares'!$C:$FA,125)</f>
        <v>0.91</v>
      </c>
      <c r="G68" s="143">
        <f>VLOOKUP($A68,'Data shares'!$C:$FA,127)*100</f>
        <v>-39.56</v>
      </c>
      <c r="H68" s="103">
        <f>VLOOKUP($A68,'OI(Volume)'!$A$7:$O$440,8)</f>
        <v>58060000</v>
      </c>
      <c r="I68" s="103">
        <f>VLOOKUP($A68,'OI(Volume)'!$A$7:$O$440,9)</f>
        <v>-2235000</v>
      </c>
      <c r="J68" s="103">
        <f>VLOOKUP($A68,'OI(Volume)'!$A$7:$O$440,11)</f>
        <v>65960000</v>
      </c>
      <c r="K68" s="103">
        <f>VLOOKUP($A68,'OI(Volume)'!$A$7:$O$440,12)</f>
        <v>300000</v>
      </c>
      <c r="L68" s="103">
        <f>VLOOKUP($A68,'OI(Value)'!$A$7:$O$323,8,0)</f>
        <v>1637</v>
      </c>
      <c r="M68" s="103">
        <f>VLOOKUP($A68,'OI(Value)'!$A$7:$O$323,9,0)</f>
        <v>-63</v>
      </c>
      <c r="N68" s="103">
        <f>VLOOKUP($A68,'OI(Value)'!$A$7:$O$323,11,0)</f>
        <v>1860</v>
      </c>
      <c r="O68" s="103">
        <f>VLOOKUP($A68,'OI(Value)'!$A$7:$O$323,12,0)</f>
        <v>8</v>
      </c>
      <c r="P68" s="179">
        <f>VLOOKUP(A68,'OI(Value)'!A68:O286,8,0)</f>
        <v>1637</v>
      </c>
      <c r="Q68" s="179">
        <f>VLOOKUP(A68,'OI(Value)'!A68:O286,9,0)</f>
        <v>-63</v>
      </c>
      <c r="R68" s="179">
        <f>VLOOKUP(A68,'OI(Value)'!A68:O286,11,0)</f>
        <v>1860</v>
      </c>
      <c r="S68" s="179">
        <f>VLOOKUP(A68,'OI(Value)'!A68:O286,11,0)</f>
        <v>1860</v>
      </c>
    </row>
    <row r="69" spans="1:19" x14ac:dyDescent="0.25">
      <c r="A69" s="105" t="str">
        <f>'Data Vlaue (Cr)'!C64</f>
        <v>FINNIFTY</v>
      </c>
      <c r="B69" s="143">
        <f>VLOOKUP($A69,'Data shares'!$C:$FA,118)</f>
        <v>0.79</v>
      </c>
      <c r="C69" s="143">
        <f>VLOOKUP($A69,'Data shares'!$C:$FA,119)</f>
        <v>0.49</v>
      </c>
      <c r="D69" s="143">
        <f>VLOOKUP($A69,'Data shares'!$C:$FA,121)*100</f>
        <v>61.22</v>
      </c>
      <c r="E69" s="143">
        <f>VLOOKUP($A69,'Data shares'!$C:$FA,124)</f>
        <v>0.83</v>
      </c>
      <c r="F69" s="143">
        <f>VLOOKUP($A69,'Data shares'!$C:$FA,125)</f>
        <v>0.89</v>
      </c>
      <c r="G69" s="143">
        <f>VLOOKUP($A69,'Data shares'!$C:$FA,127)*100</f>
        <v>-6.74</v>
      </c>
      <c r="H69" s="103">
        <f>VLOOKUP($A69,'OI(Volume)'!$A$7:$O$440,8)</f>
        <v>1198020</v>
      </c>
      <c r="I69" s="103">
        <f>VLOOKUP($A69,'OI(Volume)'!$A$7:$O$440,9)</f>
        <v>-384480</v>
      </c>
      <c r="J69" s="103">
        <f>VLOOKUP($A69,'OI(Volume)'!$A$7:$O$440,11)</f>
        <v>949920</v>
      </c>
      <c r="K69" s="103">
        <f>VLOOKUP($A69,'OI(Volume)'!$A$7:$O$440,12)</f>
        <v>174120</v>
      </c>
      <c r="L69" s="103">
        <f>VLOOKUP($A69,'OI(Value)'!$A$7:$O$323,8,0)</f>
        <v>3264</v>
      </c>
      <c r="M69" s="103">
        <f>VLOOKUP($A69,'OI(Value)'!$A$7:$O$323,9,0)</f>
        <v>-1048</v>
      </c>
      <c r="N69" s="103">
        <f>VLOOKUP($A69,'OI(Value)'!$A$7:$O$323,11,0)</f>
        <v>2588</v>
      </c>
      <c r="O69" s="103">
        <f>VLOOKUP($A69,'OI(Value)'!$A$7:$O$323,12,0)</f>
        <v>474</v>
      </c>
      <c r="P69" s="179">
        <f>VLOOKUP(A69,'OI(Value)'!A69:O287,8,0)</f>
        <v>3264</v>
      </c>
      <c r="Q69" s="179">
        <f>VLOOKUP(A69,'OI(Value)'!A69:O287,9,0)</f>
        <v>-1048</v>
      </c>
      <c r="R69" s="179">
        <f>VLOOKUP(A69,'OI(Value)'!A69:O287,11,0)</f>
        <v>2588</v>
      </c>
      <c r="S69" s="179">
        <f>VLOOKUP(A69,'OI(Value)'!A69:O287,11,0)</f>
        <v>2588</v>
      </c>
    </row>
    <row r="70" spans="1:19" x14ac:dyDescent="0.25">
      <c r="A70" s="105" t="str">
        <f>'Data Vlaue (Cr)'!C65</f>
        <v>FORTIS</v>
      </c>
      <c r="B70" s="143">
        <f>VLOOKUP($A70,'Data shares'!$C:$FA,118)</f>
        <v>0.67</v>
      </c>
      <c r="C70" s="143">
        <f>VLOOKUP($A70,'Data shares'!$C:$FA,119)</f>
        <v>0.68</v>
      </c>
      <c r="D70" s="143">
        <f>VLOOKUP($A70,'Data shares'!$C:$FA,121)*100</f>
        <v>-1.47</v>
      </c>
      <c r="E70" s="143">
        <f>VLOOKUP($A70,'Data shares'!$C:$FA,124)</f>
        <v>1.27</v>
      </c>
      <c r="F70" s="143">
        <f>VLOOKUP($A70,'Data shares'!$C:$FA,125)</f>
        <v>0.79</v>
      </c>
      <c r="G70" s="143">
        <f>VLOOKUP($A70,'Data shares'!$C:$FA,127)*100</f>
        <v>60.760000000000005</v>
      </c>
      <c r="H70" s="103">
        <f>VLOOKUP($A70,'OI(Volume)'!$A$7:$O$440,8)</f>
        <v>4424475</v>
      </c>
      <c r="I70" s="103">
        <f>VLOOKUP($A70,'OI(Volume)'!$A$7:$O$440,9)</f>
        <v>494450</v>
      </c>
      <c r="J70" s="103">
        <f>VLOOKUP($A70,'OI(Volume)'!$A$7:$O$440,11)</f>
        <v>2963600</v>
      </c>
      <c r="K70" s="103">
        <f>VLOOKUP($A70,'OI(Volume)'!$A$7:$O$440,12)</f>
        <v>277450</v>
      </c>
      <c r="L70" s="103">
        <f>VLOOKUP($A70,'OI(Value)'!$A$7:$O$323,8,0)</f>
        <v>373</v>
      </c>
      <c r="M70" s="103">
        <f>VLOOKUP($A70,'OI(Value)'!$A$7:$O$323,9,0)</f>
        <v>42</v>
      </c>
      <c r="N70" s="103">
        <f>VLOOKUP($A70,'OI(Value)'!$A$7:$O$323,11,0)</f>
        <v>250</v>
      </c>
      <c r="O70" s="103">
        <f>VLOOKUP($A70,'OI(Value)'!$A$7:$O$323,12,0)</f>
        <v>23</v>
      </c>
      <c r="P70" s="179">
        <f>VLOOKUP(A70,'OI(Value)'!A70:O288,8,0)</f>
        <v>373</v>
      </c>
      <c r="Q70" s="179">
        <f>VLOOKUP(A70,'OI(Value)'!A70:O288,9,0)</f>
        <v>42</v>
      </c>
      <c r="R70" s="179">
        <f>VLOOKUP(A70,'OI(Value)'!A70:O288,11,0)</f>
        <v>250</v>
      </c>
      <c r="S70" s="179">
        <f>VLOOKUP(A70,'OI(Value)'!A70:O288,11,0)</f>
        <v>250</v>
      </c>
    </row>
    <row r="71" spans="1:19" x14ac:dyDescent="0.25">
      <c r="A71" s="105" t="str">
        <f>'Data Vlaue (Cr)'!C66</f>
        <v>GAIL</v>
      </c>
      <c r="B71" s="143">
        <f>VLOOKUP($A71,'Data shares'!$C:$FA,118)</f>
        <v>0.82</v>
      </c>
      <c r="C71" s="143">
        <f>VLOOKUP($A71,'Data shares'!$C:$FA,119)</f>
        <v>0.81</v>
      </c>
      <c r="D71" s="143">
        <f>VLOOKUP($A71,'Data shares'!$C:$FA,121)*100</f>
        <v>1.23</v>
      </c>
      <c r="E71" s="143">
        <f>VLOOKUP($A71,'Data shares'!$C:$FA,124)</f>
        <v>0.84</v>
      </c>
      <c r="F71" s="143">
        <f>VLOOKUP($A71,'Data shares'!$C:$FA,125)</f>
        <v>0.47</v>
      </c>
      <c r="G71" s="143">
        <f>VLOOKUP($A71,'Data shares'!$C:$FA,127)*100</f>
        <v>78.72</v>
      </c>
      <c r="H71" s="103">
        <f>VLOOKUP($A71,'OI(Volume)'!$A$7:$O$440,8)</f>
        <v>42077700</v>
      </c>
      <c r="I71" s="103">
        <f>VLOOKUP($A71,'OI(Volume)'!$A$7:$O$440,9)</f>
        <v>-837900</v>
      </c>
      <c r="J71" s="103">
        <f>VLOOKUP($A71,'OI(Volume)'!$A$7:$O$440,11)</f>
        <v>34552350</v>
      </c>
      <c r="K71" s="103">
        <f>VLOOKUP($A71,'OI(Volume)'!$A$7:$O$440,12)</f>
        <v>3150</v>
      </c>
      <c r="L71" s="103">
        <f>VLOOKUP($A71,'OI(Value)'!$A$7:$O$323,8,0)</f>
        <v>689</v>
      </c>
      <c r="M71" s="103">
        <f>VLOOKUP($A71,'OI(Value)'!$A$7:$O$323,9,0)</f>
        <v>-14</v>
      </c>
      <c r="N71" s="103">
        <f>VLOOKUP($A71,'OI(Value)'!$A$7:$O$323,11,0)</f>
        <v>566</v>
      </c>
      <c r="O71" s="103">
        <f>VLOOKUP($A71,'OI(Value)'!$A$7:$O$323,12,0)</f>
        <v>0</v>
      </c>
      <c r="P71" s="179">
        <f>VLOOKUP(A71,'OI(Value)'!A71:O289,8,0)</f>
        <v>689</v>
      </c>
      <c r="Q71" s="179">
        <f>VLOOKUP(A71,'OI(Value)'!A71:O289,9,0)</f>
        <v>-14</v>
      </c>
      <c r="R71" s="179">
        <f>VLOOKUP(A71,'OI(Value)'!A71:O289,11,0)</f>
        <v>566</v>
      </c>
      <c r="S71" s="179">
        <f>VLOOKUP(A71,'OI(Value)'!A71:O289,11,0)</f>
        <v>566</v>
      </c>
    </row>
    <row r="72" spans="1:19" x14ac:dyDescent="0.25">
      <c r="A72" s="105" t="str">
        <f>'Data Vlaue (Cr)'!C67</f>
        <v>GLENMARK</v>
      </c>
      <c r="B72" s="143">
        <f>VLOOKUP($A72,'Data shares'!$C:$FA,118)</f>
        <v>0.55000000000000004</v>
      </c>
      <c r="C72" s="143">
        <f>VLOOKUP($A72,'Data shares'!$C:$FA,119)</f>
        <v>0.55000000000000004</v>
      </c>
      <c r="D72" s="143">
        <f>VLOOKUP($A72,'Data shares'!$C:$FA,121)*100</f>
        <v>0</v>
      </c>
      <c r="E72" s="143">
        <f>VLOOKUP($A72,'Data shares'!$C:$FA,124)</f>
        <v>0.43</v>
      </c>
      <c r="F72" s="143">
        <f>VLOOKUP($A72,'Data shares'!$C:$FA,125)</f>
        <v>0.55000000000000004</v>
      </c>
      <c r="G72" s="143">
        <f>VLOOKUP($A72,'Data shares'!$C:$FA,127)*100</f>
        <v>-21.82</v>
      </c>
      <c r="H72" s="103">
        <f>VLOOKUP($A72,'OI(Volume)'!$A$7:$O$440,8)</f>
        <v>3588375</v>
      </c>
      <c r="I72" s="103">
        <f>VLOOKUP($A72,'OI(Volume)'!$A$7:$O$440,9)</f>
        <v>-292875</v>
      </c>
      <c r="J72" s="103">
        <f>VLOOKUP($A72,'OI(Volume)'!$A$7:$O$440,11)</f>
        <v>1982250</v>
      </c>
      <c r="K72" s="103">
        <f>VLOOKUP($A72,'OI(Volume)'!$A$7:$O$440,12)</f>
        <v>-151500</v>
      </c>
      <c r="L72" s="103">
        <f>VLOOKUP($A72,'OI(Value)'!$A$7:$O$323,8,0)</f>
        <v>716</v>
      </c>
      <c r="M72" s="103">
        <f>VLOOKUP($A72,'OI(Value)'!$A$7:$O$323,9,0)</f>
        <v>-58</v>
      </c>
      <c r="N72" s="103">
        <f>VLOOKUP($A72,'OI(Value)'!$A$7:$O$323,11,0)</f>
        <v>395</v>
      </c>
      <c r="O72" s="103">
        <f>VLOOKUP($A72,'OI(Value)'!$A$7:$O$323,12,0)</f>
        <v>-30</v>
      </c>
      <c r="P72" s="179">
        <f>VLOOKUP(A72,'OI(Value)'!A72:O290,8,0)</f>
        <v>716</v>
      </c>
      <c r="Q72" s="179">
        <f>VLOOKUP(A72,'OI(Value)'!A72:O290,9,0)</f>
        <v>-58</v>
      </c>
      <c r="R72" s="179">
        <f>VLOOKUP(A72,'OI(Value)'!A72:O290,11,0)</f>
        <v>395</v>
      </c>
      <c r="S72" s="179">
        <f>VLOOKUP(A72,'OI(Value)'!A72:O290,11,0)</f>
        <v>395</v>
      </c>
    </row>
    <row r="73" spans="1:19" x14ac:dyDescent="0.25">
      <c r="A73" s="105" t="str">
        <f>'Data Vlaue (Cr)'!C68</f>
        <v>GMRAIRPORT</v>
      </c>
      <c r="B73" s="143">
        <f>VLOOKUP($A73,'Data shares'!$C:$FA,118)</f>
        <v>0.53</v>
      </c>
      <c r="C73" s="143">
        <f>VLOOKUP($A73,'Data shares'!$C:$FA,119)</f>
        <v>0.48</v>
      </c>
      <c r="D73" s="143">
        <f>VLOOKUP($A73,'Data shares'!$C:$FA,121)*100</f>
        <v>10.42</v>
      </c>
      <c r="E73" s="143">
        <f>VLOOKUP($A73,'Data shares'!$C:$FA,124)</f>
        <v>0.47</v>
      </c>
      <c r="F73" s="143">
        <f>VLOOKUP($A73,'Data shares'!$C:$FA,125)</f>
        <v>0.54</v>
      </c>
      <c r="G73" s="143">
        <f>VLOOKUP($A73,'Data shares'!$C:$FA,127)*100</f>
        <v>-12.959999999999999</v>
      </c>
      <c r="H73" s="103">
        <f>VLOOKUP($A73,'OI(Volume)'!$A$7:$O$440,8)</f>
        <v>117103275</v>
      </c>
      <c r="I73" s="103">
        <f>VLOOKUP($A73,'OI(Volume)'!$A$7:$O$440,9)</f>
        <v>-7812000</v>
      </c>
      <c r="J73" s="103">
        <f>VLOOKUP($A73,'OI(Volume)'!$A$7:$O$440,11)</f>
        <v>61944975</v>
      </c>
      <c r="K73" s="103">
        <f>VLOOKUP($A73,'OI(Volume)'!$A$7:$O$440,12)</f>
        <v>1583325</v>
      </c>
      <c r="L73" s="103">
        <f>VLOOKUP($A73,'OI(Value)'!$A$7:$O$323,8,0)</f>
        <v>1114</v>
      </c>
      <c r="M73" s="103">
        <f>VLOOKUP($A73,'OI(Value)'!$A$7:$O$323,9,0)</f>
        <v>-74</v>
      </c>
      <c r="N73" s="103">
        <f>VLOOKUP($A73,'OI(Value)'!$A$7:$O$323,11,0)</f>
        <v>590</v>
      </c>
      <c r="O73" s="103">
        <f>VLOOKUP($A73,'OI(Value)'!$A$7:$O$323,12,0)</f>
        <v>15</v>
      </c>
      <c r="P73" s="179">
        <f>VLOOKUP(A73,'OI(Value)'!A73:O291,8,0)</f>
        <v>1114</v>
      </c>
      <c r="Q73" s="179">
        <f>VLOOKUP(A73,'OI(Value)'!A73:O291,9,0)</f>
        <v>-74</v>
      </c>
      <c r="R73" s="179">
        <f>VLOOKUP(A73,'OI(Value)'!A73:O291,11,0)</f>
        <v>590</v>
      </c>
      <c r="S73" s="179">
        <f>VLOOKUP(A73,'OI(Value)'!A73:O291,11,0)</f>
        <v>590</v>
      </c>
    </row>
    <row r="74" spans="1:19" x14ac:dyDescent="0.25">
      <c r="A74" s="105" t="str">
        <f>'Data Vlaue (Cr)'!C69</f>
        <v>GODREJCP</v>
      </c>
      <c r="B74" s="143">
        <f>VLOOKUP($A74,'Data shares'!$C:$FA,118)</f>
        <v>0.68</v>
      </c>
      <c r="C74" s="143">
        <f>VLOOKUP($A74,'Data shares'!$C:$FA,119)</f>
        <v>0.63</v>
      </c>
      <c r="D74" s="143">
        <f>VLOOKUP($A74,'Data shares'!$C:$FA,121)*100</f>
        <v>7.9399999999999995</v>
      </c>
      <c r="E74" s="143">
        <f>VLOOKUP($A74,'Data shares'!$C:$FA,124)</f>
        <v>0.55000000000000004</v>
      </c>
      <c r="F74" s="143">
        <f>VLOOKUP($A74,'Data shares'!$C:$FA,125)</f>
        <v>0.72</v>
      </c>
      <c r="G74" s="143">
        <f>VLOOKUP($A74,'Data shares'!$C:$FA,127)*100</f>
        <v>-23.61</v>
      </c>
      <c r="H74" s="103">
        <f>VLOOKUP($A74,'OI(Volume)'!$A$7:$O$440,8)</f>
        <v>1881500</v>
      </c>
      <c r="I74" s="103">
        <f>VLOOKUP($A74,'OI(Volume)'!$A$7:$O$440,9)</f>
        <v>-312000</v>
      </c>
      <c r="J74" s="103">
        <f>VLOOKUP($A74,'OI(Volume)'!$A$7:$O$440,11)</f>
        <v>1279000</v>
      </c>
      <c r="K74" s="103">
        <f>VLOOKUP($A74,'OI(Volume)'!$A$7:$O$440,12)</f>
        <v>-101500</v>
      </c>
      <c r="L74" s="103">
        <f>VLOOKUP($A74,'OI(Value)'!$A$7:$O$323,8,0)</f>
        <v>235</v>
      </c>
      <c r="M74" s="103">
        <f>VLOOKUP($A74,'OI(Value)'!$A$7:$O$323,9,0)</f>
        <v>-39</v>
      </c>
      <c r="N74" s="103">
        <f>VLOOKUP($A74,'OI(Value)'!$A$7:$O$323,11,0)</f>
        <v>160</v>
      </c>
      <c r="O74" s="103">
        <f>VLOOKUP($A74,'OI(Value)'!$A$7:$O$323,12,0)</f>
        <v>-13</v>
      </c>
      <c r="P74" s="179">
        <f>VLOOKUP(A74,'OI(Value)'!A74:O292,8,0)</f>
        <v>235</v>
      </c>
      <c r="Q74" s="179">
        <f>VLOOKUP(A74,'OI(Value)'!A74:O292,9,0)</f>
        <v>-39</v>
      </c>
      <c r="R74" s="179">
        <f>VLOOKUP(A74,'OI(Value)'!A74:O292,11,0)</f>
        <v>160</v>
      </c>
      <c r="S74" s="179">
        <f>VLOOKUP(A74,'OI(Value)'!A74:O292,11,0)</f>
        <v>160</v>
      </c>
    </row>
    <row r="75" spans="1:19" x14ac:dyDescent="0.25">
      <c r="A75" s="105" t="str">
        <f>'Data Vlaue (Cr)'!C70</f>
        <v>GODREJPROP</v>
      </c>
      <c r="B75" s="143">
        <f>VLOOKUP($A75,'Data shares'!$C:$FA,118)</f>
        <v>0.6</v>
      </c>
      <c r="C75" s="143">
        <f>VLOOKUP($A75,'Data shares'!$C:$FA,119)</f>
        <v>0.59</v>
      </c>
      <c r="D75" s="143">
        <f>VLOOKUP($A75,'Data shares'!$C:$FA,121)*100</f>
        <v>1.69</v>
      </c>
      <c r="E75" s="143">
        <f>VLOOKUP($A75,'Data shares'!$C:$FA,124)</f>
        <v>0.62</v>
      </c>
      <c r="F75" s="143">
        <f>VLOOKUP($A75,'Data shares'!$C:$FA,125)</f>
        <v>0.64</v>
      </c>
      <c r="G75" s="143">
        <f>VLOOKUP($A75,'Data shares'!$C:$FA,127)*100</f>
        <v>-3.1300000000000003</v>
      </c>
      <c r="H75" s="103">
        <f>VLOOKUP($A75,'OI(Volume)'!$A$7:$O$440,8)</f>
        <v>7253400</v>
      </c>
      <c r="I75" s="103">
        <f>VLOOKUP($A75,'OI(Volume)'!$A$7:$O$440,9)</f>
        <v>5775</v>
      </c>
      <c r="J75" s="103">
        <f>VLOOKUP($A75,'OI(Volume)'!$A$7:$O$440,11)</f>
        <v>4338950</v>
      </c>
      <c r="K75" s="103">
        <f>VLOOKUP($A75,'OI(Volume)'!$A$7:$O$440,12)</f>
        <v>79750</v>
      </c>
      <c r="L75" s="103">
        <f>VLOOKUP($A75,'OI(Value)'!$A$7:$O$323,8,0)</f>
        <v>1178</v>
      </c>
      <c r="M75" s="103">
        <f>VLOOKUP($A75,'OI(Value)'!$A$7:$O$323,9,0)</f>
        <v>1</v>
      </c>
      <c r="N75" s="103">
        <f>VLOOKUP($A75,'OI(Value)'!$A$7:$O$323,11,0)</f>
        <v>704</v>
      </c>
      <c r="O75" s="103">
        <f>VLOOKUP($A75,'OI(Value)'!$A$7:$O$323,12,0)</f>
        <v>13</v>
      </c>
      <c r="P75" s="179">
        <f>VLOOKUP(A75,'OI(Value)'!A75:O293,8,0)</f>
        <v>1178</v>
      </c>
      <c r="Q75" s="179">
        <f>VLOOKUP(A75,'OI(Value)'!A75:O293,9,0)</f>
        <v>1</v>
      </c>
      <c r="R75" s="179">
        <f>VLOOKUP(A75,'OI(Value)'!A75:O293,11,0)</f>
        <v>704</v>
      </c>
      <c r="S75" s="179">
        <f>VLOOKUP(A75,'OI(Value)'!A75:O293,11,0)</f>
        <v>704</v>
      </c>
    </row>
    <row r="76" spans="1:19" x14ac:dyDescent="0.25">
      <c r="A76" s="105" t="str">
        <f>'Data Vlaue (Cr)'!C71</f>
        <v>GRASIM</v>
      </c>
      <c r="B76" s="143">
        <f>VLOOKUP($A76,'Data shares'!$C:$FA,118)</f>
        <v>1.01</v>
      </c>
      <c r="C76" s="143">
        <f>VLOOKUP($A76,'Data shares'!$C:$FA,119)</f>
        <v>0.97</v>
      </c>
      <c r="D76" s="143">
        <f>VLOOKUP($A76,'Data shares'!$C:$FA,121)*100</f>
        <v>4.12</v>
      </c>
      <c r="E76" s="143">
        <f>VLOOKUP($A76,'Data shares'!$C:$FA,124)</f>
        <v>0.73</v>
      </c>
      <c r="F76" s="143">
        <f>VLOOKUP($A76,'Data shares'!$C:$FA,125)</f>
        <v>0.61</v>
      </c>
      <c r="G76" s="143">
        <f>VLOOKUP($A76,'Data shares'!$C:$FA,127)*100</f>
        <v>19.670000000000002</v>
      </c>
      <c r="H76" s="103">
        <f>VLOOKUP($A76,'OI(Volume)'!$A$7:$O$440,8)</f>
        <v>1528000</v>
      </c>
      <c r="I76" s="103">
        <f>VLOOKUP($A76,'OI(Volume)'!$A$7:$O$440,9)</f>
        <v>-130000</v>
      </c>
      <c r="J76" s="103">
        <f>VLOOKUP($A76,'OI(Volume)'!$A$7:$O$440,11)</f>
        <v>1550250</v>
      </c>
      <c r="K76" s="103">
        <f>VLOOKUP($A76,'OI(Volume)'!$A$7:$O$440,12)</f>
        <v>-56750</v>
      </c>
      <c r="L76" s="103">
        <f>VLOOKUP($A76,'OI(Value)'!$A$7:$O$323,8,0)</f>
        <v>427</v>
      </c>
      <c r="M76" s="103">
        <f>VLOOKUP($A76,'OI(Value)'!$A$7:$O$323,9,0)</f>
        <v>-36</v>
      </c>
      <c r="N76" s="103">
        <f>VLOOKUP($A76,'OI(Value)'!$A$7:$O$323,11,0)</f>
        <v>433</v>
      </c>
      <c r="O76" s="103">
        <f>VLOOKUP($A76,'OI(Value)'!$A$7:$O$323,12,0)</f>
        <v>-16</v>
      </c>
      <c r="P76" s="179">
        <f>VLOOKUP(A76,'OI(Value)'!A76:O294,8,0)</f>
        <v>427</v>
      </c>
      <c r="Q76" s="179">
        <f>VLOOKUP(A76,'OI(Value)'!A76:O294,9,0)</f>
        <v>-36</v>
      </c>
      <c r="R76" s="179">
        <f>VLOOKUP(A76,'OI(Value)'!A76:O294,11,0)</f>
        <v>433</v>
      </c>
      <c r="S76" s="179">
        <f>VLOOKUP(A76,'OI(Value)'!A76:O294,11,0)</f>
        <v>433</v>
      </c>
    </row>
    <row r="77" spans="1:19" x14ac:dyDescent="0.25">
      <c r="A77" s="105" t="str">
        <f>'Data Vlaue (Cr)'!C72</f>
        <v>HAL</v>
      </c>
      <c r="B77" s="143">
        <f>VLOOKUP($A77,'Data shares'!$C:$FA,118)</f>
        <v>0.59</v>
      </c>
      <c r="C77" s="143">
        <f>VLOOKUP($A77,'Data shares'!$C:$FA,119)</f>
        <v>0.53</v>
      </c>
      <c r="D77" s="143">
        <f>VLOOKUP($A77,'Data shares'!$C:$FA,121)*100</f>
        <v>11.32</v>
      </c>
      <c r="E77" s="143">
        <f>VLOOKUP($A77,'Data shares'!$C:$FA,124)</f>
        <v>0.42</v>
      </c>
      <c r="F77" s="143">
        <f>VLOOKUP($A77,'Data shares'!$C:$FA,125)</f>
        <v>0.6</v>
      </c>
      <c r="G77" s="143">
        <f>VLOOKUP($A77,'Data shares'!$C:$FA,127)*100</f>
        <v>-30</v>
      </c>
      <c r="H77" s="103">
        <f>VLOOKUP($A77,'OI(Volume)'!$A$7:$O$440,8)</f>
        <v>5795550</v>
      </c>
      <c r="I77" s="103">
        <f>VLOOKUP($A77,'OI(Volume)'!$A$7:$O$440,9)</f>
        <v>-612900</v>
      </c>
      <c r="J77" s="103">
        <f>VLOOKUP($A77,'OI(Volume)'!$A$7:$O$440,11)</f>
        <v>3426150</v>
      </c>
      <c r="K77" s="103">
        <f>VLOOKUP($A77,'OI(Volume)'!$A$7:$O$440,12)</f>
        <v>4950</v>
      </c>
      <c r="L77" s="103">
        <f>VLOOKUP($A77,'OI(Value)'!$A$7:$O$323,8,0)</f>
        <v>2521</v>
      </c>
      <c r="M77" s="103">
        <f>VLOOKUP($A77,'OI(Value)'!$A$7:$O$323,9,0)</f>
        <v>-267</v>
      </c>
      <c r="N77" s="103">
        <f>VLOOKUP($A77,'OI(Value)'!$A$7:$O$323,11,0)</f>
        <v>1490</v>
      </c>
      <c r="O77" s="103">
        <f>VLOOKUP($A77,'OI(Value)'!$A$7:$O$323,12,0)</f>
        <v>2</v>
      </c>
      <c r="P77" s="179">
        <f>VLOOKUP(A77,'OI(Value)'!A77:O295,8,0)</f>
        <v>2521</v>
      </c>
      <c r="Q77" s="179">
        <f>VLOOKUP(A77,'OI(Value)'!A77:O295,9,0)</f>
        <v>-267</v>
      </c>
      <c r="R77" s="179">
        <f>VLOOKUP(A77,'OI(Value)'!A77:O295,11,0)</f>
        <v>1490</v>
      </c>
      <c r="S77" s="179">
        <f>VLOOKUP(A77,'OI(Value)'!A77:O295,11,0)</f>
        <v>1490</v>
      </c>
    </row>
    <row r="78" spans="1:19" x14ac:dyDescent="0.25">
      <c r="A78" s="105" t="str">
        <f>'Data Vlaue (Cr)'!C73</f>
        <v>HAVELLS</v>
      </c>
      <c r="B78" s="143">
        <f>VLOOKUP($A78,'Data shares'!$C:$FA,118)</f>
        <v>0.61</v>
      </c>
      <c r="C78" s="143">
        <f>VLOOKUP($A78,'Data shares'!$C:$FA,119)</f>
        <v>0.57999999999999996</v>
      </c>
      <c r="D78" s="143">
        <f>VLOOKUP($A78,'Data shares'!$C:$FA,121)*100</f>
        <v>5.17</v>
      </c>
      <c r="E78" s="143">
        <f>VLOOKUP($A78,'Data shares'!$C:$FA,124)</f>
        <v>0.44</v>
      </c>
      <c r="F78" s="143">
        <f>VLOOKUP($A78,'Data shares'!$C:$FA,125)</f>
        <v>0.89</v>
      </c>
      <c r="G78" s="143">
        <f>VLOOKUP($A78,'Data shares'!$C:$FA,127)*100</f>
        <v>-50.56</v>
      </c>
      <c r="H78" s="103">
        <f>VLOOKUP($A78,'OI(Volume)'!$A$7:$O$440,8)</f>
        <v>7679000</v>
      </c>
      <c r="I78" s="103">
        <f>VLOOKUP($A78,'OI(Volume)'!$A$7:$O$440,9)</f>
        <v>-691500</v>
      </c>
      <c r="J78" s="103">
        <f>VLOOKUP($A78,'OI(Volume)'!$A$7:$O$440,11)</f>
        <v>4717000</v>
      </c>
      <c r="K78" s="103">
        <f>VLOOKUP($A78,'OI(Volume)'!$A$7:$O$440,12)</f>
        <v>-149500</v>
      </c>
      <c r="L78" s="103">
        <f>VLOOKUP($A78,'OI(Value)'!$A$7:$O$323,8,0)</f>
        <v>1005</v>
      </c>
      <c r="M78" s="103">
        <f>VLOOKUP($A78,'OI(Value)'!$A$7:$O$323,9,0)</f>
        <v>-90</v>
      </c>
      <c r="N78" s="103">
        <f>VLOOKUP($A78,'OI(Value)'!$A$7:$O$323,11,0)</f>
        <v>617</v>
      </c>
      <c r="O78" s="103">
        <f>VLOOKUP($A78,'OI(Value)'!$A$7:$O$323,12,0)</f>
        <v>-20</v>
      </c>
      <c r="P78" s="179">
        <f>VLOOKUP(A78,'OI(Value)'!A78:O296,8,0)</f>
        <v>1005</v>
      </c>
      <c r="Q78" s="179">
        <f>VLOOKUP(A78,'OI(Value)'!A78:O296,9,0)</f>
        <v>-90</v>
      </c>
      <c r="R78" s="179">
        <f>VLOOKUP(A78,'OI(Value)'!A78:O296,11,0)</f>
        <v>617</v>
      </c>
      <c r="S78" s="179">
        <f>VLOOKUP(A78,'OI(Value)'!A78:O296,11,0)</f>
        <v>617</v>
      </c>
    </row>
    <row r="79" spans="1:19" x14ac:dyDescent="0.25">
      <c r="A79" s="105" t="str">
        <f>'Data Vlaue (Cr)'!C74</f>
        <v>HCLTECH</v>
      </c>
      <c r="B79" s="143">
        <f>VLOOKUP($A79,'Data shares'!$C:$FA,118)</f>
        <v>0.59</v>
      </c>
      <c r="C79" s="143">
        <f>VLOOKUP($A79,'Data shares'!$C:$FA,119)</f>
        <v>0.56999999999999995</v>
      </c>
      <c r="D79" s="143">
        <f>VLOOKUP($A79,'Data shares'!$C:$FA,121)*100</f>
        <v>3.51</v>
      </c>
      <c r="E79" s="143">
        <f>VLOOKUP($A79,'Data shares'!$C:$FA,124)</f>
        <v>0.61</v>
      </c>
      <c r="F79" s="143">
        <f>VLOOKUP($A79,'Data shares'!$C:$FA,125)</f>
        <v>0.73</v>
      </c>
      <c r="G79" s="143">
        <f>VLOOKUP($A79,'Data shares'!$C:$FA,127)*100</f>
        <v>-16.439999999999998</v>
      </c>
      <c r="H79" s="103">
        <f>VLOOKUP($A79,'OI(Volume)'!$A$7:$O$440,8)</f>
        <v>7841050</v>
      </c>
      <c r="I79" s="103">
        <f>VLOOKUP($A79,'OI(Volume)'!$A$7:$O$440,9)</f>
        <v>-404600</v>
      </c>
      <c r="J79" s="103">
        <f>VLOOKUP($A79,'OI(Volume)'!$A$7:$O$440,11)</f>
        <v>4664450</v>
      </c>
      <c r="K79" s="103">
        <f>VLOOKUP($A79,'OI(Volume)'!$A$7:$O$440,12)</f>
        <v>-25900</v>
      </c>
      <c r="L79" s="103">
        <f>VLOOKUP($A79,'OI(Value)'!$A$7:$O$323,8,0)</f>
        <v>1335</v>
      </c>
      <c r="M79" s="103">
        <f>VLOOKUP($A79,'OI(Value)'!$A$7:$O$323,9,0)</f>
        <v>-69</v>
      </c>
      <c r="N79" s="103">
        <f>VLOOKUP($A79,'OI(Value)'!$A$7:$O$323,11,0)</f>
        <v>794</v>
      </c>
      <c r="O79" s="103">
        <f>VLOOKUP($A79,'OI(Value)'!$A$7:$O$323,12,0)</f>
        <v>-4</v>
      </c>
      <c r="P79" s="179">
        <f>VLOOKUP(A79,'OI(Value)'!A79:O297,8,0)</f>
        <v>1335</v>
      </c>
      <c r="Q79" s="179">
        <f>VLOOKUP(A79,'OI(Value)'!A79:O297,9,0)</f>
        <v>-69</v>
      </c>
      <c r="R79" s="179">
        <f>VLOOKUP(A79,'OI(Value)'!A79:O297,11,0)</f>
        <v>794</v>
      </c>
      <c r="S79" s="179">
        <f>VLOOKUP(A79,'OI(Value)'!A79:O297,11,0)</f>
        <v>794</v>
      </c>
    </row>
    <row r="80" spans="1:19" x14ac:dyDescent="0.25">
      <c r="A80" s="105" t="str">
        <f>'Data Vlaue (Cr)'!C75</f>
        <v>HDFCAMC</v>
      </c>
      <c r="B80" s="143">
        <f>VLOOKUP($A80,'Data shares'!$C:$FA,118)</f>
        <v>0.47</v>
      </c>
      <c r="C80" s="143">
        <f>VLOOKUP($A80,'Data shares'!$C:$FA,119)</f>
        <v>0.45</v>
      </c>
      <c r="D80" s="143">
        <f>VLOOKUP($A80,'Data shares'!$C:$FA,121)*100</f>
        <v>4.4400000000000004</v>
      </c>
      <c r="E80" s="143">
        <f>VLOOKUP($A80,'Data shares'!$C:$FA,124)</f>
        <v>0.38</v>
      </c>
      <c r="F80" s="143">
        <f>VLOOKUP($A80,'Data shares'!$C:$FA,125)</f>
        <v>0.52</v>
      </c>
      <c r="G80" s="143">
        <f>VLOOKUP($A80,'Data shares'!$C:$FA,127)*100</f>
        <v>-26.919999999999998</v>
      </c>
      <c r="H80" s="103">
        <f>VLOOKUP($A80,'OI(Volume)'!$A$7:$O$440,8)</f>
        <v>3314400</v>
      </c>
      <c r="I80" s="103">
        <f>VLOOKUP($A80,'OI(Volume)'!$A$7:$O$440,9)</f>
        <v>-317100</v>
      </c>
      <c r="J80" s="103">
        <f>VLOOKUP($A80,'OI(Volume)'!$A$7:$O$440,11)</f>
        <v>1543800</v>
      </c>
      <c r="K80" s="103">
        <f>VLOOKUP($A80,'OI(Volume)'!$A$7:$O$440,12)</f>
        <v>-96600</v>
      </c>
      <c r="L80" s="103">
        <f>VLOOKUP($A80,'OI(Value)'!$A$7:$O$323,8,0)</f>
        <v>828</v>
      </c>
      <c r="M80" s="103">
        <f>VLOOKUP($A80,'OI(Value)'!$A$7:$O$323,9,0)</f>
        <v>-79</v>
      </c>
      <c r="N80" s="103">
        <f>VLOOKUP($A80,'OI(Value)'!$A$7:$O$323,11,0)</f>
        <v>386</v>
      </c>
      <c r="O80" s="103">
        <f>VLOOKUP($A80,'OI(Value)'!$A$7:$O$323,12,0)</f>
        <v>-24</v>
      </c>
      <c r="P80" s="179">
        <f>VLOOKUP(A80,'OI(Value)'!A80:O298,8,0)</f>
        <v>828</v>
      </c>
      <c r="Q80" s="179">
        <f>VLOOKUP(A80,'OI(Value)'!A80:O298,9,0)</f>
        <v>-79</v>
      </c>
      <c r="R80" s="179">
        <f>VLOOKUP(A80,'OI(Value)'!A80:O298,11,0)</f>
        <v>386</v>
      </c>
      <c r="S80" s="179">
        <f>VLOOKUP(A80,'OI(Value)'!A80:O298,11,0)</f>
        <v>386</v>
      </c>
    </row>
    <row r="81" spans="1:19" x14ac:dyDescent="0.25">
      <c r="A81" s="105" t="str">
        <f>'Data Vlaue (Cr)'!C76</f>
        <v>HDFCBANK</v>
      </c>
      <c r="B81" s="143">
        <f>VLOOKUP($A81,'Data shares'!$C:$FA,118)</f>
        <v>0.49</v>
      </c>
      <c r="C81" s="143">
        <f>VLOOKUP($A81,'Data shares'!$C:$FA,119)</f>
        <v>0.48</v>
      </c>
      <c r="D81" s="143">
        <f>VLOOKUP($A81,'Data shares'!$C:$FA,121)*100</f>
        <v>2.08</v>
      </c>
      <c r="E81" s="143">
        <f>VLOOKUP($A81,'Data shares'!$C:$FA,124)</f>
        <v>0.61</v>
      </c>
      <c r="F81" s="143">
        <f>VLOOKUP($A81,'Data shares'!$C:$FA,125)</f>
        <v>0.78</v>
      </c>
      <c r="G81" s="143">
        <f>VLOOKUP($A81,'Data shares'!$C:$FA,127)*100</f>
        <v>-21.790000000000003</v>
      </c>
      <c r="H81" s="103">
        <f>VLOOKUP($A81,'OI(Volume)'!$A$7:$O$440,8)</f>
        <v>95184100</v>
      </c>
      <c r="I81" s="103">
        <f>VLOOKUP($A81,'OI(Volume)'!$A$7:$O$440,9)</f>
        <v>-3293950</v>
      </c>
      <c r="J81" s="103">
        <f>VLOOKUP($A81,'OI(Volume)'!$A$7:$O$440,11)</f>
        <v>46325950</v>
      </c>
      <c r="K81" s="103">
        <f>VLOOKUP($A81,'OI(Volume)'!$A$7:$O$440,12)</f>
        <v>-809600</v>
      </c>
      <c r="L81" s="103">
        <f>VLOOKUP($A81,'OI(Value)'!$A$7:$O$323,8,0)</f>
        <v>8772</v>
      </c>
      <c r="M81" s="103">
        <f>VLOOKUP($A81,'OI(Value)'!$A$7:$O$323,9,0)</f>
        <v>-304</v>
      </c>
      <c r="N81" s="103">
        <f>VLOOKUP($A81,'OI(Value)'!$A$7:$O$323,11,0)</f>
        <v>4269</v>
      </c>
      <c r="O81" s="103">
        <f>VLOOKUP($A81,'OI(Value)'!$A$7:$O$323,12,0)</f>
        <v>-75</v>
      </c>
      <c r="P81" s="179">
        <f>VLOOKUP(A81,'OI(Value)'!A81:O299,8,0)</f>
        <v>8772</v>
      </c>
      <c r="Q81" s="179">
        <f>VLOOKUP(A81,'OI(Value)'!A81:O299,9,0)</f>
        <v>-304</v>
      </c>
      <c r="R81" s="179">
        <f>VLOOKUP(A81,'OI(Value)'!A81:O299,11,0)</f>
        <v>4269</v>
      </c>
      <c r="S81" s="179">
        <f>VLOOKUP(A81,'OI(Value)'!A81:O299,11,0)</f>
        <v>4269</v>
      </c>
    </row>
    <row r="82" spans="1:19" x14ac:dyDescent="0.25">
      <c r="A82" s="105" t="str">
        <f>'Data Vlaue (Cr)'!C77</f>
        <v>HDFCLIFE</v>
      </c>
      <c r="B82" s="143">
        <f>VLOOKUP($A82,'Data shares'!$C:$FA,118)</f>
        <v>0.45</v>
      </c>
      <c r="C82" s="143">
        <f>VLOOKUP($A82,'Data shares'!$C:$FA,119)</f>
        <v>0.47</v>
      </c>
      <c r="D82" s="143">
        <f>VLOOKUP($A82,'Data shares'!$C:$FA,121)*100</f>
        <v>-4.26</v>
      </c>
      <c r="E82" s="143">
        <f>VLOOKUP($A82,'Data shares'!$C:$FA,124)</f>
        <v>0.67</v>
      </c>
      <c r="F82" s="143">
        <f>VLOOKUP($A82,'Data shares'!$C:$FA,125)</f>
        <v>0.57999999999999996</v>
      </c>
      <c r="G82" s="143">
        <f>VLOOKUP($A82,'Data shares'!$C:$FA,127)*100</f>
        <v>15.52</v>
      </c>
      <c r="H82" s="103">
        <f>VLOOKUP($A82,'OI(Volume)'!$A$7:$O$440,8)</f>
        <v>15304300</v>
      </c>
      <c r="I82" s="103">
        <f>VLOOKUP($A82,'OI(Volume)'!$A$7:$O$440,9)</f>
        <v>262900</v>
      </c>
      <c r="J82" s="103">
        <f>VLOOKUP($A82,'OI(Volume)'!$A$7:$O$440,11)</f>
        <v>6871700</v>
      </c>
      <c r="K82" s="103">
        <f>VLOOKUP($A82,'OI(Volume)'!$A$7:$O$440,12)</f>
        <v>-271700</v>
      </c>
      <c r="L82" s="103">
        <f>VLOOKUP($A82,'OI(Value)'!$A$7:$O$323,8,0)</f>
        <v>1110</v>
      </c>
      <c r="M82" s="103">
        <f>VLOOKUP($A82,'OI(Value)'!$A$7:$O$323,9,0)</f>
        <v>19</v>
      </c>
      <c r="N82" s="103">
        <f>VLOOKUP($A82,'OI(Value)'!$A$7:$O$323,11,0)</f>
        <v>498</v>
      </c>
      <c r="O82" s="103">
        <f>VLOOKUP($A82,'OI(Value)'!$A$7:$O$323,12,0)</f>
        <v>-20</v>
      </c>
      <c r="P82" s="179">
        <f>VLOOKUP(A82,'OI(Value)'!A82:O300,8,0)</f>
        <v>1110</v>
      </c>
      <c r="Q82" s="179">
        <f>VLOOKUP(A82,'OI(Value)'!A82:O300,9,0)</f>
        <v>19</v>
      </c>
      <c r="R82" s="179">
        <f>VLOOKUP(A82,'OI(Value)'!A82:O300,11,0)</f>
        <v>498</v>
      </c>
      <c r="S82" s="179">
        <f>VLOOKUP(A82,'OI(Value)'!A82:O300,11,0)</f>
        <v>498</v>
      </c>
    </row>
    <row r="83" spans="1:19" x14ac:dyDescent="0.25">
      <c r="A83" s="105" t="str">
        <f>'Data Vlaue (Cr)'!C78</f>
        <v>HEROMOTOCO</v>
      </c>
      <c r="B83" s="143">
        <f>VLOOKUP($A83,'Data shares'!$C:$FA,118)</f>
        <v>0.48</v>
      </c>
      <c r="C83" s="143">
        <f>VLOOKUP($A83,'Data shares'!$C:$FA,119)</f>
        <v>0.46</v>
      </c>
      <c r="D83" s="143">
        <f>VLOOKUP($A83,'Data shares'!$C:$FA,121)*100</f>
        <v>4.3499999999999996</v>
      </c>
      <c r="E83" s="143">
        <f>VLOOKUP($A83,'Data shares'!$C:$FA,124)</f>
        <v>0.44</v>
      </c>
      <c r="F83" s="143">
        <f>VLOOKUP($A83,'Data shares'!$C:$FA,125)</f>
        <v>0.56000000000000005</v>
      </c>
      <c r="G83" s="143">
        <f>VLOOKUP($A83,'Data shares'!$C:$FA,127)*100</f>
        <v>-21.43</v>
      </c>
      <c r="H83" s="103">
        <f>VLOOKUP($A83,'OI(Volume)'!$A$7:$O$440,8)</f>
        <v>3389850</v>
      </c>
      <c r="I83" s="103">
        <f>VLOOKUP($A83,'OI(Volume)'!$A$7:$O$440,9)</f>
        <v>-187200</v>
      </c>
      <c r="J83" s="103">
        <f>VLOOKUP($A83,'OI(Volume)'!$A$7:$O$440,11)</f>
        <v>1616550</v>
      </c>
      <c r="K83" s="103">
        <f>VLOOKUP($A83,'OI(Volume)'!$A$7:$O$440,12)</f>
        <v>-41100</v>
      </c>
      <c r="L83" s="103">
        <f>VLOOKUP($A83,'OI(Value)'!$A$7:$O$323,8,0)</f>
        <v>1859</v>
      </c>
      <c r="M83" s="103">
        <f>VLOOKUP($A83,'OI(Value)'!$A$7:$O$323,9,0)</f>
        <v>-103</v>
      </c>
      <c r="N83" s="103">
        <f>VLOOKUP($A83,'OI(Value)'!$A$7:$O$323,11,0)</f>
        <v>887</v>
      </c>
      <c r="O83" s="103">
        <f>VLOOKUP($A83,'OI(Value)'!$A$7:$O$323,12,0)</f>
        <v>-23</v>
      </c>
      <c r="P83" s="179">
        <f>VLOOKUP(A83,'OI(Value)'!A83:O301,8,0)</f>
        <v>1859</v>
      </c>
      <c r="Q83" s="179">
        <f>VLOOKUP(A83,'OI(Value)'!A83:O301,9,0)</f>
        <v>-103</v>
      </c>
      <c r="R83" s="179">
        <f>VLOOKUP(A83,'OI(Value)'!A83:O301,11,0)</f>
        <v>887</v>
      </c>
      <c r="S83" s="179">
        <f>VLOOKUP(A83,'OI(Value)'!A83:O301,11,0)</f>
        <v>887</v>
      </c>
    </row>
    <row r="84" spans="1:19" x14ac:dyDescent="0.25">
      <c r="A84" s="105" t="str">
        <f>'Data Vlaue (Cr)'!C79</f>
        <v>HINDALCO</v>
      </c>
      <c r="B84" s="143">
        <f>VLOOKUP($A84,'Data shares'!$C:$FA,118)</f>
        <v>0.76</v>
      </c>
      <c r="C84" s="143">
        <f>VLOOKUP($A84,'Data shares'!$C:$FA,119)</f>
        <v>0.71</v>
      </c>
      <c r="D84" s="143">
        <f>VLOOKUP($A84,'Data shares'!$C:$FA,121)*100</f>
        <v>7.04</v>
      </c>
      <c r="E84" s="143">
        <f>VLOOKUP($A84,'Data shares'!$C:$FA,124)</f>
        <v>0.64</v>
      </c>
      <c r="F84" s="143">
        <f>VLOOKUP($A84,'Data shares'!$C:$FA,125)</f>
        <v>0.54</v>
      </c>
      <c r="G84" s="143">
        <f>VLOOKUP($A84,'Data shares'!$C:$FA,127)*100</f>
        <v>18.52</v>
      </c>
      <c r="H84" s="103">
        <f>VLOOKUP($A84,'OI(Volume)'!$A$7:$O$440,8)</f>
        <v>16547300</v>
      </c>
      <c r="I84" s="103">
        <f>VLOOKUP($A84,'OI(Volume)'!$A$7:$O$440,9)</f>
        <v>-2031400</v>
      </c>
      <c r="J84" s="103">
        <f>VLOOKUP($A84,'OI(Volume)'!$A$7:$O$440,11)</f>
        <v>12645500</v>
      </c>
      <c r="K84" s="103">
        <f>VLOOKUP($A84,'OI(Volume)'!$A$7:$O$440,12)</f>
        <v>-576800</v>
      </c>
      <c r="L84" s="103">
        <f>VLOOKUP($A84,'OI(Value)'!$A$7:$O$323,8,0)</f>
        <v>1557</v>
      </c>
      <c r="M84" s="103">
        <f>VLOOKUP($A84,'OI(Value)'!$A$7:$O$323,9,0)</f>
        <v>-191</v>
      </c>
      <c r="N84" s="103">
        <f>VLOOKUP($A84,'OI(Value)'!$A$7:$O$323,11,0)</f>
        <v>1190</v>
      </c>
      <c r="O84" s="103">
        <f>VLOOKUP($A84,'OI(Value)'!$A$7:$O$323,12,0)</f>
        <v>-54</v>
      </c>
      <c r="P84" s="179">
        <f>VLOOKUP(A84,'OI(Value)'!A84:O302,8,0)</f>
        <v>1557</v>
      </c>
      <c r="Q84" s="179">
        <f>VLOOKUP(A84,'OI(Value)'!A84:O302,9,0)</f>
        <v>-191</v>
      </c>
      <c r="R84" s="179">
        <f>VLOOKUP(A84,'OI(Value)'!A84:O302,11,0)</f>
        <v>1190</v>
      </c>
      <c r="S84" s="179">
        <f>VLOOKUP(A84,'OI(Value)'!A84:O302,11,0)</f>
        <v>1190</v>
      </c>
    </row>
    <row r="85" spans="1:19" x14ac:dyDescent="0.25">
      <c r="A85" s="105" t="str">
        <f>'Data Vlaue (Cr)'!C80</f>
        <v>HINDPETRO</v>
      </c>
      <c r="B85" s="143">
        <f>VLOOKUP($A85,'Data shares'!$C:$FA,118)</f>
        <v>0.52</v>
      </c>
      <c r="C85" s="143">
        <f>VLOOKUP($A85,'Data shares'!$C:$FA,119)</f>
        <v>0.53</v>
      </c>
      <c r="D85" s="143">
        <f>VLOOKUP($A85,'Data shares'!$C:$FA,121)*100</f>
        <v>-1.8900000000000001</v>
      </c>
      <c r="E85" s="143">
        <f>VLOOKUP($A85,'Data shares'!$C:$FA,124)</f>
        <v>0.63</v>
      </c>
      <c r="F85" s="143">
        <f>VLOOKUP($A85,'Data shares'!$C:$FA,125)</f>
        <v>0.63</v>
      </c>
      <c r="G85" s="143">
        <f>VLOOKUP($A85,'Data shares'!$C:$FA,127)*100</f>
        <v>0</v>
      </c>
      <c r="H85" s="103">
        <f>VLOOKUP($A85,'OI(Volume)'!$A$7:$O$440,8)</f>
        <v>22546350</v>
      </c>
      <c r="I85" s="103">
        <f>VLOOKUP($A85,'OI(Volume)'!$A$7:$O$440,9)</f>
        <v>-1741500</v>
      </c>
      <c r="J85" s="103">
        <f>VLOOKUP($A85,'OI(Volume)'!$A$7:$O$440,11)</f>
        <v>11767275</v>
      </c>
      <c r="K85" s="103">
        <f>VLOOKUP($A85,'OI(Volume)'!$A$7:$O$440,12)</f>
        <v>-1150200</v>
      </c>
      <c r="L85" s="103">
        <f>VLOOKUP($A85,'OI(Value)'!$A$7:$O$323,8,0)</f>
        <v>964</v>
      </c>
      <c r="M85" s="103">
        <f>VLOOKUP($A85,'OI(Value)'!$A$7:$O$323,9,0)</f>
        <v>-74</v>
      </c>
      <c r="N85" s="103">
        <f>VLOOKUP($A85,'OI(Value)'!$A$7:$O$323,11,0)</f>
        <v>503</v>
      </c>
      <c r="O85" s="103">
        <f>VLOOKUP($A85,'OI(Value)'!$A$7:$O$323,12,0)</f>
        <v>-49</v>
      </c>
      <c r="P85" s="179">
        <f>VLOOKUP(A85,'OI(Value)'!A85:O303,8,0)</f>
        <v>964</v>
      </c>
      <c r="Q85" s="179">
        <f>VLOOKUP(A85,'OI(Value)'!A85:O303,9,0)</f>
        <v>-74</v>
      </c>
      <c r="R85" s="179">
        <f>VLOOKUP(A85,'OI(Value)'!A85:O303,11,0)</f>
        <v>503</v>
      </c>
      <c r="S85" s="179">
        <f>VLOOKUP(A85,'OI(Value)'!A85:O303,11,0)</f>
        <v>503</v>
      </c>
    </row>
    <row r="86" spans="1:19" x14ac:dyDescent="0.25">
      <c r="A86" s="105" t="str">
        <f>'Data Vlaue (Cr)'!C81</f>
        <v>HINDUNILVR</v>
      </c>
      <c r="B86" s="143">
        <f>VLOOKUP($A86,'Data shares'!$C:$FA,118)</f>
        <v>0.53</v>
      </c>
      <c r="C86" s="143">
        <f>VLOOKUP($A86,'Data shares'!$C:$FA,119)</f>
        <v>0.48</v>
      </c>
      <c r="D86" s="143">
        <f>VLOOKUP($A86,'Data shares'!$C:$FA,121)*100</f>
        <v>10.42</v>
      </c>
      <c r="E86" s="143">
        <f>VLOOKUP($A86,'Data shares'!$C:$FA,124)</f>
        <v>0.5</v>
      </c>
      <c r="F86" s="143">
        <f>VLOOKUP($A86,'Data shares'!$C:$FA,125)</f>
        <v>0.6</v>
      </c>
      <c r="G86" s="143">
        <f>VLOOKUP($A86,'Data shares'!$C:$FA,127)*100</f>
        <v>-16.669999999999998</v>
      </c>
      <c r="H86" s="103">
        <f>VLOOKUP($A86,'OI(Volume)'!$A$7:$O$440,8)</f>
        <v>7157700</v>
      </c>
      <c r="I86" s="103">
        <f>VLOOKUP($A86,'OI(Volume)'!$A$7:$O$440,9)</f>
        <v>-234900</v>
      </c>
      <c r="J86" s="103">
        <f>VLOOKUP($A86,'OI(Volume)'!$A$7:$O$440,11)</f>
        <v>3759300</v>
      </c>
      <c r="K86" s="103">
        <f>VLOOKUP($A86,'OI(Volume)'!$A$7:$O$440,12)</f>
        <v>223800</v>
      </c>
      <c r="L86" s="103">
        <f>VLOOKUP($A86,'OI(Value)'!$A$7:$O$323,8,0)</f>
        <v>1715</v>
      </c>
      <c r="M86" s="103">
        <f>VLOOKUP($A86,'OI(Value)'!$A$7:$O$323,9,0)</f>
        <v>-56</v>
      </c>
      <c r="N86" s="103">
        <f>VLOOKUP($A86,'OI(Value)'!$A$7:$O$323,11,0)</f>
        <v>901</v>
      </c>
      <c r="O86" s="103">
        <f>VLOOKUP($A86,'OI(Value)'!$A$7:$O$323,12,0)</f>
        <v>54</v>
      </c>
      <c r="P86" s="179">
        <f>VLOOKUP(A86,'OI(Value)'!A86:O304,8,0)</f>
        <v>1715</v>
      </c>
      <c r="Q86" s="179">
        <f>VLOOKUP(A86,'OI(Value)'!A86:O304,9,0)</f>
        <v>-56</v>
      </c>
      <c r="R86" s="179">
        <f>VLOOKUP(A86,'OI(Value)'!A86:O304,11,0)</f>
        <v>901</v>
      </c>
      <c r="S86" s="179">
        <f>VLOOKUP(A86,'OI(Value)'!A86:O304,11,0)</f>
        <v>901</v>
      </c>
    </row>
    <row r="87" spans="1:19" x14ac:dyDescent="0.25">
      <c r="A87" s="105" t="str">
        <f>'Data Vlaue (Cr)'!C82</f>
        <v>HINDZINC</v>
      </c>
      <c r="B87" s="143">
        <f>VLOOKUP($A87,'Data shares'!$C:$FA,118)</f>
        <v>0.57999999999999996</v>
      </c>
      <c r="C87" s="143">
        <f>VLOOKUP($A87,'Data shares'!$C:$FA,119)</f>
        <v>0.59</v>
      </c>
      <c r="D87" s="143">
        <f>VLOOKUP($A87,'Data shares'!$C:$FA,121)*100</f>
        <v>-1.69</v>
      </c>
      <c r="E87" s="143">
        <f>VLOOKUP($A87,'Data shares'!$C:$FA,124)</f>
        <v>0.52</v>
      </c>
      <c r="F87" s="143">
        <f>VLOOKUP($A87,'Data shares'!$C:$FA,125)</f>
        <v>0.33</v>
      </c>
      <c r="G87" s="143">
        <f>VLOOKUP($A87,'Data shares'!$C:$FA,127)*100</f>
        <v>57.58</v>
      </c>
      <c r="H87" s="103">
        <f>VLOOKUP($A87,'OI(Volume)'!$A$7:$O$440,8)</f>
        <v>66042200</v>
      </c>
      <c r="I87" s="103">
        <f>VLOOKUP($A87,'OI(Volume)'!$A$7:$O$440,9)</f>
        <v>-134750</v>
      </c>
      <c r="J87" s="103">
        <f>VLOOKUP($A87,'OI(Volume)'!$A$7:$O$440,11)</f>
        <v>38217550</v>
      </c>
      <c r="K87" s="103">
        <f>VLOOKUP($A87,'OI(Volume)'!$A$7:$O$440,12)</f>
        <v>-1003275</v>
      </c>
      <c r="L87" s="103">
        <f>VLOOKUP($A87,'OI(Value)'!$A$7:$O$323,8,0)</f>
        <v>4398</v>
      </c>
      <c r="M87" s="103">
        <f>VLOOKUP($A87,'OI(Value)'!$A$7:$O$323,9,0)</f>
        <v>-9</v>
      </c>
      <c r="N87" s="103">
        <f>VLOOKUP($A87,'OI(Value)'!$A$7:$O$323,11,0)</f>
        <v>2545</v>
      </c>
      <c r="O87" s="103">
        <f>VLOOKUP($A87,'OI(Value)'!$A$7:$O$323,12,0)</f>
        <v>-67</v>
      </c>
      <c r="P87" s="179">
        <f>VLOOKUP(A87,'OI(Value)'!A87:O305,8,0)</f>
        <v>4398</v>
      </c>
      <c r="Q87" s="179">
        <f>VLOOKUP(A87,'OI(Value)'!A87:O305,9,0)</f>
        <v>-9</v>
      </c>
      <c r="R87" s="179">
        <f>VLOOKUP(A87,'OI(Value)'!A87:O305,11,0)</f>
        <v>2545</v>
      </c>
      <c r="S87" s="179">
        <f>VLOOKUP(A87,'OI(Value)'!A87:O305,11,0)</f>
        <v>2545</v>
      </c>
    </row>
    <row r="88" spans="1:19" x14ac:dyDescent="0.25">
      <c r="A88" s="105" t="str">
        <f>'Data Vlaue (Cr)'!C83</f>
        <v>HUDCO</v>
      </c>
      <c r="B88" s="143">
        <f>VLOOKUP($A88,'Data shares'!$C:$FA,118)</f>
        <v>0.6</v>
      </c>
      <c r="C88" s="143">
        <f>VLOOKUP($A88,'Data shares'!$C:$FA,119)</f>
        <v>0.57999999999999996</v>
      </c>
      <c r="D88" s="143">
        <f>VLOOKUP($A88,'Data shares'!$C:$FA,121)*100</f>
        <v>3.45</v>
      </c>
      <c r="E88" s="143">
        <f>VLOOKUP($A88,'Data shares'!$C:$FA,124)</f>
        <v>0.47</v>
      </c>
      <c r="F88" s="143">
        <f>VLOOKUP($A88,'Data shares'!$C:$FA,125)</f>
        <v>0.72</v>
      </c>
      <c r="G88" s="143">
        <f>VLOOKUP($A88,'Data shares'!$C:$FA,127)*100</f>
        <v>-34.72</v>
      </c>
      <c r="H88" s="103">
        <f>VLOOKUP($A88,'OI(Volume)'!$A$7:$O$440,8)</f>
        <v>27619575</v>
      </c>
      <c r="I88" s="103">
        <f>VLOOKUP($A88,'OI(Volume)'!$A$7:$O$440,9)</f>
        <v>-1487400</v>
      </c>
      <c r="J88" s="103">
        <f>VLOOKUP($A88,'OI(Volume)'!$A$7:$O$440,11)</f>
        <v>16611150</v>
      </c>
      <c r="K88" s="103">
        <f>VLOOKUP($A88,'OI(Volume)'!$A$7:$O$440,12)</f>
        <v>-183150</v>
      </c>
      <c r="L88" s="103">
        <f>VLOOKUP($A88,'OI(Value)'!$A$7:$O$323,8,0)</f>
        <v>572</v>
      </c>
      <c r="M88" s="103">
        <f>VLOOKUP($A88,'OI(Value)'!$A$7:$O$323,9,0)</f>
        <v>-31</v>
      </c>
      <c r="N88" s="103">
        <f>VLOOKUP($A88,'OI(Value)'!$A$7:$O$323,11,0)</f>
        <v>344</v>
      </c>
      <c r="O88" s="103">
        <f>VLOOKUP($A88,'OI(Value)'!$A$7:$O$323,12,0)</f>
        <v>-4</v>
      </c>
      <c r="P88" s="179">
        <f>VLOOKUP(A88,'OI(Value)'!A88:O306,8,0)</f>
        <v>572</v>
      </c>
      <c r="Q88" s="179">
        <f>VLOOKUP(A88,'OI(Value)'!A88:O306,9,0)</f>
        <v>-31</v>
      </c>
      <c r="R88" s="179">
        <f>VLOOKUP(A88,'OI(Value)'!A88:O306,11,0)</f>
        <v>344</v>
      </c>
      <c r="S88" s="179">
        <f>VLOOKUP(A88,'OI(Value)'!A88:O306,11,0)</f>
        <v>344</v>
      </c>
    </row>
    <row r="89" spans="1:19" x14ac:dyDescent="0.25">
      <c r="A89" s="105" t="str">
        <f>'Data Vlaue (Cr)'!C84</f>
        <v>ICICIBANK</v>
      </c>
      <c r="B89" s="143">
        <f>VLOOKUP($A89,'Data shares'!$C:$FA,118)</f>
        <v>0.47</v>
      </c>
      <c r="C89" s="143">
        <f>VLOOKUP($A89,'Data shares'!$C:$FA,119)</f>
        <v>0.48</v>
      </c>
      <c r="D89" s="143">
        <f>VLOOKUP($A89,'Data shares'!$C:$FA,121)*100</f>
        <v>-2.08</v>
      </c>
      <c r="E89" s="143">
        <f>VLOOKUP($A89,'Data shares'!$C:$FA,124)</f>
        <v>0.77</v>
      </c>
      <c r="F89" s="143">
        <f>VLOOKUP($A89,'Data shares'!$C:$FA,125)</f>
        <v>0.76</v>
      </c>
      <c r="G89" s="143">
        <f>VLOOKUP($A89,'Data shares'!$C:$FA,127)*100</f>
        <v>1.32</v>
      </c>
      <c r="H89" s="103">
        <f>VLOOKUP($A89,'OI(Volume)'!$A$7:$O$440,8)</f>
        <v>51892400</v>
      </c>
      <c r="I89" s="103">
        <f>VLOOKUP($A89,'OI(Volume)'!$A$7:$O$440,9)</f>
        <v>-1115800</v>
      </c>
      <c r="J89" s="103">
        <f>VLOOKUP($A89,'OI(Volume)'!$A$7:$O$440,11)</f>
        <v>24416700</v>
      </c>
      <c r="K89" s="103">
        <f>VLOOKUP($A89,'OI(Volume)'!$A$7:$O$440,12)</f>
        <v>-835100</v>
      </c>
      <c r="L89" s="103">
        <f>VLOOKUP($A89,'OI(Value)'!$A$7:$O$323,8,0)</f>
        <v>6998</v>
      </c>
      <c r="M89" s="103">
        <f>VLOOKUP($A89,'OI(Value)'!$A$7:$O$323,9,0)</f>
        <v>-150</v>
      </c>
      <c r="N89" s="103">
        <f>VLOOKUP($A89,'OI(Value)'!$A$7:$O$323,11,0)</f>
        <v>3293</v>
      </c>
      <c r="O89" s="103">
        <f>VLOOKUP($A89,'OI(Value)'!$A$7:$O$323,12,0)</f>
        <v>-113</v>
      </c>
      <c r="P89" s="179">
        <f>VLOOKUP(A89,'OI(Value)'!A89:O307,8,0)</f>
        <v>6998</v>
      </c>
      <c r="Q89" s="179">
        <f>VLOOKUP(A89,'OI(Value)'!A89:O307,9,0)</f>
        <v>-150</v>
      </c>
      <c r="R89" s="179">
        <f>VLOOKUP(A89,'OI(Value)'!A89:O307,11,0)</f>
        <v>3293</v>
      </c>
      <c r="S89" s="179">
        <f>VLOOKUP(A89,'OI(Value)'!A89:O307,11,0)</f>
        <v>3293</v>
      </c>
    </row>
    <row r="90" spans="1:19" x14ac:dyDescent="0.25">
      <c r="A90" s="105" t="str">
        <f>'Data Vlaue (Cr)'!C85</f>
        <v>ICICIGI</v>
      </c>
      <c r="B90" s="143">
        <f>VLOOKUP($A90,'Data shares'!$C:$FA,118)</f>
        <v>0.62</v>
      </c>
      <c r="C90" s="143">
        <f>VLOOKUP($A90,'Data shares'!$C:$FA,119)</f>
        <v>0.62</v>
      </c>
      <c r="D90" s="143">
        <f>VLOOKUP($A90,'Data shares'!$C:$FA,121)*100</f>
        <v>0</v>
      </c>
      <c r="E90" s="143">
        <f>VLOOKUP($A90,'Data shares'!$C:$FA,124)</f>
        <v>0.56999999999999995</v>
      </c>
      <c r="F90" s="143">
        <f>VLOOKUP($A90,'Data shares'!$C:$FA,125)</f>
        <v>0.56000000000000005</v>
      </c>
      <c r="G90" s="143">
        <f>VLOOKUP($A90,'Data shares'!$C:$FA,127)*100</f>
        <v>1.79</v>
      </c>
      <c r="H90" s="103">
        <f>VLOOKUP($A90,'OI(Volume)'!$A$7:$O$440,8)</f>
        <v>1397500</v>
      </c>
      <c r="I90" s="103">
        <f>VLOOKUP($A90,'OI(Volume)'!$A$7:$O$440,9)</f>
        <v>-81575</v>
      </c>
      <c r="J90" s="103">
        <f>VLOOKUP($A90,'OI(Volume)'!$A$7:$O$440,11)</f>
        <v>868400</v>
      </c>
      <c r="K90" s="103">
        <f>VLOOKUP($A90,'OI(Volume)'!$A$7:$O$440,12)</f>
        <v>-52650</v>
      </c>
      <c r="L90" s="103">
        <f>VLOOKUP($A90,'OI(Value)'!$A$7:$O$323,8,0)</f>
        <v>256</v>
      </c>
      <c r="M90" s="103">
        <f>VLOOKUP($A90,'OI(Value)'!$A$7:$O$323,9,0)</f>
        <v>-15</v>
      </c>
      <c r="N90" s="103">
        <f>VLOOKUP($A90,'OI(Value)'!$A$7:$O$323,11,0)</f>
        <v>159</v>
      </c>
      <c r="O90" s="103">
        <f>VLOOKUP($A90,'OI(Value)'!$A$7:$O$323,12,0)</f>
        <v>-10</v>
      </c>
      <c r="P90" s="179">
        <f>VLOOKUP(A90,'OI(Value)'!A90:O308,8,0)</f>
        <v>256</v>
      </c>
      <c r="Q90" s="179">
        <f>VLOOKUP(A90,'OI(Value)'!A90:O308,9,0)</f>
        <v>-15</v>
      </c>
      <c r="R90" s="179">
        <f>VLOOKUP(A90,'OI(Value)'!A90:O308,11,0)</f>
        <v>159</v>
      </c>
      <c r="S90" s="179">
        <f>VLOOKUP(A90,'OI(Value)'!A90:O308,11,0)</f>
        <v>159</v>
      </c>
    </row>
    <row r="91" spans="1:19" x14ac:dyDescent="0.25">
      <c r="A91" s="105" t="str">
        <f>'Data Vlaue (Cr)'!C86</f>
        <v>ICICIPRULI</v>
      </c>
      <c r="B91" s="143">
        <f>VLOOKUP($A91,'Data shares'!$C:$FA,118)</f>
        <v>0.62</v>
      </c>
      <c r="C91" s="143">
        <f>VLOOKUP($A91,'Data shares'!$C:$FA,119)</f>
        <v>0.57999999999999996</v>
      </c>
      <c r="D91" s="143">
        <f>VLOOKUP($A91,'Data shares'!$C:$FA,121)*100</f>
        <v>6.9</v>
      </c>
      <c r="E91" s="143">
        <f>VLOOKUP($A91,'Data shares'!$C:$FA,124)</f>
        <v>0.52</v>
      </c>
      <c r="F91" s="143">
        <f>VLOOKUP($A91,'Data shares'!$C:$FA,125)</f>
        <v>0.56999999999999995</v>
      </c>
      <c r="G91" s="143">
        <f>VLOOKUP($A91,'Data shares'!$C:$FA,127)*100</f>
        <v>-8.77</v>
      </c>
      <c r="H91" s="103">
        <f>VLOOKUP($A91,'OI(Volume)'!$A$7:$O$440,8)</f>
        <v>4781325</v>
      </c>
      <c r="I91" s="103">
        <f>VLOOKUP($A91,'OI(Volume)'!$A$7:$O$440,9)</f>
        <v>-616050</v>
      </c>
      <c r="J91" s="103">
        <f>VLOOKUP($A91,'OI(Volume)'!$A$7:$O$440,11)</f>
        <v>2963700</v>
      </c>
      <c r="K91" s="103">
        <f>VLOOKUP($A91,'OI(Volume)'!$A$7:$O$440,12)</f>
        <v>-188700</v>
      </c>
      <c r="L91" s="103">
        <f>VLOOKUP($A91,'OI(Value)'!$A$7:$O$323,8,0)</f>
        <v>313</v>
      </c>
      <c r="M91" s="103">
        <f>VLOOKUP($A91,'OI(Value)'!$A$7:$O$323,9,0)</f>
        <v>-40</v>
      </c>
      <c r="N91" s="103">
        <f>VLOOKUP($A91,'OI(Value)'!$A$7:$O$323,11,0)</f>
        <v>194</v>
      </c>
      <c r="O91" s="103">
        <f>VLOOKUP($A91,'OI(Value)'!$A$7:$O$323,12,0)</f>
        <v>-12</v>
      </c>
      <c r="P91" s="179">
        <f>VLOOKUP(A91,'OI(Value)'!A91:O309,8,0)</f>
        <v>313</v>
      </c>
      <c r="Q91" s="179">
        <f>VLOOKUP(A91,'OI(Value)'!A91:O309,9,0)</f>
        <v>-40</v>
      </c>
      <c r="R91" s="179">
        <f>VLOOKUP(A91,'OI(Value)'!A91:O309,11,0)</f>
        <v>194</v>
      </c>
      <c r="S91" s="179">
        <f>VLOOKUP(A91,'OI(Value)'!A91:O309,11,0)</f>
        <v>194</v>
      </c>
    </row>
    <row r="92" spans="1:19" x14ac:dyDescent="0.25">
      <c r="A92" s="105" t="str">
        <f>'Data Vlaue (Cr)'!C87</f>
        <v>IDEA</v>
      </c>
      <c r="B92" s="143">
        <f>VLOOKUP($A92,'Data shares'!$C:$FA,118)</f>
        <v>0.55000000000000004</v>
      </c>
      <c r="C92" s="143">
        <f>VLOOKUP($A92,'Data shares'!$C:$FA,119)</f>
        <v>0.53</v>
      </c>
      <c r="D92" s="143">
        <f>VLOOKUP($A92,'Data shares'!$C:$FA,121)*100</f>
        <v>3.7699999999999996</v>
      </c>
      <c r="E92" s="143">
        <f>VLOOKUP($A92,'Data shares'!$C:$FA,124)</f>
        <v>0.48</v>
      </c>
      <c r="F92" s="143">
        <f>VLOOKUP($A92,'Data shares'!$C:$FA,125)</f>
        <v>0.47</v>
      </c>
      <c r="G92" s="143">
        <f>VLOOKUP($A92,'Data shares'!$C:$FA,127)*100</f>
        <v>2.13</v>
      </c>
      <c r="H92" s="103">
        <f>VLOOKUP($A92,'OI(Volume)'!$A$7:$O$440,8)</f>
        <v>2917752450</v>
      </c>
      <c r="I92" s="103">
        <f>VLOOKUP($A92,'OI(Volume)'!$A$7:$O$440,9)</f>
        <v>-127368450</v>
      </c>
      <c r="J92" s="103">
        <f>VLOOKUP($A92,'OI(Volume)'!$A$7:$O$440,11)</f>
        <v>1592177100</v>
      </c>
      <c r="K92" s="103">
        <f>VLOOKUP($A92,'OI(Volume)'!$A$7:$O$440,12)</f>
        <v>-10935675</v>
      </c>
      <c r="L92" s="103">
        <f>VLOOKUP($A92,'OI(Value)'!$A$7:$O$323,8,0)</f>
        <v>2982</v>
      </c>
      <c r="M92" s="103">
        <f>VLOOKUP($A92,'OI(Value)'!$A$7:$O$323,9,0)</f>
        <v>-130</v>
      </c>
      <c r="N92" s="103">
        <f>VLOOKUP($A92,'OI(Value)'!$A$7:$O$323,11,0)</f>
        <v>1627</v>
      </c>
      <c r="O92" s="103">
        <f>VLOOKUP($A92,'OI(Value)'!$A$7:$O$323,12,0)</f>
        <v>-11</v>
      </c>
      <c r="P92" s="179">
        <f>VLOOKUP(A92,'OI(Value)'!A92:O310,8,0)</f>
        <v>2982</v>
      </c>
      <c r="Q92" s="179">
        <f>VLOOKUP(A92,'OI(Value)'!A92:O310,9,0)</f>
        <v>-130</v>
      </c>
      <c r="R92" s="179">
        <f>VLOOKUP(A92,'OI(Value)'!A92:O310,11,0)</f>
        <v>1627</v>
      </c>
      <c r="S92" s="179">
        <f>VLOOKUP(A92,'OI(Value)'!A92:O310,11,0)</f>
        <v>1627</v>
      </c>
    </row>
    <row r="93" spans="1:19" x14ac:dyDescent="0.25">
      <c r="A93" s="105" t="str">
        <f>'Data Vlaue (Cr)'!C88</f>
        <v>IDFCFIRSTB</v>
      </c>
      <c r="B93" s="143">
        <f>VLOOKUP($A93,'Data shares'!$C:$FA,118)</f>
        <v>0.6</v>
      </c>
      <c r="C93" s="143">
        <f>VLOOKUP($A93,'Data shares'!$C:$FA,119)</f>
        <v>0.55000000000000004</v>
      </c>
      <c r="D93" s="143">
        <f>VLOOKUP($A93,'Data shares'!$C:$FA,121)*100</f>
        <v>9.09</v>
      </c>
      <c r="E93" s="143">
        <f>VLOOKUP($A93,'Data shares'!$C:$FA,124)</f>
        <v>0.43</v>
      </c>
      <c r="F93" s="143">
        <f>VLOOKUP($A93,'Data shares'!$C:$FA,125)</f>
        <v>0.64</v>
      </c>
      <c r="G93" s="143">
        <f>VLOOKUP($A93,'Data shares'!$C:$FA,127)*100</f>
        <v>-32.81</v>
      </c>
      <c r="H93" s="103">
        <f>VLOOKUP($A93,'OI(Volume)'!$A$7:$O$440,8)</f>
        <v>144968250</v>
      </c>
      <c r="I93" s="103">
        <f>VLOOKUP($A93,'OI(Volume)'!$A$7:$O$440,9)</f>
        <v>-6668725</v>
      </c>
      <c r="J93" s="103">
        <f>VLOOKUP($A93,'OI(Volume)'!$A$7:$O$440,11)</f>
        <v>87602375</v>
      </c>
      <c r="K93" s="103">
        <f>VLOOKUP($A93,'OI(Volume)'!$A$7:$O$440,12)</f>
        <v>4247950</v>
      </c>
      <c r="L93" s="103">
        <f>VLOOKUP($A93,'OI(Value)'!$A$7:$O$323,8,0)</f>
        <v>1220</v>
      </c>
      <c r="M93" s="103">
        <f>VLOOKUP($A93,'OI(Value)'!$A$7:$O$323,9,0)</f>
        <v>-56</v>
      </c>
      <c r="N93" s="103">
        <f>VLOOKUP($A93,'OI(Value)'!$A$7:$O$323,11,0)</f>
        <v>737</v>
      </c>
      <c r="O93" s="103">
        <f>VLOOKUP($A93,'OI(Value)'!$A$7:$O$323,12,0)</f>
        <v>36</v>
      </c>
      <c r="P93" s="179">
        <f>VLOOKUP(A93,'OI(Value)'!A93:O311,8,0)</f>
        <v>1220</v>
      </c>
      <c r="Q93" s="179">
        <f>VLOOKUP(A93,'OI(Value)'!A93:O311,9,0)</f>
        <v>-56</v>
      </c>
      <c r="R93" s="179">
        <f>VLOOKUP(A93,'OI(Value)'!A93:O311,11,0)</f>
        <v>737</v>
      </c>
      <c r="S93" s="179">
        <f>VLOOKUP(A93,'OI(Value)'!A93:O311,11,0)</f>
        <v>737</v>
      </c>
    </row>
    <row r="94" spans="1:19" x14ac:dyDescent="0.25">
      <c r="A94" s="105" t="str">
        <f>'Data Vlaue (Cr)'!C89</f>
        <v>IEX</v>
      </c>
      <c r="B94" s="143">
        <f>VLOOKUP($A94,'Data shares'!$C:$FA,118)</f>
        <v>0.67</v>
      </c>
      <c r="C94" s="143">
        <f>VLOOKUP($A94,'Data shares'!$C:$FA,119)</f>
        <v>0.65</v>
      </c>
      <c r="D94" s="143">
        <f>VLOOKUP($A94,'Data shares'!$C:$FA,121)*100</f>
        <v>3.08</v>
      </c>
      <c r="E94" s="143">
        <f>VLOOKUP($A94,'Data shares'!$C:$FA,124)</f>
        <v>0.5</v>
      </c>
      <c r="F94" s="143">
        <f>VLOOKUP($A94,'Data shares'!$C:$FA,125)</f>
        <v>0.6</v>
      </c>
      <c r="G94" s="143">
        <f>VLOOKUP($A94,'Data shares'!$C:$FA,127)*100</f>
        <v>-16.669999999999998</v>
      </c>
      <c r="H94" s="103">
        <f>VLOOKUP($A94,'OI(Volume)'!$A$7:$O$440,8)</f>
        <v>105116250</v>
      </c>
      <c r="I94" s="103">
        <f>VLOOKUP($A94,'OI(Volume)'!$A$7:$O$440,9)</f>
        <v>-6978750</v>
      </c>
      <c r="J94" s="103">
        <f>VLOOKUP($A94,'OI(Volume)'!$A$7:$O$440,11)</f>
        <v>70282500</v>
      </c>
      <c r="K94" s="103">
        <f>VLOOKUP($A94,'OI(Volume)'!$A$7:$O$440,12)</f>
        <v>-2925000</v>
      </c>
      <c r="L94" s="103">
        <f>VLOOKUP($A94,'OI(Value)'!$A$7:$O$323,8,0)</f>
        <v>1382</v>
      </c>
      <c r="M94" s="103">
        <f>VLOOKUP($A94,'OI(Value)'!$A$7:$O$323,9,0)</f>
        <v>-92</v>
      </c>
      <c r="N94" s="103">
        <f>VLOOKUP($A94,'OI(Value)'!$A$7:$O$323,11,0)</f>
        <v>924</v>
      </c>
      <c r="O94" s="103">
        <f>VLOOKUP($A94,'OI(Value)'!$A$7:$O$323,12,0)</f>
        <v>-38</v>
      </c>
      <c r="P94" s="179">
        <f>VLOOKUP(A94,'OI(Value)'!A94:O312,8,0)</f>
        <v>1382</v>
      </c>
      <c r="Q94" s="179">
        <f>VLOOKUP(A94,'OI(Value)'!A94:O312,9,0)</f>
        <v>-92</v>
      </c>
      <c r="R94" s="179">
        <f>VLOOKUP(A94,'OI(Value)'!A94:O312,11,0)</f>
        <v>924</v>
      </c>
      <c r="S94" s="179">
        <f>VLOOKUP(A94,'OI(Value)'!A94:O312,11,0)</f>
        <v>924</v>
      </c>
    </row>
    <row r="95" spans="1:19" x14ac:dyDescent="0.25">
      <c r="A95" s="105" t="str">
        <f>'Data Vlaue (Cr)'!C90</f>
        <v>IIFL</v>
      </c>
      <c r="B95" s="143">
        <f>VLOOKUP($A95,'Data shares'!$C:$FA,118)</f>
        <v>0.56000000000000005</v>
      </c>
      <c r="C95" s="143">
        <f>VLOOKUP($A95,'Data shares'!$C:$FA,119)</f>
        <v>0.64</v>
      </c>
      <c r="D95" s="143">
        <f>VLOOKUP($A95,'Data shares'!$C:$FA,121)*100</f>
        <v>-12.5</v>
      </c>
      <c r="E95" s="143">
        <f>VLOOKUP($A95,'Data shares'!$C:$FA,124)</f>
        <v>1.06</v>
      </c>
      <c r="F95" s="143">
        <f>VLOOKUP($A95,'Data shares'!$C:$FA,125)</f>
        <v>0.67</v>
      </c>
      <c r="G95" s="143">
        <f>VLOOKUP($A95,'Data shares'!$C:$FA,127)*100</f>
        <v>58.209999999999994</v>
      </c>
      <c r="H95" s="103">
        <f>VLOOKUP($A95,'OI(Volume)'!$A$7:$O$440,8)</f>
        <v>14191650</v>
      </c>
      <c r="I95" s="103">
        <f>VLOOKUP($A95,'OI(Volume)'!$A$7:$O$440,9)</f>
        <v>6057150</v>
      </c>
      <c r="J95" s="103">
        <f>VLOOKUP($A95,'OI(Volume)'!$A$7:$O$440,11)</f>
        <v>7990950</v>
      </c>
      <c r="K95" s="103">
        <f>VLOOKUP($A95,'OI(Volume)'!$A$7:$O$440,12)</f>
        <v>2811600</v>
      </c>
      <c r="L95" s="103">
        <f>VLOOKUP($A95,'OI(Value)'!$A$7:$O$323,8,0)</f>
        <v>770</v>
      </c>
      <c r="M95" s="103">
        <f>VLOOKUP($A95,'OI(Value)'!$A$7:$O$323,9,0)</f>
        <v>329</v>
      </c>
      <c r="N95" s="103">
        <f>VLOOKUP($A95,'OI(Value)'!$A$7:$O$323,11,0)</f>
        <v>434</v>
      </c>
      <c r="O95" s="103">
        <f>VLOOKUP($A95,'OI(Value)'!$A$7:$O$323,12,0)</f>
        <v>153</v>
      </c>
      <c r="P95" s="179">
        <f>VLOOKUP(A95,'OI(Value)'!A95:O313,8,0)</f>
        <v>770</v>
      </c>
      <c r="Q95" s="179">
        <f>VLOOKUP(A95,'OI(Value)'!A95:O313,9,0)</f>
        <v>329</v>
      </c>
      <c r="R95" s="179">
        <f>VLOOKUP(A95,'OI(Value)'!A95:O313,11,0)</f>
        <v>434</v>
      </c>
      <c r="S95" s="179">
        <f>VLOOKUP(A95,'OI(Value)'!A95:O313,11,0)</f>
        <v>434</v>
      </c>
    </row>
    <row r="96" spans="1:19" x14ac:dyDescent="0.25">
      <c r="A96" s="105" t="str">
        <f>'Data Vlaue (Cr)'!C91</f>
        <v>INDHOTEL</v>
      </c>
      <c r="B96" s="143">
        <f>VLOOKUP($A96,'Data shares'!$C:$FA,118)</f>
        <v>0.67</v>
      </c>
      <c r="C96" s="143">
        <f>VLOOKUP($A96,'Data shares'!$C:$FA,119)</f>
        <v>0.61</v>
      </c>
      <c r="D96" s="143">
        <f>VLOOKUP($A96,'Data shares'!$C:$FA,121)*100</f>
        <v>9.84</v>
      </c>
      <c r="E96" s="143">
        <f>VLOOKUP($A96,'Data shares'!$C:$FA,124)</f>
        <v>0.42</v>
      </c>
      <c r="F96" s="143">
        <f>VLOOKUP($A96,'Data shares'!$C:$FA,125)</f>
        <v>0.53</v>
      </c>
      <c r="G96" s="143">
        <f>VLOOKUP($A96,'Data shares'!$C:$FA,127)*100</f>
        <v>-20.75</v>
      </c>
      <c r="H96" s="103">
        <f>VLOOKUP($A96,'OI(Volume)'!$A$7:$O$440,8)</f>
        <v>13842000</v>
      </c>
      <c r="I96" s="103">
        <f>VLOOKUP($A96,'OI(Volume)'!$A$7:$O$440,9)</f>
        <v>-1084000</v>
      </c>
      <c r="J96" s="103">
        <f>VLOOKUP($A96,'OI(Volume)'!$A$7:$O$440,11)</f>
        <v>9207000</v>
      </c>
      <c r="K96" s="103">
        <f>VLOOKUP($A96,'OI(Volume)'!$A$7:$O$440,12)</f>
        <v>136000</v>
      </c>
      <c r="L96" s="103">
        <f>VLOOKUP($A96,'OI(Value)'!$A$7:$O$323,8,0)</f>
        <v>910</v>
      </c>
      <c r="M96" s="103">
        <f>VLOOKUP($A96,'OI(Value)'!$A$7:$O$323,9,0)</f>
        <v>-71</v>
      </c>
      <c r="N96" s="103">
        <f>VLOOKUP($A96,'OI(Value)'!$A$7:$O$323,11,0)</f>
        <v>605</v>
      </c>
      <c r="O96" s="103">
        <f>VLOOKUP($A96,'OI(Value)'!$A$7:$O$323,12,0)</f>
        <v>9</v>
      </c>
      <c r="P96" s="179">
        <f>VLOOKUP(A96,'OI(Value)'!A96:O314,8,0)</f>
        <v>910</v>
      </c>
      <c r="Q96" s="179">
        <f>VLOOKUP(A96,'OI(Value)'!A96:O314,9,0)</f>
        <v>-71</v>
      </c>
      <c r="R96" s="179">
        <f>VLOOKUP(A96,'OI(Value)'!A96:O314,11,0)</f>
        <v>605</v>
      </c>
      <c r="S96" s="179">
        <f>VLOOKUP(A96,'OI(Value)'!A96:O314,11,0)</f>
        <v>605</v>
      </c>
    </row>
    <row r="97" spans="1:19" x14ac:dyDescent="0.25">
      <c r="A97" s="105" t="str">
        <f>'Data Vlaue (Cr)'!C92</f>
        <v>INDIANB</v>
      </c>
      <c r="B97" s="143">
        <f>VLOOKUP($A97,'Data shares'!$C:$FA,118)</f>
        <v>0.78</v>
      </c>
      <c r="C97" s="143">
        <f>VLOOKUP($A97,'Data shares'!$C:$FA,119)</f>
        <v>0.83</v>
      </c>
      <c r="D97" s="143">
        <f>VLOOKUP($A97,'Data shares'!$C:$FA,121)*100</f>
        <v>-6.02</v>
      </c>
      <c r="E97" s="143">
        <f>VLOOKUP($A97,'Data shares'!$C:$FA,124)</f>
        <v>0.32</v>
      </c>
      <c r="F97" s="143">
        <f>VLOOKUP($A97,'Data shares'!$C:$FA,125)</f>
        <v>0.5</v>
      </c>
      <c r="G97" s="143">
        <f>VLOOKUP($A97,'Data shares'!$C:$FA,127)*100</f>
        <v>-36</v>
      </c>
      <c r="H97" s="103">
        <f>VLOOKUP($A97,'OI(Volume)'!$A$7:$O$440,8)</f>
        <v>8284000</v>
      </c>
      <c r="I97" s="103">
        <f>VLOOKUP($A97,'OI(Volume)'!$A$7:$O$440,9)</f>
        <v>1800000</v>
      </c>
      <c r="J97" s="103">
        <f>VLOOKUP($A97,'OI(Volume)'!$A$7:$O$440,11)</f>
        <v>6424000</v>
      </c>
      <c r="K97" s="103">
        <f>VLOOKUP($A97,'OI(Volume)'!$A$7:$O$440,12)</f>
        <v>1063000</v>
      </c>
      <c r="L97" s="103">
        <f>VLOOKUP($A97,'OI(Value)'!$A$7:$O$323,8,0)</f>
        <v>743</v>
      </c>
      <c r="M97" s="103">
        <f>VLOOKUP($A97,'OI(Value)'!$A$7:$O$323,9,0)</f>
        <v>161</v>
      </c>
      <c r="N97" s="103">
        <f>VLOOKUP($A97,'OI(Value)'!$A$7:$O$323,11,0)</f>
        <v>576</v>
      </c>
      <c r="O97" s="103">
        <f>VLOOKUP($A97,'OI(Value)'!$A$7:$O$323,12,0)</f>
        <v>95</v>
      </c>
      <c r="P97" s="179">
        <f>VLOOKUP(A97,'OI(Value)'!A97:O315,8,0)</f>
        <v>743</v>
      </c>
      <c r="Q97" s="179">
        <f>VLOOKUP(A97,'OI(Value)'!A97:O315,9,0)</f>
        <v>161</v>
      </c>
      <c r="R97" s="179">
        <f>VLOOKUP(A97,'OI(Value)'!A97:O315,11,0)</f>
        <v>576</v>
      </c>
      <c r="S97" s="179">
        <f>VLOOKUP(A97,'OI(Value)'!A97:O315,11,0)</f>
        <v>576</v>
      </c>
    </row>
    <row r="98" spans="1:19" x14ac:dyDescent="0.25">
      <c r="A98" s="105" t="str">
        <f>'Data Vlaue (Cr)'!C93</f>
        <v>INDIAVIX</v>
      </c>
      <c r="B98" s="143">
        <f>VLOOKUP($A98,'Data shares'!$C:$FA,118)</f>
        <v>0</v>
      </c>
      <c r="C98" s="143">
        <f>VLOOKUP($A98,'Data shares'!$C:$FA,119)</f>
        <v>0</v>
      </c>
      <c r="D98" s="143">
        <f>VLOOKUP($A98,'Data shares'!$C:$FA,121)*100</f>
        <v>0</v>
      </c>
      <c r="E98" s="143">
        <f>VLOOKUP($A98,'Data shares'!$C:$FA,124)</f>
        <v>0</v>
      </c>
      <c r="F98" s="143">
        <f>VLOOKUP($A98,'Data shares'!$C:$FA,125)</f>
        <v>0</v>
      </c>
      <c r="G98" s="143">
        <f>VLOOKUP($A98,'Data shares'!$C:$FA,127)*100</f>
        <v>0</v>
      </c>
      <c r="H98" s="103">
        <f>VLOOKUP($A98,'OI(Volume)'!$A$7:$O$440,8)</f>
        <v>0</v>
      </c>
      <c r="I98" s="103">
        <f>VLOOKUP($A98,'OI(Volume)'!$A$7:$O$440,9)</f>
        <v>0</v>
      </c>
      <c r="J98" s="103">
        <f>VLOOKUP($A98,'OI(Volume)'!$A$7:$O$440,11)</f>
        <v>0</v>
      </c>
      <c r="K98" s="103">
        <f>VLOOKUP($A98,'OI(Volume)'!$A$7:$O$440,12)</f>
        <v>0</v>
      </c>
      <c r="L98" s="103">
        <f>VLOOKUP($A98,'OI(Value)'!$A$7:$O$323,8,0)</f>
        <v>0</v>
      </c>
      <c r="M98" s="103">
        <f>VLOOKUP($A98,'OI(Value)'!$A$7:$O$323,9,0)</f>
        <v>0</v>
      </c>
      <c r="N98" s="103">
        <f>VLOOKUP($A98,'OI(Value)'!$A$7:$O$323,11,0)</f>
        <v>0</v>
      </c>
      <c r="O98" s="103">
        <f>VLOOKUP($A98,'OI(Value)'!$A$7:$O$323,12,0)</f>
        <v>0</v>
      </c>
      <c r="P98" s="179">
        <f>VLOOKUP(A98,'OI(Value)'!A98:O316,8,0)</f>
        <v>0</v>
      </c>
      <c r="Q98" s="179">
        <f>VLOOKUP(A98,'OI(Value)'!A98:O316,9,0)</f>
        <v>0</v>
      </c>
      <c r="R98" s="179">
        <f>VLOOKUP(A98,'OI(Value)'!A98:O316,11,0)</f>
        <v>0</v>
      </c>
      <c r="S98" s="179">
        <f>VLOOKUP(A98,'OI(Value)'!A98:O316,11,0)</f>
        <v>0</v>
      </c>
    </row>
    <row r="99" spans="1:19" x14ac:dyDescent="0.25">
      <c r="A99" s="105" t="str">
        <f>'Data Vlaue (Cr)'!C94</f>
        <v>INDIGO</v>
      </c>
      <c r="B99" s="143">
        <f>VLOOKUP($A99,'Data shares'!$C:$FA,118)</f>
        <v>0.69</v>
      </c>
      <c r="C99" s="143">
        <f>VLOOKUP($A99,'Data shares'!$C:$FA,119)</f>
        <v>0.68</v>
      </c>
      <c r="D99" s="143">
        <f>VLOOKUP($A99,'Data shares'!$C:$FA,121)*100</f>
        <v>1.47</v>
      </c>
      <c r="E99" s="143">
        <f>VLOOKUP($A99,'Data shares'!$C:$FA,124)</f>
        <v>0.88</v>
      </c>
      <c r="F99" s="143">
        <f>VLOOKUP($A99,'Data shares'!$C:$FA,125)</f>
        <v>0.66</v>
      </c>
      <c r="G99" s="143">
        <f>VLOOKUP($A99,'Data shares'!$C:$FA,127)*100</f>
        <v>33.33</v>
      </c>
      <c r="H99" s="103">
        <f>VLOOKUP($A99,'OI(Volume)'!$A$7:$O$440,8)</f>
        <v>5932650</v>
      </c>
      <c r="I99" s="103">
        <f>VLOOKUP($A99,'OI(Volume)'!$A$7:$O$440,9)</f>
        <v>176100</v>
      </c>
      <c r="J99" s="103">
        <f>VLOOKUP($A99,'OI(Volume)'!$A$7:$O$440,11)</f>
        <v>4072650</v>
      </c>
      <c r="K99" s="103">
        <f>VLOOKUP($A99,'OI(Volume)'!$A$7:$O$440,12)</f>
        <v>152850</v>
      </c>
      <c r="L99" s="103">
        <f>VLOOKUP($A99,'OI(Value)'!$A$7:$O$323,8,0)</f>
        <v>2917</v>
      </c>
      <c r="M99" s="103">
        <f>VLOOKUP($A99,'OI(Value)'!$A$7:$O$323,9,0)</f>
        <v>87</v>
      </c>
      <c r="N99" s="103">
        <f>VLOOKUP($A99,'OI(Value)'!$A$7:$O$323,11,0)</f>
        <v>2002</v>
      </c>
      <c r="O99" s="103">
        <f>VLOOKUP($A99,'OI(Value)'!$A$7:$O$323,12,0)</f>
        <v>75</v>
      </c>
      <c r="P99" s="179">
        <f>VLOOKUP(A99,'OI(Value)'!A99:O317,8,0)</f>
        <v>2917</v>
      </c>
      <c r="Q99" s="179">
        <f>VLOOKUP(A99,'OI(Value)'!A99:O317,9,0)</f>
        <v>87</v>
      </c>
      <c r="R99" s="179">
        <f>VLOOKUP(A99,'OI(Value)'!A99:O317,11,0)</f>
        <v>2002</v>
      </c>
      <c r="S99" s="179">
        <f>VLOOKUP(A99,'OI(Value)'!A99:O317,11,0)</f>
        <v>2002</v>
      </c>
    </row>
    <row r="100" spans="1:19" x14ac:dyDescent="0.25">
      <c r="A100" s="105" t="str">
        <f>'Data Vlaue (Cr)'!C95</f>
        <v>INDUSINDBK</v>
      </c>
      <c r="B100" s="143">
        <f>VLOOKUP($A100,'Data shares'!$C:$FA,118)</f>
        <v>0.95</v>
      </c>
      <c r="C100" s="143">
        <f>VLOOKUP($A100,'Data shares'!$C:$FA,119)</f>
        <v>0.98</v>
      </c>
      <c r="D100" s="143">
        <f>VLOOKUP($A100,'Data shares'!$C:$FA,121)*100</f>
        <v>-3.06</v>
      </c>
      <c r="E100" s="143">
        <f>VLOOKUP($A100,'Data shares'!$C:$FA,124)</f>
        <v>0.7</v>
      </c>
      <c r="F100" s="143">
        <f>VLOOKUP($A100,'Data shares'!$C:$FA,125)</f>
        <v>0.74</v>
      </c>
      <c r="G100" s="143">
        <f>VLOOKUP($A100,'Data shares'!$C:$FA,127)*100</f>
        <v>-5.41</v>
      </c>
      <c r="H100" s="103">
        <f>VLOOKUP($A100,'OI(Volume)'!$A$7:$O$440,8)</f>
        <v>11303600</v>
      </c>
      <c r="I100" s="103">
        <f>VLOOKUP($A100,'OI(Volume)'!$A$7:$O$440,9)</f>
        <v>354900</v>
      </c>
      <c r="J100" s="103">
        <f>VLOOKUP($A100,'OI(Volume)'!$A$7:$O$440,11)</f>
        <v>10787700</v>
      </c>
      <c r="K100" s="103">
        <f>VLOOKUP($A100,'OI(Volume)'!$A$7:$O$440,12)</f>
        <v>103600</v>
      </c>
      <c r="L100" s="103">
        <f>VLOOKUP($A100,'OI(Value)'!$A$7:$O$323,8,0)</f>
        <v>1022</v>
      </c>
      <c r="M100" s="103">
        <f>VLOOKUP($A100,'OI(Value)'!$A$7:$O$323,9,0)</f>
        <v>32</v>
      </c>
      <c r="N100" s="103">
        <f>VLOOKUP($A100,'OI(Value)'!$A$7:$O$323,11,0)</f>
        <v>975</v>
      </c>
      <c r="O100" s="103">
        <f>VLOOKUP($A100,'OI(Value)'!$A$7:$O$323,12,0)</f>
        <v>9</v>
      </c>
      <c r="P100" s="179">
        <f>VLOOKUP(A100,'OI(Value)'!A100:O318,8,0)</f>
        <v>1022</v>
      </c>
      <c r="Q100" s="179">
        <f>VLOOKUP(A100,'OI(Value)'!A100:O318,9,0)</f>
        <v>32</v>
      </c>
      <c r="R100" s="179">
        <f>VLOOKUP(A100,'OI(Value)'!A100:O318,11,0)</f>
        <v>975</v>
      </c>
      <c r="S100" s="179">
        <f>VLOOKUP(A100,'OI(Value)'!A100:O318,11,0)</f>
        <v>975</v>
      </c>
    </row>
    <row r="101" spans="1:19" x14ac:dyDescent="0.25">
      <c r="A101" s="105" t="str">
        <f>'Data Vlaue (Cr)'!C96</f>
        <v>INDUSTOWER</v>
      </c>
      <c r="B101" s="143">
        <f>VLOOKUP($A101,'Data shares'!$C:$FA,118)</f>
        <v>0.53</v>
      </c>
      <c r="C101" s="143">
        <f>VLOOKUP($A101,'Data shares'!$C:$FA,119)</f>
        <v>0.54</v>
      </c>
      <c r="D101" s="143">
        <f>VLOOKUP($A101,'Data shares'!$C:$FA,121)*100</f>
        <v>-1.8499999999999999</v>
      </c>
      <c r="E101" s="143">
        <f>VLOOKUP($A101,'Data shares'!$C:$FA,124)</f>
        <v>0.54</v>
      </c>
      <c r="F101" s="143">
        <f>VLOOKUP($A101,'Data shares'!$C:$FA,125)</f>
        <v>0.8</v>
      </c>
      <c r="G101" s="143">
        <f>VLOOKUP($A101,'Data shares'!$C:$FA,127)*100</f>
        <v>-32.5</v>
      </c>
      <c r="H101" s="103">
        <f>VLOOKUP($A101,'OI(Volume)'!$A$7:$O$440,8)</f>
        <v>30314400</v>
      </c>
      <c r="I101" s="103">
        <f>VLOOKUP($A101,'OI(Volume)'!$A$7:$O$440,9)</f>
        <v>-1725500</v>
      </c>
      <c r="J101" s="103">
        <f>VLOOKUP($A101,'OI(Volume)'!$A$7:$O$440,11)</f>
        <v>16024200</v>
      </c>
      <c r="K101" s="103">
        <f>VLOOKUP($A101,'OI(Volume)'!$A$7:$O$440,12)</f>
        <v>-1142400</v>
      </c>
      <c r="L101" s="103">
        <f>VLOOKUP($A101,'OI(Value)'!$A$7:$O$323,8,0)</f>
        <v>1272</v>
      </c>
      <c r="M101" s="103">
        <f>VLOOKUP($A101,'OI(Value)'!$A$7:$O$323,9,0)</f>
        <v>-72</v>
      </c>
      <c r="N101" s="103">
        <f>VLOOKUP($A101,'OI(Value)'!$A$7:$O$323,11,0)</f>
        <v>672</v>
      </c>
      <c r="O101" s="103">
        <f>VLOOKUP($A101,'OI(Value)'!$A$7:$O$323,12,0)</f>
        <v>-48</v>
      </c>
      <c r="P101" s="179">
        <f>VLOOKUP(A101,'OI(Value)'!A101:O319,8,0)</f>
        <v>1272</v>
      </c>
      <c r="Q101" s="179">
        <f>VLOOKUP(A101,'OI(Value)'!A101:O319,9,0)</f>
        <v>-72</v>
      </c>
      <c r="R101" s="179">
        <f>VLOOKUP(A101,'OI(Value)'!A101:O319,11,0)</f>
        <v>672</v>
      </c>
      <c r="S101" s="179">
        <f>VLOOKUP(A101,'OI(Value)'!A101:O319,11,0)</f>
        <v>672</v>
      </c>
    </row>
    <row r="102" spans="1:19" x14ac:dyDescent="0.25">
      <c r="A102" s="105" t="str">
        <f>'Data Vlaue (Cr)'!C97</f>
        <v>INFY</v>
      </c>
      <c r="B102" s="143">
        <f>VLOOKUP($A102,'Data shares'!$C:$FA,118)</f>
        <v>0.6</v>
      </c>
      <c r="C102" s="143">
        <f>VLOOKUP($A102,'Data shares'!$C:$FA,119)</f>
        <v>0.64</v>
      </c>
      <c r="D102" s="143">
        <f>VLOOKUP($A102,'Data shares'!$C:$FA,121)*100</f>
        <v>-6.25</v>
      </c>
      <c r="E102" s="143">
        <f>VLOOKUP($A102,'Data shares'!$C:$FA,124)</f>
        <v>0.56999999999999995</v>
      </c>
      <c r="F102" s="143">
        <f>VLOOKUP($A102,'Data shares'!$C:$FA,125)</f>
        <v>0.89</v>
      </c>
      <c r="G102" s="143">
        <f>VLOOKUP($A102,'Data shares'!$C:$FA,127)*100</f>
        <v>-35.96</v>
      </c>
      <c r="H102" s="103">
        <f>VLOOKUP($A102,'OI(Volume)'!$A$7:$O$440,8)</f>
        <v>30394800</v>
      </c>
      <c r="I102" s="103">
        <f>VLOOKUP($A102,'OI(Volume)'!$A$7:$O$440,9)</f>
        <v>-336400</v>
      </c>
      <c r="J102" s="103">
        <f>VLOOKUP($A102,'OI(Volume)'!$A$7:$O$440,11)</f>
        <v>18228400</v>
      </c>
      <c r="K102" s="103">
        <f>VLOOKUP($A102,'OI(Volume)'!$A$7:$O$440,12)</f>
        <v>-1557200</v>
      </c>
      <c r="L102" s="103">
        <f>VLOOKUP($A102,'OI(Value)'!$A$7:$O$323,8,0)</f>
        <v>5068</v>
      </c>
      <c r="M102" s="103">
        <f>VLOOKUP($A102,'OI(Value)'!$A$7:$O$323,9,0)</f>
        <v>-56</v>
      </c>
      <c r="N102" s="103">
        <f>VLOOKUP($A102,'OI(Value)'!$A$7:$O$323,11,0)</f>
        <v>3039</v>
      </c>
      <c r="O102" s="103">
        <f>VLOOKUP($A102,'OI(Value)'!$A$7:$O$323,12,0)</f>
        <v>-260</v>
      </c>
      <c r="P102" s="179">
        <f>VLOOKUP(A102,'OI(Value)'!A102:O320,8,0)</f>
        <v>5068</v>
      </c>
      <c r="Q102" s="179">
        <f>VLOOKUP(A102,'OI(Value)'!A102:O320,9,0)</f>
        <v>-56</v>
      </c>
      <c r="R102" s="179">
        <f>VLOOKUP(A102,'OI(Value)'!A102:O320,11,0)</f>
        <v>3039</v>
      </c>
      <c r="S102" s="179">
        <f>VLOOKUP(A102,'OI(Value)'!A102:O320,11,0)</f>
        <v>3039</v>
      </c>
    </row>
    <row r="103" spans="1:19" x14ac:dyDescent="0.25">
      <c r="A103" s="105" t="str">
        <f>'Data Vlaue (Cr)'!C98</f>
        <v>INOXWIND</v>
      </c>
      <c r="B103" s="143">
        <f>VLOOKUP($A103,'Data shares'!$C:$FA,118)</f>
        <v>0.61</v>
      </c>
      <c r="C103" s="143">
        <f>VLOOKUP($A103,'Data shares'!$C:$FA,119)</f>
        <v>0.59</v>
      </c>
      <c r="D103" s="143">
        <f>VLOOKUP($A103,'Data shares'!$C:$FA,121)*100</f>
        <v>3.39</v>
      </c>
      <c r="E103" s="143">
        <f>VLOOKUP($A103,'Data shares'!$C:$FA,124)</f>
        <v>0.52</v>
      </c>
      <c r="F103" s="143">
        <f>VLOOKUP($A103,'Data shares'!$C:$FA,125)</f>
        <v>0.56999999999999995</v>
      </c>
      <c r="G103" s="143">
        <f>VLOOKUP($A103,'Data shares'!$C:$FA,127)*100</f>
        <v>-8.77</v>
      </c>
      <c r="H103" s="103">
        <f>VLOOKUP($A103,'OI(Volume)'!$A$7:$O$440,8)</f>
        <v>45162975</v>
      </c>
      <c r="I103" s="103">
        <f>VLOOKUP($A103,'OI(Volume)'!$A$7:$O$440,9)</f>
        <v>-1605175</v>
      </c>
      <c r="J103" s="103">
        <f>VLOOKUP($A103,'OI(Volume)'!$A$7:$O$440,11)</f>
        <v>27495325</v>
      </c>
      <c r="K103" s="103">
        <f>VLOOKUP($A103,'OI(Volume)'!$A$7:$O$440,12)</f>
        <v>-264550</v>
      </c>
      <c r="L103" s="103">
        <f>VLOOKUP($A103,'OI(Value)'!$A$7:$O$323,8,0)</f>
        <v>484</v>
      </c>
      <c r="M103" s="103">
        <f>VLOOKUP($A103,'OI(Value)'!$A$7:$O$323,9,0)</f>
        <v>-17</v>
      </c>
      <c r="N103" s="103">
        <f>VLOOKUP($A103,'OI(Value)'!$A$7:$O$323,11,0)</f>
        <v>295</v>
      </c>
      <c r="O103" s="103">
        <f>VLOOKUP($A103,'OI(Value)'!$A$7:$O$323,12,0)</f>
        <v>-3</v>
      </c>
      <c r="P103" s="179">
        <f>VLOOKUP(A103,'OI(Value)'!A103:O321,8,0)</f>
        <v>484</v>
      </c>
      <c r="Q103" s="179">
        <f>VLOOKUP(A103,'OI(Value)'!A103:O321,9,0)</f>
        <v>-17</v>
      </c>
      <c r="R103" s="179">
        <f>VLOOKUP(A103,'OI(Value)'!A103:O321,11,0)</f>
        <v>295</v>
      </c>
      <c r="S103" s="179">
        <f>VLOOKUP(A103,'OI(Value)'!A103:O321,11,0)</f>
        <v>295</v>
      </c>
    </row>
    <row r="104" spans="1:19" x14ac:dyDescent="0.25">
      <c r="A104" s="105" t="str">
        <f>'Data Vlaue (Cr)'!C99</f>
        <v>IOC</v>
      </c>
      <c r="B104" s="143">
        <f>VLOOKUP($A104,'Data shares'!$C:$FA,118)</f>
        <v>0.63</v>
      </c>
      <c r="C104" s="143">
        <f>VLOOKUP($A104,'Data shares'!$C:$FA,119)</f>
        <v>0.64</v>
      </c>
      <c r="D104" s="143">
        <f>VLOOKUP($A104,'Data shares'!$C:$FA,121)*100</f>
        <v>-1.5599999999999998</v>
      </c>
      <c r="E104" s="143">
        <f>VLOOKUP($A104,'Data shares'!$C:$FA,124)</f>
        <v>0.56000000000000005</v>
      </c>
      <c r="F104" s="143">
        <f>VLOOKUP($A104,'Data shares'!$C:$FA,125)</f>
        <v>0.72</v>
      </c>
      <c r="G104" s="143">
        <f>VLOOKUP($A104,'Data shares'!$C:$FA,127)*100</f>
        <v>-22.220000000000002</v>
      </c>
      <c r="H104" s="103">
        <f>VLOOKUP($A104,'OI(Volume)'!$A$7:$O$440,8)</f>
        <v>54853500</v>
      </c>
      <c r="I104" s="103">
        <f>VLOOKUP($A104,'OI(Volume)'!$A$7:$O$440,9)</f>
        <v>-2159625</v>
      </c>
      <c r="J104" s="103">
        <f>VLOOKUP($A104,'OI(Volume)'!$A$7:$O$440,11)</f>
        <v>34573500</v>
      </c>
      <c r="K104" s="103">
        <f>VLOOKUP($A104,'OI(Volume)'!$A$7:$O$440,12)</f>
        <v>-2130375</v>
      </c>
      <c r="L104" s="103">
        <f>VLOOKUP($A104,'OI(Value)'!$A$7:$O$323,8,0)</f>
        <v>872</v>
      </c>
      <c r="M104" s="103">
        <f>VLOOKUP($A104,'OI(Value)'!$A$7:$O$323,9,0)</f>
        <v>-34</v>
      </c>
      <c r="N104" s="103">
        <f>VLOOKUP($A104,'OI(Value)'!$A$7:$O$323,11,0)</f>
        <v>549</v>
      </c>
      <c r="O104" s="103">
        <f>VLOOKUP($A104,'OI(Value)'!$A$7:$O$323,12,0)</f>
        <v>-34</v>
      </c>
      <c r="P104" s="179">
        <f>VLOOKUP(A104,'OI(Value)'!A104:O322,8,0)</f>
        <v>872</v>
      </c>
      <c r="Q104" s="179">
        <f>VLOOKUP(A104,'OI(Value)'!A104:O322,9,0)</f>
        <v>-34</v>
      </c>
      <c r="R104" s="179">
        <f>VLOOKUP(A104,'OI(Value)'!A104:O322,11,0)</f>
        <v>549</v>
      </c>
      <c r="S104" s="179">
        <f>VLOOKUP(A104,'OI(Value)'!A104:O322,11,0)</f>
        <v>549</v>
      </c>
    </row>
    <row r="105" spans="1:19" x14ac:dyDescent="0.25">
      <c r="A105" s="105" t="str">
        <f>'Data Vlaue (Cr)'!C100</f>
        <v>IRCTC</v>
      </c>
      <c r="B105" s="143">
        <f>VLOOKUP($A105,'Data shares'!$C:$FA,118)</f>
        <v>0.48</v>
      </c>
      <c r="C105" s="143">
        <f>VLOOKUP($A105,'Data shares'!$C:$FA,119)</f>
        <v>0.45</v>
      </c>
      <c r="D105" s="143">
        <f>VLOOKUP($A105,'Data shares'!$C:$FA,121)*100</f>
        <v>6.67</v>
      </c>
      <c r="E105" s="143">
        <f>VLOOKUP($A105,'Data shares'!$C:$FA,124)</f>
        <v>0.43</v>
      </c>
      <c r="F105" s="143">
        <f>VLOOKUP($A105,'Data shares'!$C:$FA,125)</f>
        <v>0.38</v>
      </c>
      <c r="G105" s="143">
        <f>VLOOKUP($A105,'Data shares'!$C:$FA,127)*100</f>
        <v>13.16</v>
      </c>
      <c r="H105" s="103">
        <f>VLOOKUP($A105,'OI(Volume)'!$A$7:$O$440,8)</f>
        <v>25291875</v>
      </c>
      <c r="I105" s="103">
        <f>VLOOKUP($A105,'OI(Volume)'!$A$7:$O$440,9)</f>
        <v>-1493625</v>
      </c>
      <c r="J105" s="103">
        <f>VLOOKUP($A105,'OI(Volume)'!$A$7:$O$440,11)</f>
        <v>12241250</v>
      </c>
      <c r="K105" s="103">
        <f>VLOOKUP($A105,'OI(Volume)'!$A$7:$O$440,12)</f>
        <v>191625</v>
      </c>
      <c r="L105" s="103">
        <f>VLOOKUP($A105,'OI(Value)'!$A$7:$O$323,8,0)</f>
        <v>1594</v>
      </c>
      <c r="M105" s="103">
        <f>VLOOKUP($A105,'OI(Value)'!$A$7:$O$323,9,0)</f>
        <v>-94</v>
      </c>
      <c r="N105" s="103">
        <f>VLOOKUP($A105,'OI(Value)'!$A$7:$O$323,11,0)</f>
        <v>772</v>
      </c>
      <c r="O105" s="103">
        <f>VLOOKUP($A105,'OI(Value)'!$A$7:$O$323,12,0)</f>
        <v>12</v>
      </c>
      <c r="P105" s="179">
        <f>VLOOKUP(A105,'OI(Value)'!A105:O323,8,0)</f>
        <v>1594</v>
      </c>
      <c r="Q105" s="179">
        <f>VLOOKUP(A105,'OI(Value)'!A105:O323,9,0)</f>
        <v>-94</v>
      </c>
      <c r="R105" s="179">
        <f>VLOOKUP(A105,'OI(Value)'!A105:O323,11,0)</f>
        <v>772</v>
      </c>
      <c r="S105" s="179">
        <f>VLOOKUP(A105,'OI(Value)'!A105:O323,11,0)</f>
        <v>772</v>
      </c>
    </row>
    <row r="106" spans="1:19" x14ac:dyDescent="0.25">
      <c r="A106" s="105" t="str">
        <f>'Data Vlaue (Cr)'!C101</f>
        <v>IREDA</v>
      </c>
      <c r="B106" s="143">
        <f>VLOOKUP($A106,'Data shares'!$C:$FA,118)</f>
        <v>0.5</v>
      </c>
      <c r="C106" s="143">
        <f>VLOOKUP($A106,'Data shares'!$C:$FA,119)</f>
        <v>0.46</v>
      </c>
      <c r="D106" s="143">
        <f>VLOOKUP($A106,'Data shares'!$C:$FA,121)*100</f>
        <v>8.6999999999999993</v>
      </c>
      <c r="E106" s="143">
        <f>VLOOKUP($A106,'Data shares'!$C:$FA,124)</f>
        <v>0.33</v>
      </c>
      <c r="F106" s="143">
        <f>VLOOKUP($A106,'Data shares'!$C:$FA,125)</f>
        <v>0.44</v>
      </c>
      <c r="G106" s="143">
        <f>VLOOKUP($A106,'Data shares'!$C:$FA,127)*100</f>
        <v>-25</v>
      </c>
      <c r="H106" s="103">
        <f>VLOOKUP($A106,'OI(Volume)'!$A$7:$O$440,8)</f>
        <v>57984150</v>
      </c>
      <c r="I106" s="103">
        <f>VLOOKUP($A106,'OI(Volume)'!$A$7:$O$440,9)</f>
        <v>-6430800</v>
      </c>
      <c r="J106" s="103">
        <f>VLOOKUP($A106,'OI(Volume)'!$A$7:$O$440,11)</f>
        <v>29224950</v>
      </c>
      <c r="K106" s="103">
        <f>VLOOKUP($A106,'OI(Volume)'!$A$7:$O$440,12)</f>
        <v>-172500</v>
      </c>
      <c r="L106" s="103">
        <f>VLOOKUP($A106,'OI(Value)'!$A$7:$O$323,8,0)</f>
        <v>755</v>
      </c>
      <c r="M106" s="103">
        <f>VLOOKUP($A106,'OI(Value)'!$A$7:$O$323,9,0)</f>
        <v>-84</v>
      </c>
      <c r="N106" s="103">
        <f>VLOOKUP($A106,'OI(Value)'!$A$7:$O$323,11,0)</f>
        <v>381</v>
      </c>
      <c r="O106" s="103">
        <f>VLOOKUP($A106,'OI(Value)'!$A$7:$O$323,12,0)</f>
        <v>-2</v>
      </c>
      <c r="P106" s="179">
        <f>VLOOKUP(A106,'OI(Value)'!A106:O324,8,0)</f>
        <v>755</v>
      </c>
      <c r="Q106" s="179">
        <f>VLOOKUP(A106,'OI(Value)'!A106:O324,9,0)</f>
        <v>-84</v>
      </c>
      <c r="R106" s="179">
        <f>VLOOKUP(A106,'OI(Value)'!A106:O324,11,0)</f>
        <v>381</v>
      </c>
      <c r="S106" s="179">
        <f>VLOOKUP(A106,'OI(Value)'!A106:O324,11,0)</f>
        <v>381</v>
      </c>
    </row>
    <row r="107" spans="1:19" x14ac:dyDescent="0.25">
      <c r="A107" s="105" t="str">
        <f>'Data Vlaue (Cr)'!C102</f>
        <v>IRFC</v>
      </c>
      <c r="B107" s="143">
        <f>VLOOKUP($A107,'Data shares'!$C:$FA,118)</f>
        <v>0.37</v>
      </c>
      <c r="C107" s="143">
        <f>VLOOKUP($A107,'Data shares'!$C:$FA,119)</f>
        <v>0.36</v>
      </c>
      <c r="D107" s="143">
        <f>VLOOKUP($A107,'Data shares'!$C:$FA,121)*100</f>
        <v>2.78</v>
      </c>
      <c r="E107" s="143">
        <f>VLOOKUP($A107,'Data shares'!$C:$FA,124)</f>
        <v>0.2</v>
      </c>
      <c r="F107" s="143">
        <f>VLOOKUP($A107,'Data shares'!$C:$FA,125)</f>
        <v>0.3</v>
      </c>
      <c r="G107" s="143">
        <f>VLOOKUP($A107,'Data shares'!$C:$FA,127)*100</f>
        <v>-33.33</v>
      </c>
      <c r="H107" s="103">
        <f>VLOOKUP($A107,'OI(Volume)'!$A$7:$O$440,8)</f>
        <v>116836750</v>
      </c>
      <c r="I107" s="103">
        <f>VLOOKUP($A107,'OI(Volume)'!$A$7:$O$440,9)</f>
        <v>-131750</v>
      </c>
      <c r="J107" s="103">
        <f>VLOOKUP($A107,'OI(Volume)'!$A$7:$O$440,11)</f>
        <v>42772000</v>
      </c>
      <c r="K107" s="103">
        <f>VLOOKUP($A107,'OI(Volume)'!$A$7:$O$440,12)</f>
        <v>348500</v>
      </c>
      <c r="L107" s="103">
        <f>VLOOKUP($A107,'OI(Value)'!$A$7:$O$323,8,0)</f>
        <v>1371</v>
      </c>
      <c r="M107" s="103">
        <f>VLOOKUP($A107,'OI(Value)'!$A$7:$O$323,9,0)</f>
        <v>-2</v>
      </c>
      <c r="N107" s="103">
        <f>VLOOKUP($A107,'OI(Value)'!$A$7:$O$323,11,0)</f>
        <v>502</v>
      </c>
      <c r="O107" s="103">
        <f>VLOOKUP($A107,'OI(Value)'!$A$7:$O$323,12,0)</f>
        <v>4</v>
      </c>
      <c r="P107" s="179">
        <f>VLOOKUP(A107,'OI(Value)'!A107:O325,8,0)</f>
        <v>1371</v>
      </c>
      <c r="Q107" s="179">
        <f>VLOOKUP(A107,'OI(Value)'!A107:O325,9,0)</f>
        <v>-2</v>
      </c>
      <c r="R107" s="179">
        <f>VLOOKUP(A107,'OI(Value)'!A107:O325,11,0)</f>
        <v>502</v>
      </c>
      <c r="S107" s="179">
        <f>VLOOKUP(A107,'OI(Value)'!A107:O325,11,0)</f>
        <v>502</v>
      </c>
    </row>
    <row r="108" spans="1:19" x14ac:dyDescent="0.25">
      <c r="A108" s="105" t="str">
        <f>'Data Vlaue (Cr)'!C103</f>
        <v>ITC</v>
      </c>
      <c r="B108" s="143">
        <f>VLOOKUP($A108,'Data shares'!$C:$FA,118)</f>
        <v>0.4</v>
      </c>
      <c r="C108" s="143">
        <f>VLOOKUP($A108,'Data shares'!$C:$FA,119)</f>
        <v>0.38</v>
      </c>
      <c r="D108" s="143">
        <f>VLOOKUP($A108,'Data shares'!$C:$FA,121)*100</f>
        <v>5.26</v>
      </c>
      <c r="E108" s="143">
        <f>VLOOKUP($A108,'Data shares'!$C:$FA,124)</f>
        <v>0.69</v>
      </c>
      <c r="F108" s="143">
        <f>VLOOKUP($A108,'Data shares'!$C:$FA,125)</f>
        <v>0.5</v>
      </c>
      <c r="G108" s="143">
        <f>VLOOKUP($A108,'Data shares'!$C:$FA,127)*100</f>
        <v>38</v>
      </c>
      <c r="H108" s="103">
        <f>VLOOKUP($A108,'OI(Volume)'!$A$7:$O$440,8)</f>
        <v>292944000</v>
      </c>
      <c r="I108" s="103">
        <f>VLOOKUP($A108,'OI(Volume)'!$A$7:$O$440,9)</f>
        <v>-16976000</v>
      </c>
      <c r="J108" s="103">
        <f>VLOOKUP($A108,'OI(Volume)'!$A$7:$O$440,11)</f>
        <v>117958400</v>
      </c>
      <c r="K108" s="103">
        <f>VLOOKUP($A108,'OI(Volume)'!$A$7:$O$440,12)</f>
        <v>-59200</v>
      </c>
      <c r="L108" s="103">
        <f>VLOOKUP($A108,'OI(Value)'!$A$7:$O$323,8,0)</f>
        <v>9528</v>
      </c>
      <c r="M108" s="103">
        <f>VLOOKUP($A108,'OI(Value)'!$A$7:$O$323,9,0)</f>
        <v>-552</v>
      </c>
      <c r="N108" s="103">
        <f>VLOOKUP($A108,'OI(Value)'!$A$7:$O$323,11,0)</f>
        <v>3837</v>
      </c>
      <c r="O108" s="103">
        <f>VLOOKUP($A108,'OI(Value)'!$A$7:$O$323,12,0)</f>
        <v>-2</v>
      </c>
      <c r="P108" s="179">
        <f>VLOOKUP(A108,'OI(Value)'!A108:O326,8,0)</f>
        <v>9528</v>
      </c>
      <c r="Q108" s="179">
        <f>VLOOKUP(A108,'OI(Value)'!A108:O326,9,0)</f>
        <v>-552</v>
      </c>
      <c r="R108" s="179">
        <f>VLOOKUP(A108,'OI(Value)'!A108:O326,11,0)</f>
        <v>3837</v>
      </c>
      <c r="S108" s="179">
        <f>VLOOKUP(A108,'OI(Value)'!A108:O326,11,0)</f>
        <v>3837</v>
      </c>
    </row>
    <row r="109" spans="1:19" x14ac:dyDescent="0.25">
      <c r="A109" s="105" t="str">
        <f>'Data Vlaue (Cr)'!C104</f>
        <v>JINDALSTEL</v>
      </c>
      <c r="B109" s="143">
        <f>VLOOKUP($A109,'Data shares'!$C:$FA,118)</f>
        <v>0.94</v>
      </c>
      <c r="C109" s="143">
        <f>VLOOKUP($A109,'Data shares'!$C:$FA,119)</f>
        <v>0.82</v>
      </c>
      <c r="D109" s="143">
        <f>VLOOKUP($A109,'Data shares'!$C:$FA,121)*100</f>
        <v>14.63</v>
      </c>
      <c r="E109" s="143">
        <f>VLOOKUP($A109,'Data shares'!$C:$FA,124)</f>
        <v>0.47</v>
      </c>
      <c r="F109" s="143">
        <f>VLOOKUP($A109,'Data shares'!$C:$FA,125)</f>
        <v>0.69</v>
      </c>
      <c r="G109" s="143">
        <f>VLOOKUP($A109,'Data shares'!$C:$FA,127)*100</f>
        <v>-31.879999999999995</v>
      </c>
      <c r="H109" s="103">
        <f>VLOOKUP($A109,'OI(Volume)'!$A$7:$O$440,8)</f>
        <v>4353125</v>
      </c>
      <c r="I109" s="103">
        <f>VLOOKUP($A109,'OI(Volume)'!$A$7:$O$440,9)</f>
        <v>-439375</v>
      </c>
      <c r="J109" s="103">
        <f>VLOOKUP($A109,'OI(Volume)'!$A$7:$O$440,11)</f>
        <v>4091250</v>
      </c>
      <c r="K109" s="103">
        <f>VLOOKUP($A109,'OI(Volume)'!$A$7:$O$440,12)</f>
        <v>172500</v>
      </c>
      <c r="L109" s="103">
        <f>VLOOKUP($A109,'OI(Value)'!$A$7:$O$323,8,0)</f>
        <v>468</v>
      </c>
      <c r="M109" s="103">
        <f>VLOOKUP($A109,'OI(Value)'!$A$7:$O$323,9,0)</f>
        <v>-47</v>
      </c>
      <c r="N109" s="103">
        <f>VLOOKUP($A109,'OI(Value)'!$A$7:$O$323,11,0)</f>
        <v>440</v>
      </c>
      <c r="O109" s="103">
        <f>VLOOKUP($A109,'OI(Value)'!$A$7:$O$323,12,0)</f>
        <v>19</v>
      </c>
      <c r="P109" s="179">
        <f>VLOOKUP(A109,'OI(Value)'!A109:O327,8,0)</f>
        <v>468</v>
      </c>
      <c r="Q109" s="179">
        <f>VLOOKUP(A109,'OI(Value)'!A109:O327,9,0)</f>
        <v>-47</v>
      </c>
      <c r="R109" s="179">
        <f>VLOOKUP(A109,'OI(Value)'!A109:O327,11,0)</f>
        <v>440</v>
      </c>
      <c r="S109" s="179">
        <f>VLOOKUP(A109,'OI(Value)'!A109:O327,11,0)</f>
        <v>440</v>
      </c>
    </row>
    <row r="110" spans="1:19" x14ac:dyDescent="0.25">
      <c r="A110" s="105" t="str">
        <f>'Data Vlaue (Cr)'!C105</f>
        <v>JIOFIN</v>
      </c>
      <c r="B110" s="143">
        <f>VLOOKUP($A110,'Data shares'!$C:$FA,118)</f>
        <v>0.61</v>
      </c>
      <c r="C110" s="143">
        <f>VLOOKUP($A110,'Data shares'!$C:$FA,119)</f>
        <v>0.62</v>
      </c>
      <c r="D110" s="143">
        <f>VLOOKUP($A110,'Data shares'!$C:$FA,121)*100</f>
        <v>-1.6099999999999999</v>
      </c>
      <c r="E110" s="143">
        <f>VLOOKUP($A110,'Data shares'!$C:$FA,124)</f>
        <v>0.56999999999999995</v>
      </c>
      <c r="F110" s="143">
        <f>VLOOKUP($A110,'Data shares'!$C:$FA,125)</f>
        <v>0.62</v>
      </c>
      <c r="G110" s="143">
        <f>VLOOKUP($A110,'Data shares'!$C:$FA,127)*100</f>
        <v>-8.06</v>
      </c>
      <c r="H110" s="103">
        <f>VLOOKUP($A110,'OI(Volume)'!$A$7:$O$440,8)</f>
        <v>96568550</v>
      </c>
      <c r="I110" s="103">
        <f>VLOOKUP($A110,'OI(Volume)'!$A$7:$O$440,9)</f>
        <v>-89300</v>
      </c>
      <c r="J110" s="103">
        <f>VLOOKUP($A110,'OI(Volume)'!$A$7:$O$440,11)</f>
        <v>58841650</v>
      </c>
      <c r="K110" s="103">
        <f>VLOOKUP($A110,'OI(Volume)'!$A$7:$O$440,12)</f>
        <v>-1144450</v>
      </c>
      <c r="L110" s="103">
        <f>VLOOKUP($A110,'OI(Value)'!$A$7:$O$323,8,0)</f>
        <v>2543</v>
      </c>
      <c r="M110" s="103">
        <f>VLOOKUP($A110,'OI(Value)'!$A$7:$O$323,9,0)</f>
        <v>-2</v>
      </c>
      <c r="N110" s="103">
        <f>VLOOKUP($A110,'OI(Value)'!$A$7:$O$323,11,0)</f>
        <v>1550</v>
      </c>
      <c r="O110" s="103">
        <f>VLOOKUP($A110,'OI(Value)'!$A$7:$O$323,12,0)</f>
        <v>-30</v>
      </c>
      <c r="P110" s="179">
        <f>VLOOKUP(A110,'OI(Value)'!A110:O328,8,0)</f>
        <v>2543</v>
      </c>
      <c r="Q110" s="179">
        <f>VLOOKUP(A110,'OI(Value)'!A110:O328,9,0)</f>
        <v>-2</v>
      </c>
      <c r="R110" s="179">
        <f>VLOOKUP(A110,'OI(Value)'!A110:O328,11,0)</f>
        <v>1550</v>
      </c>
      <c r="S110" s="179">
        <f>VLOOKUP(A110,'OI(Value)'!A110:O328,11,0)</f>
        <v>1550</v>
      </c>
    </row>
    <row r="111" spans="1:19" x14ac:dyDescent="0.25">
      <c r="A111" s="105" t="str">
        <f>'Data Vlaue (Cr)'!C106</f>
        <v>JSWENERGY</v>
      </c>
      <c r="B111" s="143">
        <f>VLOOKUP($A111,'Data shares'!$C:$FA,118)</f>
        <v>0.74</v>
      </c>
      <c r="C111" s="143">
        <f>VLOOKUP($A111,'Data shares'!$C:$FA,119)</f>
        <v>0.76</v>
      </c>
      <c r="D111" s="143">
        <f>VLOOKUP($A111,'Data shares'!$C:$FA,121)*100</f>
        <v>-2.63</v>
      </c>
      <c r="E111" s="143">
        <f>VLOOKUP($A111,'Data shares'!$C:$FA,124)</f>
        <v>0.45</v>
      </c>
      <c r="F111" s="143">
        <f>VLOOKUP($A111,'Data shares'!$C:$FA,125)</f>
        <v>0.8</v>
      </c>
      <c r="G111" s="143">
        <f>VLOOKUP($A111,'Data shares'!$C:$FA,127)*100</f>
        <v>-43.75</v>
      </c>
      <c r="H111" s="103">
        <f>VLOOKUP($A111,'OI(Volume)'!$A$7:$O$440,8)</f>
        <v>8811000</v>
      </c>
      <c r="I111" s="103">
        <f>VLOOKUP($A111,'OI(Volume)'!$A$7:$O$440,9)</f>
        <v>-141000</v>
      </c>
      <c r="J111" s="103">
        <f>VLOOKUP($A111,'OI(Volume)'!$A$7:$O$440,11)</f>
        <v>6500000</v>
      </c>
      <c r="K111" s="103">
        <f>VLOOKUP($A111,'OI(Volume)'!$A$7:$O$440,12)</f>
        <v>-261000</v>
      </c>
      <c r="L111" s="103">
        <f>VLOOKUP($A111,'OI(Value)'!$A$7:$O$323,8,0)</f>
        <v>434</v>
      </c>
      <c r="M111" s="103">
        <f>VLOOKUP($A111,'OI(Value)'!$A$7:$O$323,9,0)</f>
        <v>-7</v>
      </c>
      <c r="N111" s="103">
        <f>VLOOKUP($A111,'OI(Value)'!$A$7:$O$323,11,0)</f>
        <v>320</v>
      </c>
      <c r="O111" s="103">
        <f>VLOOKUP($A111,'OI(Value)'!$A$7:$O$323,12,0)</f>
        <v>-13</v>
      </c>
      <c r="P111" s="179">
        <f>VLOOKUP(A111,'OI(Value)'!A111:O329,8,0)</f>
        <v>434</v>
      </c>
      <c r="Q111" s="179">
        <f>VLOOKUP(A111,'OI(Value)'!A111:O329,9,0)</f>
        <v>-7</v>
      </c>
      <c r="R111" s="179">
        <f>VLOOKUP(A111,'OI(Value)'!A111:O329,11,0)</f>
        <v>320</v>
      </c>
      <c r="S111" s="179">
        <f>VLOOKUP(A111,'OI(Value)'!A111:O329,11,0)</f>
        <v>320</v>
      </c>
    </row>
    <row r="112" spans="1:19" x14ac:dyDescent="0.25">
      <c r="A112" s="105" t="str">
        <f>'Data Vlaue (Cr)'!C107</f>
        <v>JSWSTEEL</v>
      </c>
      <c r="B112" s="143">
        <f>VLOOKUP($A112,'Data shares'!$C:$FA,118)</f>
        <v>0.93</v>
      </c>
      <c r="C112" s="143">
        <f>VLOOKUP($A112,'Data shares'!$C:$FA,119)</f>
        <v>0.89</v>
      </c>
      <c r="D112" s="143">
        <f>VLOOKUP($A112,'Data shares'!$C:$FA,121)*100</f>
        <v>4.49</v>
      </c>
      <c r="E112" s="143">
        <f>VLOOKUP($A112,'Data shares'!$C:$FA,124)</f>
        <v>0.5</v>
      </c>
      <c r="F112" s="143">
        <f>VLOOKUP($A112,'Data shares'!$C:$FA,125)</f>
        <v>0.59</v>
      </c>
      <c r="G112" s="143">
        <f>VLOOKUP($A112,'Data shares'!$C:$FA,127)*100</f>
        <v>-15.25</v>
      </c>
      <c r="H112" s="103">
        <f>VLOOKUP($A112,'OI(Volume)'!$A$7:$O$440,8)</f>
        <v>7013925</v>
      </c>
      <c r="I112" s="103">
        <f>VLOOKUP($A112,'OI(Volume)'!$A$7:$O$440,9)</f>
        <v>-197100</v>
      </c>
      <c r="J112" s="103">
        <f>VLOOKUP($A112,'OI(Volume)'!$A$7:$O$440,11)</f>
        <v>6488775</v>
      </c>
      <c r="K112" s="103">
        <f>VLOOKUP($A112,'OI(Volume)'!$A$7:$O$440,12)</f>
        <v>67500</v>
      </c>
      <c r="L112" s="103">
        <f>VLOOKUP($A112,'OI(Value)'!$A$7:$O$323,8,0)</f>
        <v>833</v>
      </c>
      <c r="M112" s="103">
        <f>VLOOKUP($A112,'OI(Value)'!$A$7:$O$323,9,0)</f>
        <v>-23</v>
      </c>
      <c r="N112" s="103">
        <f>VLOOKUP($A112,'OI(Value)'!$A$7:$O$323,11,0)</f>
        <v>770</v>
      </c>
      <c r="O112" s="103">
        <f>VLOOKUP($A112,'OI(Value)'!$A$7:$O$323,12,0)</f>
        <v>8</v>
      </c>
      <c r="P112" s="179">
        <f>VLOOKUP(A112,'OI(Value)'!A112:O330,8,0)</f>
        <v>833</v>
      </c>
      <c r="Q112" s="179">
        <f>VLOOKUP(A112,'OI(Value)'!A112:O330,9,0)</f>
        <v>-23</v>
      </c>
      <c r="R112" s="179">
        <f>VLOOKUP(A112,'OI(Value)'!A112:O330,11,0)</f>
        <v>770</v>
      </c>
      <c r="S112" s="179">
        <f>VLOOKUP(A112,'OI(Value)'!A112:O330,11,0)</f>
        <v>770</v>
      </c>
    </row>
    <row r="113" spans="1:19" x14ac:dyDescent="0.25">
      <c r="A113" s="105" t="str">
        <f>'Data Vlaue (Cr)'!C108</f>
        <v>JUBLFOOD</v>
      </c>
      <c r="B113" s="143">
        <f>VLOOKUP($A113,'Data shares'!$C:$FA,118)</f>
        <v>0.61</v>
      </c>
      <c r="C113" s="143">
        <f>VLOOKUP($A113,'Data shares'!$C:$FA,119)</f>
        <v>0.6</v>
      </c>
      <c r="D113" s="143">
        <f>VLOOKUP($A113,'Data shares'!$C:$FA,121)*100</f>
        <v>1.67</v>
      </c>
      <c r="E113" s="143">
        <f>VLOOKUP($A113,'Data shares'!$C:$FA,124)</f>
        <v>0.5</v>
      </c>
      <c r="F113" s="143">
        <f>VLOOKUP($A113,'Data shares'!$C:$FA,125)</f>
        <v>0.52</v>
      </c>
      <c r="G113" s="143">
        <f>VLOOKUP($A113,'Data shares'!$C:$FA,127)*100</f>
        <v>-3.85</v>
      </c>
      <c r="H113" s="103">
        <f>VLOOKUP($A113,'OI(Volume)'!$A$7:$O$440,8)</f>
        <v>12468750</v>
      </c>
      <c r="I113" s="103">
        <f>VLOOKUP($A113,'OI(Volume)'!$A$7:$O$440,9)</f>
        <v>-328750</v>
      </c>
      <c r="J113" s="103">
        <f>VLOOKUP($A113,'OI(Volume)'!$A$7:$O$440,11)</f>
        <v>7615000</v>
      </c>
      <c r="K113" s="103">
        <f>VLOOKUP($A113,'OI(Volume)'!$A$7:$O$440,12)</f>
        <v>-106250</v>
      </c>
      <c r="L113" s="103">
        <f>VLOOKUP($A113,'OI(Value)'!$A$7:$O$323,8,0)</f>
        <v>627</v>
      </c>
      <c r="M113" s="103">
        <f>VLOOKUP($A113,'OI(Value)'!$A$7:$O$323,9,0)</f>
        <v>-17</v>
      </c>
      <c r="N113" s="103">
        <f>VLOOKUP($A113,'OI(Value)'!$A$7:$O$323,11,0)</f>
        <v>383</v>
      </c>
      <c r="O113" s="103">
        <f>VLOOKUP($A113,'OI(Value)'!$A$7:$O$323,12,0)</f>
        <v>-5</v>
      </c>
      <c r="P113" s="179">
        <f>VLOOKUP(A113,'OI(Value)'!A113:O331,8,0)</f>
        <v>627</v>
      </c>
      <c r="Q113" s="179">
        <f>VLOOKUP(A113,'OI(Value)'!A113:O331,9,0)</f>
        <v>-17</v>
      </c>
      <c r="R113" s="179">
        <f>VLOOKUP(A113,'OI(Value)'!A113:O331,11,0)</f>
        <v>383</v>
      </c>
      <c r="S113" s="179">
        <f>VLOOKUP(A113,'OI(Value)'!A113:O331,11,0)</f>
        <v>383</v>
      </c>
    </row>
    <row r="114" spans="1:19" x14ac:dyDescent="0.25">
      <c r="A114" s="105" t="str">
        <f>'Data Vlaue (Cr)'!C109</f>
        <v>KALYANKJIL</v>
      </c>
      <c r="B114" s="143">
        <f>VLOOKUP($A114,'Data shares'!$C:$FA,118)</f>
        <v>0.56000000000000005</v>
      </c>
      <c r="C114" s="143">
        <f>VLOOKUP($A114,'Data shares'!$C:$FA,119)</f>
        <v>0.47</v>
      </c>
      <c r="D114" s="143">
        <f>VLOOKUP($A114,'Data shares'!$C:$FA,121)*100</f>
        <v>19.149999999999999</v>
      </c>
      <c r="E114" s="143">
        <f>VLOOKUP($A114,'Data shares'!$C:$FA,124)</f>
        <v>1.1599999999999999</v>
      </c>
      <c r="F114" s="143">
        <f>VLOOKUP($A114,'Data shares'!$C:$FA,125)</f>
        <v>0.94</v>
      </c>
      <c r="G114" s="143">
        <f>VLOOKUP($A114,'Data shares'!$C:$FA,127)*100</f>
        <v>23.400000000000002</v>
      </c>
      <c r="H114" s="103">
        <f>VLOOKUP($A114,'OI(Volume)'!$A$7:$O$440,8)</f>
        <v>30592300</v>
      </c>
      <c r="I114" s="103">
        <f>VLOOKUP($A114,'OI(Volume)'!$A$7:$O$440,9)</f>
        <v>-621575</v>
      </c>
      <c r="J114" s="103">
        <f>VLOOKUP($A114,'OI(Volume)'!$A$7:$O$440,11)</f>
        <v>17069225</v>
      </c>
      <c r="K114" s="103">
        <f>VLOOKUP($A114,'OI(Volume)'!$A$7:$O$440,12)</f>
        <v>2261875</v>
      </c>
      <c r="L114" s="103">
        <f>VLOOKUP($A114,'OI(Value)'!$A$7:$O$323,8,0)</f>
        <v>1148</v>
      </c>
      <c r="M114" s="103">
        <f>VLOOKUP($A114,'OI(Value)'!$A$7:$O$323,9,0)</f>
        <v>-23</v>
      </c>
      <c r="N114" s="103">
        <f>VLOOKUP($A114,'OI(Value)'!$A$7:$O$323,11,0)</f>
        <v>640</v>
      </c>
      <c r="O114" s="103">
        <f>VLOOKUP($A114,'OI(Value)'!$A$7:$O$323,12,0)</f>
        <v>85</v>
      </c>
      <c r="P114" s="179">
        <f>VLOOKUP(A114,'OI(Value)'!A114:O332,8,0)</f>
        <v>1148</v>
      </c>
      <c r="Q114" s="179">
        <f>VLOOKUP(A114,'OI(Value)'!A114:O332,9,0)</f>
        <v>-23</v>
      </c>
      <c r="R114" s="179">
        <f>VLOOKUP(A114,'OI(Value)'!A114:O332,11,0)</f>
        <v>640</v>
      </c>
      <c r="S114" s="179">
        <f>VLOOKUP(A114,'OI(Value)'!A114:O332,11,0)</f>
        <v>640</v>
      </c>
    </row>
    <row r="115" spans="1:19" x14ac:dyDescent="0.25">
      <c r="A115" s="105" t="str">
        <f>'Data Vlaue (Cr)'!C110</f>
        <v>KAYNES</v>
      </c>
      <c r="B115" s="143">
        <f>VLOOKUP($A115,'Data shares'!$C:$FA,118)</f>
        <v>0.48</v>
      </c>
      <c r="C115" s="143">
        <f>VLOOKUP($A115,'Data shares'!$C:$FA,119)</f>
        <v>0.49</v>
      </c>
      <c r="D115" s="143">
        <f>VLOOKUP($A115,'Data shares'!$C:$FA,121)*100</f>
        <v>-2.04</v>
      </c>
      <c r="E115" s="143">
        <f>VLOOKUP($A115,'Data shares'!$C:$FA,124)</f>
        <v>0.43</v>
      </c>
      <c r="F115" s="143">
        <f>VLOOKUP($A115,'Data shares'!$C:$FA,125)</f>
        <v>0.53</v>
      </c>
      <c r="G115" s="143">
        <f>VLOOKUP($A115,'Data shares'!$C:$FA,127)*100</f>
        <v>-18.87</v>
      </c>
      <c r="H115" s="103">
        <f>VLOOKUP($A115,'OI(Volume)'!$A$7:$O$440,8)</f>
        <v>3395700</v>
      </c>
      <c r="I115" s="103">
        <f>VLOOKUP($A115,'OI(Volume)'!$A$7:$O$440,9)</f>
        <v>-297000</v>
      </c>
      <c r="J115" s="103">
        <f>VLOOKUP($A115,'OI(Volume)'!$A$7:$O$440,11)</f>
        <v>1644200</v>
      </c>
      <c r="K115" s="103">
        <f>VLOOKUP($A115,'OI(Volume)'!$A$7:$O$440,12)</f>
        <v>-151300</v>
      </c>
      <c r="L115" s="103">
        <f>VLOOKUP($A115,'OI(Value)'!$A$7:$O$323,8,0)</f>
        <v>1201</v>
      </c>
      <c r="M115" s="103">
        <f>VLOOKUP($A115,'OI(Value)'!$A$7:$O$323,9,0)</f>
        <v>-105</v>
      </c>
      <c r="N115" s="103">
        <f>VLOOKUP($A115,'OI(Value)'!$A$7:$O$323,11,0)</f>
        <v>582</v>
      </c>
      <c r="O115" s="103">
        <f>VLOOKUP($A115,'OI(Value)'!$A$7:$O$323,12,0)</f>
        <v>-54</v>
      </c>
      <c r="P115" s="179">
        <f>VLOOKUP(A115,'OI(Value)'!A115:O333,8,0)</f>
        <v>1201</v>
      </c>
      <c r="Q115" s="179">
        <f>VLOOKUP(A115,'OI(Value)'!A115:O333,9,0)</f>
        <v>-105</v>
      </c>
      <c r="R115" s="179">
        <f>VLOOKUP(A115,'OI(Value)'!A115:O333,11,0)</f>
        <v>582</v>
      </c>
      <c r="S115" s="179">
        <f>VLOOKUP(A115,'OI(Value)'!A115:O333,11,0)</f>
        <v>582</v>
      </c>
    </row>
    <row r="116" spans="1:19" x14ac:dyDescent="0.25">
      <c r="A116" s="105" t="str">
        <f>'Data Vlaue (Cr)'!C111</f>
        <v>KEI</v>
      </c>
      <c r="B116" s="143">
        <f>VLOOKUP($A116,'Data shares'!$C:$FA,118)</f>
        <v>0.6</v>
      </c>
      <c r="C116" s="143">
        <f>VLOOKUP($A116,'Data shares'!$C:$FA,119)</f>
        <v>0.79</v>
      </c>
      <c r="D116" s="143">
        <f>VLOOKUP($A116,'Data shares'!$C:$FA,121)*100</f>
        <v>-24.05</v>
      </c>
      <c r="E116" s="143">
        <f>VLOOKUP($A116,'Data shares'!$C:$FA,124)</f>
        <v>0.8</v>
      </c>
      <c r="F116" s="143">
        <f>VLOOKUP($A116,'Data shares'!$C:$FA,125)</f>
        <v>0.89</v>
      </c>
      <c r="G116" s="143">
        <f>VLOOKUP($A116,'Data shares'!$C:$FA,127)*100</f>
        <v>-10.11</v>
      </c>
      <c r="H116" s="103">
        <f>VLOOKUP($A116,'OI(Volume)'!$A$7:$O$440,8)</f>
        <v>1195075</v>
      </c>
      <c r="I116" s="103">
        <f>VLOOKUP($A116,'OI(Volume)'!$A$7:$O$440,9)</f>
        <v>242025</v>
      </c>
      <c r="J116" s="103">
        <f>VLOOKUP($A116,'OI(Volume)'!$A$7:$O$440,11)</f>
        <v>714525</v>
      </c>
      <c r="K116" s="103">
        <f>VLOOKUP($A116,'OI(Volume)'!$A$7:$O$440,12)</f>
        <v>-38500</v>
      </c>
      <c r="L116" s="103">
        <f>VLOOKUP($A116,'OI(Value)'!$A$7:$O$323,8,0)</f>
        <v>461</v>
      </c>
      <c r="M116" s="103">
        <f>VLOOKUP($A116,'OI(Value)'!$A$7:$O$323,9,0)</f>
        <v>93</v>
      </c>
      <c r="N116" s="103">
        <f>VLOOKUP($A116,'OI(Value)'!$A$7:$O$323,11,0)</f>
        <v>275</v>
      </c>
      <c r="O116" s="103">
        <f>VLOOKUP($A116,'OI(Value)'!$A$7:$O$323,12,0)</f>
        <v>-15</v>
      </c>
      <c r="P116" s="179">
        <f>VLOOKUP(A116,'OI(Value)'!A116:O334,8,0)</f>
        <v>461</v>
      </c>
      <c r="Q116" s="179">
        <f>VLOOKUP(A116,'OI(Value)'!A116:O334,9,0)</f>
        <v>93</v>
      </c>
      <c r="R116" s="179">
        <f>VLOOKUP(A116,'OI(Value)'!A116:O334,11,0)</f>
        <v>275</v>
      </c>
      <c r="S116" s="179">
        <f>VLOOKUP(A116,'OI(Value)'!A116:O334,11,0)</f>
        <v>275</v>
      </c>
    </row>
    <row r="117" spans="1:19" x14ac:dyDescent="0.25">
      <c r="A117" s="105" t="str">
        <f>'Data Vlaue (Cr)'!C112</f>
        <v>KFINTECH</v>
      </c>
      <c r="B117" s="143">
        <f>VLOOKUP($A117,'Data shares'!$C:$FA,118)</f>
        <v>0.9</v>
      </c>
      <c r="C117" s="143">
        <f>VLOOKUP($A117,'Data shares'!$C:$FA,119)</f>
        <v>0.81</v>
      </c>
      <c r="D117" s="143">
        <f>VLOOKUP($A117,'Data shares'!$C:$FA,121)*100</f>
        <v>11.110000000000001</v>
      </c>
      <c r="E117" s="143">
        <f>VLOOKUP($A117,'Data shares'!$C:$FA,124)</f>
        <v>0.48</v>
      </c>
      <c r="F117" s="143">
        <f>VLOOKUP($A117,'Data shares'!$C:$FA,125)</f>
        <v>1.66</v>
      </c>
      <c r="G117" s="143">
        <f>VLOOKUP($A117,'Data shares'!$C:$FA,127)*100</f>
        <v>-71.08</v>
      </c>
      <c r="H117" s="103">
        <f>VLOOKUP($A117,'OI(Volume)'!$A$7:$O$440,8)</f>
        <v>1866000</v>
      </c>
      <c r="I117" s="103">
        <f>VLOOKUP($A117,'OI(Volume)'!$A$7:$O$440,9)</f>
        <v>-321000</v>
      </c>
      <c r="J117" s="103">
        <f>VLOOKUP($A117,'OI(Volume)'!$A$7:$O$440,11)</f>
        <v>1676000</v>
      </c>
      <c r="K117" s="103">
        <f>VLOOKUP($A117,'OI(Volume)'!$A$7:$O$440,12)</f>
        <v>-90500</v>
      </c>
      <c r="L117" s="103">
        <f>VLOOKUP($A117,'OI(Value)'!$A$7:$O$323,8,0)</f>
        <v>193</v>
      </c>
      <c r="M117" s="103">
        <f>VLOOKUP($A117,'OI(Value)'!$A$7:$O$323,9,0)</f>
        <v>-33</v>
      </c>
      <c r="N117" s="103">
        <f>VLOOKUP($A117,'OI(Value)'!$A$7:$O$323,11,0)</f>
        <v>174</v>
      </c>
      <c r="O117" s="103">
        <f>VLOOKUP($A117,'OI(Value)'!$A$7:$O$323,12,0)</f>
        <v>-9</v>
      </c>
      <c r="P117" s="179">
        <f>VLOOKUP(A117,'OI(Value)'!A117:O335,8,0)</f>
        <v>193</v>
      </c>
      <c r="Q117" s="179">
        <f>VLOOKUP(A117,'OI(Value)'!A117:O335,9,0)</f>
        <v>-33</v>
      </c>
      <c r="R117" s="179">
        <f>VLOOKUP(A117,'OI(Value)'!A117:O335,11,0)</f>
        <v>174</v>
      </c>
      <c r="S117" s="179">
        <f>VLOOKUP(A117,'OI(Value)'!A117:O335,11,0)</f>
        <v>174</v>
      </c>
    </row>
    <row r="118" spans="1:19" x14ac:dyDescent="0.25">
      <c r="A118" s="105" t="str">
        <f>'Data Vlaue (Cr)'!C113</f>
        <v>KOTAKBANK</v>
      </c>
      <c r="B118" s="143">
        <f>VLOOKUP($A118,'Data shares'!$C:$FA,118)</f>
        <v>0.63</v>
      </c>
      <c r="C118" s="143">
        <f>VLOOKUP($A118,'Data shares'!$C:$FA,119)</f>
        <v>0.64</v>
      </c>
      <c r="D118" s="143">
        <f>VLOOKUP($A118,'Data shares'!$C:$FA,121)*100</f>
        <v>-1.5599999999999998</v>
      </c>
      <c r="E118" s="143">
        <f>VLOOKUP($A118,'Data shares'!$C:$FA,124)</f>
        <v>0.64</v>
      </c>
      <c r="F118" s="143">
        <f>VLOOKUP($A118,'Data shares'!$C:$FA,125)</f>
        <v>0.55000000000000004</v>
      </c>
      <c r="G118" s="143">
        <f>VLOOKUP($A118,'Data shares'!$C:$FA,127)*100</f>
        <v>16.36</v>
      </c>
      <c r="H118" s="103">
        <f>VLOOKUP($A118,'OI(Volume)'!$A$7:$O$440,8)</f>
        <v>43444000</v>
      </c>
      <c r="I118" s="103">
        <f>VLOOKUP($A118,'OI(Volume)'!$A$7:$O$440,9)</f>
        <v>-974000</v>
      </c>
      <c r="J118" s="103">
        <f>VLOOKUP($A118,'OI(Volume)'!$A$7:$O$440,11)</f>
        <v>27416000</v>
      </c>
      <c r="K118" s="103">
        <f>VLOOKUP($A118,'OI(Volume)'!$A$7:$O$440,12)</f>
        <v>-1120000</v>
      </c>
      <c r="L118" s="103">
        <f>VLOOKUP($A118,'OI(Value)'!$A$7:$O$323,8,0)</f>
        <v>1852</v>
      </c>
      <c r="M118" s="103">
        <f>VLOOKUP($A118,'OI(Value)'!$A$7:$O$323,9,0)</f>
        <v>-42</v>
      </c>
      <c r="N118" s="103">
        <f>VLOOKUP($A118,'OI(Value)'!$A$7:$O$323,11,0)</f>
        <v>1168</v>
      </c>
      <c r="O118" s="103">
        <f>VLOOKUP($A118,'OI(Value)'!$A$7:$O$323,12,0)</f>
        <v>-48</v>
      </c>
      <c r="P118" s="179">
        <f>VLOOKUP(A118,'OI(Value)'!A118:O336,8,0)</f>
        <v>1852</v>
      </c>
      <c r="Q118" s="179">
        <f>VLOOKUP(A118,'OI(Value)'!A118:O336,9,0)</f>
        <v>-42</v>
      </c>
      <c r="R118" s="179">
        <f>VLOOKUP(A118,'OI(Value)'!A118:O336,11,0)</f>
        <v>1168</v>
      </c>
      <c r="S118" s="179">
        <f>VLOOKUP(A118,'OI(Value)'!A118:O336,11,0)</f>
        <v>1168</v>
      </c>
    </row>
    <row r="119" spans="1:19" x14ac:dyDescent="0.25">
      <c r="A119" s="105" t="str">
        <f>'Data Vlaue (Cr)'!C114</f>
        <v>KPITTECH</v>
      </c>
      <c r="B119" s="143">
        <f>VLOOKUP($A119,'Data shares'!$C:$FA,118)</f>
        <v>0.68</v>
      </c>
      <c r="C119" s="143">
        <f>VLOOKUP($A119,'Data shares'!$C:$FA,119)</f>
        <v>0.68</v>
      </c>
      <c r="D119" s="143">
        <f>VLOOKUP($A119,'Data shares'!$C:$FA,121)*100</f>
        <v>0</v>
      </c>
      <c r="E119" s="143">
        <f>VLOOKUP($A119,'Data shares'!$C:$FA,124)</f>
        <v>0.42</v>
      </c>
      <c r="F119" s="143">
        <f>VLOOKUP($A119,'Data shares'!$C:$FA,125)</f>
        <v>0.89</v>
      </c>
      <c r="G119" s="143">
        <f>VLOOKUP($A119,'Data shares'!$C:$FA,127)*100</f>
        <v>-52.81</v>
      </c>
      <c r="H119" s="103">
        <f>VLOOKUP($A119,'OI(Volume)'!$A$7:$O$440,8)</f>
        <v>2756550</v>
      </c>
      <c r="I119" s="103">
        <f>VLOOKUP($A119,'OI(Volume)'!$A$7:$O$440,9)</f>
        <v>5100</v>
      </c>
      <c r="J119" s="103">
        <f>VLOOKUP($A119,'OI(Volume)'!$A$7:$O$440,11)</f>
        <v>1869575</v>
      </c>
      <c r="K119" s="103">
        <f>VLOOKUP($A119,'OI(Volume)'!$A$7:$O$440,12)</f>
        <v>-2550</v>
      </c>
      <c r="L119" s="103">
        <f>VLOOKUP($A119,'OI(Value)'!$A$7:$O$323,8,0)</f>
        <v>307</v>
      </c>
      <c r="M119" s="103">
        <f>VLOOKUP($A119,'OI(Value)'!$A$7:$O$323,9,0)</f>
        <v>1</v>
      </c>
      <c r="N119" s="103">
        <f>VLOOKUP($A119,'OI(Value)'!$A$7:$O$323,11,0)</f>
        <v>208</v>
      </c>
      <c r="O119" s="103">
        <f>VLOOKUP($A119,'OI(Value)'!$A$7:$O$323,12,0)</f>
        <v>0</v>
      </c>
      <c r="P119" s="179">
        <f>VLOOKUP(A119,'OI(Value)'!A119:O337,8,0)</f>
        <v>307</v>
      </c>
      <c r="Q119" s="179">
        <f>VLOOKUP(A119,'OI(Value)'!A119:O337,9,0)</f>
        <v>1</v>
      </c>
      <c r="R119" s="179">
        <f>VLOOKUP(A119,'OI(Value)'!A119:O337,11,0)</f>
        <v>208</v>
      </c>
      <c r="S119" s="179">
        <f>VLOOKUP(A119,'OI(Value)'!A119:O337,11,0)</f>
        <v>208</v>
      </c>
    </row>
    <row r="120" spans="1:19" x14ac:dyDescent="0.25">
      <c r="A120" s="105" t="str">
        <f>'Data Vlaue (Cr)'!C115</f>
        <v>LAURUSLABS</v>
      </c>
      <c r="B120" s="143">
        <f>VLOOKUP($A120,'Data shares'!$C:$FA,118)</f>
        <v>0.52</v>
      </c>
      <c r="C120" s="143">
        <f>VLOOKUP($A120,'Data shares'!$C:$FA,119)</f>
        <v>0.54</v>
      </c>
      <c r="D120" s="143">
        <f>VLOOKUP($A120,'Data shares'!$C:$FA,121)*100</f>
        <v>-3.6999999999999997</v>
      </c>
      <c r="E120" s="143">
        <f>VLOOKUP($A120,'Data shares'!$C:$FA,124)</f>
        <v>0.43</v>
      </c>
      <c r="F120" s="143">
        <f>VLOOKUP($A120,'Data shares'!$C:$FA,125)</f>
        <v>0.66</v>
      </c>
      <c r="G120" s="143">
        <f>VLOOKUP($A120,'Data shares'!$C:$FA,127)*100</f>
        <v>-34.849999999999994</v>
      </c>
      <c r="H120" s="103">
        <f>VLOOKUP($A120,'OI(Volume)'!$A$7:$O$440,8)</f>
        <v>15251550</v>
      </c>
      <c r="I120" s="103">
        <f>VLOOKUP($A120,'OI(Volume)'!$A$7:$O$440,9)</f>
        <v>380800</v>
      </c>
      <c r="J120" s="103">
        <f>VLOOKUP($A120,'OI(Volume)'!$A$7:$O$440,11)</f>
        <v>8001050</v>
      </c>
      <c r="K120" s="103">
        <f>VLOOKUP($A120,'OI(Volume)'!$A$7:$O$440,12)</f>
        <v>-31450</v>
      </c>
      <c r="L120" s="103">
        <f>VLOOKUP($A120,'OI(Value)'!$A$7:$O$323,8,0)</f>
        <v>1540</v>
      </c>
      <c r="M120" s="103">
        <f>VLOOKUP($A120,'OI(Value)'!$A$7:$O$323,9,0)</f>
        <v>38</v>
      </c>
      <c r="N120" s="103">
        <f>VLOOKUP($A120,'OI(Value)'!$A$7:$O$323,11,0)</f>
        <v>808</v>
      </c>
      <c r="O120" s="103">
        <f>VLOOKUP($A120,'OI(Value)'!$A$7:$O$323,12,0)</f>
        <v>-3</v>
      </c>
      <c r="P120" s="179">
        <f>VLOOKUP(A120,'OI(Value)'!A120:O338,8,0)</f>
        <v>1540</v>
      </c>
      <c r="Q120" s="179">
        <f>VLOOKUP(A120,'OI(Value)'!A120:O338,9,0)</f>
        <v>38</v>
      </c>
      <c r="R120" s="179">
        <f>VLOOKUP(A120,'OI(Value)'!A120:O338,11,0)</f>
        <v>808</v>
      </c>
      <c r="S120" s="179">
        <f>VLOOKUP(A120,'OI(Value)'!A120:O338,11,0)</f>
        <v>808</v>
      </c>
    </row>
    <row r="121" spans="1:19" x14ac:dyDescent="0.25">
      <c r="A121" s="105" t="str">
        <f>'Data Vlaue (Cr)'!C116</f>
        <v>LICHSGFIN</v>
      </c>
      <c r="B121" s="143">
        <f>VLOOKUP($A121,'Data shares'!$C:$FA,118)</f>
        <v>1.0900000000000001</v>
      </c>
      <c r="C121" s="143">
        <f>VLOOKUP($A121,'Data shares'!$C:$FA,119)</f>
        <v>0.97</v>
      </c>
      <c r="D121" s="143">
        <f>VLOOKUP($A121,'Data shares'!$C:$FA,121)*100</f>
        <v>12.370000000000001</v>
      </c>
      <c r="E121" s="143">
        <f>VLOOKUP($A121,'Data shares'!$C:$FA,124)</f>
        <v>0.87</v>
      </c>
      <c r="F121" s="143">
        <f>VLOOKUP($A121,'Data shares'!$C:$FA,125)</f>
        <v>0.71</v>
      </c>
      <c r="G121" s="143">
        <f>VLOOKUP($A121,'Data shares'!$C:$FA,127)*100</f>
        <v>22.54</v>
      </c>
      <c r="H121" s="103">
        <f>VLOOKUP($A121,'OI(Volume)'!$A$7:$O$440,8)</f>
        <v>8295000</v>
      </c>
      <c r="I121" s="103">
        <f>VLOOKUP($A121,'OI(Volume)'!$A$7:$O$440,9)</f>
        <v>-1034000</v>
      </c>
      <c r="J121" s="103">
        <f>VLOOKUP($A121,'OI(Volume)'!$A$7:$O$440,11)</f>
        <v>9079000</v>
      </c>
      <c r="K121" s="103">
        <f>VLOOKUP($A121,'OI(Volume)'!$A$7:$O$440,12)</f>
        <v>75000</v>
      </c>
      <c r="L121" s="103">
        <f>VLOOKUP($A121,'OI(Value)'!$A$7:$O$323,8,0)</f>
        <v>429</v>
      </c>
      <c r="M121" s="103">
        <f>VLOOKUP($A121,'OI(Value)'!$A$7:$O$323,9,0)</f>
        <v>-54</v>
      </c>
      <c r="N121" s="103">
        <f>VLOOKUP($A121,'OI(Value)'!$A$7:$O$323,11,0)</f>
        <v>470</v>
      </c>
      <c r="O121" s="103">
        <f>VLOOKUP($A121,'OI(Value)'!$A$7:$O$323,12,0)</f>
        <v>4</v>
      </c>
      <c r="P121" s="179">
        <f>VLOOKUP(A121,'OI(Value)'!A121:O339,8,0)</f>
        <v>429</v>
      </c>
      <c r="Q121" s="179">
        <f>VLOOKUP(A121,'OI(Value)'!A121:O339,9,0)</f>
        <v>-54</v>
      </c>
      <c r="R121" s="179">
        <f>VLOOKUP(A121,'OI(Value)'!A121:O339,11,0)</f>
        <v>470</v>
      </c>
      <c r="S121" s="179">
        <f>VLOOKUP(A121,'OI(Value)'!A121:O339,11,0)</f>
        <v>470</v>
      </c>
    </row>
    <row r="122" spans="1:19" x14ac:dyDescent="0.25">
      <c r="A122" s="105" t="str">
        <f>'Data Vlaue (Cr)'!C117</f>
        <v>LICI</v>
      </c>
      <c r="B122" s="143">
        <f>VLOOKUP($A122,'Data shares'!$C:$FA,118)</f>
        <v>0.57999999999999996</v>
      </c>
      <c r="C122" s="143">
        <f>VLOOKUP($A122,'Data shares'!$C:$FA,119)</f>
        <v>0.6</v>
      </c>
      <c r="D122" s="143">
        <f>VLOOKUP($A122,'Data shares'!$C:$FA,121)*100</f>
        <v>-3.3300000000000005</v>
      </c>
      <c r="E122" s="143">
        <f>VLOOKUP($A122,'Data shares'!$C:$FA,124)</f>
        <v>0.67</v>
      </c>
      <c r="F122" s="143">
        <f>VLOOKUP($A122,'Data shares'!$C:$FA,125)</f>
        <v>0.68</v>
      </c>
      <c r="G122" s="143">
        <f>VLOOKUP($A122,'Data shares'!$C:$FA,127)*100</f>
        <v>-1.47</v>
      </c>
      <c r="H122" s="103">
        <f>VLOOKUP($A122,'OI(Volume)'!$A$7:$O$440,8)</f>
        <v>6934200</v>
      </c>
      <c r="I122" s="103">
        <f>VLOOKUP($A122,'OI(Volume)'!$A$7:$O$440,9)</f>
        <v>-173600</v>
      </c>
      <c r="J122" s="103">
        <f>VLOOKUP($A122,'OI(Volume)'!$A$7:$O$440,11)</f>
        <v>4021500</v>
      </c>
      <c r="K122" s="103">
        <f>VLOOKUP($A122,'OI(Volume)'!$A$7:$O$440,12)</f>
        <v>-259700</v>
      </c>
      <c r="L122" s="103">
        <f>VLOOKUP($A122,'OI(Value)'!$A$7:$O$323,8,0)</f>
        <v>569</v>
      </c>
      <c r="M122" s="103">
        <f>VLOOKUP($A122,'OI(Value)'!$A$7:$O$323,9,0)</f>
        <v>-14</v>
      </c>
      <c r="N122" s="103">
        <f>VLOOKUP($A122,'OI(Value)'!$A$7:$O$323,11,0)</f>
        <v>330</v>
      </c>
      <c r="O122" s="103">
        <f>VLOOKUP($A122,'OI(Value)'!$A$7:$O$323,12,0)</f>
        <v>-21</v>
      </c>
      <c r="P122" s="179">
        <f>VLOOKUP(A122,'OI(Value)'!A122:O340,8,0)</f>
        <v>569</v>
      </c>
      <c r="Q122" s="179">
        <f>VLOOKUP(A122,'OI(Value)'!A122:O340,9,0)</f>
        <v>-14</v>
      </c>
      <c r="R122" s="179">
        <f>VLOOKUP(A122,'OI(Value)'!A122:O340,11,0)</f>
        <v>330</v>
      </c>
      <c r="S122" s="179">
        <f>VLOOKUP(A122,'OI(Value)'!A122:O340,11,0)</f>
        <v>330</v>
      </c>
    </row>
    <row r="123" spans="1:19" x14ac:dyDescent="0.25">
      <c r="A123" s="105" t="str">
        <f>'Data Vlaue (Cr)'!C118</f>
        <v>LODHA</v>
      </c>
      <c r="B123" s="143">
        <f>VLOOKUP($A123,'Data shares'!$C:$FA,118)</f>
        <v>0.52</v>
      </c>
      <c r="C123" s="143">
        <f>VLOOKUP($A123,'Data shares'!$C:$FA,119)</f>
        <v>0.51</v>
      </c>
      <c r="D123" s="143">
        <f>VLOOKUP($A123,'Data shares'!$C:$FA,121)*100</f>
        <v>1.96</v>
      </c>
      <c r="E123" s="143">
        <f>VLOOKUP($A123,'Data shares'!$C:$FA,124)</f>
        <v>0.85</v>
      </c>
      <c r="F123" s="143">
        <f>VLOOKUP($A123,'Data shares'!$C:$FA,125)</f>
        <v>0.62</v>
      </c>
      <c r="G123" s="143">
        <f>VLOOKUP($A123,'Data shares'!$C:$FA,127)*100</f>
        <v>37.1</v>
      </c>
      <c r="H123" s="103">
        <f>VLOOKUP($A123,'OI(Volume)'!$A$7:$O$440,8)</f>
        <v>4887000</v>
      </c>
      <c r="I123" s="103">
        <f>VLOOKUP($A123,'OI(Volume)'!$A$7:$O$440,9)</f>
        <v>-43650</v>
      </c>
      <c r="J123" s="103">
        <f>VLOOKUP($A123,'OI(Volume)'!$A$7:$O$440,11)</f>
        <v>2541600</v>
      </c>
      <c r="K123" s="103">
        <f>VLOOKUP($A123,'OI(Volume)'!$A$7:$O$440,12)</f>
        <v>35100</v>
      </c>
      <c r="L123" s="103">
        <f>VLOOKUP($A123,'OI(Value)'!$A$7:$O$323,8,0)</f>
        <v>464</v>
      </c>
      <c r="M123" s="103">
        <f>VLOOKUP($A123,'OI(Value)'!$A$7:$O$323,9,0)</f>
        <v>-4</v>
      </c>
      <c r="N123" s="103">
        <f>VLOOKUP($A123,'OI(Value)'!$A$7:$O$323,11,0)</f>
        <v>241</v>
      </c>
      <c r="O123" s="103">
        <f>VLOOKUP($A123,'OI(Value)'!$A$7:$O$323,12,0)</f>
        <v>3</v>
      </c>
      <c r="P123" s="179">
        <f>VLOOKUP(A123,'OI(Value)'!A123:O341,8,0)</f>
        <v>464</v>
      </c>
      <c r="Q123" s="179">
        <f>VLOOKUP(A123,'OI(Value)'!A123:O341,9,0)</f>
        <v>-4</v>
      </c>
      <c r="R123" s="179">
        <f>VLOOKUP(A123,'OI(Value)'!A123:O341,11,0)</f>
        <v>241</v>
      </c>
      <c r="S123" s="179">
        <f>VLOOKUP(A123,'OI(Value)'!A123:O341,11,0)</f>
        <v>241</v>
      </c>
    </row>
    <row r="124" spans="1:19" x14ac:dyDescent="0.25">
      <c r="A124" s="105" t="str">
        <f>'Data Vlaue (Cr)'!C119</f>
        <v>LT</v>
      </c>
      <c r="B124" s="143">
        <f>VLOOKUP($A124,'Data shares'!$C:$FA,118)</f>
        <v>0.48</v>
      </c>
      <c r="C124" s="143">
        <f>VLOOKUP($A124,'Data shares'!$C:$FA,119)</f>
        <v>0.46</v>
      </c>
      <c r="D124" s="143">
        <f>VLOOKUP($A124,'Data shares'!$C:$FA,121)*100</f>
        <v>4.3499999999999996</v>
      </c>
      <c r="E124" s="143">
        <f>VLOOKUP($A124,'Data shares'!$C:$FA,124)</f>
        <v>0.36</v>
      </c>
      <c r="F124" s="143">
        <f>VLOOKUP($A124,'Data shares'!$C:$FA,125)</f>
        <v>0.49</v>
      </c>
      <c r="G124" s="143">
        <f>VLOOKUP($A124,'Data shares'!$C:$FA,127)*100</f>
        <v>-26.529999999999998</v>
      </c>
      <c r="H124" s="103">
        <f>VLOOKUP($A124,'OI(Volume)'!$A$7:$O$440,8)</f>
        <v>7199325</v>
      </c>
      <c r="I124" s="103">
        <f>VLOOKUP($A124,'OI(Volume)'!$A$7:$O$440,9)</f>
        <v>-199325</v>
      </c>
      <c r="J124" s="103">
        <f>VLOOKUP($A124,'OI(Volume)'!$A$7:$O$440,11)</f>
        <v>3485125</v>
      </c>
      <c r="K124" s="103">
        <f>VLOOKUP($A124,'OI(Volume)'!$A$7:$O$440,12)</f>
        <v>100975</v>
      </c>
      <c r="L124" s="103">
        <f>VLOOKUP($A124,'OI(Value)'!$A$7:$O$323,8,0)</f>
        <v>2736</v>
      </c>
      <c r="M124" s="103">
        <f>VLOOKUP($A124,'OI(Value)'!$A$7:$O$323,9,0)</f>
        <v>-76</v>
      </c>
      <c r="N124" s="103">
        <f>VLOOKUP($A124,'OI(Value)'!$A$7:$O$323,11,0)</f>
        <v>1325</v>
      </c>
      <c r="O124" s="103">
        <f>VLOOKUP($A124,'OI(Value)'!$A$7:$O$323,12,0)</f>
        <v>38</v>
      </c>
      <c r="P124" s="179">
        <f>VLOOKUP(A124,'OI(Value)'!A124:O342,8,0)</f>
        <v>2736</v>
      </c>
      <c r="Q124" s="179">
        <f>VLOOKUP(A124,'OI(Value)'!A124:O342,9,0)</f>
        <v>-76</v>
      </c>
      <c r="R124" s="179">
        <f>VLOOKUP(A124,'OI(Value)'!A124:O342,11,0)</f>
        <v>1325</v>
      </c>
      <c r="S124" s="179">
        <f>VLOOKUP(A124,'OI(Value)'!A124:O342,11,0)</f>
        <v>1325</v>
      </c>
    </row>
    <row r="125" spans="1:19" x14ac:dyDescent="0.25">
      <c r="A125" s="105" t="str">
        <f>'Data Vlaue (Cr)'!C120</f>
        <v>LTF</v>
      </c>
      <c r="B125" s="143">
        <f>VLOOKUP($A125,'Data shares'!$C:$FA,118)</f>
        <v>0.46</v>
      </c>
      <c r="C125" s="143">
        <f>VLOOKUP($A125,'Data shares'!$C:$FA,119)</f>
        <v>0.44</v>
      </c>
      <c r="D125" s="143">
        <f>VLOOKUP($A125,'Data shares'!$C:$FA,121)*100</f>
        <v>4.55</v>
      </c>
      <c r="E125" s="143">
        <f>VLOOKUP($A125,'Data shares'!$C:$FA,124)</f>
        <v>0.35</v>
      </c>
      <c r="F125" s="143">
        <f>VLOOKUP($A125,'Data shares'!$C:$FA,125)</f>
        <v>0.51</v>
      </c>
      <c r="G125" s="143">
        <f>VLOOKUP($A125,'Data shares'!$C:$FA,127)*100</f>
        <v>-31.369999999999997</v>
      </c>
      <c r="H125" s="103">
        <f>VLOOKUP($A125,'OI(Volume)'!$A$7:$O$440,8)</f>
        <v>53124750</v>
      </c>
      <c r="I125" s="103">
        <f>VLOOKUP($A125,'OI(Volume)'!$A$7:$O$440,9)</f>
        <v>-5260500</v>
      </c>
      <c r="J125" s="103">
        <f>VLOOKUP($A125,'OI(Volume)'!$A$7:$O$440,11)</f>
        <v>24498000</v>
      </c>
      <c r="K125" s="103">
        <f>VLOOKUP($A125,'OI(Volume)'!$A$7:$O$440,12)</f>
        <v>-1037250</v>
      </c>
      <c r="L125" s="103">
        <f>VLOOKUP($A125,'OI(Value)'!$A$7:$O$323,8,0)</f>
        <v>1527</v>
      </c>
      <c r="M125" s="103">
        <f>VLOOKUP($A125,'OI(Value)'!$A$7:$O$323,9,0)</f>
        <v>-151</v>
      </c>
      <c r="N125" s="103">
        <f>VLOOKUP($A125,'OI(Value)'!$A$7:$O$323,11,0)</f>
        <v>704</v>
      </c>
      <c r="O125" s="103">
        <f>VLOOKUP($A125,'OI(Value)'!$A$7:$O$323,12,0)</f>
        <v>-30</v>
      </c>
      <c r="P125" s="179">
        <f>VLOOKUP(A125,'OI(Value)'!A125:O343,8,0)</f>
        <v>1527</v>
      </c>
      <c r="Q125" s="179">
        <f>VLOOKUP(A125,'OI(Value)'!A125:O343,9,0)</f>
        <v>-151</v>
      </c>
      <c r="R125" s="179">
        <f>VLOOKUP(A125,'OI(Value)'!A125:O343,11,0)</f>
        <v>704</v>
      </c>
      <c r="S125" s="179">
        <f>VLOOKUP(A125,'OI(Value)'!A125:O343,11,0)</f>
        <v>704</v>
      </c>
    </row>
    <row r="126" spans="1:19" x14ac:dyDescent="0.25">
      <c r="A126" s="105" t="str">
        <f>'Data Vlaue (Cr)'!C121</f>
        <v>LTIM</v>
      </c>
      <c r="B126" s="143">
        <f>VLOOKUP($A126,'Data shares'!$C:$FA,118)</f>
        <v>0.59</v>
      </c>
      <c r="C126" s="143">
        <f>VLOOKUP($A126,'Data shares'!$C:$FA,119)</f>
        <v>0.5</v>
      </c>
      <c r="D126" s="143">
        <f>VLOOKUP($A126,'Data shares'!$C:$FA,121)*100</f>
        <v>18</v>
      </c>
      <c r="E126" s="143">
        <f>VLOOKUP($A126,'Data shares'!$C:$FA,124)</f>
        <v>0.46</v>
      </c>
      <c r="F126" s="143">
        <f>VLOOKUP($A126,'Data shares'!$C:$FA,125)</f>
        <v>0.8</v>
      </c>
      <c r="G126" s="143">
        <f>VLOOKUP($A126,'Data shares'!$C:$FA,127)*100</f>
        <v>-42.5</v>
      </c>
      <c r="H126" s="103">
        <f>VLOOKUP($A126,'OI(Volume)'!$A$7:$O$440,8)</f>
        <v>1814400</v>
      </c>
      <c r="I126" s="103">
        <f>VLOOKUP($A126,'OI(Volume)'!$A$7:$O$440,9)</f>
        <v>-415050</v>
      </c>
      <c r="J126" s="103">
        <f>VLOOKUP($A126,'OI(Volume)'!$A$7:$O$440,11)</f>
        <v>1065150</v>
      </c>
      <c r="K126" s="103">
        <f>VLOOKUP($A126,'OI(Volume)'!$A$7:$O$440,12)</f>
        <v>-59250</v>
      </c>
      <c r="L126" s="103">
        <f>VLOOKUP($A126,'OI(Value)'!$A$7:$O$323,8,0)</f>
        <v>1079</v>
      </c>
      <c r="M126" s="103">
        <f>VLOOKUP($A126,'OI(Value)'!$A$7:$O$323,9,0)</f>
        <v>-247</v>
      </c>
      <c r="N126" s="103">
        <f>VLOOKUP($A126,'OI(Value)'!$A$7:$O$323,11,0)</f>
        <v>634</v>
      </c>
      <c r="O126" s="103">
        <f>VLOOKUP($A126,'OI(Value)'!$A$7:$O$323,12,0)</f>
        <v>-35</v>
      </c>
      <c r="P126" s="179">
        <f>VLOOKUP(A126,'OI(Value)'!A126:O344,8,0)</f>
        <v>1079</v>
      </c>
      <c r="Q126" s="179">
        <f>VLOOKUP(A126,'OI(Value)'!A126:O344,9,0)</f>
        <v>-247</v>
      </c>
      <c r="R126" s="179">
        <f>VLOOKUP(A126,'OI(Value)'!A126:O344,11,0)</f>
        <v>634</v>
      </c>
      <c r="S126" s="179">
        <f>VLOOKUP(A126,'OI(Value)'!A126:O344,11,0)</f>
        <v>634</v>
      </c>
    </row>
    <row r="127" spans="1:19" x14ac:dyDescent="0.25">
      <c r="A127" s="105" t="str">
        <f>'Data Vlaue (Cr)'!C122</f>
        <v>LUPIN</v>
      </c>
      <c r="B127" s="143">
        <f>VLOOKUP($A127,'Data shares'!$C:$FA,118)</f>
        <v>0.59</v>
      </c>
      <c r="C127" s="143">
        <f>VLOOKUP($A127,'Data shares'!$C:$FA,119)</f>
        <v>0.6</v>
      </c>
      <c r="D127" s="143">
        <f>VLOOKUP($A127,'Data shares'!$C:$FA,121)*100</f>
        <v>-1.67</v>
      </c>
      <c r="E127" s="143">
        <f>VLOOKUP($A127,'Data shares'!$C:$FA,124)</f>
        <v>0.55000000000000004</v>
      </c>
      <c r="F127" s="143">
        <f>VLOOKUP($A127,'Data shares'!$C:$FA,125)</f>
        <v>0.4</v>
      </c>
      <c r="G127" s="143">
        <f>VLOOKUP($A127,'Data shares'!$C:$FA,127)*100</f>
        <v>37.5</v>
      </c>
      <c r="H127" s="103">
        <f>VLOOKUP($A127,'OI(Volume)'!$A$7:$O$440,8)</f>
        <v>2349400</v>
      </c>
      <c r="I127" s="103">
        <f>VLOOKUP($A127,'OI(Volume)'!$A$7:$O$440,9)</f>
        <v>-336600</v>
      </c>
      <c r="J127" s="103">
        <f>VLOOKUP($A127,'OI(Volume)'!$A$7:$O$440,11)</f>
        <v>1392300</v>
      </c>
      <c r="K127" s="103">
        <f>VLOOKUP($A127,'OI(Volume)'!$A$7:$O$440,12)</f>
        <v>-208675</v>
      </c>
      <c r="L127" s="103">
        <f>VLOOKUP($A127,'OI(Value)'!$A$7:$O$323,8,0)</f>
        <v>508</v>
      </c>
      <c r="M127" s="103">
        <f>VLOOKUP($A127,'OI(Value)'!$A$7:$O$323,9,0)</f>
        <v>-73</v>
      </c>
      <c r="N127" s="103">
        <f>VLOOKUP($A127,'OI(Value)'!$A$7:$O$323,11,0)</f>
        <v>301</v>
      </c>
      <c r="O127" s="103">
        <f>VLOOKUP($A127,'OI(Value)'!$A$7:$O$323,12,0)</f>
        <v>-45</v>
      </c>
      <c r="P127" s="179">
        <f>VLOOKUP(A127,'OI(Value)'!A127:O345,8,0)</f>
        <v>508</v>
      </c>
      <c r="Q127" s="179">
        <f>VLOOKUP(A127,'OI(Value)'!A127:O345,9,0)</f>
        <v>-73</v>
      </c>
      <c r="R127" s="179">
        <f>VLOOKUP(A127,'OI(Value)'!A127:O345,11,0)</f>
        <v>301</v>
      </c>
      <c r="S127" s="179">
        <f>VLOOKUP(A127,'OI(Value)'!A127:O345,11,0)</f>
        <v>301</v>
      </c>
    </row>
    <row r="128" spans="1:19" x14ac:dyDescent="0.25">
      <c r="A128" s="105" t="str">
        <f>'Data Vlaue (Cr)'!C123</f>
        <v>M&amp;M</v>
      </c>
      <c r="B128" s="143">
        <f>VLOOKUP($A128,'Data shares'!$C:$FA,118)</f>
        <v>0.6</v>
      </c>
      <c r="C128" s="143">
        <f>VLOOKUP($A128,'Data shares'!$C:$FA,119)</f>
        <v>0.54</v>
      </c>
      <c r="D128" s="143">
        <f>VLOOKUP($A128,'Data shares'!$C:$FA,121)*100</f>
        <v>11.110000000000001</v>
      </c>
      <c r="E128" s="143">
        <f>VLOOKUP($A128,'Data shares'!$C:$FA,124)</f>
        <v>0.49</v>
      </c>
      <c r="F128" s="143">
        <f>VLOOKUP($A128,'Data shares'!$C:$FA,125)</f>
        <v>0.69</v>
      </c>
      <c r="G128" s="143">
        <f>VLOOKUP($A128,'Data shares'!$C:$FA,127)*100</f>
        <v>-28.99</v>
      </c>
      <c r="H128" s="103">
        <f>VLOOKUP($A128,'OI(Volume)'!$A$7:$O$440,8)</f>
        <v>3853000</v>
      </c>
      <c r="I128" s="103">
        <f>VLOOKUP($A128,'OI(Volume)'!$A$7:$O$440,9)</f>
        <v>-547800</v>
      </c>
      <c r="J128" s="103">
        <f>VLOOKUP($A128,'OI(Volume)'!$A$7:$O$440,11)</f>
        <v>2309000</v>
      </c>
      <c r="K128" s="103">
        <f>VLOOKUP($A128,'OI(Volume)'!$A$7:$O$440,12)</f>
        <v>-59800</v>
      </c>
      <c r="L128" s="103">
        <f>VLOOKUP($A128,'OI(Value)'!$A$7:$O$323,8,0)</f>
        <v>1379</v>
      </c>
      <c r="M128" s="103">
        <f>VLOOKUP($A128,'OI(Value)'!$A$7:$O$323,9,0)</f>
        <v>-196</v>
      </c>
      <c r="N128" s="103">
        <f>VLOOKUP($A128,'OI(Value)'!$A$7:$O$323,11,0)</f>
        <v>827</v>
      </c>
      <c r="O128" s="103">
        <f>VLOOKUP($A128,'OI(Value)'!$A$7:$O$323,12,0)</f>
        <v>-21</v>
      </c>
      <c r="P128" s="179">
        <f>VLOOKUP(A128,'OI(Value)'!A128:O346,8,0)</f>
        <v>1379</v>
      </c>
      <c r="Q128" s="179">
        <f>VLOOKUP(A128,'OI(Value)'!A128:O346,9,0)</f>
        <v>-196</v>
      </c>
      <c r="R128" s="179">
        <f>VLOOKUP(A128,'OI(Value)'!A128:O346,11,0)</f>
        <v>827</v>
      </c>
      <c r="S128" s="179">
        <f>VLOOKUP(A128,'OI(Value)'!A128:O346,11,0)</f>
        <v>827</v>
      </c>
    </row>
    <row r="129" spans="1:19" x14ac:dyDescent="0.25">
      <c r="A129" s="105" t="str">
        <f>'Data Vlaue (Cr)'!C124</f>
        <v>MANAPPURAM</v>
      </c>
      <c r="B129" s="143">
        <f>VLOOKUP($A129,'Data shares'!$C:$FA,118)</f>
        <v>0.75</v>
      </c>
      <c r="C129" s="143">
        <f>VLOOKUP($A129,'Data shares'!$C:$FA,119)</f>
        <v>0.62</v>
      </c>
      <c r="D129" s="143">
        <f>VLOOKUP($A129,'Data shares'!$C:$FA,121)*100</f>
        <v>20.97</v>
      </c>
      <c r="E129" s="143">
        <f>VLOOKUP($A129,'Data shares'!$C:$FA,124)</f>
        <v>0.42</v>
      </c>
      <c r="F129" s="143">
        <f>VLOOKUP($A129,'Data shares'!$C:$FA,125)</f>
        <v>0.43</v>
      </c>
      <c r="G129" s="143">
        <f>VLOOKUP($A129,'Data shares'!$C:$FA,127)*100</f>
        <v>-2.33</v>
      </c>
      <c r="H129" s="103">
        <f>VLOOKUP($A129,'OI(Volume)'!$A$7:$O$440,8)</f>
        <v>29541000</v>
      </c>
      <c r="I129" s="103">
        <f>VLOOKUP($A129,'OI(Volume)'!$A$7:$O$440,9)</f>
        <v>-6237000</v>
      </c>
      <c r="J129" s="103">
        <f>VLOOKUP($A129,'OI(Volume)'!$A$7:$O$440,11)</f>
        <v>22023000</v>
      </c>
      <c r="K129" s="103">
        <f>VLOOKUP($A129,'OI(Volume)'!$A$7:$O$440,12)</f>
        <v>-6000</v>
      </c>
      <c r="L129" s="103">
        <f>VLOOKUP($A129,'OI(Value)'!$A$7:$O$323,8,0)</f>
        <v>888</v>
      </c>
      <c r="M129" s="103">
        <f>VLOOKUP($A129,'OI(Value)'!$A$7:$O$323,9,0)</f>
        <v>-188</v>
      </c>
      <c r="N129" s="103">
        <f>VLOOKUP($A129,'OI(Value)'!$A$7:$O$323,11,0)</f>
        <v>662</v>
      </c>
      <c r="O129" s="103">
        <f>VLOOKUP($A129,'OI(Value)'!$A$7:$O$323,12,0)</f>
        <v>0</v>
      </c>
      <c r="P129" s="179">
        <f>VLOOKUP(A129,'OI(Value)'!A129:O347,8,0)</f>
        <v>888</v>
      </c>
      <c r="Q129" s="179">
        <f>VLOOKUP(A129,'OI(Value)'!A129:O347,9,0)</f>
        <v>-188</v>
      </c>
      <c r="R129" s="179">
        <f>VLOOKUP(A129,'OI(Value)'!A129:O347,11,0)</f>
        <v>662</v>
      </c>
      <c r="S129" s="179">
        <f>VLOOKUP(A129,'OI(Value)'!A129:O347,11,0)</f>
        <v>662</v>
      </c>
    </row>
    <row r="130" spans="1:19" x14ac:dyDescent="0.25">
      <c r="A130" s="105" t="str">
        <f>'Data Vlaue (Cr)'!C125</f>
        <v>MANKIND</v>
      </c>
      <c r="B130" s="143">
        <f>VLOOKUP($A130,'Data shares'!$C:$FA,118)</f>
        <v>0.57999999999999996</v>
      </c>
      <c r="C130" s="143">
        <f>VLOOKUP($A130,'Data shares'!$C:$FA,119)</f>
        <v>0.6</v>
      </c>
      <c r="D130" s="143">
        <f>VLOOKUP($A130,'Data shares'!$C:$FA,121)*100</f>
        <v>-3.3300000000000005</v>
      </c>
      <c r="E130" s="143">
        <f>VLOOKUP($A130,'Data shares'!$C:$FA,124)</f>
        <v>0.37</v>
      </c>
      <c r="F130" s="143">
        <f>VLOOKUP($A130,'Data shares'!$C:$FA,125)</f>
        <v>0.76</v>
      </c>
      <c r="G130" s="143">
        <f>VLOOKUP($A130,'Data shares'!$C:$FA,127)*100</f>
        <v>-51.32</v>
      </c>
      <c r="H130" s="103">
        <f>VLOOKUP($A130,'OI(Volume)'!$A$7:$O$440,8)</f>
        <v>1066050</v>
      </c>
      <c r="I130" s="103">
        <f>VLOOKUP($A130,'OI(Volume)'!$A$7:$O$440,9)</f>
        <v>-105075</v>
      </c>
      <c r="J130" s="103">
        <f>VLOOKUP($A130,'OI(Volume)'!$A$7:$O$440,11)</f>
        <v>614250</v>
      </c>
      <c r="K130" s="103">
        <f>VLOOKUP($A130,'OI(Volume)'!$A$7:$O$440,12)</f>
        <v>-88650</v>
      </c>
      <c r="L130" s="103">
        <f>VLOOKUP($A130,'OI(Value)'!$A$7:$O$323,8,0)</f>
        <v>229</v>
      </c>
      <c r="M130" s="103">
        <f>VLOOKUP($A130,'OI(Value)'!$A$7:$O$323,9,0)</f>
        <v>-23</v>
      </c>
      <c r="N130" s="103">
        <f>VLOOKUP($A130,'OI(Value)'!$A$7:$O$323,11,0)</f>
        <v>132</v>
      </c>
      <c r="O130" s="103">
        <f>VLOOKUP($A130,'OI(Value)'!$A$7:$O$323,12,0)</f>
        <v>-19</v>
      </c>
      <c r="P130" s="179">
        <f>VLOOKUP(A130,'OI(Value)'!A130:O348,8,0)</f>
        <v>229</v>
      </c>
      <c r="Q130" s="179">
        <f>VLOOKUP(A130,'OI(Value)'!A130:O348,9,0)</f>
        <v>-23</v>
      </c>
      <c r="R130" s="179">
        <f>VLOOKUP(A130,'OI(Value)'!A130:O348,11,0)</f>
        <v>132</v>
      </c>
      <c r="S130" s="179">
        <f>VLOOKUP(A130,'OI(Value)'!A130:O348,11,0)</f>
        <v>132</v>
      </c>
    </row>
    <row r="131" spans="1:19" x14ac:dyDescent="0.25">
      <c r="A131" s="105" t="str">
        <f>'Data Vlaue (Cr)'!C126</f>
        <v>MARICO</v>
      </c>
      <c r="B131" s="143">
        <f>VLOOKUP($A131,'Data shares'!$C:$FA,118)</f>
        <v>0.52</v>
      </c>
      <c r="C131" s="143">
        <f>VLOOKUP($A131,'Data shares'!$C:$FA,119)</f>
        <v>0.55000000000000004</v>
      </c>
      <c r="D131" s="143">
        <f>VLOOKUP($A131,'Data shares'!$C:$FA,121)*100</f>
        <v>-5.45</v>
      </c>
      <c r="E131" s="143">
        <f>VLOOKUP($A131,'Data shares'!$C:$FA,124)</f>
        <v>0.31</v>
      </c>
      <c r="F131" s="143">
        <f>VLOOKUP($A131,'Data shares'!$C:$FA,125)</f>
        <v>0.4</v>
      </c>
      <c r="G131" s="143">
        <f>VLOOKUP($A131,'Data shares'!$C:$FA,127)*100</f>
        <v>-22.5</v>
      </c>
      <c r="H131" s="103">
        <f>VLOOKUP($A131,'OI(Volume)'!$A$7:$O$440,8)</f>
        <v>7255200</v>
      </c>
      <c r="I131" s="103">
        <f>VLOOKUP($A131,'OI(Volume)'!$A$7:$O$440,9)</f>
        <v>-261600</v>
      </c>
      <c r="J131" s="103">
        <f>VLOOKUP($A131,'OI(Volume)'!$A$7:$O$440,11)</f>
        <v>3750000</v>
      </c>
      <c r="K131" s="103">
        <f>VLOOKUP($A131,'OI(Volume)'!$A$7:$O$440,12)</f>
        <v>-356400</v>
      </c>
      <c r="L131" s="103">
        <f>VLOOKUP($A131,'OI(Value)'!$A$7:$O$323,8,0)</f>
        <v>546</v>
      </c>
      <c r="M131" s="103">
        <f>VLOOKUP($A131,'OI(Value)'!$A$7:$O$323,9,0)</f>
        <v>-20</v>
      </c>
      <c r="N131" s="103">
        <f>VLOOKUP($A131,'OI(Value)'!$A$7:$O$323,11,0)</f>
        <v>282</v>
      </c>
      <c r="O131" s="103">
        <f>VLOOKUP($A131,'OI(Value)'!$A$7:$O$323,12,0)</f>
        <v>-27</v>
      </c>
      <c r="P131" s="179">
        <f>VLOOKUP(A131,'OI(Value)'!A131:O349,8,0)</f>
        <v>546</v>
      </c>
      <c r="Q131" s="179">
        <f>VLOOKUP(A131,'OI(Value)'!A131:O349,9,0)</f>
        <v>-20</v>
      </c>
      <c r="R131" s="179">
        <f>VLOOKUP(A131,'OI(Value)'!A131:O349,11,0)</f>
        <v>282</v>
      </c>
      <c r="S131" s="179">
        <f>VLOOKUP(A131,'OI(Value)'!A131:O349,11,0)</f>
        <v>282</v>
      </c>
    </row>
    <row r="132" spans="1:19" x14ac:dyDescent="0.25">
      <c r="A132" s="105" t="str">
        <f>'Data Vlaue (Cr)'!C127</f>
        <v>MARUTI</v>
      </c>
      <c r="B132" s="143">
        <f>VLOOKUP($A132,'Data shares'!$C:$FA,118)</f>
        <v>0.36</v>
      </c>
      <c r="C132" s="143">
        <f>VLOOKUP($A132,'Data shares'!$C:$FA,119)</f>
        <v>0.36</v>
      </c>
      <c r="D132" s="143">
        <f>VLOOKUP($A132,'Data shares'!$C:$FA,121)*100</f>
        <v>0</v>
      </c>
      <c r="E132" s="143">
        <f>VLOOKUP($A132,'Data shares'!$C:$FA,124)</f>
        <v>0.43</v>
      </c>
      <c r="F132" s="143">
        <f>VLOOKUP($A132,'Data shares'!$C:$FA,125)</f>
        <v>0.55000000000000004</v>
      </c>
      <c r="G132" s="143">
        <f>VLOOKUP($A132,'Data shares'!$C:$FA,127)*100</f>
        <v>-21.82</v>
      </c>
      <c r="H132" s="103">
        <f>VLOOKUP($A132,'OI(Volume)'!$A$7:$O$440,8)</f>
        <v>2725000</v>
      </c>
      <c r="I132" s="103">
        <f>VLOOKUP($A132,'OI(Volume)'!$A$7:$O$440,9)</f>
        <v>-177850</v>
      </c>
      <c r="J132" s="103">
        <f>VLOOKUP($A132,'OI(Volume)'!$A$7:$O$440,11)</f>
        <v>989900</v>
      </c>
      <c r="K132" s="103">
        <f>VLOOKUP($A132,'OI(Volume)'!$A$7:$O$440,12)</f>
        <v>-66250</v>
      </c>
      <c r="L132" s="103">
        <f>VLOOKUP($A132,'OI(Value)'!$A$7:$O$323,8,0)</f>
        <v>4292</v>
      </c>
      <c r="M132" s="103">
        <f>VLOOKUP($A132,'OI(Value)'!$A$7:$O$323,9,0)</f>
        <v>-280</v>
      </c>
      <c r="N132" s="103">
        <f>VLOOKUP($A132,'OI(Value)'!$A$7:$O$323,11,0)</f>
        <v>1559</v>
      </c>
      <c r="O132" s="103">
        <f>VLOOKUP($A132,'OI(Value)'!$A$7:$O$323,12,0)</f>
        <v>-104</v>
      </c>
      <c r="P132" s="179">
        <f>VLOOKUP(A132,'OI(Value)'!A132:O350,8,0)</f>
        <v>4292</v>
      </c>
      <c r="Q132" s="179">
        <f>VLOOKUP(A132,'OI(Value)'!A132:O350,9,0)</f>
        <v>-280</v>
      </c>
      <c r="R132" s="179">
        <f>VLOOKUP(A132,'OI(Value)'!A132:O350,11,0)</f>
        <v>1559</v>
      </c>
      <c r="S132" s="179">
        <f>VLOOKUP(A132,'OI(Value)'!A132:O350,11,0)</f>
        <v>1559</v>
      </c>
    </row>
    <row r="133" spans="1:19" x14ac:dyDescent="0.25">
      <c r="A133" s="105" t="str">
        <f>'Data Vlaue (Cr)'!C128</f>
        <v>MAXHEALTH</v>
      </c>
      <c r="B133" s="143">
        <f>VLOOKUP($A133,'Data shares'!$C:$FA,118)</f>
        <v>0.64</v>
      </c>
      <c r="C133" s="143">
        <f>VLOOKUP($A133,'Data shares'!$C:$FA,119)</f>
        <v>0.71</v>
      </c>
      <c r="D133" s="143">
        <f>VLOOKUP($A133,'Data shares'!$C:$FA,121)*100</f>
        <v>-9.86</v>
      </c>
      <c r="E133" s="143">
        <f>VLOOKUP($A133,'Data shares'!$C:$FA,124)</f>
        <v>0.42</v>
      </c>
      <c r="F133" s="143">
        <f>VLOOKUP($A133,'Data shares'!$C:$FA,125)</f>
        <v>0.56999999999999995</v>
      </c>
      <c r="G133" s="143">
        <f>VLOOKUP($A133,'Data shares'!$C:$FA,127)*100</f>
        <v>-26.32</v>
      </c>
      <c r="H133" s="103">
        <f>VLOOKUP($A133,'OI(Volume)'!$A$7:$O$440,8)</f>
        <v>3608325</v>
      </c>
      <c r="I133" s="103">
        <f>VLOOKUP($A133,'OI(Volume)'!$A$7:$O$440,9)</f>
        <v>144375</v>
      </c>
      <c r="J133" s="103">
        <f>VLOOKUP($A133,'OI(Volume)'!$A$7:$O$440,11)</f>
        <v>2316825</v>
      </c>
      <c r="K133" s="103">
        <f>VLOOKUP($A133,'OI(Volume)'!$A$7:$O$440,12)</f>
        <v>-150150</v>
      </c>
      <c r="L133" s="103">
        <f>VLOOKUP($A133,'OI(Value)'!$A$7:$O$323,8,0)</f>
        <v>360</v>
      </c>
      <c r="M133" s="103">
        <f>VLOOKUP($A133,'OI(Value)'!$A$7:$O$323,9,0)</f>
        <v>14</v>
      </c>
      <c r="N133" s="103">
        <f>VLOOKUP($A133,'OI(Value)'!$A$7:$O$323,11,0)</f>
        <v>231</v>
      </c>
      <c r="O133" s="103">
        <f>VLOOKUP($A133,'OI(Value)'!$A$7:$O$323,12,0)</f>
        <v>-15</v>
      </c>
      <c r="P133" s="179">
        <f>VLOOKUP(A133,'OI(Value)'!A133:O351,8,0)</f>
        <v>360</v>
      </c>
      <c r="Q133" s="179">
        <f>VLOOKUP(A133,'OI(Value)'!A133:O351,9,0)</f>
        <v>14</v>
      </c>
      <c r="R133" s="179">
        <f>VLOOKUP(A133,'OI(Value)'!A133:O351,11,0)</f>
        <v>231</v>
      </c>
      <c r="S133" s="179">
        <f>VLOOKUP(A133,'OI(Value)'!A133:O351,11,0)</f>
        <v>231</v>
      </c>
    </row>
    <row r="134" spans="1:19" x14ac:dyDescent="0.25">
      <c r="A134" s="105" t="str">
        <f>'Data Vlaue (Cr)'!C129</f>
        <v>MAZDOCK</v>
      </c>
      <c r="B134" s="143">
        <f>VLOOKUP($A134,'Data shares'!$C:$FA,118)</f>
        <v>0.47</v>
      </c>
      <c r="C134" s="143">
        <f>VLOOKUP($A134,'Data shares'!$C:$FA,119)</f>
        <v>0.43</v>
      </c>
      <c r="D134" s="143">
        <f>VLOOKUP($A134,'Data shares'!$C:$FA,121)*100</f>
        <v>9.3000000000000007</v>
      </c>
      <c r="E134" s="143">
        <f>VLOOKUP($A134,'Data shares'!$C:$FA,124)</f>
        <v>0.27</v>
      </c>
      <c r="F134" s="143">
        <f>VLOOKUP($A134,'Data shares'!$C:$FA,125)</f>
        <v>0.36</v>
      </c>
      <c r="G134" s="143">
        <f>VLOOKUP($A134,'Data shares'!$C:$FA,127)*100</f>
        <v>-25</v>
      </c>
      <c r="H134" s="103">
        <f>VLOOKUP($A134,'OI(Volume)'!$A$7:$O$440,8)</f>
        <v>4542600</v>
      </c>
      <c r="I134" s="103">
        <f>VLOOKUP($A134,'OI(Volume)'!$A$7:$O$440,9)</f>
        <v>-523600</v>
      </c>
      <c r="J134" s="103">
        <f>VLOOKUP($A134,'OI(Volume)'!$A$7:$O$440,11)</f>
        <v>2116600</v>
      </c>
      <c r="K134" s="103">
        <f>VLOOKUP($A134,'OI(Volume)'!$A$7:$O$440,12)</f>
        <v>-57600</v>
      </c>
      <c r="L134" s="103">
        <f>VLOOKUP($A134,'OI(Value)'!$A$7:$O$323,8,0)</f>
        <v>1075</v>
      </c>
      <c r="M134" s="103">
        <f>VLOOKUP($A134,'OI(Value)'!$A$7:$O$323,9,0)</f>
        <v>-124</v>
      </c>
      <c r="N134" s="103">
        <f>VLOOKUP($A134,'OI(Value)'!$A$7:$O$323,11,0)</f>
        <v>501</v>
      </c>
      <c r="O134" s="103">
        <f>VLOOKUP($A134,'OI(Value)'!$A$7:$O$323,12,0)</f>
        <v>-14</v>
      </c>
      <c r="P134" s="179">
        <f>VLOOKUP(A134,'OI(Value)'!A134:O352,8,0)</f>
        <v>1075</v>
      </c>
      <c r="Q134" s="179">
        <f>VLOOKUP(A134,'OI(Value)'!A134:O352,9,0)</f>
        <v>-124</v>
      </c>
      <c r="R134" s="179">
        <f>VLOOKUP(A134,'OI(Value)'!A134:O352,11,0)</f>
        <v>501</v>
      </c>
      <c r="S134" s="179">
        <f>VLOOKUP(A134,'OI(Value)'!A134:O352,11,0)</f>
        <v>501</v>
      </c>
    </row>
    <row r="135" spans="1:19" x14ac:dyDescent="0.25">
      <c r="A135" s="105" t="str">
        <f>'Data Vlaue (Cr)'!C130</f>
        <v>MCX</v>
      </c>
      <c r="B135" s="143">
        <f>VLOOKUP($A135,'Data shares'!$C:$FA,118)</f>
        <v>0.45</v>
      </c>
      <c r="C135" s="143">
        <f>VLOOKUP($A135,'Data shares'!$C:$FA,119)</f>
        <v>0.49</v>
      </c>
      <c r="D135" s="143">
        <f>VLOOKUP($A135,'Data shares'!$C:$FA,121)*100</f>
        <v>-8.16</v>
      </c>
      <c r="E135" s="143">
        <f>VLOOKUP($A135,'Data shares'!$C:$FA,124)</f>
        <v>0.44</v>
      </c>
      <c r="F135" s="143">
        <f>VLOOKUP($A135,'Data shares'!$C:$FA,125)</f>
        <v>0.47</v>
      </c>
      <c r="G135" s="143">
        <f>VLOOKUP($A135,'Data shares'!$C:$FA,127)*100</f>
        <v>-6.38</v>
      </c>
      <c r="H135" s="103">
        <f>VLOOKUP($A135,'OI(Volume)'!$A$7:$O$440,8)</f>
        <v>19133750</v>
      </c>
      <c r="I135" s="103">
        <f>VLOOKUP($A135,'OI(Volume)'!$A$7:$O$440,9)</f>
        <v>1828125</v>
      </c>
      <c r="J135" s="103">
        <f>VLOOKUP($A135,'OI(Volume)'!$A$7:$O$440,11)</f>
        <v>8617500</v>
      </c>
      <c r="K135" s="103">
        <f>VLOOKUP($A135,'OI(Volume)'!$A$7:$O$440,12)</f>
        <v>210000</v>
      </c>
      <c r="L135" s="103">
        <f>VLOOKUP($A135,'OI(Value)'!$A$7:$O$323,8,0)</f>
        <v>4437</v>
      </c>
      <c r="M135" s="103">
        <f>VLOOKUP($A135,'OI(Value)'!$A$7:$O$323,9,0)</f>
        <v>424</v>
      </c>
      <c r="N135" s="103">
        <f>VLOOKUP($A135,'OI(Value)'!$A$7:$O$323,11,0)</f>
        <v>1998</v>
      </c>
      <c r="O135" s="103">
        <f>VLOOKUP($A135,'OI(Value)'!$A$7:$O$323,12,0)</f>
        <v>49</v>
      </c>
      <c r="P135" s="179">
        <f>VLOOKUP(A135,'OI(Value)'!A135:O353,8,0)</f>
        <v>4437</v>
      </c>
      <c r="Q135" s="179">
        <f>VLOOKUP(A135,'OI(Value)'!A135:O353,9,0)</f>
        <v>424</v>
      </c>
      <c r="R135" s="179">
        <f>VLOOKUP(A135,'OI(Value)'!A135:O353,11,0)</f>
        <v>1998</v>
      </c>
      <c r="S135" s="179">
        <f>VLOOKUP(A135,'OI(Value)'!A135:O353,11,0)</f>
        <v>1998</v>
      </c>
    </row>
    <row r="136" spans="1:19" x14ac:dyDescent="0.25">
      <c r="A136" s="105" t="str">
        <f>'Data Vlaue (Cr)'!C131</f>
        <v>MFSL</v>
      </c>
      <c r="B136" s="143">
        <f>VLOOKUP($A136,'Data shares'!$C:$FA,118)</f>
        <v>0.69</v>
      </c>
      <c r="C136" s="143">
        <f>VLOOKUP($A136,'Data shares'!$C:$FA,119)</f>
        <v>0.68</v>
      </c>
      <c r="D136" s="143">
        <f>VLOOKUP($A136,'Data shares'!$C:$FA,121)*100</f>
        <v>1.47</v>
      </c>
      <c r="E136" s="143">
        <f>VLOOKUP($A136,'Data shares'!$C:$FA,124)</f>
        <v>0.56000000000000005</v>
      </c>
      <c r="F136" s="143">
        <f>VLOOKUP($A136,'Data shares'!$C:$FA,125)</f>
        <v>1.01</v>
      </c>
      <c r="G136" s="143">
        <f>VLOOKUP($A136,'Data shares'!$C:$FA,127)*100</f>
        <v>-44.55</v>
      </c>
      <c r="H136" s="103">
        <f>VLOOKUP($A136,'OI(Volume)'!$A$7:$O$440,8)</f>
        <v>1435600</v>
      </c>
      <c r="I136" s="103">
        <f>VLOOKUP($A136,'OI(Volume)'!$A$7:$O$440,9)</f>
        <v>-166400</v>
      </c>
      <c r="J136" s="103">
        <f>VLOOKUP($A136,'OI(Volume)'!$A$7:$O$440,11)</f>
        <v>985200</v>
      </c>
      <c r="K136" s="103">
        <f>VLOOKUP($A136,'OI(Volume)'!$A$7:$O$440,12)</f>
        <v>-109200</v>
      </c>
      <c r="L136" s="103">
        <f>VLOOKUP($A136,'OI(Value)'!$A$7:$O$323,8,0)</f>
        <v>234</v>
      </c>
      <c r="M136" s="103">
        <f>VLOOKUP($A136,'OI(Value)'!$A$7:$O$323,9,0)</f>
        <v>-27</v>
      </c>
      <c r="N136" s="103">
        <f>VLOOKUP($A136,'OI(Value)'!$A$7:$O$323,11,0)</f>
        <v>160</v>
      </c>
      <c r="O136" s="103">
        <f>VLOOKUP($A136,'OI(Value)'!$A$7:$O$323,12,0)</f>
        <v>-18</v>
      </c>
      <c r="P136" s="179">
        <f>VLOOKUP(A136,'OI(Value)'!A136:O354,8,0)</f>
        <v>234</v>
      </c>
      <c r="Q136" s="179">
        <f>VLOOKUP(A136,'OI(Value)'!A136:O354,9,0)</f>
        <v>-27</v>
      </c>
      <c r="R136" s="179">
        <f>VLOOKUP(A136,'OI(Value)'!A136:O354,11,0)</f>
        <v>160</v>
      </c>
      <c r="S136" s="179">
        <f>VLOOKUP(A136,'OI(Value)'!A136:O354,11,0)</f>
        <v>160</v>
      </c>
    </row>
    <row r="137" spans="1:19" x14ac:dyDescent="0.25">
      <c r="A137" s="105" t="str">
        <f>'Data Vlaue (Cr)'!C132</f>
        <v>MIDCPNIFTY</v>
      </c>
      <c r="B137" s="143">
        <f>VLOOKUP($A137,'Data shares'!$C:$FA,118)</f>
        <v>0.74</v>
      </c>
      <c r="C137" s="143">
        <f>VLOOKUP($A137,'Data shares'!$C:$FA,119)</f>
        <v>0.67</v>
      </c>
      <c r="D137" s="143">
        <f>VLOOKUP($A137,'Data shares'!$C:$FA,121)*100</f>
        <v>10.45</v>
      </c>
      <c r="E137" s="143">
        <f>VLOOKUP($A137,'Data shares'!$C:$FA,124)</f>
        <v>0.83</v>
      </c>
      <c r="F137" s="143">
        <f>VLOOKUP($A137,'Data shares'!$C:$FA,125)</f>
        <v>0.89</v>
      </c>
      <c r="G137" s="143">
        <f>VLOOKUP($A137,'Data shares'!$C:$FA,127)*100</f>
        <v>-6.74</v>
      </c>
      <c r="H137" s="103">
        <f>VLOOKUP($A137,'OI(Volume)'!$A$7:$O$440,8)</f>
        <v>15685560</v>
      </c>
      <c r="I137" s="103">
        <f>VLOOKUP($A137,'OI(Volume)'!$A$7:$O$440,9)</f>
        <v>-13560</v>
      </c>
      <c r="J137" s="103">
        <f>VLOOKUP($A137,'OI(Volume)'!$A$7:$O$440,11)</f>
        <v>11595000</v>
      </c>
      <c r="K137" s="103">
        <f>VLOOKUP($A137,'OI(Volume)'!$A$7:$O$440,12)</f>
        <v>1002840</v>
      </c>
      <c r="L137" s="103">
        <f>VLOOKUP($A137,'OI(Value)'!$A$7:$O$323,8,0)</f>
        <v>20920</v>
      </c>
      <c r="M137" s="103">
        <f>VLOOKUP($A137,'OI(Value)'!$A$7:$O$323,9,0)</f>
        <v>-18</v>
      </c>
      <c r="N137" s="103">
        <f>VLOOKUP($A137,'OI(Value)'!$A$7:$O$323,11,0)</f>
        <v>15464</v>
      </c>
      <c r="O137" s="103">
        <f>VLOOKUP($A137,'OI(Value)'!$A$7:$O$323,12,0)</f>
        <v>1338</v>
      </c>
      <c r="P137" s="179">
        <f>VLOOKUP(A137,'OI(Value)'!A137:O355,8,0)</f>
        <v>20920</v>
      </c>
      <c r="Q137" s="179">
        <f>VLOOKUP(A137,'OI(Value)'!A137:O355,9,0)</f>
        <v>-18</v>
      </c>
      <c r="R137" s="179">
        <f>VLOOKUP(A137,'OI(Value)'!A137:O355,11,0)</f>
        <v>15464</v>
      </c>
      <c r="S137" s="179">
        <f>VLOOKUP(A137,'OI(Value)'!A137:O355,11,0)</f>
        <v>15464</v>
      </c>
    </row>
    <row r="138" spans="1:19" x14ac:dyDescent="0.25">
      <c r="A138" s="105" t="str">
        <f>'Data Vlaue (Cr)'!C133</f>
        <v>MOTHERSON</v>
      </c>
      <c r="B138" s="143">
        <f>VLOOKUP($A138,'Data shares'!$C:$FA,118)</f>
        <v>0.54</v>
      </c>
      <c r="C138" s="143">
        <f>VLOOKUP($A138,'Data shares'!$C:$FA,119)</f>
        <v>0.49</v>
      </c>
      <c r="D138" s="143">
        <f>VLOOKUP($A138,'Data shares'!$C:$FA,121)*100</f>
        <v>10.199999999999999</v>
      </c>
      <c r="E138" s="143">
        <f>VLOOKUP($A138,'Data shares'!$C:$FA,124)</f>
        <v>0.36</v>
      </c>
      <c r="F138" s="143">
        <f>VLOOKUP($A138,'Data shares'!$C:$FA,125)</f>
        <v>0.41</v>
      </c>
      <c r="G138" s="143">
        <f>VLOOKUP($A138,'Data shares'!$C:$FA,127)*100</f>
        <v>-12.2</v>
      </c>
      <c r="H138" s="103">
        <f>VLOOKUP($A138,'OI(Volume)'!$A$7:$O$440,8)</f>
        <v>69962400</v>
      </c>
      <c r="I138" s="103">
        <f>VLOOKUP($A138,'OI(Volume)'!$A$7:$O$440,9)</f>
        <v>-6482100</v>
      </c>
      <c r="J138" s="103">
        <f>VLOOKUP($A138,'OI(Volume)'!$A$7:$O$440,11)</f>
        <v>37638000</v>
      </c>
      <c r="K138" s="103">
        <f>VLOOKUP($A138,'OI(Volume)'!$A$7:$O$440,12)</f>
        <v>412050</v>
      </c>
      <c r="L138" s="103">
        <f>VLOOKUP($A138,'OI(Value)'!$A$7:$O$323,8,0)</f>
        <v>780</v>
      </c>
      <c r="M138" s="103">
        <f>VLOOKUP($A138,'OI(Value)'!$A$7:$O$323,9,0)</f>
        <v>-72</v>
      </c>
      <c r="N138" s="103">
        <f>VLOOKUP($A138,'OI(Value)'!$A$7:$O$323,11,0)</f>
        <v>420</v>
      </c>
      <c r="O138" s="103">
        <f>VLOOKUP($A138,'OI(Value)'!$A$7:$O$323,12,0)</f>
        <v>5</v>
      </c>
      <c r="P138" s="179">
        <f>VLOOKUP(A138,'OI(Value)'!A138:O356,8,0)</f>
        <v>780</v>
      </c>
      <c r="Q138" s="179">
        <f>VLOOKUP(A138,'OI(Value)'!A138:O356,9,0)</f>
        <v>-72</v>
      </c>
      <c r="R138" s="179">
        <f>VLOOKUP(A138,'OI(Value)'!A138:O356,11,0)</f>
        <v>420</v>
      </c>
      <c r="S138" s="179">
        <f>VLOOKUP(A138,'OI(Value)'!A138:O356,11,0)</f>
        <v>420</v>
      </c>
    </row>
    <row r="139" spans="1:19" x14ac:dyDescent="0.25">
      <c r="A139" s="105" t="str">
        <f>'Data Vlaue (Cr)'!C134</f>
        <v>MPHASIS</v>
      </c>
      <c r="B139" s="143">
        <f>VLOOKUP($A139,'Data shares'!$C:$FA,118)</f>
        <v>0.75</v>
      </c>
      <c r="C139" s="143">
        <f>VLOOKUP($A139,'Data shares'!$C:$FA,119)</f>
        <v>0.81</v>
      </c>
      <c r="D139" s="143">
        <f>VLOOKUP($A139,'Data shares'!$C:$FA,121)*100</f>
        <v>-7.41</v>
      </c>
      <c r="E139" s="143">
        <f>VLOOKUP($A139,'Data shares'!$C:$FA,124)</f>
        <v>0.76</v>
      </c>
      <c r="F139" s="143">
        <f>VLOOKUP($A139,'Data shares'!$C:$FA,125)</f>
        <v>1.57</v>
      </c>
      <c r="G139" s="143">
        <f>VLOOKUP($A139,'Data shares'!$C:$FA,127)*100</f>
        <v>-51.59</v>
      </c>
      <c r="H139" s="103">
        <f>VLOOKUP($A139,'OI(Volume)'!$A$7:$O$440,8)</f>
        <v>1294150</v>
      </c>
      <c r="I139" s="103">
        <f>VLOOKUP($A139,'OI(Volume)'!$A$7:$O$440,9)</f>
        <v>131450</v>
      </c>
      <c r="J139" s="103">
        <f>VLOOKUP($A139,'OI(Volume)'!$A$7:$O$440,11)</f>
        <v>965800</v>
      </c>
      <c r="K139" s="103">
        <f>VLOOKUP($A139,'OI(Volume)'!$A$7:$O$440,12)</f>
        <v>27225</v>
      </c>
      <c r="L139" s="103">
        <f>VLOOKUP($A139,'OI(Value)'!$A$7:$O$323,8,0)</f>
        <v>363</v>
      </c>
      <c r="M139" s="103">
        <f>VLOOKUP($A139,'OI(Value)'!$A$7:$O$323,9,0)</f>
        <v>37</v>
      </c>
      <c r="N139" s="103">
        <f>VLOOKUP($A139,'OI(Value)'!$A$7:$O$323,11,0)</f>
        <v>271</v>
      </c>
      <c r="O139" s="103">
        <f>VLOOKUP($A139,'OI(Value)'!$A$7:$O$323,12,0)</f>
        <v>8</v>
      </c>
      <c r="P139" s="179">
        <f>VLOOKUP(A139,'OI(Value)'!A139:O357,8,0)</f>
        <v>363</v>
      </c>
      <c r="Q139" s="179">
        <f>VLOOKUP(A139,'OI(Value)'!A139:O357,9,0)</f>
        <v>37</v>
      </c>
      <c r="R139" s="179">
        <f>VLOOKUP(A139,'OI(Value)'!A139:O357,11,0)</f>
        <v>271</v>
      </c>
      <c r="S139" s="179">
        <f>VLOOKUP(A139,'OI(Value)'!A139:O357,11,0)</f>
        <v>271</v>
      </c>
    </row>
    <row r="140" spans="1:19" x14ac:dyDescent="0.25">
      <c r="A140" s="105" t="str">
        <f>'Data Vlaue (Cr)'!C135</f>
        <v>MUTHOOTFIN</v>
      </c>
      <c r="B140" s="143">
        <f>VLOOKUP($A140,'Data shares'!$C:$FA,118)</f>
        <v>0.64</v>
      </c>
      <c r="C140" s="143">
        <f>VLOOKUP($A140,'Data shares'!$C:$FA,119)</f>
        <v>0.6</v>
      </c>
      <c r="D140" s="143">
        <f>VLOOKUP($A140,'Data shares'!$C:$FA,121)*100</f>
        <v>6.67</v>
      </c>
      <c r="E140" s="143">
        <f>VLOOKUP($A140,'Data shares'!$C:$FA,124)</f>
        <v>1.02</v>
      </c>
      <c r="F140" s="143">
        <f>VLOOKUP($A140,'Data shares'!$C:$FA,125)</f>
        <v>0.41</v>
      </c>
      <c r="G140" s="143">
        <f>VLOOKUP($A140,'Data shares'!$C:$FA,127)*100</f>
        <v>148.78</v>
      </c>
      <c r="H140" s="103">
        <f>VLOOKUP($A140,'OI(Volume)'!$A$7:$O$440,8)</f>
        <v>2382875</v>
      </c>
      <c r="I140" s="103">
        <f>VLOOKUP($A140,'OI(Volume)'!$A$7:$O$440,9)</f>
        <v>10175</v>
      </c>
      <c r="J140" s="103">
        <f>VLOOKUP($A140,'OI(Volume)'!$A$7:$O$440,11)</f>
        <v>1523225</v>
      </c>
      <c r="K140" s="103">
        <f>VLOOKUP($A140,'OI(Volume)'!$A$7:$O$440,12)</f>
        <v>99550</v>
      </c>
      <c r="L140" s="103">
        <f>VLOOKUP($A140,'OI(Value)'!$A$7:$O$323,8,0)</f>
        <v>921</v>
      </c>
      <c r="M140" s="103">
        <f>VLOOKUP($A140,'OI(Value)'!$A$7:$O$323,9,0)</f>
        <v>4</v>
      </c>
      <c r="N140" s="103">
        <f>VLOOKUP($A140,'OI(Value)'!$A$7:$O$323,11,0)</f>
        <v>589</v>
      </c>
      <c r="O140" s="103">
        <f>VLOOKUP($A140,'OI(Value)'!$A$7:$O$323,12,0)</f>
        <v>38</v>
      </c>
      <c r="P140" s="179">
        <f>VLOOKUP(A140,'OI(Value)'!A140:O358,8,0)</f>
        <v>921</v>
      </c>
      <c r="Q140" s="179">
        <f>VLOOKUP(A140,'OI(Value)'!A140:O358,9,0)</f>
        <v>4</v>
      </c>
      <c r="R140" s="179">
        <f>VLOOKUP(A140,'OI(Value)'!A140:O358,11,0)</f>
        <v>589</v>
      </c>
      <c r="S140" s="179">
        <f>VLOOKUP(A140,'OI(Value)'!A140:O358,11,0)</f>
        <v>589</v>
      </c>
    </row>
    <row r="141" spans="1:19" x14ac:dyDescent="0.25">
      <c r="A141" s="105" t="str">
        <f>'Data Vlaue (Cr)'!C136</f>
        <v>NATIONALUM</v>
      </c>
      <c r="B141" s="143">
        <f>VLOOKUP($A141,'Data shares'!$C:$FA,118)</f>
        <v>0.84</v>
      </c>
      <c r="C141" s="143">
        <f>VLOOKUP($A141,'Data shares'!$C:$FA,119)</f>
        <v>0.79</v>
      </c>
      <c r="D141" s="143">
        <f>VLOOKUP($A141,'Data shares'!$C:$FA,121)*100</f>
        <v>6.3299999999999992</v>
      </c>
      <c r="E141" s="143">
        <f>VLOOKUP($A141,'Data shares'!$C:$FA,124)</f>
        <v>0.68</v>
      </c>
      <c r="F141" s="143">
        <f>VLOOKUP($A141,'Data shares'!$C:$FA,125)</f>
        <v>0.52</v>
      </c>
      <c r="G141" s="143">
        <f>VLOOKUP($A141,'Data shares'!$C:$FA,127)*100</f>
        <v>30.769999999999996</v>
      </c>
      <c r="H141" s="103">
        <f>VLOOKUP($A141,'OI(Volume)'!$A$7:$O$440,8)</f>
        <v>46046250</v>
      </c>
      <c r="I141" s="103">
        <f>VLOOKUP($A141,'OI(Volume)'!$A$7:$O$440,9)</f>
        <v>-3247500</v>
      </c>
      <c r="J141" s="103">
        <f>VLOOKUP($A141,'OI(Volume)'!$A$7:$O$440,11)</f>
        <v>38486250</v>
      </c>
      <c r="K141" s="103">
        <f>VLOOKUP($A141,'OI(Volume)'!$A$7:$O$440,12)</f>
        <v>-330000</v>
      </c>
      <c r="L141" s="103">
        <f>VLOOKUP($A141,'OI(Value)'!$A$7:$O$323,8,0)</f>
        <v>1677</v>
      </c>
      <c r="M141" s="103">
        <f>VLOOKUP($A141,'OI(Value)'!$A$7:$O$323,9,0)</f>
        <v>-118</v>
      </c>
      <c r="N141" s="103">
        <f>VLOOKUP($A141,'OI(Value)'!$A$7:$O$323,11,0)</f>
        <v>1402</v>
      </c>
      <c r="O141" s="103">
        <f>VLOOKUP($A141,'OI(Value)'!$A$7:$O$323,12,0)</f>
        <v>-12</v>
      </c>
      <c r="P141" s="179">
        <f>VLOOKUP(A141,'OI(Value)'!A141:O359,8,0)</f>
        <v>1677</v>
      </c>
      <c r="Q141" s="179">
        <f>VLOOKUP(A141,'OI(Value)'!A141:O359,9,0)</f>
        <v>-118</v>
      </c>
      <c r="R141" s="179">
        <f>VLOOKUP(A141,'OI(Value)'!A141:O359,11,0)</f>
        <v>1402</v>
      </c>
      <c r="S141" s="179">
        <f>VLOOKUP(A141,'OI(Value)'!A141:O359,11,0)</f>
        <v>1402</v>
      </c>
    </row>
    <row r="142" spans="1:19" x14ac:dyDescent="0.25">
      <c r="A142" s="105" t="str">
        <f>'Data Vlaue (Cr)'!C137</f>
        <v>NAUKRI</v>
      </c>
      <c r="B142" s="143">
        <f>VLOOKUP($A142,'Data shares'!$C:$FA,118)</f>
        <v>0.57999999999999996</v>
      </c>
      <c r="C142" s="143">
        <f>VLOOKUP($A142,'Data shares'!$C:$FA,119)</f>
        <v>0.57999999999999996</v>
      </c>
      <c r="D142" s="143">
        <f>VLOOKUP($A142,'Data shares'!$C:$FA,121)*100</f>
        <v>0</v>
      </c>
      <c r="E142" s="143">
        <f>VLOOKUP($A142,'Data shares'!$C:$FA,124)</f>
        <v>0.74</v>
      </c>
      <c r="F142" s="143">
        <f>VLOOKUP($A142,'Data shares'!$C:$FA,125)</f>
        <v>0.66</v>
      </c>
      <c r="G142" s="143">
        <f>VLOOKUP($A142,'Data shares'!$C:$FA,127)*100</f>
        <v>12.120000000000001</v>
      </c>
      <c r="H142" s="103">
        <f>VLOOKUP($A142,'OI(Volume)'!$A$7:$O$440,8)</f>
        <v>3106500</v>
      </c>
      <c r="I142" s="103">
        <f>VLOOKUP($A142,'OI(Volume)'!$A$7:$O$440,9)</f>
        <v>-180750</v>
      </c>
      <c r="J142" s="103">
        <f>VLOOKUP($A142,'OI(Volume)'!$A$7:$O$440,11)</f>
        <v>1787625</v>
      </c>
      <c r="K142" s="103">
        <f>VLOOKUP($A142,'OI(Volume)'!$A$7:$O$440,12)</f>
        <v>-118125</v>
      </c>
      <c r="L142" s="103">
        <f>VLOOKUP($A142,'OI(Value)'!$A$7:$O$323,8,0)</f>
        <v>409</v>
      </c>
      <c r="M142" s="103">
        <f>VLOOKUP($A142,'OI(Value)'!$A$7:$O$323,9,0)</f>
        <v>-24</v>
      </c>
      <c r="N142" s="103">
        <f>VLOOKUP($A142,'OI(Value)'!$A$7:$O$323,11,0)</f>
        <v>235</v>
      </c>
      <c r="O142" s="103">
        <f>VLOOKUP($A142,'OI(Value)'!$A$7:$O$323,12,0)</f>
        <v>-16</v>
      </c>
      <c r="P142" s="179">
        <f>VLOOKUP(A142,'OI(Value)'!A142:O360,8,0)</f>
        <v>409</v>
      </c>
      <c r="Q142" s="179">
        <f>VLOOKUP(A142,'OI(Value)'!A142:O360,9,0)</f>
        <v>-24</v>
      </c>
      <c r="R142" s="179">
        <f>VLOOKUP(A142,'OI(Value)'!A142:O360,11,0)</f>
        <v>235</v>
      </c>
      <c r="S142" s="179">
        <f>VLOOKUP(A142,'OI(Value)'!A142:O360,11,0)</f>
        <v>235</v>
      </c>
    </row>
    <row r="143" spans="1:19" x14ac:dyDescent="0.25">
      <c r="A143" s="105" t="str">
        <f>'Data Vlaue (Cr)'!C138</f>
        <v>NBCC</v>
      </c>
      <c r="B143" s="143">
        <f>VLOOKUP($A143,'Data shares'!$C:$FA,118)</f>
        <v>0.39</v>
      </c>
      <c r="C143" s="143">
        <f>VLOOKUP($A143,'Data shares'!$C:$FA,119)</f>
        <v>0.38</v>
      </c>
      <c r="D143" s="143">
        <f>VLOOKUP($A143,'Data shares'!$C:$FA,121)*100</f>
        <v>2.63</v>
      </c>
      <c r="E143" s="143">
        <f>VLOOKUP($A143,'Data shares'!$C:$FA,124)</f>
        <v>0.31</v>
      </c>
      <c r="F143" s="143">
        <f>VLOOKUP($A143,'Data shares'!$C:$FA,125)</f>
        <v>0.4</v>
      </c>
      <c r="G143" s="143">
        <f>VLOOKUP($A143,'Data shares'!$C:$FA,127)*100</f>
        <v>-22.5</v>
      </c>
      <c r="H143" s="103">
        <f>VLOOKUP($A143,'OI(Volume)'!$A$7:$O$440,8)</f>
        <v>77954500</v>
      </c>
      <c r="I143" s="103">
        <f>VLOOKUP($A143,'OI(Volume)'!$A$7:$O$440,9)</f>
        <v>-4725500</v>
      </c>
      <c r="J143" s="103">
        <f>VLOOKUP($A143,'OI(Volume)'!$A$7:$O$440,11)</f>
        <v>30790500</v>
      </c>
      <c r="K143" s="103">
        <f>VLOOKUP($A143,'OI(Volume)'!$A$7:$O$440,12)</f>
        <v>-1040000</v>
      </c>
      <c r="L143" s="103">
        <f>VLOOKUP($A143,'OI(Value)'!$A$7:$O$323,8,0)</f>
        <v>770</v>
      </c>
      <c r="M143" s="103">
        <f>VLOOKUP($A143,'OI(Value)'!$A$7:$O$323,9,0)</f>
        <v>-47</v>
      </c>
      <c r="N143" s="103">
        <f>VLOOKUP($A143,'OI(Value)'!$A$7:$O$323,11,0)</f>
        <v>304</v>
      </c>
      <c r="O143" s="103">
        <f>VLOOKUP($A143,'OI(Value)'!$A$7:$O$323,12,0)</f>
        <v>-10</v>
      </c>
      <c r="P143" s="179">
        <f>VLOOKUP(A143,'OI(Value)'!A143:O361,8,0)</f>
        <v>770</v>
      </c>
      <c r="Q143" s="179">
        <f>VLOOKUP(A143,'OI(Value)'!A143:O361,9,0)</f>
        <v>-47</v>
      </c>
      <c r="R143" s="179">
        <f>VLOOKUP(A143,'OI(Value)'!A143:O361,11,0)</f>
        <v>304</v>
      </c>
      <c r="S143" s="179">
        <f>VLOOKUP(A143,'OI(Value)'!A143:O361,11,0)</f>
        <v>304</v>
      </c>
    </row>
    <row r="144" spans="1:19" x14ac:dyDescent="0.25">
      <c r="A144" s="105" t="str">
        <f>'Data Vlaue (Cr)'!C139</f>
        <v>NESTLEIND</v>
      </c>
      <c r="B144" s="143">
        <f>VLOOKUP($A144,'Data shares'!$C:$FA,118)</f>
        <v>0.56000000000000005</v>
      </c>
      <c r="C144" s="143">
        <f>VLOOKUP($A144,'Data shares'!$C:$FA,119)</f>
        <v>0.48</v>
      </c>
      <c r="D144" s="143">
        <f>VLOOKUP($A144,'Data shares'!$C:$FA,121)*100</f>
        <v>16.669999999999998</v>
      </c>
      <c r="E144" s="143">
        <f>VLOOKUP($A144,'Data shares'!$C:$FA,124)</f>
        <v>0.56999999999999995</v>
      </c>
      <c r="F144" s="143">
        <f>VLOOKUP($A144,'Data shares'!$C:$FA,125)</f>
        <v>0.61</v>
      </c>
      <c r="G144" s="143">
        <f>VLOOKUP($A144,'Data shares'!$C:$FA,127)*100</f>
        <v>-6.5600000000000005</v>
      </c>
      <c r="H144" s="103">
        <f>VLOOKUP($A144,'OI(Volume)'!$A$7:$O$440,8)</f>
        <v>3418000</v>
      </c>
      <c r="I144" s="103">
        <f>VLOOKUP($A144,'OI(Volume)'!$A$7:$O$440,9)</f>
        <v>-462000</v>
      </c>
      <c r="J144" s="103">
        <f>VLOOKUP($A144,'OI(Volume)'!$A$7:$O$440,11)</f>
        <v>1897000</v>
      </c>
      <c r="K144" s="103">
        <f>VLOOKUP($A144,'OI(Volume)'!$A$7:$O$440,12)</f>
        <v>18500</v>
      </c>
      <c r="L144" s="103">
        <f>VLOOKUP($A144,'OI(Value)'!$A$7:$O$323,8,0)</f>
        <v>447</v>
      </c>
      <c r="M144" s="103">
        <f>VLOOKUP($A144,'OI(Value)'!$A$7:$O$323,9,0)</f>
        <v>-60</v>
      </c>
      <c r="N144" s="103">
        <f>VLOOKUP($A144,'OI(Value)'!$A$7:$O$323,11,0)</f>
        <v>248</v>
      </c>
      <c r="O144" s="103">
        <f>VLOOKUP($A144,'OI(Value)'!$A$7:$O$323,12,0)</f>
        <v>2</v>
      </c>
      <c r="P144" s="179">
        <f>VLOOKUP(A144,'OI(Value)'!A144:O362,8,0)</f>
        <v>447</v>
      </c>
      <c r="Q144" s="179">
        <f>VLOOKUP(A144,'OI(Value)'!A144:O362,9,0)</f>
        <v>-60</v>
      </c>
      <c r="R144" s="179">
        <f>VLOOKUP(A144,'OI(Value)'!A144:O362,11,0)</f>
        <v>248</v>
      </c>
      <c r="S144" s="179">
        <f>VLOOKUP(A144,'OI(Value)'!A144:O362,11,0)</f>
        <v>248</v>
      </c>
    </row>
    <row r="145" spans="1:19" x14ac:dyDescent="0.25">
      <c r="A145" s="105" t="str">
        <f>'Data Vlaue (Cr)'!C140</f>
        <v>NHPC</v>
      </c>
      <c r="B145" s="143">
        <f>VLOOKUP($A145,'Data shares'!$C:$FA,118)</f>
        <v>0.51</v>
      </c>
      <c r="C145" s="143">
        <f>VLOOKUP($A145,'Data shares'!$C:$FA,119)</f>
        <v>0.47</v>
      </c>
      <c r="D145" s="143">
        <f>VLOOKUP($A145,'Data shares'!$C:$FA,121)*100</f>
        <v>8.51</v>
      </c>
      <c r="E145" s="143">
        <f>VLOOKUP($A145,'Data shares'!$C:$FA,124)</f>
        <v>0.41</v>
      </c>
      <c r="F145" s="143">
        <f>VLOOKUP($A145,'Data shares'!$C:$FA,125)</f>
        <v>0.65</v>
      </c>
      <c r="G145" s="143">
        <f>VLOOKUP($A145,'Data shares'!$C:$FA,127)*100</f>
        <v>-36.919999999999995</v>
      </c>
      <c r="H145" s="103">
        <f>VLOOKUP($A145,'OI(Volume)'!$A$7:$O$440,8)</f>
        <v>44268800</v>
      </c>
      <c r="I145" s="103">
        <f>VLOOKUP($A145,'OI(Volume)'!$A$7:$O$440,9)</f>
        <v>-4608000</v>
      </c>
      <c r="J145" s="103">
        <f>VLOOKUP($A145,'OI(Volume)'!$A$7:$O$440,11)</f>
        <v>22451200</v>
      </c>
      <c r="K145" s="103">
        <f>VLOOKUP($A145,'OI(Volume)'!$A$7:$O$440,12)</f>
        <v>-608000</v>
      </c>
      <c r="L145" s="103">
        <f>VLOOKUP($A145,'OI(Value)'!$A$7:$O$323,8,0)</f>
        <v>344</v>
      </c>
      <c r="M145" s="103">
        <f>VLOOKUP($A145,'OI(Value)'!$A$7:$O$323,9,0)</f>
        <v>-36</v>
      </c>
      <c r="N145" s="103">
        <f>VLOOKUP($A145,'OI(Value)'!$A$7:$O$323,11,0)</f>
        <v>174</v>
      </c>
      <c r="O145" s="103">
        <f>VLOOKUP($A145,'OI(Value)'!$A$7:$O$323,12,0)</f>
        <v>-5</v>
      </c>
      <c r="P145" s="179">
        <f>VLOOKUP(A145,'OI(Value)'!A145:O363,8,0)</f>
        <v>344</v>
      </c>
      <c r="Q145" s="179">
        <f>VLOOKUP(A145,'OI(Value)'!A145:O363,9,0)</f>
        <v>-36</v>
      </c>
      <c r="R145" s="179">
        <f>VLOOKUP(A145,'OI(Value)'!A145:O363,11,0)</f>
        <v>174</v>
      </c>
      <c r="S145" s="179">
        <f>VLOOKUP(A145,'OI(Value)'!A145:O363,11,0)</f>
        <v>174</v>
      </c>
    </row>
    <row r="146" spans="1:19" x14ac:dyDescent="0.25">
      <c r="A146" s="105" t="str">
        <f>'Data Vlaue (Cr)'!C141</f>
        <v>NIFTY</v>
      </c>
      <c r="B146" s="143">
        <f>VLOOKUP($A146,'Data shares'!$C:$FA,118)</f>
        <v>0.87</v>
      </c>
      <c r="C146" s="143">
        <f>VLOOKUP($A146,'Data shares'!$C:$FA,119)</f>
        <v>0.78</v>
      </c>
      <c r="D146" s="143">
        <f>VLOOKUP($A146,'Data shares'!$C:$FA,121)*100</f>
        <v>11.540000000000001</v>
      </c>
      <c r="E146" s="143">
        <f>VLOOKUP($A146,'Data shares'!$C:$FA,124)</f>
        <v>1.05</v>
      </c>
      <c r="F146" s="143">
        <f>VLOOKUP($A146,'Data shares'!$C:$FA,125)</f>
        <v>1.04</v>
      </c>
      <c r="G146" s="143">
        <f>VLOOKUP($A146,'Data shares'!$C:$FA,127)*100</f>
        <v>0.96</v>
      </c>
      <c r="H146" s="103">
        <f>VLOOKUP($A146,'OI(Volume)'!$A$7:$O$440,8)</f>
        <v>249425910</v>
      </c>
      <c r="I146" s="103">
        <f>VLOOKUP($A146,'OI(Volume)'!$A$7:$O$440,9)</f>
        <v>6151480</v>
      </c>
      <c r="J146" s="103">
        <f>VLOOKUP($A146,'OI(Volume)'!$A$7:$O$440,11)</f>
        <v>218117770</v>
      </c>
      <c r="K146" s="103">
        <f>VLOOKUP($A146,'OI(Volume)'!$A$7:$O$440,12)</f>
        <v>27593320</v>
      </c>
      <c r="L146" s="103">
        <f>VLOOKUP($A146,'OI(Value)'!$A$7:$O$323,8,0)</f>
        <v>632290</v>
      </c>
      <c r="M146" s="103">
        <f>VLOOKUP($A146,'OI(Value)'!$A$7:$O$323,9,0)</f>
        <v>15594</v>
      </c>
      <c r="N146" s="103">
        <f>VLOOKUP($A146,'OI(Value)'!$A$7:$O$323,11,0)</f>
        <v>552924</v>
      </c>
      <c r="O146" s="103">
        <f>VLOOKUP($A146,'OI(Value)'!$A$7:$O$323,12,0)</f>
        <v>69949</v>
      </c>
      <c r="P146" s="179">
        <f>VLOOKUP(A146,'OI(Value)'!A146:O364,8,0)</f>
        <v>632290</v>
      </c>
      <c r="Q146" s="179">
        <f>VLOOKUP(A146,'OI(Value)'!A146:O364,9,0)</f>
        <v>15594</v>
      </c>
      <c r="R146" s="179">
        <f>VLOOKUP(A146,'OI(Value)'!A146:O364,11,0)</f>
        <v>552924</v>
      </c>
      <c r="S146" s="179">
        <f>VLOOKUP(A146,'OI(Value)'!A146:O364,11,0)</f>
        <v>552924</v>
      </c>
    </row>
    <row r="147" spans="1:19" x14ac:dyDescent="0.25">
      <c r="A147" s="105" t="str">
        <f>'Data Vlaue (Cr)'!C142</f>
        <v>NIFTYNXT50</v>
      </c>
      <c r="B147" s="143">
        <f>VLOOKUP($A147,'Data shares'!$C:$FA,118)</f>
        <v>0.3</v>
      </c>
      <c r="C147" s="143">
        <f>VLOOKUP($A147,'Data shares'!$C:$FA,119)</f>
        <v>0.3</v>
      </c>
      <c r="D147" s="143">
        <f>VLOOKUP($A147,'Data shares'!$C:$FA,121)*100</f>
        <v>0</v>
      </c>
      <c r="E147" s="143">
        <f>VLOOKUP($A147,'Data shares'!$C:$FA,124)</f>
        <v>0.4</v>
      </c>
      <c r="F147" s="143">
        <f>VLOOKUP($A147,'Data shares'!$C:$FA,125)</f>
        <v>0.37</v>
      </c>
      <c r="G147" s="143">
        <f>VLOOKUP($A147,'Data shares'!$C:$FA,127)*100</f>
        <v>8.1100000000000012</v>
      </c>
      <c r="H147" s="103">
        <f>VLOOKUP($A147,'OI(Volume)'!$A$7:$O$440,8)</f>
        <v>23300</v>
      </c>
      <c r="I147" s="103">
        <f>VLOOKUP($A147,'OI(Volume)'!$A$7:$O$440,9)</f>
        <v>350</v>
      </c>
      <c r="J147" s="103">
        <f>VLOOKUP($A147,'OI(Volume)'!$A$7:$O$440,11)</f>
        <v>6900</v>
      </c>
      <c r="K147" s="103">
        <f>VLOOKUP($A147,'OI(Volume)'!$A$7:$O$440,12)</f>
        <v>-75</v>
      </c>
      <c r="L147" s="103">
        <f>VLOOKUP($A147,'OI(Value)'!$A$7:$O$323,8,0)</f>
        <v>158</v>
      </c>
      <c r="M147" s="103">
        <f>VLOOKUP($A147,'OI(Value)'!$A$7:$O$323,9,0)</f>
        <v>2</v>
      </c>
      <c r="N147" s="103">
        <f>VLOOKUP($A147,'OI(Value)'!$A$7:$O$323,11,0)</f>
        <v>47</v>
      </c>
      <c r="O147" s="103">
        <f>VLOOKUP($A147,'OI(Value)'!$A$7:$O$323,12,0)</f>
        <v>-1</v>
      </c>
      <c r="P147" s="179">
        <f>VLOOKUP(A147,'OI(Value)'!A147:O365,8,0)</f>
        <v>158</v>
      </c>
      <c r="Q147" s="179">
        <f>VLOOKUP(A147,'OI(Value)'!A147:O365,9,0)</f>
        <v>2</v>
      </c>
      <c r="R147" s="179">
        <f>VLOOKUP(A147,'OI(Value)'!A147:O365,11,0)</f>
        <v>47</v>
      </c>
      <c r="S147" s="179">
        <f>VLOOKUP(A147,'OI(Value)'!A147:O365,11,0)</f>
        <v>47</v>
      </c>
    </row>
    <row r="148" spans="1:19" x14ac:dyDescent="0.25">
      <c r="A148" s="105" t="str">
        <f>'Data Vlaue (Cr)'!C143</f>
        <v>NMDC</v>
      </c>
      <c r="B148" s="143">
        <f>VLOOKUP($A148,'Data shares'!$C:$FA,118)</f>
        <v>0.39</v>
      </c>
      <c r="C148" s="143">
        <f>VLOOKUP($A148,'Data shares'!$C:$FA,119)</f>
        <v>0.39</v>
      </c>
      <c r="D148" s="143">
        <f>VLOOKUP($A148,'Data shares'!$C:$FA,121)*100</f>
        <v>0</v>
      </c>
      <c r="E148" s="143">
        <f>VLOOKUP($A148,'Data shares'!$C:$FA,124)</f>
        <v>0.4</v>
      </c>
      <c r="F148" s="143">
        <f>VLOOKUP($A148,'Data shares'!$C:$FA,125)</f>
        <v>0.52</v>
      </c>
      <c r="G148" s="143">
        <f>VLOOKUP($A148,'Data shares'!$C:$FA,127)*100</f>
        <v>-23.080000000000002</v>
      </c>
      <c r="H148" s="103">
        <f>VLOOKUP($A148,'OI(Volume)'!$A$7:$O$440,8)</f>
        <v>149249250</v>
      </c>
      <c r="I148" s="103">
        <f>VLOOKUP($A148,'OI(Volume)'!$A$7:$O$440,9)</f>
        <v>-2632500</v>
      </c>
      <c r="J148" s="103">
        <f>VLOOKUP($A148,'OI(Volume)'!$A$7:$O$440,11)</f>
        <v>57516750</v>
      </c>
      <c r="K148" s="103">
        <f>VLOOKUP($A148,'OI(Volume)'!$A$7:$O$440,12)</f>
        <v>-1613250</v>
      </c>
      <c r="L148" s="103">
        <f>VLOOKUP($A148,'OI(Value)'!$A$7:$O$323,8,0)</f>
        <v>1170</v>
      </c>
      <c r="M148" s="103">
        <f>VLOOKUP($A148,'OI(Value)'!$A$7:$O$323,9,0)</f>
        <v>-21</v>
      </c>
      <c r="N148" s="103">
        <f>VLOOKUP($A148,'OI(Value)'!$A$7:$O$323,11,0)</f>
        <v>451</v>
      </c>
      <c r="O148" s="103">
        <f>VLOOKUP($A148,'OI(Value)'!$A$7:$O$323,12,0)</f>
        <v>-13</v>
      </c>
      <c r="P148" s="179">
        <f>VLOOKUP(A148,'OI(Value)'!A148:O366,8,0)</f>
        <v>1170</v>
      </c>
      <c r="Q148" s="179">
        <f>VLOOKUP(A148,'OI(Value)'!A148:O366,9,0)</f>
        <v>-21</v>
      </c>
      <c r="R148" s="179">
        <f>VLOOKUP(A148,'OI(Value)'!A148:O366,11,0)</f>
        <v>451</v>
      </c>
      <c r="S148" s="179">
        <f>VLOOKUP(A148,'OI(Value)'!A148:O366,11,0)</f>
        <v>451</v>
      </c>
    </row>
    <row r="149" spans="1:19" x14ac:dyDescent="0.25">
      <c r="A149" s="105" t="str">
        <f>'Data Vlaue (Cr)'!C144</f>
        <v>NTPC</v>
      </c>
      <c r="B149" s="143">
        <f>VLOOKUP($A149,'Data shares'!$C:$FA,118)</f>
        <v>0.43</v>
      </c>
      <c r="C149" s="143">
        <f>VLOOKUP($A149,'Data shares'!$C:$FA,119)</f>
        <v>0.4</v>
      </c>
      <c r="D149" s="143">
        <f>VLOOKUP($A149,'Data shares'!$C:$FA,121)*100</f>
        <v>7.5</v>
      </c>
      <c r="E149" s="143">
        <f>VLOOKUP($A149,'Data shares'!$C:$FA,124)</f>
        <v>0.65</v>
      </c>
      <c r="F149" s="143">
        <f>VLOOKUP($A149,'Data shares'!$C:$FA,125)</f>
        <v>0.65</v>
      </c>
      <c r="G149" s="143">
        <f>VLOOKUP($A149,'Data shares'!$C:$FA,127)*100</f>
        <v>0</v>
      </c>
      <c r="H149" s="103">
        <f>VLOOKUP($A149,'OI(Volume)'!$A$7:$O$440,8)</f>
        <v>67656000</v>
      </c>
      <c r="I149" s="103">
        <f>VLOOKUP($A149,'OI(Volume)'!$A$7:$O$440,9)</f>
        <v>-1935000</v>
      </c>
      <c r="J149" s="103">
        <f>VLOOKUP($A149,'OI(Volume)'!$A$7:$O$440,11)</f>
        <v>29089500</v>
      </c>
      <c r="K149" s="103">
        <f>VLOOKUP($A149,'OI(Volume)'!$A$7:$O$440,12)</f>
        <v>1527000</v>
      </c>
      <c r="L149" s="103">
        <f>VLOOKUP($A149,'OI(Value)'!$A$7:$O$323,8,0)</f>
        <v>2319</v>
      </c>
      <c r="M149" s="103">
        <f>VLOOKUP($A149,'OI(Value)'!$A$7:$O$323,9,0)</f>
        <v>-66</v>
      </c>
      <c r="N149" s="103">
        <f>VLOOKUP($A149,'OI(Value)'!$A$7:$O$323,11,0)</f>
        <v>997</v>
      </c>
      <c r="O149" s="103">
        <f>VLOOKUP($A149,'OI(Value)'!$A$7:$O$323,12,0)</f>
        <v>52</v>
      </c>
      <c r="P149" s="179">
        <f>VLOOKUP(A149,'OI(Value)'!A149:O367,8,0)</f>
        <v>2319</v>
      </c>
      <c r="Q149" s="179">
        <f>VLOOKUP(A149,'OI(Value)'!A149:O367,9,0)</f>
        <v>-66</v>
      </c>
      <c r="R149" s="179">
        <f>VLOOKUP(A149,'OI(Value)'!A149:O367,11,0)</f>
        <v>997</v>
      </c>
      <c r="S149" s="179">
        <f>VLOOKUP(A149,'OI(Value)'!A149:O367,11,0)</f>
        <v>997</v>
      </c>
    </row>
    <row r="150" spans="1:19" x14ac:dyDescent="0.25">
      <c r="A150" s="105" t="str">
        <f>'Data Vlaue (Cr)'!C145</f>
        <v>NUVAMA</v>
      </c>
      <c r="B150" s="143">
        <f>VLOOKUP($A150,'Data shares'!$C:$FA,118)</f>
        <v>0.41</v>
      </c>
      <c r="C150" s="143">
        <f>VLOOKUP($A150,'Data shares'!$C:$FA,119)</f>
        <v>0.39</v>
      </c>
      <c r="D150" s="143">
        <f>VLOOKUP($A150,'Data shares'!$C:$FA,121)*100</f>
        <v>5.13</v>
      </c>
      <c r="E150" s="143">
        <f>VLOOKUP($A150,'Data shares'!$C:$FA,124)</f>
        <v>0.57999999999999996</v>
      </c>
      <c r="F150" s="143">
        <f>VLOOKUP($A150,'Data shares'!$C:$FA,125)</f>
        <v>0.63</v>
      </c>
      <c r="G150" s="143">
        <f>VLOOKUP($A150,'Data shares'!$C:$FA,127)*100</f>
        <v>-7.9399999999999995</v>
      </c>
      <c r="H150" s="103">
        <f>VLOOKUP($A150,'OI(Volume)'!$A$7:$O$440,8)</f>
        <v>1483500</v>
      </c>
      <c r="I150" s="103">
        <f>VLOOKUP($A150,'OI(Volume)'!$A$7:$O$440,9)</f>
        <v>-161500</v>
      </c>
      <c r="J150" s="103">
        <f>VLOOKUP($A150,'OI(Volume)'!$A$7:$O$440,11)</f>
        <v>613500</v>
      </c>
      <c r="K150" s="103">
        <f>VLOOKUP($A150,'OI(Volume)'!$A$7:$O$440,12)</f>
        <v>-23500</v>
      </c>
      <c r="L150" s="103">
        <f>VLOOKUP($A150,'OI(Value)'!$A$7:$O$323,8,0)</f>
        <v>205</v>
      </c>
      <c r="M150" s="103">
        <f>VLOOKUP($A150,'OI(Value)'!$A$7:$O$323,9,0)</f>
        <v>-22</v>
      </c>
      <c r="N150" s="103">
        <f>VLOOKUP($A150,'OI(Value)'!$A$7:$O$323,11,0)</f>
        <v>85</v>
      </c>
      <c r="O150" s="103">
        <f>VLOOKUP($A150,'OI(Value)'!$A$7:$O$323,12,0)</f>
        <v>-3</v>
      </c>
      <c r="P150" s="179">
        <f>VLOOKUP(A150,'OI(Value)'!A150:O368,8,0)</f>
        <v>205</v>
      </c>
      <c r="Q150" s="179">
        <f>VLOOKUP(A150,'OI(Value)'!A150:O368,9,0)</f>
        <v>-22</v>
      </c>
      <c r="R150" s="179">
        <f>VLOOKUP(A150,'OI(Value)'!A150:O368,11,0)</f>
        <v>85</v>
      </c>
      <c r="S150" s="179">
        <f>VLOOKUP(A150,'OI(Value)'!A150:O368,11,0)</f>
        <v>85</v>
      </c>
    </row>
    <row r="151" spans="1:19" x14ac:dyDescent="0.25">
      <c r="A151" s="105" t="str">
        <f>'Data Vlaue (Cr)'!C146</f>
        <v>NYKAA</v>
      </c>
      <c r="B151" s="143">
        <f>VLOOKUP($A151,'Data shares'!$C:$FA,118)</f>
        <v>0.68</v>
      </c>
      <c r="C151" s="143">
        <f>VLOOKUP($A151,'Data shares'!$C:$FA,119)</f>
        <v>0.64</v>
      </c>
      <c r="D151" s="143">
        <f>VLOOKUP($A151,'Data shares'!$C:$FA,121)*100</f>
        <v>6.25</v>
      </c>
      <c r="E151" s="143">
        <f>VLOOKUP($A151,'Data shares'!$C:$FA,124)</f>
        <v>0.71</v>
      </c>
      <c r="F151" s="143">
        <f>VLOOKUP($A151,'Data shares'!$C:$FA,125)</f>
        <v>0.52</v>
      </c>
      <c r="G151" s="143">
        <f>VLOOKUP($A151,'Data shares'!$C:$FA,127)*100</f>
        <v>36.54</v>
      </c>
      <c r="H151" s="103">
        <f>VLOOKUP($A151,'OI(Volume)'!$A$7:$O$440,8)</f>
        <v>17118750</v>
      </c>
      <c r="I151" s="103">
        <f>VLOOKUP($A151,'OI(Volume)'!$A$7:$O$440,9)</f>
        <v>-534375</v>
      </c>
      <c r="J151" s="103">
        <f>VLOOKUP($A151,'OI(Volume)'!$A$7:$O$440,11)</f>
        <v>11665625</v>
      </c>
      <c r="K151" s="103">
        <f>VLOOKUP($A151,'OI(Volume)'!$A$7:$O$440,12)</f>
        <v>371875</v>
      </c>
      <c r="L151" s="103">
        <f>VLOOKUP($A151,'OI(Value)'!$A$7:$O$323,8,0)</f>
        <v>411</v>
      </c>
      <c r="M151" s="103">
        <f>VLOOKUP($A151,'OI(Value)'!$A$7:$O$323,9,0)</f>
        <v>-13</v>
      </c>
      <c r="N151" s="103">
        <f>VLOOKUP($A151,'OI(Value)'!$A$7:$O$323,11,0)</f>
        <v>280</v>
      </c>
      <c r="O151" s="103">
        <f>VLOOKUP($A151,'OI(Value)'!$A$7:$O$323,12,0)</f>
        <v>9</v>
      </c>
      <c r="P151" s="179">
        <f>VLOOKUP(A151,'OI(Value)'!A151:O369,8,0)</f>
        <v>411</v>
      </c>
      <c r="Q151" s="179">
        <f>VLOOKUP(A151,'OI(Value)'!A151:O369,9,0)</f>
        <v>-13</v>
      </c>
      <c r="R151" s="179">
        <f>VLOOKUP(A151,'OI(Value)'!A151:O369,11,0)</f>
        <v>280</v>
      </c>
      <c r="S151" s="179">
        <f>VLOOKUP(A151,'OI(Value)'!A151:O369,11,0)</f>
        <v>280</v>
      </c>
    </row>
    <row r="152" spans="1:19" x14ac:dyDescent="0.25">
      <c r="A152" s="105" t="str">
        <f>'Data Vlaue (Cr)'!C147</f>
        <v>OBEROIRLTY</v>
      </c>
      <c r="B152" s="143">
        <f>VLOOKUP($A152,'Data shares'!$C:$FA,118)</f>
        <v>0.53</v>
      </c>
      <c r="C152" s="143">
        <f>VLOOKUP($A152,'Data shares'!$C:$FA,119)</f>
        <v>0.51</v>
      </c>
      <c r="D152" s="143">
        <f>VLOOKUP($A152,'Data shares'!$C:$FA,121)*100</f>
        <v>3.92</v>
      </c>
      <c r="E152" s="143">
        <f>VLOOKUP($A152,'Data shares'!$C:$FA,124)</f>
        <v>0.6</v>
      </c>
      <c r="F152" s="143">
        <f>VLOOKUP($A152,'Data shares'!$C:$FA,125)</f>
        <v>0.69</v>
      </c>
      <c r="G152" s="143">
        <f>VLOOKUP($A152,'Data shares'!$C:$FA,127)*100</f>
        <v>-13.04</v>
      </c>
      <c r="H152" s="103">
        <f>VLOOKUP($A152,'OI(Volume)'!$A$7:$O$440,8)</f>
        <v>2712500</v>
      </c>
      <c r="I152" s="103">
        <f>VLOOKUP($A152,'OI(Volume)'!$A$7:$O$440,9)</f>
        <v>-310800</v>
      </c>
      <c r="J152" s="103">
        <f>VLOOKUP($A152,'OI(Volume)'!$A$7:$O$440,11)</f>
        <v>1426250</v>
      </c>
      <c r="K152" s="103">
        <f>VLOOKUP($A152,'OI(Volume)'!$A$7:$O$440,12)</f>
        <v>-120750</v>
      </c>
      <c r="L152" s="103">
        <f>VLOOKUP($A152,'OI(Value)'!$A$7:$O$323,8,0)</f>
        <v>401</v>
      </c>
      <c r="M152" s="103">
        <f>VLOOKUP($A152,'OI(Value)'!$A$7:$O$323,9,0)</f>
        <v>-46</v>
      </c>
      <c r="N152" s="103">
        <f>VLOOKUP($A152,'OI(Value)'!$A$7:$O$323,11,0)</f>
        <v>211</v>
      </c>
      <c r="O152" s="103">
        <f>VLOOKUP($A152,'OI(Value)'!$A$7:$O$323,12,0)</f>
        <v>-18</v>
      </c>
      <c r="P152" s="179">
        <f>VLOOKUP(A152,'OI(Value)'!A152:O370,8,0)</f>
        <v>401</v>
      </c>
      <c r="Q152" s="179">
        <f>VLOOKUP(A152,'OI(Value)'!A152:O370,9,0)</f>
        <v>-46</v>
      </c>
      <c r="R152" s="179">
        <f>VLOOKUP(A152,'OI(Value)'!A152:O370,11,0)</f>
        <v>211</v>
      </c>
      <c r="S152" s="179">
        <f>VLOOKUP(A152,'OI(Value)'!A152:O370,11,0)</f>
        <v>211</v>
      </c>
    </row>
    <row r="153" spans="1:19" x14ac:dyDescent="0.25">
      <c r="A153" s="105" t="str">
        <f>'Data Vlaue (Cr)'!C148</f>
        <v>OFSS</v>
      </c>
      <c r="B153" s="143">
        <f>VLOOKUP($A153,'Data shares'!$C:$FA,118)</f>
        <v>0.79</v>
      </c>
      <c r="C153" s="143">
        <f>VLOOKUP($A153,'Data shares'!$C:$FA,119)</f>
        <v>0.8</v>
      </c>
      <c r="D153" s="143">
        <f>VLOOKUP($A153,'Data shares'!$C:$FA,121)*100</f>
        <v>-1.25</v>
      </c>
      <c r="E153" s="143">
        <f>VLOOKUP($A153,'Data shares'!$C:$FA,124)</f>
        <v>0.45</v>
      </c>
      <c r="F153" s="143">
        <f>VLOOKUP($A153,'Data shares'!$C:$FA,125)</f>
        <v>0.83</v>
      </c>
      <c r="G153" s="143">
        <f>VLOOKUP($A153,'Data shares'!$C:$FA,127)*100</f>
        <v>-45.78</v>
      </c>
      <c r="H153" s="103">
        <f>VLOOKUP($A153,'OI(Volume)'!$A$7:$O$440,8)</f>
        <v>553350</v>
      </c>
      <c r="I153" s="103">
        <f>VLOOKUP($A153,'OI(Volume)'!$A$7:$O$440,9)</f>
        <v>-97125</v>
      </c>
      <c r="J153" s="103">
        <f>VLOOKUP($A153,'OI(Volume)'!$A$7:$O$440,11)</f>
        <v>434925</v>
      </c>
      <c r="K153" s="103">
        <f>VLOOKUP($A153,'OI(Volume)'!$A$7:$O$440,12)</f>
        <v>-86250</v>
      </c>
      <c r="L153" s="103">
        <f>VLOOKUP($A153,'OI(Value)'!$A$7:$O$323,8,0)</f>
        <v>437</v>
      </c>
      <c r="M153" s="103">
        <f>VLOOKUP($A153,'OI(Value)'!$A$7:$O$323,9,0)</f>
        <v>-77</v>
      </c>
      <c r="N153" s="103">
        <f>VLOOKUP($A153,'OI(Value)'!$A$7:$O$323,11,0)</f>
        <v>343</v>
      </c>
      <c r="O153" s="103">
        <f>VLOOKUP($A153,'OI(Value)'!$A$7:$O$323,12,0)</f>
        <v>-68</v>
      </c>
      <c r="P153" s="179">
        <f>VLOOKUP(A153,'OI(Value)'!A153:O371,8,0)</f>
        <v>437</v>
      </c>
      <c r="Q153" s="179">
        <f>VLOOKUP(A153,'OI(Value)'!A153:O371,9,0)</f>
        <v>-77</v>
      </c>
      <c r="R153" s="179">
        <f>VLOOKUP(A153,'OI(Value)'!A153:O371,11,0)</f>
        <v>343</v>
      </c>
      <c r="S153" s="179">
        <f>VLOOKUP(A153,'OI(Value)'!A153:O371,11,0)</f>
        <v>343</v>
      </c>
    </row>
    <row r="154" spans="1:19" x14ac:dyDescent="0.25">
      <c r="A154" s="105" t="str">
        <f>'Data Vlaue (Cr)'!C149</f>
        <v>OIL</v>
      </c>
      <c r="B154" s="143">
        <f>VLOOKUP($A154,'Data shares'!$C:$FA,118)</f>
        <v>0.64</v>
      </c>
      <c r="C154" s="143">
        <f>VLOOKUP($A154,'Data shares'!$C:$FA,119)</f>
        <v>0.61</v>
      </c>
      <c r="D154" s="143">
        <f>VLOOKUP($A154,'Data shares'!$C:$FA,121)*100</f>
        <v>4.92</v>
      </c>
      <c r="E154" s="143">
        <f>VLOOKUP($A154,'Data shares'!$C:$FA,124)</f>
        <v>0.35</v>
      </c>
      <c r="F154" s="143">
        <f>VLOOKUP($A154,'Data shares'!$C:$FA,125)</f>
        <v>0.43</v>
      </c>
      <c r="G154" s="143">
        <f>VLOOKUP($A154,'Data shares'!$C:$FA,127)*100</f>
        <v>-18.600000000000001</v>
      </c>
      <c r="H154" s="103">
        <f>VLOOKUP($A154,'OI(Volume)'!$A$7:$O$440,8)</f>
        <v>8507800</v>
      </c>
      <c r="I154" s="103">
        <f>VLOOKUP($A154,'OI(Volume)'!$A$7:$O$440,9)</f>
        <v>-481600</v>
      </c>
      <c r="J154" s="103">
        <f>VLOOKUP($A154,'OI(Volume)'!$A$7:$O$440,11)</f>
        <v>5450200</v>
      </c>
      <c r="K154" s="103">
        <f>VLOOKUP($A154,'OI(Volume)'!$A$7:$O$440,12)</f>
        <v>-40600</v>
      </c>
      <c r="L154" s="103">
        <f>VLOOKUP($A154,'OI(Value)'!$A$7:$O$323,8,0)</f>
        <v>373</v>
      </c>
      <c r="M154" s="103">
        <f>VLOOKUP($A154,'OI(Value)'!$A$7:$O$323,9,0)</f>
        <v>-21</v>
      </c>
      <c r="N154" s="103">
        <f>VLOOKUP($A154,'OI(Value)'!$A$7:$O$323,11,0)</f>
        <v>239</v>
      </c>
      <c r="O154" s="103">
        <f>VLOOKUP($A154,'OI(Value)'!$A$7:$O$323,12,0)</f>
        <v>-2</v>
      </c>
      <c r="P154" s="179">
        <f>VLOOKUP(A154,'OI(Value)'!A154:O372,8,0)</f>
        <v>373</v>
      </c>
      <c r="Q154" s="179">
        <f>VLOOKUP(A154,'OI(Value)'!A154:O372,9,0)</f>
        <v>-21</v>
      </c>
      <c r="R154" s="179">
        <f>VLOOKUP(A154,'OI(Value)'!A154:O372,11,0)</f>
        <v>239</v>
      </c>
      <c r="S154" s="179">
        <f>VLOOKUP(A154,'OI(Value)'!A154:O372,11,0)</f>
        <v>239</v>
      </c>
    </row>
    <row r="155" spans="1:19" x14ac:dyDescent="0.25">
      <c r="A155" s="105" t="str">
        <f>'Data Vlaue (Cr)'!C150</f>
        <v>ONGC</v>
      </c>
      <c r="B155" s="143">
        <f>VLOOKUP($A155,'Data shares'!$C:$FA,118)</f>
        <v>0.45</v>
      </c>
      <c r="C155" s="143">
        <f>VLOOKUP($A155,'Data shares'!$C:$FA,119)</f>
        <v>0.44</v>
      </c>
      <c r="D155" s="143">
        <f>VLOOKUP($A155,'Data shares'!$C:$FA,121)*100</f>
        <v>2.27</v>
      </c>
      <c r="E155" s="143">
        <f>VLOOKUP($A155,'Data shares'!$C:$FA,124)</f>
        <v>0.69</v>
      </c>
      <c r="F155" s="143">
        <f>VLOOKUP($A155,'Data shares'!$C:$FA,125)</f>
        <v>0.7</v>
      </c>
      <c r="G155" s="143">
        <f>VLOOKUP($A155,'Data shares'!$C:$FA,127)*100</f>
        <v>-1.43</v>
      </c>
      <c r="H155" s="103">
        <f>VLOOKUP($A155,'OI(Volume)'!$A$7:$O$440,8)</f>
        <v>100921500</v>
      </c>
      <c r="I155" s="103">
        <f>VLOOKUP($A155,'OI(Volume)'!$A$7:$O$440,9)</f>
        <v>-1932750</v>
      </c>
      <c r="J155" s="103">
        <f>VLOOKUP($A155,'OI(Volume)'!$A$7:$O$440,11)</f>
        <v>45472500</v>
      </c>
      <c r="K155" s="103">
        <f>VLOOKUP($A155,'OI(Volume)'!$A$7:$O$440,12)</f>
        <v>580500</v>
      </c>
      <c r="L155" s="103">
        <f>VLOOKUP($A155,'OI(Value)'!$A$7:$O$323,8,0)</f>
        <v>2460</v>
      </c>
      <c r="M155" s="103">
        <f>VLOOKUP($A155,'OI(Value)'!$A$7:$O$323,9,0)</f>
        <v>-47</v>
      </c>
      <c r="N155" s="103">
        <f>VLOOKUP($A155,'OI(Value)'!$A$7:$O$323,11,0)</f>
        <v>1109</v>
      </c>
      <c r="O155" s="103">
        <f>VLOOKUP($A155,'OI(Value)'!$A$7:$O$323,12,0)</f>
        <v>14</v>
      </c>
      <c r="P155" s="179">
        <f>VLOOKUP(A155,'OI(Value)'!A155:O373,8,0)</f>
        <v>2460</v>
      </c>
      <c r="Q155" s="179">
        <f>VLOOKUP(A155,'OI(Value)'!A155:O373,9,0)</f>
        <v>-47</v>
      </c>
      <c r="R155" s="179">
        <f>VLOOKUP(A155,'OI(Value)'!A155:O373,11,0)</f>
        <v>1109</v>
      </c>
      <c r="S155" s="179">
        <f>VLOOKUP(A155,'OI(Value)'!A155:O373,11,0)</f>
        <v>1109</v>
      </c>
    </row>
    <row r="156" spans="1:19" x14ac:dyDescent="0.25">
      <c r="A156" s="105" t="str">
        <f>'Data Vlaue (Cr)'!C151</f>
        <v>PAGEIND</v>
      </c>
      <c r="B156" s="143">
        <f>VLOOKUP($A156,'Data shares'!$C:$FA,118)</f>
        <v>0.47</v>
      </c>
      <c r="C156" s="143">
        <f>VLOOKUP($A156,'Data shares'!$C:$FA,119)</f>
        <v>0.49</v>
      </c>
      <c r="D156" s="143">
        <f>VLOOKUP($A156,'Data shares'!$C:$FA,121)*100</f>
        <v>-4.08</v>
      </c>
      <c r="E156" s="143">
        <f>VLOOKUP($A156,'Data shares'!$C:$FA,124)</f>
        <v>0.37</v>
      </c>
      <c r="F156" s="143">
        <f>VLOOKUP($A156,'Data shares'!$C:$FA,125)</f>
        <v>0.37</v>
      </c>
      <c r="G156" s="143">
        <f>VLOOKUP($A156,'Data shares'!$C:$FA,127)*100</f>
        <v>0</v>
      </c>
      <c r="H156" s="103">
        <f>VLOOKUP($A156,'OI(Volume)'!$A$7:$O$440,8)</f>
        <v>120375</v>
      </c>
      <c r="I156" s="103">
        <f>VLOOKUP($A156,'OI(Volume)'!$A$7:$O$440,9)</f>
        <v>6090</v>
      </c>
      <c r="J156" s="103">
        <f>VLOOKUP($A156,'OI(Volume)'!$A$7:$O$440,11)</f>
        <v>56400</v>
      </c>
      <c r="K156" s="103">
        <f>VLOOKUP($A156,'OI(Volume)'!$A$7:$O$440,12)</f>
        <v>-120</v>
      </c>
      <c r="L156" s="103">
        <f>VLOOKUP($A156,'OI(Value)'!$A$7:$O$323,8,0)</f>
        <v>397</v>
      </c>
      <c r="M156" s="103">
        <f>VLOOKUP($A156,'OI(Value)'!$A$7:$O$323,9,0)</f>
        <v>20</v>
      </c>
      <c r="N156" s="103">
        <f>VLOOKUP($A156,'OI(Value)'!$A$7:$O$323,11,0)</f>
        <v>186</v>
      </c>
      <c r="O156" s="103">
        <f>VLOOKUP($A156,'OI(Value)'!$A$7:$O$323,12,0)</f>
        <v>0</v>
      </c>
      <c r="P156" s="179">
        <f>VLOOKUP(A156,'OI(Value)'!A156:O374,8,0)</f>
        <v>397</v>
      </c>
      <c r="Q156" s="179">
        <f>VLOOKUP(A156,'OI(Value)'!A156:O374,9,0)</f>
        <v>20</v>
      </c>
      <c r="R156" s="179">
        <f>VLOOKUP(A156,'OI(Value)'!A156:O374,11,0)</f>
        <v>186</v>
      </c>
      <c r="S156" s="179">
        <f>VLOOKUP(A156,'OI(Value)'!A156:O374,11,0)</f>
        <v>186</v>
      </c>
    </row>
    <row r="157" spans="1:19" x14ac:dyDescent="0.25">
      <c r="A157" s="105" t="str">
        <f>'Data Vlaue (Cr)'!C152</f>
        <v>PATANJALI</v>
      </c>
      <c r="B157" s="143">
        <f>VLOOKUP($A157,'Data shares'!$C:$FA,118)</f>
        <v>0.47</v>
      </c>
      <c r="C157" s="143">
        <f>VLOOKUP($A157,'Data shares'!$C:$FA,119)</f>
        <v>0.45</v>
      </c>
      <c r="D157" s="143">
        <f>VLOOKUP($A157,'Data shares'!$C:$FA,121)*100</f>
        <v>4.4400000000000004</v>
      </c>
      <c r="E157" s="143">
        <f>VLOOKUP($A157,'Data shares'!$C:$FA,124)</f>
        <v>0.39</v>
      </c>
      <c r="F157" s="143">
        <f>VLOOKUP($A157,'Data shares'!$C:$FA,125)</f>
        <v>0.6</v>
      </c>
      <c r="G157" s="143">
        <f>VLOOKUP($A157,'Data shares'!$C:$FA,127)*100</f>
        <v>-35</v>
      </c>
      <c r="H157" s="103">
        <f>VLOOKUP($A157,'OI(Volume)'!$A$7:$O$440,8)</f>
        <v>6738300</v>
      </c>
      <c r="I157" s="103">
        <f>VLOOKUP($A157,'OI(Volume)'!$A$7:$O$440,9)</f>
        <v>-921600</v>
      </c>
      <c r="J157" s="103">
        <f>VLOOKUP($A157,'OI(Volume)'!$A$7:$O$440,11)</f>
        <v>3167100</v>
      </c>
      <c r="K157" s="103">
        <f>VLOOKUP($A157,'OI(Volume)'!$A$7:$O$440,12)</f>
        <v>-297900</v>
      </c>
      <c r="L157" s="103">
        <f>VLOOKUP($A157,'OI(Value)'!$A$7:$O$323,8,0)</f>
        <v>344</v>
      </c>
      <c r="M157" s="103">
        <f>VLOOKUP($A157,'OI(Value)'!$A$7:$O$323,9,0)</f>
        <v>-47</v>
      </c>
      <c r="N157" s="103">
        <f>VLOOKUP($A157,'OI(Value)'!$A$7:$O$323,11,0)</f>
        <v>162</v>
      </c>
      <c r="O157" s="103">
        <f>VLOOKUP($A157,'OI(Value)'!$A$7:$O$323,12,0)</f>
        <v>-15</v>
      </c>
      <c r="P157" s="179">
        <f>VLOOKUP(A157,'OI(Value)'!A157:O375,8,0)</f>
        <v>344</v>
      </c>
      <c r="Q157" s="179">
        <f>VLOOKUP(A157,'OI(Value)'!A157:O375,9,0)</f>
        <v>-47</v>
      </c>
      <c r="R157" s="179">
        <f>VLOOKUP(A157,'OI(Value)'!A157:O375,11,0)</f>
        <v>162</v>
      </c>
      <c r="S157" s="179">
        <f>VLOOKUP(A157,'OI(Value)'!A157:O375,11,0)</f>
        <v>162</v>
      </c>
    </row>
    <row r="158" spans="1:19" x14ac:dyDescent="0.25">
      <c r="A158" s="105" t="str">
        <f>'Data Vlaue (Cr)'!C153</f>
        <v>PAYTM</v>
      </c>
      <c r="B158" s="143">
        <f>VLOOKUP($A158,'Data shares'!$C:$FA,118)</f>
        <v>0.74</v>
      </c>
      <c r="C158" s="143">
        <f>VLOOKUP($A158,'Data shares'!$C:$FA,119)</f>
        <v>0.62</v>
      </c>
      <c r="D158" s="143">
        <f>VLOOKUP($A158,'Data shares'!$C:$FA,121)*100</f>
        <v>19.350000000000001</v>
      </c>
      <c r="E158" s="143">
        <f>VLOOKUP($A158,'Data shares'!$C:$FA,124)</f>
        <v>0.63</v>
      </c>
      <c r="F158" s="143">
        <f>VLOOKUP($A158,'Data shares'!$C:$FA,125)</f>
        <v>0.9</v>
      </c>
      <c r="G158" s="143">
        <f>VLOOKUP($A158,'Data shares'!$C:$FA,127)*100</f>
        <v>-30</v>
      </c>
      <c r="H158" s="103">
        <f>VLOOKUP($A158,'OI(Volume)'!$A$7:$O$440,8)</f>
        <v>5885550</v>
      </c>
      <c r="I158" s="103">
        <f>VLOOKUP($A158,'OI(Volume)'!$A$7:$O$440,9)</f>
        <v>-878700</v>
      </c>
      <c r="J158" s="103">
        <f>VLOOKUP($A158,'OI(Volume)'!$A$7:$O$440,11)</f>
        <v>4336225</v>
      </c>
      <c r="K158" s="103">
        <f>VLOOKUP($A158,'OI(Volume)'!$A$7:$O$440,12)</f>
        <v>150800</v>
      </c>
      <c r="L158" s="103">
        <f>VLOOKUP($A158,'OI(Value)'!$A$7:$O$323,8,0)</f>
        <v>743</v>
      </c>
      <c r="M158" s="103">
        <f>VLOOKUP($A158,'OI(Value)'!$A$7:$O$323,9,0)</f>
        <v>-111</v>
      </c>
      <c r="N158" s="103">
        <f>VLOOKUP($A158,'OI(Value)'!$A$7:$O$323,11,0)</f>
        <v>547</v>
      </c>
      <c r="O158" s="103">
        <f>VLOOKUP($A158,'OI(Value)'!$A$7:$O$323,12,0)</f>
        <v>19</v>
      </c>
      <c r="P158" s="179">
        <f>VLOOKUP(A158,'OI(Value)'!A158:O376,8,0)</f>
        <v>743</v>
      </c>
      <c r="Q158" s="179">
        <f>VLOOKUP(A158,'OI(Value)'!A158:O376,9,0)</f>
        <v>-111</v>
      </c>
      <c r="R158" s="179">
        <f>VLOOKUP(A158,'OI(Value)'!A158:O376,11,0)</f>
        <v>547</v>
      </c>
      <c r="S158" s="179">
        <f>VLOOKUP(A158,'OI(Value)'!A158:O376,11,0)</f>
        <v>547</v>
      </c>
    </row>
    <row r="159" spans="1:19" x14ac:dyDescent="0.25">
      <c r="A159" s="105" t="str">
        <f>'Data Vlaue (Cr)'!C154</f>
        <v>PERSISTENT</v>
      </c>
      <c r="B159" s="143">
        <f>VLOOKUP($A159,'Data shares'!$C:$FA,118)</f>
        <v>0.83</v>
      </c>
      <c r="C159" s="143">
        <f>VLOOKUP($A159,'Data shares'!$C:$FA,119)</f>
        <v>0.75</v>
      </c>
      <c r="D159" s="143">
        <f>VLOOKUP($A159,'Data shares'!$C:$FA,121)*100</f>
        <v>10.67</v>
      </c>
      <c r="E159" s="143">
        <f>VLOOKUP($A159,'Data shares'!$C:$FA,124)</f>
        <v>0.73</v>
      </c>
      <c r="F159" s="143">
        <f>VLOOKUP($A159,'Data shares'!$C:$FA,125)</f>
        <v>1.05</v>
      </c>
      <c r="G159" s="143">
        <f>VLOOKUP($A159,'Data shares'!$C:$FA,127)*100</f>
        <v>-30.48</v>
      </c>
      <c r="H159" s="103">
        <f>VLOOKUP($A159,'OI(Volume)'!$A$7:$O$440,8)</f>
        <v>1124100</v>
      </c>
      <c r="I159" s="103">
        <f>VLOOKUP($A159,'OI(Volume)'!$A$7:$O$440,9)</f>
        <v>-404400</v>
      </c>
      <c r="J159" s="103">
        <f>VLOOKUP($A159,'OI(Volume)'!$A$7:$O$440,11)</f>
        <v>933200</v>
      </c>
      <c r="K159" s="103">
        <f>VLOOKUP($A159,'OI(Volume)'!$A$7:$O$440,12)</f>
        <v>-205600</v>
      </c>
      <c r="L159" s="103">
        <f>VLOOKUP($A159,'OI(Value)'!$A$7:$O$323,8,0)</f>
        <v>708</v>
      </c>
      <c r="M159" s="103">
        <f>VLOOKUP($A159,'OI(Value)'!$A$7:$O$323,9,0)</f>
        <v>-255</v>
      </c>
      <c r="N159" s="103">
        <f>VLOOKUP($A159,'OI(Value)'!$A$7:$O$323,11,0)</f>
        <v>588</v>
      </c>
      <c r="O159" s="103">
        <f>VLOOKUP($A159,'OI(Value)'!$A$7:$O$323,12,0)</f>
        <v>-129</v>
      </c>
      <c r="P159" s="179">
        <f>VLOOKUP(A159,'OI(Value)'!A159:O377,8,0)</f>
        <v>708</v>
      </c>
      <c r="Q159" s="179">
        <f>VLOOKUP(A159,'OI(Value)'!A159:O377,9,0)</f>
        <v>-255</v>
      </c>
      <c r="R159" s="179">
        <f>VLOOKUP(A159,'OI(Value)'!A159:O377,11,0)</f>
        <v>588</v>
      </c>
      <c r="S159" s="179">
        <f>VLOOKUP(A159,'OI(Value)'!A159:O377,11,0)</f>
        <v>588</v>
      </c>
    </row>
    <row r="160" spans="1:19" x14ac:dyDescent="0.25">
      <c r="A160" s="105" t="str">
        <f>'Data Vlaue (Cr)'!C155</f>
        <v>PETRONET</v>
      </c>
      <c r="B160" s="143">
        <f>VLOOKUP($A160,'Data shares'!$C:$FA,118)</f>
        <v>1.39</v>
      </c>
      <c r="C160" s="143">
        <f>VLOOKUP($A160,'Data shares'!$C:$FA,119)</f>
        <v>1.33</v>
      </c>
      <c r="D160" s="143">
        <f>VLOOKUP($A160,'Data shares'!$C:$FA,121)*100</f>
        <v>4.51</v>
      </c>
      <c r="E160" s="143">
        <f>VLOOKUP($A160,'Data shares'!$C:$FA,124)</f>
        <v>1.28</v>
      </c>
      <c r="F160" s="143">
        <f>VLOOKUP($A160,'Data shares'!$C:$FA,125)</f>
        <v>0.61</v>
      </c>
      <c r="G160" s="143">
        <f>VLOOKUP($A160,'Data shares'!$C:$FA,127)*100</f>
        <v>109.84</v>
      </c>
      <c r="H160" s="103">
        <f>VLOOKUP($A160,'OI(Volume)'!$A$7:$O$440,8)</f>
        <v>12956100</v>
      </c>
      <c r="I160" s="103">
        <f>VLOOKUP($A160,'OI(Volume)'!$A$7:$O$440,9)</f>
        <v>-579500</v>
      </c>
      <c r="J160" s="103">
        <f>VLOOKUP($A160,'OI(Volume)'!$A$7:$O$440,11)</f>
        <v>17996800</v>
      </c>
      <c r="K160" s="103">
        <f>VLOOKUP($A160,'OI(Volume)'!$A$7:$O$440,12)</f>
        <v>15200</v>
      </c>
      <c r="L160" s="103">
        <f>VLOOKUP($A160,'OI(Value)'!$A$7:$O$323,8,0)</f>
        <v>356</v>
      </c>
      <c r="M160" s="103">
        <f>VLOOKUP($A160,'OI(Value)'!$A$7:$O$323,9,0)</f>
        <v>-16</v>
      </c>
      <c r="N160" s="103">
        <f>VLOOKUP($A160,'OI(Value)'!$A$7:$O$323,11,0)</f>
        <v>495</v>
      </c>
      <c r="O160" s="103">
        <f>VLOOKUP($A160,'OI(Value)'!$A$7:$O$323,12,0)</f>
        <v>0</v>
      </c>
      <c r="P160" s="179">
        <f>VLOOKUP(A160,'OI(Value)'!A160:O378,8,0)</f>
        <v>356</v>
      </c>
      <c r="Q160" s="179">
        <f>VLOOKUP(A160,'OI(Value)'!A160:O378,9,0)</f>
        <v>-16</v>
      </c>
      <c r="R160" s="179">
        <f>VLOOKUP(A160,'OI(Value)'!A160:O378,11,0)</f>
        <v>495</v>
      </c>
      <c r="S160" s="179">
        <f>VLOOKUP(A160,'OI(Value)'!A160:O378,11,0)</f>
        <v>495</v>
      </c>
    </row>
    <row r="161" spans="1:19" x14ac:dyDescent="0.25">
      <c r="A161" s="105" t="str">
        <f>'Data Vlaue (Cr)'!C156</f>
        <v>PFC</v>
      </c>
      <c r="B161" s="143">
        <f>VLOOKUP($A161,'Data shares'!$C:$FA,118)</f>
        <v>0.75</v>
      </c>
      <c r="C161" s="143">
        <f>VLOOKUP($A161,'Data shares'!$C:$FA,119)</f>
        <v>0.72</v>
      </c>
      <c r="D161" s="143">
        <f>VLOOKUP($A161,'Data shares'!$C:$FA,121)*100</f>
        <v>4.17</v>
      </c>
      <c r="E161" s="143">
        <f>VLOOKUP($A161,'Data shares'!$C:$FA,124)</f>
        <v>0.62</v>
      </c>
      <c r="F161" s="143">
        <f>VLOOKUP($A161,'Data shares'!$C:$FA,125)</f>
        <v>0.68</v>
      </c>
      <c r="G161" s="143">
        <f>VLOOKUP($A161,'Data shares'!$C:$FA,127)*100</f>
        <v>-8.82</v>
      </c>
      <c r="H161" s="103">
        <f>VLOOKUP($A161,'OI(Volume)'!$A$7:$O$440,8)</f>
        <v>32662500</v>
      </c>
      <c r="I161" s="103">
        <f>VLOOKUP($A161,'OI(Volume)'!$A$7:$O$440,9)</f>
        <v>-2321800</v>
      </c>
      <c r="J161" s="103">
        <f>VLOOKUP($A161,'OI(Volume)'!$A$7:$O$440,11)</f>
        <v>24536200</v>
      </c>
      <c r="K161" s="103">
        <f>VLOOKUP($A161,'OI(Volume)'!$A$7:$O$440,12)</f>
        <v>-781300</v>
      </c>
      <c r="L161" s="103">
        <f>VLOOKUP($A161,'OI(Value)'!$A$7:$O$323,8,0)</f>
        <v>1191</v>
      </c>
      <c r="M161" s="103">
        <f>VLOOKUP($A161,'OI(Value)'!$A$7:$O$323,9,0)</f>
        <v>-85</v>
      </c>
      <c r="N161" s="103">
        <f>VLOOKUP($A161,'OI(Value)'!$A$7:$O$323,11,0)</f>
        <v>895</v>
      </c>
      <c r="O161" s="103">
        <f>VLOOKUP($A161,'OI(Value)'!$A$7:$O$323,12,0)</f>
        <v>-28</v>
      </c>
      <c r="P161" s="179">
        <f>VLOOKUP(A161,'OI(Value)'!A161:O379,8,0)</f>
        <v>1191</v>
      </c>
      <c r="Q161" s="179">
        <f>VLOOKUP(A161,'OI(Value)'!A161:O379,9,0)</f>
        <v>-85</v>
      </c>
      <c r="R161" s="179">
        <f>VLOOKUP(A161,'OI(Value)'!A161:O379,11,0)</f>
        <v>895</v>
      </c>
      <c r="S161" s="179">
        <f>VLOOKUP(A161,'OI(Value)'!A161:O379,11,0)</f>
        <v>895</v>
      </c>
    </row>
    <row r="162" spans="1:19" x14ac:dyDescent="0.25">
      <c r="A162" s="105" t="str">
        <f>'Data Vlaue (Cr)'!C157</f>
        <v>PGEL</v>
      </c>
      <c r="B162" s="143">
        <f>VLOOKUP($A162,'Data shares'!$C:$FA,118)</f>
        <v>0.52</v>
      </c>
      <c r="C162" s="143">
        <f>VLOOKUP($A162,'Data shares'!$C:$FA,119)</f>
        <v>0.56000000000000005</v>
      </c>
      <c r="D162" s="143">
        <f>VLOOKUP($A162,'Data shares'!$C:$FA,121)*100</f>
        <v>-7.1400000000000006</v>
      </c>
      <c r="E162" s="143">
        <f>VLOOKUP($A162,'Data shares'!$C:$FA,124)</f>
        <v>0.5</v>
      </c>
      <c r="F162" s="143">
        <f>VLOOKUP($A162,'Data shares'!$C:$FA,125)</f>
        <v>1.0900000000000001</v>
      </c>
      <c r="G162" s="143">
        <f>VLOOKUP($A162,'Data shares'!$C:$FA,127)*100</f>
        <v>-54.13</v>
      </c>
      <c r="H162" s="103">
        <f>VLOOKUP($A162,'OI(Volume)'!$A$7:$O$440,8)</f>
        <v>7793800</v>
      </c>
      <c r="I162" s="103">
        <f>VLOOKUP($A162,'OI(Volume)'!$A$7:$O$440,9)</f>
        <v>-1082050</v>
      </c>
      <c r="J162" s="103">
        <f>VLOOKUP($A162,'OI(Volume)'!$A$7:$O$440,11)</f>
        <v>4067900</v>
      </c>
      <c r="K162" s="103">
        <f>VLOOKUP($A162,'OI(Volume)'!$A$7:$O$440,12)</f>
        <v>-858800</v>
      </c>
      <c r="L162" s="103">
        <f>VLOOKUP($A162,'OI(Value)'!$A$7:$O$323,8,0)</f>
        <v>415</v>
      </c>
      <c r="M162" s="103">
        <f>VLOOKUP($A162,'OI(Value)'!$A$7:$O$323,9,0)</f>
        <v>-58</v>
      </c>
      <c r="N162" s="103">
        <f>VLOOKUP($A162,'OI(Value)'!$A$7:$O$323,11,0)</f>
        <v>216</v>
      </c>
      <c r="O162" s="103">
        <f>VLOOKUP($A162,'OI(Value)'!$A$7:$O$323,12,0)</f>
        <v>-46</v>
      </c>
      <c r="P162" s="179">
        <f>VLOOKUP(A162,'OI(Value)'!A162:O380,8,0)</f>
        <v>415</v>
      </c>
      <c r="Q162" s="179">
        <f>VLOOKUP(A162,'OI(Value)'!A162:O380,9,0)</f>
        <v>-58</v>
      </c>
      <c r="R162" s="179">
        <f>VLOOKUP(A162,'OI(Value)'!A162:O380,11,0)</f>
        <v>216</v>
      </c>
      <c r="S162" s="179">
        <f>VLOOKUP(A162,'OI(Value)'!A162:O380,11,0)</f>
        <v>216</v>
      </c>
    </row>
    <row r="163" spans="1:19" x14ac:dyDescent="0.25">
      <c r="A163" s="105" t="str">
        <f>'Data Vlaue (Cr)'!C158</f>
        <v>PHOENIXLTD</v>
      </c>
      <c r="B163" s="143">
        <f>VLOOKUP($A163,'Data shares'!$C:$FA,118)</f>
        <v>0.66</v>
      </c>
      <c r="C163" s="143">
        <f>VLOOKUP($A163,'Data shares'!$C:$FA,119)</f>
        <v>0.65</v>
      </c>
      <c r="D163" s="143">
        <f>VLOOKUP($A163,'Data shares'!$C:$FA,121)*100</f>
        <v>1.54</v>
      </c>
      <c r="E163" s="143">
        <f>VLOOKUP($A163,'Data shares'!$C:$FA,124)</f>
        <v>0.25</v>
      </c>
      <c r="F163" s="143">
        <f>VLOOKUP($A163,'Data shares'!$C:$FA,125)</f>
        <v>1.1200000000000001</v>
      </c>
      <c r="G163" s="143">
        <f>VLOOKUP($A163,'Data shares'!$C:$FA,127)*100</f>
        <v>-77.680000000000007</v>
      </c>
      <c r="H163" s="103">
        <f>VLOOKUP($A163,'OI(Volume)'!$A$7:$O$440,8)</f>
        <v>1209250</v>
      </c>
      <c r="I163" s="103">
        <f>VLOOKUP($A163,'OI(Volume)'!$A$7:$O$440,9)</f>
        <v>-58800</v>
      </c>
      <c r="J163" s="103">
        <f>VLOOKUP($A163,'OI(Volume)'!$A$7:$O$440,11)</f>
        <v>799750</v>
      </c>
      <c r="K163" s="103">
        <f>VLOOKUP($A163,'OI(Volume)'!$A$7:$O$440,12)</f>
        <v>-30800</v>
      </c>
      <c r="L163" s="103">
        <f>VLOOKUP($A163,'OI(Value)'!$A$7:$O$323,8,0)</f>
        <v>214</v>
      </c>
      <c r="M163" s="103">
        <f>VLOOKUP($A163,'OI(Value)'!$A$7:$O$323,9,0)</f>
        <v>-10</v>
      </c>
      <c r="N163" s="103">
        <f>VLOOKUP($A163,'OI(Value)'!$A$7:$O$323,11,0)</f>
        <v>142</v>
      </c>
      <c r="O163" s="103">
        <f>VLOOKUP($A163,'OI(Value)'!$A$7:$O$323,12,0)</f>
        <v>-5</v>
      </c>
      <c r="P163" s="179">
        <f>VLOOKUP(A163,'OI(Value)'!A163:O381,8,0)</f>
        <v>214</v>
      </c>
      <c r="Q163" s="179">
        <f>VLOOKUP(A163,'OI(Value)'!A163:O381,9,0)</f>
        <v>-10</v>
      </c>
      <c r="R163" s="179">
        <f>VLOOKUP(A163,'OI(Value)'!A163:O381,11,0)</f>
        <v>142</v>
      </c>
      <c r="S163" s="179">
        <f>VLOOKUP(A163,'OI(Value)'!A163:O381,11,0)</f>
        <v>142</v>
      </c>
    </row>
    <row r="164" spans="1:19" x14ac:dyDescent="0.25">
      <c r="A164" s="105" t="str">
        <f>'Data Vlaue (Cr)'!C159</f>
        <v>PIDILITIND</v>
      </c>
      <c r="B164" s="143">
        <f>VLOOKUP($A164,'Data shares'!$C:$FA,118)</f>
        <v>0.98</v>
      </c>
      <c r="C164" s="143">
        <f>VLOOKUP($A164,'Data shares'!$C:$FA,119)</f>
        <v>0.94</v>
      </c>
      <c r="D164" s="143">
        <f>VLOOKUP($A164,'Data shares'!$C:$FA,121)*100</f>
        <v>4.26</v>
      </c>
      <c r="E164" s="143">
        <f>VLOOKUP($A164,'Data shares'!$C:$FA,124)</f>
        <v>0.99</v>
      </c>
      <c r="F164" s="143">
        <f>VLOOKUP($A164,'Data shares'!$C:$FA,125)</f>
        <v>0.99</v>
      </c>
      <c r="G164" s="143">
        <f>VLOOKUP($A164,'Data shares'!$C:$FA,127)*100</f>
        <v>0</v>
      </c>
      <c r="H164" s="103">
        <f>VLOOKUP($A164,'OI(Volume)'!$A$7:$O$440,8)</f>
        <v>1179000</v>
      </c>
      <c r="I164" s="103">
        <f>VLOOKUP($A164,'OI(Volume)'!$A$7:$O$440,9)</f>
        <v>-146000</v>
      </c>
      <c r="J164" s="103">
        <f>VLOOKUP($A164,'OI(Volume)'!$A$7:$O$440,11)</f>
        <v>1151000</v>
      </c>
      <c r="K164" s="103">
        <f>VLOOKUP($A164,'OI(Volume)'!$A$7:$O$440,12)</f>
        <v>-90500</v>
      </c>
      <c r="L164" s="103">
        <f>VLOOKUP($A164,'OI(Value)'!$A$7:$O$323,8,0)</f>
        <v>172</v>
      </c>
      <c r="M164" s="103">
        <f>VLOOKUP($A164,'OI(Value)'!$A$7:$O$323,9,0)</f>
        <v>-21</v>
      </c>
      <c r="N164" s="103">
        <f>VLOOKUP($A164,'OI(Value)'!$A$7:$O$323,11,0)</f>
        <v>167</v>
      </c>
      <c r="O164" s="103">
        <f>VLOOKUP($A164,'OI(Value)'!$A$7:$O$323,12,0)</f>
        <v>-13</v>
      </c>
      <c r="P164" s="179">
        <f>VLOOKUP(A164,'OI(Value)'!A164:O382,8,0)</f>
        <v>172</v>
      </c>
      <c r="Q164" s="179">
        <f>VLOOKUP(A164,'OI(Value)'!A164:O382,9,0)</f>
        <v>-21</v>
      </c>
      <c r="R164" s="179">
        <f>VLOOKUP(A164,'OI(Value)'!A164:O382,11,0)</f>
        <v>167</v>
      </c>
      <c r="S164" s="179">
        <f>VLOOKUP(A164,'OI(Value)'!A164:O382,11,0)</f>
        <v>167</v>
      </c>
    </row>
    <row r="165" spans="1:19" x14ac:dyDescent="0.25">
      <c r="A165" s="105" t="str">
        <f>'Data Vlaue (Cr)'!C160</f>
        <v>PIIND</v>
      </c>
      <c r="B165" s="143">
        <f>VLOOKUP($A165,'Data shares'!$C:$FA,118)</f>
        <v>0.56000000000000005</v>
      </c>
      <c r="C165" s="143">
        <f>VLOOKUP($A165,'Data shares'!$C:$FA,119)</f>
        <v>0.56000000000000005</v>
      </c>
      <c r="D165" s="143">
        <f>VLOOKUP($A165,'Data shares'!$C:$FA,121)*100</f>
        <v>0</v>
      </c>
      <c r="E165" s="143">
        <f>VLOOKUP($A165,'Data shares'!$C:$FA,124)</f>
        <v>0.52</v>
      </c>
      <c r="F165" s="143">
        <f>VLOOKUP($A165,'Data shares'!$C:$FA,125)</f>
        <v>0.8</v>
      </c>
      <c r="G165" s="143">
        <f>VLOOKUP($A165,'Data shares'!$C:$FA,127)*100</f>
        <v>-35</v>
      </c>
      <c r="H165" s="103">
        <f>VLOOKUP($A165,'OI(Volume)'!$A$7:$O$440,8)</f>
        <v>847875</v>
      </c>
      <c r="I165" s="103">
        <f>VLOOKUP($A165,'OI(Volume)'!$A$7:$O$440,9)</f>
        <v>-82775</v>
      </c>
      <c r="J165" s="103">
        <f>VLOOKUP($A165,'OI(Volume)'!$A$7:$O$440,11)</f>
        <v>475825</v>
      </c>
      <c r="K165" s="103">
        <f>VLOOKUP($A165,'OI(Volume)'!$A$7:$O$440,12)</f>
        <v>-43225</v>
      </c>
      <c r="L165" s="103">
        <f>VLOOKUP($A165,'OI(Value)'!$A$7:$O$323,8,0)</f>
        <v>269</v>
      </c>
      <c r="M165" s="103">
        <f>VLOOKUP($A165,'OI(Value)'!$A$7:$O$323,9,0)</f>
        <v>-26</v>
      </c>
      <c r="N165" s="103">
        <f>VLOOKUP($A165,'OI(Value)'!$A$7:$O$323,11,0)</f>
        <v>151</v>
      </c>
      <c r="O165" s="103">
        <f>VLOOKUP($A165,'OI(Value)'!$A$7:$O$323,12,0)</f>
        <v>-14</v>
      </c>
      <c r="P165" s="179">
        <f>VLOOKUP(A165,'OI(Value)'!A165:O383,8,0)</f>
        <v>269</v>
      </c>
      <c r="Q165" s="179">
        <f>VLOOKUP(A165,'OI(Value)'!A165:O383,9,0)</f>
        <v>-26</v>
      </c>
      <c r="R165" s="179">
        <f>VLOOKUP(A165,'OI(Value)'!A165:O383,11,0)</f>
        <v>151</v>
      </c>
      <c r="S165" s="179">
        <f>VLOOKUP(A165,'OI(Value)'!A165:O383,11,0)</f>
        <v>151</v>
      </c>
    </row>
    <row r="166" spans="1:19" x14ac:dyDescent="0.25">
      <c r="A166" s="105" t="str">
        <f>'Data Vlaue (Cr)'!C161</f>
        <v>PNB</v>
      </c>
      <c r="B166" s="143">
        <f>VLOOKUP($A166,'Data shares'!$C:$FA,118)</f>
        <v>0.63</v>
      </c>
      <c r="C166" s="143">
        <f>VLOOKUP($A166,'Data shares'!$C:$FA,119)</f>
        <v>0.59</v>
      </c>
      <c r="D166" s="143">
        <f>VLOOKUP($A166,'Data shares'!$C:$FA,121)*100</f>
        <v>6.78</v>
      </c>
      <c r="E166" s="143">
        <f>VLOOKUP($A166,'Data shares'!$C:$FA,124)</f>
        <v>0.56999999999999995</v>
      </c>
      <c r="F166" s="143">
        <f>VLOOKUP($A166,'Data shares'!$C:$FA,125)</f>
        <v>0.71</v>
      </c>
      <c r="G166" s="143">
        <f>VLOOKUP($A166,'Data shares'!$C:$FA,127)*100</f>
        <v>-19.72</v>
      </c>
      <c r="H166" s="103">
        <f>VLOOKUP($A166,'OI(Volume)'!$A$7:$O$440,8)</f>
        <v>145856000</v>
      </c>
      <c r="I166" s="103">
        <f>VLOOKUP($A166,'OI(Volume)'!$A$7:$O$440,9)</f>
        <v>-13480000</v>
      </c>
      <c r="J166" s="103">
        <f>VLOOKUP($A166,'OI(Volume)'!$A$7:$O$440,11)</f>
        <v>91392000</v>
      </c>
      <c r="K166" s="103">
        <f>VLOOKUP($A166,'OI(Volume)'!$A$7:$O$440,12)</f>
        <v>-1912000</v>
      </c>
      <c r="L166" s="103">
        <f>VLOOKUP($A166,'OI(Value)'!$A$7:$O$323,8,0)</f>
        <v>1827</v>
      </c>
      <c r="M166" s="103">
        <f>VLOOKUP($A166,'OI(Value)'!$A$7:$O$323,9,0)</f>
        <v>-169</v>
      </c>
      <c r="N166" s="103">
        <f>VLOOKUP($A166,'OI(Value)'!$A$7:$O$323,11,0)</f>
        <v>1145</v>
      </c>
      <c r="O166" s="103">
        <f>VLOOKUP($A166,'OI(Value)'!$A$7:$O$323,12,0)</f>
        <v>-24</v>
      </c>
      <c r="P166" s="179">
        <f>VLOOKUP(A166,'OI(Value)'!A166:O384,8,0)</f>
        <v>1827</v>
      </c>
      <c r="Q166" s="179">
        <f>VLOOKUP(A166,'OI(Value)'!A166:O384,9,0)</f>
        <v>-169</v>
      </c>
      <c r="R166" s="179">
        <f>VLOOKUP(A166,'OI(Value)'!A166:O384,11,0)</f>
        <v>1145</v>
      </c>
      <c r="S166" s="179">
        <f>VLOOKUP(A166,'OI(Value)'!A166:O384,11,0)</f>
        <v>1145</v>
      </c>
    </row>
    <row r="167" spans="1:19" x14ac:dyDescent="0.25">
      <c r="A167" s="105" t="str">
        <f>'Data Vlaue (Cr)'!C162</f>
        <v>PNBHOUSING</v>
      </c>
      <c r="B167" s="143">
        <f>VLOOKUP($A167,'Data shares'!$C:$FA,118)</f>
        <v>0.7</v>
      </c>
      <c r="C167" s="143">
        <f>VLOOKUP($A167,'Data shares'!$C:$FA,119)</f>
        <v>0.75</v>
      </c>
      <c r="D167" s="143">
        <f>VLOOKUP($A167,'Data shares'!$C:$FA,121)*100</f>
        <v>-6.67</v>
      </c>
      <c r="E167" s="143">
        <f>VLOOKUP($A167,'Data shares'!$C:$FA,124)</f>
        <v>1.08</v>
      </c>
      <c r="F167" s="143">
        <f>VLOOKUP($A167,'Data shares'!$C:$FA,125)</f>
        <v>0.68</v>
      </c>
      <c r="G167" s="143">
        <f>VLOOKUP($A167,'Data shares'!$C:$FA,127)*100</f>
        <v>58.819999999999993</v>
      </c>
      <c r="H167" s="103">
        <f>VLOOKUP($A167,'OI(Volume)'!$A$7:$O$440,8)</f>
        <v>5627050</v>
      </c>
      <c r="I167" s="103">
        <f>VLOOKUP($A167,'OI(Volume)'!$A$7:$O$440,9)</f>
        <v>2488200</v>
      </c>
      <c r="J167" s="103">
        <f>VLOOKUP($A167,'OI(Volume)'!$A$7:$O$440,11)</f>
        <v>3944200</v>
      </c>
      <c r="K167" s="103">
        <f>VLOOKUP($A167,'OI(Volume)'!$A$7:$O$440,12)</f>
        <v>1594450</v>
      </c>
      <c r="L167" s="103">
        <f>VLOOKUP($A167,'OI(Value)'!$A$7:$O$323,8,0)</f>
        <v>484</v>
      </c>
      <c r="M167" s="103">
        <f>VLOOKUP($A167,'OI(Value)'!$A$7:$O$323,9,0)</f>
        <v>214</v>
      </c>
      <c r="N167" s="103">
        <f>VLOOKUP($A167,'OI(Value)'!$A$7:$O$323,11,0)</f>
        <v>339</v>
      </c>
      <c r="O167" s="103">
        <f>VLOOKUP($A167,'OI(Value)'!$A$7:$O$323,12,0)</f>
        <v>137</v>
      </c>
      <c r="P167" s="179">
        <f>VLOOKUP(A167,'OI(Value)'!A167:O385,8,0)</f>
        <v>484</v>
      </c>
      <c r="Q167" s="179">
        <f>VLOOKUP(A167,'OI(Value)'!A167:O385,9,0)</f>
        <v>214</v>
      </c>
      <c r="R167" s="179">
        <f>VLOOKUP(A167,'OI(Value)'!A167:O385,11,0)</f>
        <v>339</v>
      </c>
      <c r="S167" s="179">
        <f>VLOOKUP(A167,'OI(Value)'!A167:O385,11,0)</f>
        <v>339</v>
      </c>
    </row>
    <row r="168" spans="1:19" x14ac:dyDescent="0.25">
      <c r="A168" s="105" t="str">
        <f>'Data Vlaue (Cr)'!C163</f>
        <v>POLICYBZR</v>
      </c>
      <c r="B168" s="143">
        <f>VLOOKUP($A168,'Data shares'!$C:$FA,118)</f>
        <v>0.62</v>
      </c>
      <c r="C168" s="143">
        <f>VLOOKUP($A168,'Data shares'!$C:$FA,119)</f>
        <v>0.54</v>
      </c>
      <c r="D168" s="143">
        <f>VLOOKUP($A168,'Data shares'!$C:$FA,121)*100</f>
        <v>14.81</v>
      </c>
      <c r="E168" s="143">
        <f>VLOOKUP($A168,'Data shares'!$C:$FA,124)</f>
        <v>0.44</v>
      </c>
      <c r="F168" s="143">
        <f>VLOOKUP($A168,'Data shares'!$C:$FA,125)</f>
        <v>0.66</v>
      </c>
      <c r="G168" s="143">
        <f>VLOOKUP($A168,'Data shares'!$C:$FA,127)*100</f>
        <v>-33.33</v>
      </c>
      <c r="H168" s="103">
        <f>VLOOKUP($A168,'OI(Volume)'!$A$7:$O$440,8)</f>
        <v>2153550</v>
      </c>
      <c r="I168" s="103">
        <f>VLOOKUP($A168,'OI(Volume)'!$A$7:$O$440,9)</f>
        <v>-588700</v>
      </c>
      <c r="J168" s="103">
        <f>VLOOKUP($A168,'OI(Volume)'!$A$7:$O$440,11)</f>
        <v>1324750</v>
      </c>
      <c r="K168" s="103">
        <f>VLOOKUP($A168,'OI(Volume)'!$A$7:$O$440,12)</f>
        <v>-166950</v>
      </c>
      <c r="L168" s="103">
        <f>VLOOKUP($A168,'OI(Value)'!$A$7:$O$323,8,0)</f>
        <v>369</v>
      </c>
      <c r="M168" s="103">
        <f>VLOOKUP($A168,'OI(Value)'!$A$7:$O$323,9,0)</f>
        <v>-101</v>
      </c>
      <c r="N168" s="103">
        <f>VLOOKUP($A168,'OI(Value)'!$A$7:$O$323,11,0)</f>
        <v>227</v>
      </c>
      <c r="O168" s="103">
        <f>VLOOKUP($A168,'OI(Value)'!$A$7:$O$323,12,0)</f>
        <v>-29</v>
      </c>
      <c r="P168" s="179">
        <f>VLOOKUP(A168,'OI(Value)'!A168:O386,8,0)</f>
        <v>369</v>
      </c>
      <c r="Q168" s="179">
        <f>VLOOKUP(A168,'OI(Value)'!A168:O386,9,0)</f>
        <v>-101</v>
      </c>
      <c r="R168" s="179">
        <f>VLOOKUP(A168,'OI(Value)'!A168:O386,11,0)</f>
        <v>227</v>
      </c>
      <c r="S168" s="179">
        <f>VLOOKUP(A168,'OI(Value)'!A168:O386,11,0)</f>
        <v>227</v>
      </c>
    </row>
    <row r="169" spans="1:19" x14ac:dyDescent="0.25">
      <c r="A169" s="105" t="str">
        <f>'Data Vlaue (Cr)'!C164</f>
        <v>POLYCAB</v>
      </c>
      <c r="B169" s="143">
        <f>VLOOKUP($A169,'Data shares'!$C:$FA,118)</f>
        <v>0.43</v>
      </c>
      <c r="C169" s="143">
        <f>VLOOKUP($A169,'Data shares'!$C:$FA,119)</f>
        <v>0.42</v>
      </c>
      <c r="D169" s="143">
        <f>VLOOKUP($A169,'Data shares'!$C:$FA,121)*100</f>
        <v>2.3800000000000003</v>
      </c>
      <c r="E169" s="143">
        <f>VLOOKUP($A169,'Data shares'!$C:$FA,124)</f>
        <v>0.48</v>
      </c>
      <c r="F169" s="143">
        <f>VLOOKUP($A169,'Data shares'!$C:$FA,125)</f>
        <v>0.68</v>
      </c>
      <c r="G169" s="143">
        <f>VLOOKUP($A169,'Data shares'!$C:$FA,127)*100</f>
        <v>-29.409999999999997</v>
      </c>
      <c r="H169" s="103">
        <f>VLOOKUP($A169,'OI(Volume)'!$A$7:$O$440,8)</f>
        <v>2574875</v>
      </c>
      <c r="I169" s="103">
        <f>VLOOKUP($A169,'OI(Volume)'!$A$7:$O$440,9)</f>
        <v>-95125</v>
      </c>
      <c r="J169" s="103">
        <f>VLOOKUP($A169,'OI(Volume)'!$A$7:$O$440,11)</f>
        <v>1099500</v>
      </c>
      <c r="K169" s="103">
        <f>VLOOKUP($A169,'OI(Volume)'!$A$7:$O$440,12)</f>
        <v>-30625</v>
      </c>
      <c r="L169" s="103">
        <f>VLOOKUP($A169,'OI(Value)'!$A$7:$O$323,8,0)</f>
        <v>1806</v>
      </c>
      <c r="M169" s="103">
        <f>VLOOKUP($A169,'OI(Value)'!$A$7:$O$323,9,0)</f>
        <v>-67</v>
      </c>
      <c r="N169" s="103">
        <f>VLOOKUP($A169,'OI(Value)'!$A$7:$O$323,11,0)</f>
        <v>771</v>
      </c>
      <c r="O169" s="103">
        <f>VLOOKUP($A169,'OI(Value)'!$A$7:$O$323,12,0)</f>
        <v>-21</v>
      </c>
      <c r="P169" s="179">
        <f>VLOOKUP(A169,'OI(Value)'!A169:O387,8,0)</f>
        <v>1806</v>
      </c>
      <c r="Q169" s="179">
        <f>VLOOKUP(A169,'OI(Value)'!A169:O387,9,0)</f>
        <v>-67</v>
      </c>
      <c r="R169" s="179">
        <f>VLOOKUP(A169,'OI(Value)'!A169:O387,11,0)</f>
        <v>771</v>
      </c>
      <c r="S169" s="179">
        <f>VLOOKUP(A169,'OI(Value)'!A169:O387,11,0)</f>
        <v>771</v>
      </c>
    </row>
    <row r="170" spans="1:19" x14ac:dyDescent="0.25">
      <c r="A170" s="105" t="str">
        <f>'Data Vlaue (Cr)'!C165</f>
        <v>POWERGRID</v>
      </c>
      <c r="B170" s="143">
        <f>VLOOKUP($A170,'Data shares'!$C:$FA,118)</f>
        <v>0.62</v>
      </c>
      <c r="C170" s="143">
        <f>VLOOKUP($A170,'Data shares'!$C:$FA,119)</f>
        <v>0.6</v>
      </c>
      <c r="D170" s="143">
        <f>VLOOKUP($A170,'Data shares'!$C:$FA,121)*100</f>
        <v>3.3300000000000005</v>
      </c>
      <c r="E170" s="143">
        <f>VLOOKUP($A170,'Data shares'!$C:$FA,124)</f>
        <v>0.52</v>
      </c>
      <c r="F170" s="143">
        <f>VLOOKUP($A170,'Data shares'!$C:$FA,125)</f>
        <v>0.6</v>
      </c>
      <c r="G170" s="143">
        <f>VLOOKUP($A170,'Data shares'!$C:$FA,127)*100</f>
        <v>-13.33</v>
      </c>
      <c r="H170" s="103">
        <f>VLOOKUP($A170,'OI(Volume)'!$A$7:$O$440,8)</f>
        <v>40869000</v>
      </c>
      <c r="I170" s="103">
        <f>VLOOKUP($A170,'OI(Volume)'!$A$7:$O$440,9)</f>
        <v>-1176100</v>
      </c>
      <c r="J170" s="103">
        <f>VLOOKUP($A170,'OI(Volume)'!$A$7:$O$440,11)</f>
        <v>25425800</v>
      </c>
      <c r="K170" s="103">
        <f>VLOOKUP($A170,'OI(Volume)'!$A$7:$O$440,12)</f>
        <v>247000</v>
      </c>
      <c r="L170" s="103">
        <f>VLOOKUP($A170,'OI(Value)'!$A$7:$O$323,8,0)</f>
        <v>1059</v>
      </c>
      <c r="M170" s="103">
        <f>VLOOKUP($A170,'OI(Value)'!$A$7:$O$323,9,0)</f>
        <v>-30</v>
      </c>
      <c r="N170" s="103">
        <f>VLOOKUP($A170,'OI(Value)'!$A$7:$O$323,11,0)</f>
        <v>659</v>
      </c>
      <c r="O170" s="103">
        <f>VLOOKUP($A170,'OI(Value)'!$A$7:$O$323,12,0)</f>
        <v>6</v>
      </c>
      <c r="P170" s="179">
        <f>VLOOKUP(A170,'OI(Value)'!A170:O388,8,0)</f>
        <v>1059</v>
      </c>
      <c r="Q170" s="179">
        <f>VLOOKUP(A170,'OI(Value)'!A170:O388,9,0)</f>
        <v>-30</v>
      </c>
      <c r="R170" s="179">
        <f>VLOOKUP(A170,'OI(Value)'!A170:O388,11,0)</f>
        <v>659</v>
      </c>
      <c r="S170" s="179">
        <f>VLOOKUP(A170,'OI(Value)'!A170:O388,11,0)</f>
        <v>659</v>
      </c>
    </row>
    <row r="171" spans="1:19" x14ac:dyDescent="0.25">
      <c r="A171" s="105" t="str">
        <f>'Data Vlaue (Cr)'!C166</f>
        <v>POWERINDIA</v>
      </c>
      <c r="B171" s="143">
        <f>VLOOKUP($A171,'Data shares'!$C:$FA,118)</f>
        <v>0.59</v>
      </c>
      <c r="C171" s="143">
        <f>VLOOKUP($A171,'Data shares'!$C:$FA,119)</f>
        <v>0.53</v>
      </c>
      <c r="D171" s="143">
        <f>VLOOKUP($A171,'Data shares'!$C:$FA,121)*100</f>
        <v>11.32</v>
      </c>
      <c r="E171" s="143">
        <f>VLOOKUP($A171,'Data shares'!$C:$FA,124)</f>
        <v>0.28999999999999998</v>
      </c>
      <c r="F171" s="143">
        <f>VLOOKUP($A171,'Data shares'!$C:$FA,125)</f>
        <v>0.32</v>
      </c>
      <c r="G171" s="143">
        <f>VLOOKUP($A171,'Data shares'!$C:$FA,127)*100</f>
        <v>-9.379999999999999</v>
      </c>
      <c r="H171" s="103">
        <f>VLOOKUP($A171,'OI(Volume)'!$A$7:$O$440,8)</f>
        <v>293550</v>
      </c>
      <c r="I171" s="103">
        <f>VLOOKUP($A171,'OI(Volume)'!$A$7:$O$440,9)</f>
        <v>-43850</v>
      </c>
      <c r="J171" s="103">
        <f>VLOOKUP($A171,'OI(Volume)'!$A$7:$O$440,11)</f>
        <v>172100</v>
      </c>
      <c r="K171" s="103">
        <f>VLOOKUP($A171,'OI(Volume)'!$A$7:$O$440,12)</f>
        <v>-7800</v>
      </c>
      <c r="L171" s="103">
        <f>VLOOKUP($A171,'OI(Value)'!$A$7:$O$323,8,0)</f>
        <v>494</v>
      </c>
      <c r="M171" s="103">
        <f>VLOOKUP($A171,'OI(Value)'!$A$7:$O$323,9,0)</f>
        <v>-74</v>
      </c>
      <c r="N171" s="103">
        <f>VLOOKUP($A171,'OI(Value)'!$A$7:$O$323,11,0)</f>
        <v>290</v>
      </c>
      <c r="O171" s="103">
        <f>VLOOKUP($A171,'OI(Value)'!$A$7:$O$323,12,0)</f>
        <v>-13</v>
      </c>
      <c r="P171" s="179">
        <f>VLOOKUP(A171,'OI(Value)'!A171:O389,8,0)</f>
        <v>494</v>
      </c>
      <c r="Q171" s="179">
        <f>VLOOKUP(A171,'OI(Value)'!A171:O389,9,0)</f>
        <v>-74</v>
      </c>
      <c r="R171" s="179">
        <f>VLOOKUP(A171,'OI(Value)'!A171:O389,11,0)</f>
        <v>290</v>
      </c>
      <c r="S171" s="179">
        <f>VLOOKUP(A171,'OI(Value)'!A171:O389,11,0)</f>
        <v>290</v>
      </c>
    </row>
    <row r="172" spans="1:19" x14ac:dyDescent="0.25">
      <c r="A172" s="105" t="str">
        <f>'Data Vlaue (Cr)'!C167</f>
        <v>PPLPHARMA</v>
      </c>
      <c r="B172" s="143">
        <f>VLOOKUP($A172,'Data shares'!$C:$FA,118)</f>
        <v>0.43</v>
      </c>
      <c r="C172" s="143">
        <f>VLOOKUP($A172,'Data shares'!$C:$FA,119)</f>
        <v>0.4</v>
      </c>
      <c r="D172" s="143">
        <f>VLOOKUP($A172,'Data shares'!$C:$FA,121)*100</f>
        <v>7.5</v>
      </c>
      <c r="E172" s="143">
        <f>VLOOKUP($A172,'Data shares'!$C:$FA,124)</f>
        <v>0.43</v>
      </c>
      <c r="F172" s="143">
        <f>VLOOKUP($A172,'Data shares'!$C:$FA,125)</f>
        <v>0.75</v>
      </c>
      <c r="G172" s="143">
        <f>VLOOKUP($A172,'Data shares'!$C:$FA,127)*100</f>
        <v>-42.67</v>
      </c>
      <c r="H172" s="103">
        <f>VLOOKUP($A172,'OI(Volume)'!$A$7:$O$440,8)</f>
        <v>16498125</v>
      </c>
      <c r="I172" s="103">
        <f>VLOOKUP($A172,'OI(Volume)'!$A$7:$O$440,9)</f>
        <v>-1155000</v>
      </c>
      <c r="J172" s="103">
        <f>VLOOKUP($A172,'OI(Volume)'!$A$7:$O$440,11)</f>
        <v>7071750</v>
      </c>
      <c r="K172" s="103">
        <f>VLOOKUP($A172,'OI(Volume)'!$A$7:$O$440,12)</f>
        <v>-2625</v>
      </c>
      <c r="L172" s="103">
        <f>VLOOKUP($A172,'OI(Value)'!$A$7:$O$323,8,0)</f>
        <v>259</v>
      </c>
      <c r="M172" s="103">
        <f>VLOOKUP($A172,'OI(Value)'!$A$7:$O$323,9,0)</f>
        <v>-18</v>
      </c>
      <c r="N172" s="103">
        <f>VLOOKUP($A172,'OI(Value)'!$A$7:$O$323,11,0)</f>
        <v>111</v>
      </c>
      <c r="O172" s="103">
        <f>VLOOKUP($A172,'OI(Value)'!$A$7:$O$323,12,0)</f>
        <v>0</v>
      </c>
      <c r="P172" s="179">
        <f>VLOOKUP(A172,'OI(Value)'!A172:O390,8,0)</f>
        <v>259</v>
      </c>
      <c r="Q172" s="179">
        <f>VLOOKUP(A172,'OI(Value)'!A172:O390,9,0)</f>
        <v>-18</v>
      </c>
      <c r="R172" s="179">
        <f>VLOOKUP(A172,'OI(Value)'!A172:O390,11,0)</f>
        <v>111</v>
      </c>
      <c r="S172" s="179">
        <f>VLOOKUP(A172,'OI(Value)'!A172:O390,11,0)</f>
        <v>111</v>
      </c>
    </row>
    <row r="173" spans="1:19" x14ac:dyDescent="0.25">
      <c r="A173" s="105" t="str">
        <f>'Data Vlaue (Cr)'!C168</f>
        <v>PREMIERENE</v>
      </c>
      <c r="B173" s="143">
        <f>VLOOKUP($A173,'Data shares'!$C:$FA,118)</f>
        <v>0.53</v>
      </c>
      <c r="C173" s="143">
        <f>VLOOKUP($A173,'Data shares'!$C:$FA,119)</f>
        <v>0.61</v>
      </c>
      <c r="D173" s="143">
        <f>VLOOKUP($A173,'Data shares'!$C:$FA,121)*100</f>
        <v>-13.11</v>
      </c>
      <c r="E173" s="143">
        <f>VLOOKUP($A173,'Data shares'!$C:$FA,124)</f>
        <v>0.44</v>
      </c>
      <c r="F173" s="143">
        <f>VLOOKUP($A173,'Data shares'!$C:$FA,125)</f>
        <v>1.1299999999999999</v>
      </c>
      <c r="G173" s="143">
        <f>VLOOKUP($A173,'Data shares'!$C:$FA,127)*100</f>
        <v>-61.06</v>
      </c>
      <c r="H173" s="103">
        <f>VLOOKUP($A173,'OI(Volume)'!$A$7:$O$440,8)</f>
        <v>4905900</v>
      </c>
      <c r="I173" s="103">
        <f>VLOOKUP($A173,'OI(Volume)'!$A$7:$O$440,9)</f>
        <v>734850</v>
      </c>
      <c r="J173" s="103">
        <f>VLOOKUP($A173,'OI(Volume)'!$A$7:$O$440,11)</f>
        <v>2579450</v>
      </c>
      <c r="K173" s="103">
        <f>VLOOKUP($A173,'OI(Volume)'!$A$7:$O$440,12)</f>
        <v>50600</v>
      </c>
      <c r="L173" s="103">
        <f>VLOOKUP($A173,'OI(Value)'!$A$7:$O$323,8,0)</f>
        <v>364</v>
      </c>
      <c r="M173" s="103">
        <f>VLOOKUP($A173,'OI(Value)'!$A$7:$O$323,9,0)</f>
        <v>55</v>
      </c>
      <c r="N173" s="103">
        <f>VLOOKUP($A173,'OI(Value)'!$A$7:$O$323,11,0)</f>
        <v>192</v>
      </c>
      <c r="O173" s="103">
        <f>VLOOKUP($A173,'OI(Value)'!$A$7:$O$323,12,0)</f>
        <v>4</v>
      </c>
    </row>
    <row r="174" spans="1:19" x14ac:dyDescent="0.25">
      <c r="A174" s="105" t="str">
        <f>'Data Vlaue (Cr)'!C169</f>
        <v>PRESTIGE</v>
      </c>
      <c r="B174" s="143">
        <f>VLOOKUP($A174,'Data shares'!$C:$FA,118)</f>
        <v>0.45</v>
      </c>
      <c r="C174" s="143">
        <f>VLOOKUP($A174,'Data shares'!$C:$FA,119)</f>
        <v>0.47</v>
      </c>
      <c r="D174" s="143">
        <f>VLOOKUP($A174,'Data shares'!$C:$FA,121)*100</f>
        <v>-4.26</v>
      </c>
      <c r="E174" s="143">
        <f>VLOOKUP($A174,'Data shares'!$C:$FA,124)</f>
        <v>0.38</v>
      </c>
      <c r="F174" s="143">
        <f>VLOOKUP($A174,'Data shares'!$C:$FA,125)</f>
        <v>0.66</v>
      </c>
      <c r="G174" s="143">
        <f>VLOOKUP($A174,'Data shares'!$C:$FA,127)*100</f>
        <v>-42.42</v>
      </c>
      <c r="H174" s="103">
        <f>VLOOKUP($A174,'OI(Volume)'!$A$7:$O$440,8)</f>
        <v>2726100</v>
      </c>
      <c r="I174" s="103">
        <f>VLOOKUP($A174,'OI(Volume)'!$A$7:$O$440,9)</f>
        <v>-43650</v>
      </c>
      <c r="J174" s="103">
        <f>VLOOKUP($A174,'OI(Volume)'!$A$7:$O$440,11)</f>
        <v>1229850</v>
      </c>
      <c r="K174" s="103">
        <f>VLOOKUP($A174,'OI(Volume)'!$A$7:$O$440,12)</f>
        <v>-60300</v>
      </c>
      <c r="L174" s="103">
        <f>VLOOKUP($A174,'OI(Value)'!$A$7:$O$323,8,0)</f>
        <v>388</v>
      </c>
      <c r="M174" s="103">
        <f>VLOOKUP($A174,'OI(Value)'!$A$7:$O$323,9,0)</f>
        <v>-6</v>
      </c>
      <c r="N174" s="103">
        <f>VLOOKUP($A174,'OI(Value)'!$A$7:$O$323,11,0)</f>
        <v>175</v>
      </c>
      <c r="O174" s="103">
        <f>VLOOKUP($A174,'OI(Value)'!$A$7:$O$323,12,0)</f>
        <v>-9</v>
      </c>
    </row>
    <row r="175" spans="1:19" x14ac:dyDescent="0.25">
      <c r="A175" s="105" t="str">
        <f>'Data Vlaue (Cr)'!C170</f>
        <v>RBLBANK</v>
      </c>
      <c r="B175" s="143">
        <f>VLOOKUP($A175,'Data shares'!$C:$FA,118)</f>
        <v>0.61</v>
      </c>
      <c r="C175" s="143">
        <f>VLOOKUP($A175,'Data shares'!$C:$FA,119)</f>
        <v>0.61</v>
      </c>
      <c r="D175" s="143">
        <f>VLOOKUP($A175,'Data shares'!$C:$FA,121)*100</f>
        <v>0</v>
      </c>
      <c r="E175" s="143">
        <f>VLOOKUP($A175,'Data shares'!$C:$FA,124)</f>
        <v>0.56000000000000005</v>
      </c>
      <c r="F175" s="143">
        <f>VLOOKUP($A175,'Data shares'!$C:$FA,125)</f>
        <v>0.51</v>
      </c>
      <c r="G175" s="143">
        <f>VLOOKUP($A175,'Data shares'!$C:$FA,127)*100</f>
        <v>9.8000000000000007</v>
      </c>
      <c r="H175" s="103">
        <f>VLOOKUP($A175,'OI(Volume)'!$A$7:$O$440,8)</f>
        <v>36842700</v>
      </c>
      <c r="I175" s="103">
        <f>VLOOKUP($A175,'OI(Volume)'!$A$7:$O$440,9)</f>
        <v>-1822450</v>
      </c>
      <c r="J175" s="103">
        <f>VLOOKUP($A175,'OI(Volume)'!$A$7:$O$440,11)</f>
        <v>22393275</v>
      </c>
      <c r="K175" s="103">
        <f>VLOOKUP($A175,'OI(Volume)'!$A$7:$O$440,12)</f>
        <v>-1171575</v>
      </c>
      <c r="L175" s="103">
        <f>VLOOKUP($A175,'OI(Value)'!$A$7:$O$323,8,0)</f>
        <v>1094</v>
      </c>
      <c r="M175" s="103">
        <f>VLOOKUP($A175,'OI(Value)'!$A$7:$O$323,9,0)</f>
        <v>-54</v>
      </c>
      <c r="N175" s="103">
        <f>VLOOKUP($A175,'OI(Value)'!$A$7:$O$323,11,0)</f>
        <v>665</v>
      </c>
      <c r="O175" s="103">
        <f>VLOOKUP($A175,'OI(Value)'!$A$7:$O$323,12,0)</f>
        <v>-35</v>
      </c>
    </row>
    <row r="176" spans="1:19" x14ac:dyDescent="0.25">
      <c r="A176" s="105" t="str">
        <f>'Data Vlaue (Cr)'!C171</f>
        <v>RECLTD</v>
      </c>
      <c r="B176" s="143">
        <f>VLOOKUP($A176,'Data shares'!$C:$FA,118)</f>
        <v>0.74</v>
      </c>
      <c r="C176" s="143">
        <f>VLOOKUP($A176,'Data shares'!$C:$FA,119)</f>
        <v>0.74</v>
      </c>
      <c r="D176" s="143">
        <f>VLOOKUP($A176,'Data shares'!$C:$FA,121)*100</f>
        <v>0</v>
      </c>
      <c r="E176" s="143">
        <f>VLOOKUP($A176,'Data shares'!$C:$FA,124)</f>
        <v>0.79</v>
      </c>
      <c r="F176" s="143">
        <f>VLOOKUP($A176,'Data shares'!$C:$FA,125)</f>
        <v>0.72</v>
      </c>
      <c r="G176" s="143">
        <f>VLOOKUP($A176,'Data shares'!$C:$FA,127)*100</f>
        <v>9.7199999999999989</v>
      </c>
      <c r="H176" s="103">
        <f>VLOOKUP($A176,'OI(Volume)'!$A$7:$O$440,8)</f>
        <v>40605600</v>
      </c>
      <c r="I176" s="103">
        <f>VLOOKUP($A176,'OI(Volume)'!$A$7:$O$440,9)</f>
        <v>-3087000</v>
      </c>
      <c r="J176" s="103">
        <f>VLOOKUP($A176,'OI(Volume)'!$A$7:$O$440,11)</f>
        <v>29855000</v>
      </c>
      <c r="K176" s="103">
        <f>VLOOKUP($A176,'OI(Volume)'!$A$7:$O$440,12)</f>
        <v>-2353400</v>
      </c>
      <c r="L176" s="103">
        <f>VLOOKUP($A176,'OI(Value)'!$A$7:$O$323,8,0)</f>
        <v>1486</v>
      </c>
      <c r="M176" s="103">
        <f>VLOOKUP($A176,'OI(Value)'!$A$7:$O$323,9,0)</f>
        <v>-113</v>
      </c>
      <c r="N176" s="103">
        <f>VLOOKUP($A176,'OI(Value)'!$A$7:$O$323,11,0)</f>
        <v>1093</v>
      </c>
      <c r="O176" s="103">
        <f>VLOOKUP($A176,'OI(Value)'!$A$7:$O$323,12,0)</f>
        <v>-86</v>
      </c>
    </row>
    <row r="177" spans="1:15" x14ac:dyDescent="0.25">
      <c r="A177" s="105" t="str">
        <f>'Data Vlaue (Cr)'!C172</f>
        <v>RELIANCE</v>
      </c>
      <c r="B177" s="143">
        <f>VLOOKUP($A177,'Data shares'!$C:$FA,118)</f>
        <v>0.42</v>
      </c>
      <c r="C177" s="143">
        <f>VLOOKUP($A177,'Data shares'!$C:$FA,119)</f>
        <v>0.42</v>
      </c>
      <c r="D177" s="143">
        <f>VLOOKUP($A177,'Data shares'!$C:$FA,121)*100</f>
        <v>0</v>
      </c>
      <c r="E177" s="143">
        <f>VLOOKUP($A177,'Data shares'!$C:$FA,124)</f>
        <v>0.53</v>
      </c>
      <c r="F177" s="143">
        <f>VLOOKUP($A177,'Data shares'!$C:$FA,125)</f>
        <v>0.5</v>
      </c>
      <c r="G177" s="143">
        <f>VLOOKUP($A177,'Data shares'!$C:$FA,127)*100</f>
        <v>6</v>
      </c>
      <c r="H177" s="103">
        <f>VLOOKUP($A177,'OI(Volume)'!$A$7:$O$440,8)</f>
        <v>108273000</v>
      </c>
      <c r="I177" s="103">
        <f>VLOOKUP($A177,'OI(Volume)'!$A$7:$O$440,9)</f>
        <v>-3852000</v>
      </c>
      <c r="J177" s="103">
        <f>VLOOKUP($A177,'OI(Volume)'!$A$7:$O$440,11)</f>
        <v>45902000</v>
      </c>
      <c r="K177" s="103">
        <f>VLOOKUP($A177,'OI(Volume)'!$A$7:$O$440,12)</f>
        <v>-630000</v>
      </c>
      <c r="L177" s="103">
        <f>VLOOKUP($A177,'OI(Value)'!$A$7:$O$323,8,0)</f>
        <v>15217</v>
      </c>
      <c r="M177" s="103">
        <f>VLOOKUP($A177,'OI(Value)'!$A$7:$O$323,9,0)</f>
        <v>-541</v>
      </c>
      <c r="N177" s="103">
        <f>VLOOKUP($A177,'OI(Value)'!$A$7:$O$323,11,0)</f>
        <v>6451</v>
      </c>
      <c r="O177" s="103">
        <f>VLOOKUP($A177,'OI(Value)'!$A$7:$O$323,12,0)</f>
        <v>-89</v>
      </c>
    </row>
    <row r="178" spans="1:15" x14ac:dyDescent="0.25">
      <c r="A178" s="105" t="str">
        <f>'Data Vlaue (Cr)'!C173</f>
        <v>RVNL</v>
      </c>
      <c r="B178" s="143">
        <f>VLOOKUP($A178,'Data shares'!$C:$FA,118)</f>
        <v>0.32</v>
      </c>
      <c r="C178" s="143">
        <f>VLOOKUP($A178,'Data shares'!$C:$FA,119)</f>
        <v>0.3</v>
      </c>
      <c r="D178" s="143">
        <f>VLOOKUP($A178,'Data shares'!$C:$FA,121)*100</f>
        <v>6.67</v>
      </c>
      <c r="E178" s="143">
        <f>VLOOKUP($A178,'Data shares'!$C:$FA,124)</f>
        <v>0.23</v>
      </c>
      <c r="F178" s="143">
        <f>VLOOKUP($A178,'Data shares'!$C:$FA,125)</f>
        <v>0.42</v>
      </c>
      <c r="G178" s="143">
        <f>VLOOKUP($A178,'Data shares'!$C:$FA,127)*100</f>
        <v>-45.24</v>
      </c>
      <c r="H178" s="103">
        <f>VLOOKUP($A178,'OI(Volume)'!$A$7:$O$440,8)</f>
        <v>56208450</v>
      </c>
      <c r="I178" s="103">
        <f>VLOOKUP($A178,'OI(Volume)'!$A$7:$O$440,9)</f>
        <v>-2464400</v>
      </c>
      <c r="J178" s="103">
        <f>VLOOKUP($A178,'OI(Volume)'!$A$7:$O$440,11)</f>
        <v>17735750</v>
      </c>
      <c r="K178" s="103">
        <f>VLOOKUP($A178,'OI(Volume)'!$A$7:$O$440,12)</f>
        <v>350750</v>
      </c>
      <c r="L178" s="103">
        <f>VLOOKUP($A178,'OI(Value)'!$A$7:$O$323,8,0)</f>
        <v>1853</v>
      </c>
      <c r="M178" s="103">
        <f>VLOOKUP($A178,'OI(Value)'!$A$7:$O$323,9,0)</f>
        <v>-81</v>
      </c>
      <c r="N178" s="103">
        <f>VLOOKUP($A178,'OI(Value)'!$A$7:$O$323,11,0)</f>
        <v>585</v>
      </c>
      <c r="O178" s="103">
        <f>VLOOKUP($A178,'OI(Value)'!$A$7:$O$323,12,0)</f>
        <v>12</v>
      </c>
    </row>
    <row r="179" spans="1:15" x14ac:dyDescent="0.25">
      <c r="A179" s="105" t="str">
        <f>'Data Vlaue (Cr)'!C174</f>
        <v>SAIL</v>
      </c>
      <c r="B179" s="143">
        <f>VLOOKUP($A179,'Data shares'!$C:$FA,118)</f>
        <v>0.78</v>
      </c>
      <c r="C179" s="143">
        <f>VLOOKUP($A179,'Data shares'!$C:$FA,119)</f>
        <v>0.79</v>
      </c>
      <c r="D179" s="143">
        <f>VLOOKUP($A179,'Data shares'!$C:$FA,121)*100</f>
        <v>-1.27</v>
      </c>
      <c r="E179" s="143">
        <f>VLOOKUP($A179,'Data shares'!$C:$FA,124)</f>
        <v>0.53</v>
      </c>
      <c r="F179" s="143">
        <f>VLOOKUP($A179,'Data shares'!$C:$FA,125)</f>
        <v>0.81</v>
      </c>
      <c r="G179" s="143">
        <f>VLOOKUP($A179,'Data shares'!$C:$FA,127)*100</f>
        <v>-34.57</v>
      </c>
      <c r="H179" s="103">
        <f>VLOOKUP($A179,'OI(Volume)'!$A$7:$O$440,8)</f>
        <v>38023000</v>
      </c>
      <c r="I179" s="103">
        <f>VLOOKUP($A179,'OI(Volume)'!$A$7:$O$440,9)</f>
        <v>-3280600</v>
      </c>
      <c r="J179" s="103">
        <f>VLOOKUP($A179,'OI(Volume)'!$A$7:$O$440,11)</f>
        <v>29680500</v>
      </c>
      <c r="K179" s="103">
        <f>VLOOKUP($A179,'OI(Volume)'!$A$7:$O$440,12)</f>
        <v>-2989200</v>
      </c>
      <c r="L179" s="103">
        <f>VLOOKUP($A179,'OI(Value)'!$A$7:$O$323,8,0)</f>
        <v>578</v>
      </c>
      <c r="M179" s="103">
        <f>VLOOKUP($A179,'OI(Value)'!$A$7:$O$323,9,0)</f>
        <v>-50</v>
      </c>
      <c r="N179" s="103">
        <f>VLOOKUP($A179,'OI(Value)'!$A$7:$O$323,11,0)</f>
        <v>451</v>
      </c>
      <c r="O179" s="103">
        <f>VLOOKUP($A179,'OI(Value)'!$A$7:$O$323,12,0)</f>
        <v>-45</v>
      </c>
    </row>
    <row r="180" spans="1:15" x14ac:dyDescent="0.25">
      <c r="A180" s="105" t="str">
        <f>'Data Vlaue (Cr)'!C175</f>
        <v>SAMMAANCAP</v>
      </c>
      <c r="B180" s="143">
        <f>VLOOKUP($A180,'Data shares'!$C:$FA,118)</f>
        <v>0.76</v>
      </c>
      <c r="C180" s="143">
        <f>VLOOKUP($A180,'Data shares'!$C:$FA,119)</f>
        <v>0.76</v>
      </c>
      <c r="D180" s="143">
        <f>VLOOKUP($A180,'Data shares'!$C:$FA,121)*100</f>
        <v>0</v>
      </c>
      <c r="E180" s="143">
        <f>VLOOKUP($A180,'Data shares'!$C:$FA,124)</f>
        <v>0.5</v>
      </c>
      <c r="F180" s="143">
        <f>VLOOKUP($A180,'Data shares'!$C:$FA,125)</f>
        <v>0.62</v>
      </c>
      <c r="G180" s="143">
        <f>VLOOKUP($A180,'Data shares'!$C:$FA,127)*100</f>
        <v>-19.350000000000001</v>
      </c>
      <c r="H180" s="103">
        <f>VLOOKUP($A180,'OI(Volume)'!$A$7:$O$440,8)</f>
        <v>29713000</v>
      </c>
      <c r="I180" s="103">
        <f>VLOOKUP($A180,'OI(Volume)'!$A$7:$O$440,9)</f>
        <v>-232200</v>
      </c>
      <c r="J180" s="103">
        <f>VLOOKUP($A180,'OI(Volume)'!$A$7:$O$440,11)</f>
        <v>22600800</v>
      </c>
      <c r="K180" s="103">
        <f>VLOOKUP($A180,'OI(Volume)'!$A$7:$O$440,12)</f>
        <v>-86000</v>
      </c>
      <c r="L180" s="103">
        <f>VLOOKUP($A180,'OI(Value)'!$A$7:$O$323,8,0)</f>
        <v>418</v>
      </c>
      <c r="M180" s="103">
        <f>VLOOKUP($A180,'OI(Value)'!$A$7:$O$323,9,0)</f>
        <v>-3</v>
      </c>
      <c r="N180" s="103">
        <f>VLOOKUP($A180,'OI(Value)'!$A$7:$O$323,11,0)</f>
        <v>318</v>
      </c>
      <c r="O180" s="103">
        <f>VLOOKUP($A180,'OI(Value)'!$A$7:$O$323,12,0)</f>
        <v>-1</v>
      </c>
    </row>
    <row r="181" spans="1:15" x14ac:dyDescent="0.25">
      <c r="A181" s="105" t="str">
        <f>'Data Vlaue (Cr)'!C176</f>
        <v>SBICARD</v>
      </c>
      <c r="B181" s="143">
        <f>VLOOKUP($A181,'Data shares'!$C:$FA,118)</f>
        <v>0.7</v>
      </c>
      <c r="C181" s="143">
        <f>VLOOKUP($A181,'Data shares'!$C:$FA,119)</f>
        <v>0.63</v>
      </c>
      <c r="D181" s="143">
        <f>VLOOKUP($A181,'Data shares'!$C:$FA,121)*100</f>
        <v>11.110000000000001</v>
      </c>
      <c r="E181" s="143">
        <f>VLOOKUP($A181,'Data shares'!$C:$FA,124)</f>
        <v>0.69</v>
      </c>
      <c r="F181" s="143">
        <f>VLOOKUP($A181,'Data shares'!$C:$FA,125)</f>
        <v>0.76</v>
      </c>
      <c r="G181" s="143">
        <f>VLOOKUP($A181,'Data shares'!$C:$FA,127)*100</f>
        <v>-9.2100000000000009</v>
      </c>
      <c r="H181" s="103">
        <f>VLOOKUP($A181,'OI(Volume)'!$A$7:$O$440,8)</f>
        <v>7461600</v>
      </c>
      <c r="I181" s="103">
        <f>VLOOKUP($A181,'OI(Volume)'!$A$7:$O$440,9)</f>
        <v>-780800</v>
      </c>
      <c r="J181" s="103">
        <f>VLOOKUP($A181,'OI(Volume)'!$A$7:$O$440,11)</f>
        <v>5242400</v>
      </c>
      <c r="K181" s="103">
        <f>VLOOKUP($A181,'OI(Volume)'!$A$7:$O$440,12)</f>
        <v>80800</v>
      </c>
      <c r="L181" s="103">
        <f>VLOOKUP($A181,'OI(Value)'!$A$7:$O$323,8,0)</f>
        <v>591</v>
      </c>
      <c r="M181" s="103">
        <f>VLOOKUP($A181,'OI(Value)'!$A$7:$O$323,9,0)</f>
        <v>-62</v>
      </c>
      <c r="N181" s="103">
        <f>VLOOKUP($A181,'OI(Value)'!$A$7:$O$323,11,0)</f>
        <v>415</v>
      </c>
      <c r="O181" s="103">
        <f>VLOOKUP($A181,'OI(Value)'!$A$7:$O$323,12,0)</f>
        <v>6</v>
      </c>
    </row>
    <row r="182" spans="1:15" x14ac:dyDescent="0.25">
      <c r="A182" s="105" t="str">
        <f>'Data Vlaue (Cr)'!C177</f>
        <v>SBILIFE</v>
      </c>
      <c r="B182" s="143">
        <f>VLOOKUP($A182,'Data shares'!$C:$FA,118)</f>
        <v>0.31</v>
      </c>
      <c r="C182" s="143">
        <f>VLOOKUP($A182,'Data shares'!$C:$FA,119)</f>
        <v>0.28000000000000003</v>
      </c>
      <c r="D182" s="143">
        <f>VLOOKUP($A182,'Data shares'!$C:$FA,121)*100</f>
        <v>10.71</v>
      </c>
      <c r="E182" s="143">
        <f>VLOOKUP($A182,'Data shares'!$C:$FA,124)</f>
        <v>0.9</v>
      </c>
      <c r="F182" s="143">
        <f>VLOOKUP($A182,'Data shares'!$C:$FA,125)</f>
        <v>0.51</v>
      </c>
      <c r="G182" s="143">
        <f>VLOOKUP($A182,'Data shares'!$C:$FA,127)*100</f>
        <v>76.47</v>
      </c>
      <c r="H182" s="103">
        <f>VLOOKUP($A182,'OI(Volume)'!$A$7:$O$440,8)</f>
        <v>7708875</v>
      </c>
      <c r="I182" s="103">
        <f>VLOOKUP($A182,'OI(Volume)'!$A$7:$O$440,9)</f>
        <v>-12750</v>
      </c>
      <c r="J182" s="103">
        <f>VLOOKUP($A182,'OI(Volume)'!$A$7:$O$440,11)</f>
        <v>2352375</v>
      </c>
      <c r="K182" s="103">
        <f>VLOOKUP($A182,'OI(Volume)'!$A$7:$O$440,12)</f>
        <v>157875</v>
      </c>
      <c r="L182" s="103">
        <f>VLOOKUP($A182,'OI(Value)'!$A$7:$O$323,8,0)</f>
        <v>1563</v>
      </c>
      <c r="M182" s="103">
        <f>VLOOKUP($A182,'OI(Value)'!$A$7:$O$323,9,0)</f>
        <v>-3</v>
      </c>
      <c r="N182" s="103">
        <f>VLOOKUP($A182,'OI(Value)'!$A$7:$O$323,11,0)</f>
        <v>477</v>
      </c>
      <c r="O182" s="103">
        <f>VLOOKUP($A182,'OI(Value)'!$A$7:$O$323,12,0)</f>
        <v>32</v>
      </c>
    </row>
    <row r="183" spans="1:15" x14ac:dyDescent="0.25">
      <c r="A183" s="105" t="str">
        <f>'Data Vlaue (Cr)'!C178</f>
        <v>SBIN</v>
      </c>
      <c r="B183" s="143">
        <f>VLOOKUP($A183,'Data shares'!$C:$FA,118)</f>
        <v>0.96</v>
      </c>
      <c r="C183" s="143">
        <f>VLOOKUP($A183,'Data shares'!$C:$FA,119)</f>
        <v>0.87</v>
      </c>
      <c r="D183" s="143">
        <f>VLOOKUP($A183,'Data shares'!$C:$FA,121)*100</f>
        <v>10.34</v>
      </c>
      <c r="E183" s="143">
        <f>VLOOKUP($A183,'Data shares'!$C:$FA,124)</f>
        <v>0.7</v>
      </c>
      <c r="F183" s="143">
        <f>VLOOKUP($A183,'Data shares'!$C:$FA,125)</f>
        <v>0.83</v>
      </c>
      <c r="G183" s="143">
        <f>VLOOKUP($A183,'Data shares'!$C:$FA,127)*100</f>
        <v>-15.659999999999998</v>
      </c>
      <c r="H183" s="103">
        <f>VLOOKUP($A183,'OI(Volume)'!$A$7:$O$440,8)</f>
        <v>44706000</v>
      </c>
      <c r="I183" s="103">
        <f>VLOOKUP($A183,'OI(Volume)'!$A$7:$O$440,9)</f>
        <v>-2483250</v>
      </c>
      <c r="J183" s="103">
        <f>VLOOKUP($A183,'OI(Volume)'!$A$7:$O$440,11)</f>
        <v>42789000</v>
      </c>
      <c r="K183" s="103">
        <f>VLOOKUP($A183,'OI(Volume)'!$A$7:$O$440,12)</f>
        <v>1545750</v>
      </c>
      <c r="L183" s="103">
        <f>VLOOKUP($A183,'OI(Value)'!$A$7:$O$323,8,0)</f>
        <v>4682</v>
      </c>
      <c r="M183" s="103">
        <f>VLOOKUP($A183,'OI(Value)'!$A$7:$O$323,9,0)</f>
        <v>-260</v>
      </c>
      <c r="N183" s="103">
        <f>VLOOKUP($A183,'OI(Value)'!$A$7:$O$323,11,0)</f>
        <v>4481</v>
      </c>
      <c r="O183" s="103">
        <f>VLOOKUP($A183,'OI(Value)'!$A$7:$O$323,12,0)</f>
        <v>162</v>
      </c>
    </row>
    <row r="184" spans="1:15" x14ac:dyDescent="0.25">
      <c r="A184" s="105" t="str">
        <f>'Data Vlaue (Cr)'!C179</f>
        <v>SHREECEM</v>
      </c>
      <c r="B184" s="143">
        <f>VLOOKUP($A184,'Data shares'!$C:$FA,118)</f>
        <v>0.73</v>
      </c>
      <c r="C184" s="143">
        <f>VLOOKUP($A184,'Data shares'!$C:$FA,119)</f>
        <v>0.76</v>
      </c>
      <c r="D184" s="143">
        <f>VLOOKUP($A184,'Data shares'!$C:$FA,121)*100</f>
        <v>-3.95</v>
      </c>
      <c r="E184" s="143">
        <f>VLOOKUP($A184,'Data shares'!$C:$FA,124)</f>
        <v>0.54</v>
      </c>
      <c r="F184" s="143">
        <f>VLOOKUP($A184,'Data shares'!$C:$FA,125)</f>
        <v>0.52</v>
      </c>
      <c r="G184" s="143">
        <f>VLOOKUP($A184,'Data shares'!$C:$FA,127)*100</f>
        <v>3.85</v>
      </c>
      <c r="H184" s="103">
        <f>VLOOKUP($A184,'OI(Volume)'!$A$7:$O$440,8)</f>
        <v>66225</v>
      </c>
      <c r="I184" s="103">
        <f>VLOOKUP($A184,'OI(Volume)'!$A$7:$O$440,9)</f>
        <v>-10100</v>
      </c>
      <c r="J184" s="103">
        <f>VLOOKUP($A184,'OI(Volume)'!$A$7:$O$440,11)</f>
        <v>48575</v>
      </c>
      <c r="K184" s="103">
        <f>VLOOKUP($A184,'OI(Volume)'!$A$7:$O$440,12)</f>
        <v>-9100</v>
      </c>
      <c r="L184" s="103">
        <f>VLOOKUP($A184,'OI(Value)'!$A$7:$O$323,8,0)</f>
        <v>182</v>
      </c>
      <c r="M184" s="103">
        <f>VLOOKUP($A184,'OI(Value)'!$A$7:$O$323,9,0)</f>
        <v>-28</v>
      </c>
      <c r="N184" s="103">
        <f>VLOOKUP($A184,'OI(Value)'!$A$7:$O$323,11,0)</f>
        <v>134</v>
      </c>
      <c r="O184" s="103">
        <f>VLOOKUP($A184,'OI(Value)'!$A$7:$O$323,12,0)</f>
        <v>-25</v>
      </c>
    </row>
    <row r="185" spans="1:15" x14ac:dyDescent="0.25">
      <c r="A185" s="105" t="str">
        <f>'Data Vlaue (Cr)'!C180</f>
        <v>SHRIRAMFIN</v>
      </c>
      <c r="B185" s="143">
        <f>VLOOKUP($A185,'Data shares'!$C:$FA,118)</f>
        <v>0.82</v>
      </c>
      <c r="C185" s="143">
        <f>VLOOKUP($A185,'Data shares'!$C:$FA,119)</f>
        <v>0.73</v>
      </c>
      <c r="D185" s="143">
        <f>VLOOKUP($A185,'Data shares'!$C:$FA,121)*100</f>
        <v>12.33</v>
      </c>
      <c r="E185" s="143">
        <f>VLOOKUP($A185,'Data shares'!$C:$FA,124)</f>
        <v>0.47</v>
      </c>
      <c r="F185" s="143">
        <f>VLOOKUP($A185,'Data shares'!$C:$FA,125)</f>
        <v>0.54</v>
      </c>
      <c r="G185" s="143">
        <f>VLOOKUP($A185,'Data shares'!$C:$FA,127)*100</f>
        <v>-12.959999999999999</v>
      </c>
      <c r="H185" s="103">
        <f>VLOOKUP($A185,'OI(Volume)'!$A$7:$O$440,8)</f>
        <v>14635500</v>
      </c>
      <c r="I185" s="103">
        <f>VLOOKUP($A185,'OI(Volume)'!$A$7:$O$440,9)</f>
        <v>-963600</v>
      </c>
      <c r="J185" s="103">
        <f>VLOOKUP($A185,'OI(Volume)'!$A$7:$O$440,11)</f>
        <v>11931975</v>
      </c>
      <c r="K185" s="103">
        <f>VLOOKUP($A185,'OI(Volume)'!$A$7:$O$440,12)</f>
        <v>499950</v>
      </c>
      <c r="L185" s="103">
        <f>VLOOKUP($A185,'OI(Value)'!$A$7:$O$323,8,0)</f>
        <v>1471</v>
      </c>
      <c r="M185" s="103">
        <f>VLOOKUP($A185,'OI(Value)'!$A$7:$O$323,9,0)</f>
        <v>-97</v>
      </c>
      <c r="N185" s="103">
        <f>VLOOKUP($A185,'OI(Value)'!$A$7:$O$323,11,0)</f>
        <v>1199</v>
      </c>
      <c r="O185" s="103">
        <f>VLOOKUP($A185,'OI(Value)'!$A$7:$O$323,12,0)</f>
        <v>50</v>
      </c>
    </row>
    <row r="186" spans="1:15" x14ac:dyDescent="0.25">
      <c r="A186" s="105" t="str">
        <f>'Data Vlaue (Cr)'!C181</f>
        <v>SIEMENS</v>
      </c>
      <c r="B186" s="143">
        <f>VLOOKUP($A186,'Data shares'!$C:$FA,118)</f>
        <v>0.55000000000000004</v>
      </c>
      <c r="C186" s="143">
        <f>VLOOKUP($A186,'Data shares'!$C:$FA,119)</f>
        <v>0.56999999999999995</v>
      </c>
      <c r="D186" s="143">
        <f>VLOOKUP($A186,'Data shares'!$C:$FA,121)*100</f>
        <v>-3.51</v>
      </c>
      <c r="E186" s="143">
        <f>VLOOKUP($A186,'Data shares'!$C:$FA,124)</f>
        <v>0.4</v>
      </c>
      <c r="F186" s="143">
        <f>VLOOKUP($A186,'Data shares'!$C:$FA,125)</f>
        <v>0.44</v>
      </c>
      <c r="G186" s="143">
        <f>VLOOKUP($A186,'Data shares'!$C:$FA,127)*100</f>
        <v>-9.09</v>
      </c>
      <c r="H186" s="103">
        <f>VLOOKUP($A186,'OI(Volume)'!$A$7:$O$440,8)</f>
        <v>1333675</v>
      </c>
      <c r="I186" s="103">
        <f>VLOOKUP($A186,'OI(Volume)'!$A$7:$O$440,9)</f>
        <v>-112000</v>
      </c>
      <c r="J186" s="103">
        <f>VLOOKUP($A186,'OI(Volume)'!$A$7:$O$440,11)</f>
        <v>740075</v>
      </c>
      <c r="K186" s="103">
        <f>VLOOKUP($A186,'OI(Volume)'!$A$7:$O$440,12)</f>
        <v>-89425</v>
      </c>
      <c r="L186" s="103">
        <f>VLOOKUP($A186,'OI(Value)'!$A$7:$O$323,8,0)</f>
        <v>391</v>
      </c>
      <c r="M186" s="103">
        <f>VLOOKUP($A186,'OI(Value)'!$A$7:$O$323,9,0)</f>
        <v>-33</v>
      </c>
      <c r="N186" s="103">
        <f>VLOOKUP($A186,'OI(Value)'!$A$7:$O$323,11,0)</f>
        <v>217</v>
      </c>
      <c r="O186" s="103">
        <f>VLOOKUP($A186,'OI(Value)'!$A$7:$O$323,12,0)</f>
        <v>-26</v>
      </c>
    </row>
    <row r="187" spans="1:15" x14ac:dyDescent="0.25">
      <c r="A187" s="105" t="str">
        <f>'Data Vlaue (Cr)'!C182</f>
        <v>SOLARINDS</v>
      </c>
      <c r="B187" s="143">
        <f>VLOOKUP($A187,'Data shares'!$C:$FA,118)</f>
        <v>0.7</v>
      </c>
      <c r="C187" s="143">
        <f>VLOOKUP($A187,'Data shares'!$C:$FA,119)</f>
        <v>0.63</v>
      </c>
      <c r="D187" s="143">
        <f>VLOOKUP($A187,'Data shares'!$C:$FA,121)*100</f>
        <v>11.110000000000001</v>
      </c>
      <c r="E187" s="143">
        <f>VLOOKUP($A187,'Data shares'!$C:$FA,124)</f>
        <v>0.46</v>
      </c>
      <c r="F187" s="143">
        <f>VLOOKUP($A187,'Data shares'!$C:$FA,125)</f>
        <v>0.32</v>
      </c>
      <c r="G187" s="143">
        <f>VLOOKUP($A187,'Data shares'!$C:$FA,127)*100</f>
        <v>43.75</v>
      </c>
      <c r="H187" s="103">
        <f>VLOOKUP($A187,'OI(Volume)'!$A$7:$O$440,8)</f>
        <v>447600</v>
      </c>
      <c r="I187" s="103">
        <f>VLOOKUP($A187,'OI(Volume)'!$A$7:$O$440,9)</f>
        <v>-66350</v>
      </c>
      <c r="J187" s="103">
        <f>VLOOKUP($A187,'OI(Volume)'!$A$7:$O$440,11)</f>
        <v>311400</v>
      </c>
      <c r="K187" s="103">
        <f>VLOOKUP($A187,'OI(Volume)'!$A$7:$O$440,12)</f>
        <v>-14250</v>
      </c>
      <c r="L187" s="103">
        <f>VLOOKUP($A187,'OI(Value)'!$A$7:$O$323,8,0)</f>
        <v>577</v>
      </c>
      <c r="M187" s="103">
        <f>VLOOKUP($A187,'OI(Value)'!$A$7:$O$323,9,0)</f>
        <v>-85</v>
      </c>
      <c r="N187" s="103">
        <f>VLOOKUP($A187,'OI(Value)'!$A$7:$O$323,11,0)</f>
        <v>401</v>
      </c>
      <c r="O187" s="103">
        <f>VLOOKUP($A187,'OI(Value)'!$A$7:$O$323,12,0)</f>
        <v>-18</v>
      </c>
    </row>
    <row r="188" spans="1:15" x14ac:dyDescent="0.25">
      <c r="A188" s="105" t="str">
        <f>'Data Vlaue (Cr)'!C183</f>
        <v>SONACOMS</v>
      </c>
      <c r="B188" s="143">
        <f>VLOOKUP($A188,'Data shares'!$C:$FA,118)</f>
        <v>0.68</v>
      </c>
      <c r="C188" s="143">
        <f>VLOOKUP($A188,'Data shares'!$C:$FA,119)</f>
        <v>0.57999999999999996</v>
      </c>
      <c r="D188" s="143">
        <f>VLOOKUP($A188,'Data shares'!$C:$FA,121)*100</f>
        <v>17.239999999999998</v>
      </c>
      <c r="E188" s="143">
        <f>VLOOKUP($A188,'Data shares'!$C:$FA,124)</f>
        <v>0.45</v>
      </c>
      <c r="F188" s="143">
        <f>VLOOKUP($A188,'Data shares'!$C:$FA,125)</f>
        <v>0.5</v>
      </c>
      <c r="G188" s="143">
        <f>VLOOKUP($A188,'Data shares'!$C:$FA,127)*100</f>
        <v>-10</v>
      </c>
      <c r="H188" s="103">
        <f>VLOOKUP($A188,'OI(Volume)'!$A$7:$O$440,8)</f>
        <v>5954725</v>
      </c>
      <c r="I188" s="103">
        <f>VLOOKUP($A188,'OI(Volume)'!$A$7:$O$440,9)</f>
        <v>-961625</v>
      </c>
      <c r="J188" s="103">
        <f>VLOOKUP($A188,'OI(Volume)'!$A$7:$O$440,11)</f>
        <v>4058425</v>
      </c>
      <c r="K188" s="103">
        <f>VLOOKUP($A188,'OI(Volume)'!$A$7:$O$440,12)</f>
        <v>51450</v>
      </c>
      <c r="L188" s="103">
        <f>VLOOKUP($A188,'OI(Value)'!$A$7:$O$323,8,0)</f>
        <v>280</v>
      </c>
      <c r="M188" s="103">
        <f>VLOOKUP($A188,'OI(Value)'!$A$7:$O$323,9,0)</f>
        <v>-45</v>
      </c>
      <c r="N188" s="103">
        <f>VLOOKUP($A188,'OI(Value)'!$A$7:$O$323,11,0)</f>
        <v>191</v>
      </c>
      <c r="O188" s="103">
        <f>VLOOKUP($A188,'OI(Value)'!$A$7:$O$323,12,0)</f>
        <v>2</v>
      </c>
    </row>
    <row r="189" spans="1:15" x14ac:dyDescent="0.25">
      <c r="A189" s="105" t="str">
        <f>'Data Vlaue (Cr)'!C184</f>
        <v>SRF</v>
      </c>
      <c r="B189" s="143">
        <f>VLOOKUP($A189,'Data shares'!$C:$FA,118)</f>
        <v>0.5</v>
      </c>
      <c r="C189" s="143">
        <f>VLOOKUP($A189,'Data shares'!$C:$FA,119)</f>
        <v>0.45</v>
      </c>
      <c r="D189" s="143">
        <f>VLOOKUP($A189,'Data shares'!$C:$FA,121)*100</f>
        <v>11.110000000000001</v>
      </c>
      <c r="E189" s="143">
        <f>VLOOKUP($A189,'Data shares'!$C:$FA,124)</f>
        <v>0.54</v>
      </c>
      <c r="F189" s="143">
        <f>VLOOKUP($A189,'Data shares'!$C:$FA,125)</f>
        <v>1.1000000000000001</v>
      </c>
      <c r="G189" s="143">
        <f>VLOOKUP($A189,'Data shares'!$C:$FA,127)*100</f>
        <v>-50.91</v>
      </c>
      <c r="H189" s="103">
        <f>VLOOKUP($A189,'OI(Volume)'!$A$7:$O$440,8)</f>
        <v>2944200</v>
      </c>
      <c r="I189" s="103">
        <f>VLOOKUP($A189,'OI(Volume)'!$A$7:$O$440,9)</f>
        <v>-928400</v>
      </c>
      <c r="J189" s="103">
        <f>VLOOKUP($A189,'OI(Volume)'!$A$7:$O$440,11)</f>
        <v>1484200</v>
      </c>
      <c r="K189" s="103">
        <f>VLOOKUP($A189,'OI(Volume)'!$A$7:$O$440,12)</f>
        <v>-269400</v>
      </c>
      <c r="L189" s="103">
        <f>VLOOKUP($A189,'OI(Value)'!$A$7:$O$323,8,0)</f>
        <v>804</v>
      </c>
      <c r="M189" s="103">
        <f>VLOOKUP($A189,'OI(Value)'!$A$7:$O$323,9,0)</f>
        <v>-253</v>
      </c>
      <c r="N189" s="103">
        <f>VLOOKUP($A189,'OI(Value)'!$A$7:$O$323,11,0)</f>
        <v>405</v>
      </c>
      <c r="O189" s="103">
        <f>VLOOKUP($A189,'OI(Value)'!$A$7:$O$323,12,0)</f>
        <v>-74</v>
      </c>
    </row>
    <row r="190" spans="1:15" x14ac:dyDescent="0.25">
      <c r="A190" s="105" t="str">
        <f>'Data Vlaue (Cr)'!C185</f>
        <v>SUNPHARMA</v>
      </c>
      <c r="B190" s="143">
        <f>VLOOKUP($A190,'Data shares'!$C:$FA,118)</f>
        <v>0.4</v>
      </c>
      <c r="C190" s="143">
        <f>VLOOKUP($A190,'Data shares'!$C:$FA,119)</f>
        <v>0.43</v>
      </c>
      <c r="D190" s="143">
        <f>VLOOKUP($A190,'Data shares'!$C:$FA,121)*100</f>
        <v>-6.98</v>
      </c>
      <c r="E190" s="143">
        <f>VLOOKUP($A190,'Data shares'!$C:$FA,124)</f>
        <v>0.89</v>
      </c>
      <c r="F190" s="143">
        <f>VLOOKUP($A190,'Data shares'!$C:$FA,125)</f>
        <v>0.56000000000000005</v>
      </c>
      <c r="G190" s="143">
        <f>VLOOKUP($A190,'Data shares'!$C:$FA,127)*100</f>
        <v>58.930000000000007</v>
      </c>
      <c r="H190" s="103">
        <f>VLOOKUP($A190,'OI(Volume)'!$A$7:$O$440,8)</f>
        <v>11782750</v>
      </c>
      <c r="I190" s="103">
        <f>VLOOKUP($A190,'OI(Volume)'!$A$7:$O$440,9)</f>
        <v>-290150</v>
      </c>
      <c r="J190" s="103">
        <f>VLOOKUP($A190,'OI(Volume)'!$A$7:$O$440,11)</f>
        <v>4711700</v>
      </c>
      <c r="K190" s="103">
        <f>VLOOKUP($A190,'OI(Volume)'!$A$7:$O$440,12)</f>
        <v>-436450</v>
      </c>
      <c r="L190" s="103">
        <f>VLOOKUP($A190,'OI(Value)'!$A$7:$O$323,8,0)</f>
        <v>1927</v>
      </c>
      <c r="M190" s="103">
        <f>VLOOKUP($A190,'OI(Value)'!$A$7:$O$323,9,0)</f>
        <v>-47</v>
      </c>
      <c r="N190" s="103">
        <f>VLOOKUP($A190,'OI(Value)'!$A$7:$O$323,11,0)</f>
        <v>771</v>
      </c>
      <c r="O190" s="103">
        <f>VLOOKUP($A190,'OI(Value)'!$A$7:$O$323,12,0)</f>
        <v>-71</v>
      </c>
    </row>
    <row r="191" spans="1:15" x14ac:dyDescent="0.25">
      <c r="A191" s="105" t="str">
        <f>'Data Vlaue (Cr)'!C186</f>
        <v>SUPREMEIND</v>
      </c>
      <c r="B191" s="143">
        <f>VLOOKUP($A191,'Data shares'!$C:$FA,118)</f>
        <v>0.98</v>
      </c>
      <c r="C191" s="143">
        <f>VLOOKUP($A191,'Data shares'!$C:$FA,119)</f>
        <v>0.94</v>
      </c>
      <c r="D191" s="143">
        <f>VLOOKUP($A191,'Data shares'!$C:$FA,121)*100</f>
        <v>4.26</v>
      </c>
      <c r="E191" s="143">
        <f>VLOOKUP($A191,'Data shares'!$C:$FA,124)</f>
        <v>0.57999999999999996</v>
      </c>
      <c r="F191" s="143">
        <f>VLOOKUP($A191,'Data shares'!$C:$FA,125)</f>
        <v>0.81</v>
      </c>
      <c r="G191" s="143">
        <f>VLOOKUP($A191,'Data shares'!$C:$FA,127)*100</f>
        <v>-28.4</v>
      </c>
      <c r="H191" s="103">
        <f>VLOOKUP($A191,'OI(Volume)'!$A$7:$O$440,8)</f>
        <v>740425</v>
      </c>
      <c r="I191" s="103">
        <f>VLOOKUP($A191,'OI(Volume)'!$A$7:$O$440,9)</f>
        <v>-180600</v>
      </c>
      <c r="J191" s="103">
        <f>VLOOKUP($A191,'OI(Volume)'!$A$7:$O$440,11)</f>
        <v>728000</v>
      </c>
      <c r="K191" s="103">
        <f>VLOOKUP($A191,'OI(Volume)'!$A$7:$O$440,12)</f>
        <v>-137900</v>
      </c>
      <c r="L191" s="103">
        <f>VLOOKUP($A191,'OI(Value)'!$A$7:$O$323,8,0)</f>
        <v>258</v>
      </c>
      <c r="M191" s="103">
        <f>VLOOKUP($A191,'OI(Value)'!$A$7:$O$323,9,0)</f>
        <v>-63</v>
      </c>
      <c r="N191" s="103">
        <f>VLOOKUP($A191,'OI(Value)'!$A$7:$O$323,11,0)</f>
        <v>254</v>
      </c>
      <c r="O191" s="103">
        <f>VLOOKUP($A191,'OI(Value)'!$A$7:$O$323,12,0)</f>
        <v>-48</v>
      </c>
    </row>
    <row r="192" spans="1:15" x14ac:dyDescent="0.25">
      <c r="A192" s="105" t="str">
        <f>'Data Vlaue (Cr)'!C187</f>
        <v>SUZLON</v>
      </c>
      <c r="B192" s="143">
        <f>VLOOKUP($A192,'Data shares'!$C:$FA,118)</f>
        <v>0.45</v>
      </c>
      <c r="C192" s="143">
        <f>VLOOKUP($A192,'Data shares'!$C:$FA,119)</f>
        <v>0.41</v>
      </c>
      <c r="D192" s="143">
        <f>VLOOKUP($A192,'Data shares'!$C:$FA,121)*100</f>
        <v>9.76</v>
      </c>
      <c r="E192" s="143">
        <f>VLOOKUP($A192,'Data shares'!$C:$FA,124)</f>
        <v>0.36</v>
      </c>
      <c r="F192" s="143">
        <f>VLOOKUP($A192,'Data shares'!$C:$FA,125)</f>
        <v>0.62</v>
      </c>
      <c r="G192" s="143">
        <f>VLOOKUP($A192,'Data shares'!$C:$FA,127)*100</f>
        <v>-41.94</v>
      </c>
      <c r="H192" s="103">
        <f>VLOOKUP($A192,'OI(Volume)'!$A$7:$O$440,8)</f>
        <v>217331025</v>
      </c>
      <c r="I192" s="103">
        <f>VLOOKUP($A192,'OI(Volume)'!$A$7:$O$440,9)</f>
        <v>-13790200</v>
      </c>
      <c r="J192" s="103">
        <f>VLOOKUP($A192,'OI(Volume)'!$A$7:$O$440,11)</f>
        <v>97063875</v>
      </c>
      <c r="K192" s="103">
        <f>VLOOKUP($A192,'OI(Volume)'!$A$7:$O$440,12)</f>
        <v>2283325</v>
      </c>
      <c r="L192" s="103">
        <f>VLOOKUP($A192,'OI(Value)'!$A$7:$O$323,8,0)</f>
        <v>1022</v>
      </c>
      <c r="M192" s="103">
        <f>VLOOKUP($A192,'OI(Value)'!$A$7:$O$323,9,0)</f>
        <v>-65</v>
      </c>
      <c r="N192" s="103">
        <f>VLOOKUP($A192,'OI(Value)'!$A$7:$O$323,11,0)</f>
        <v>456</v>
      </c>
      <c r="O192" s="103">
        <f>VLOOKUP($A192,'OI(Value)'!$A$7:$O$323,12,0)</f>
        <v>11</v>
      </c>
    </row>
    <row r="193" spans="1:15" x14ac:dyDescent="0.25">
      <c r="A193" s="105" t="str">
        <f>'Data Vlaue (Cr)'!C188</f>
        <v>SWIGGY</v>
      </c>
      <c r="B193" s="143">
        <f>VLOOKUP($A193,'Data shares'!$C:$FA,118)</f>
        <v>0.63</v>
      </c>
      <c r="C193" s="143">
        <f>VLOOKUP($A193,'Data shares'!$C:$FA,119)</f>
        <v>0.6</v>
      </c>
      <c r="D193" s="143">
        <f>VLOOKUP($A193,'Data shares'!$C:$FA,121)*100</f>
        <v>5</v>
      </c>
      <c r="E193" s="143">
        <f>VLOOKUP($A193,'Data shares'!$C:$FA,124)</f>
        <v>0.79</v>
      </c>
      <c r="F193" s="143">
        <f>VLOOKUP($A193,'Data shares'!$C:$FA,125)</f>
        <v>0.45</v>
      </c>
      <c r="G193" s="143">
        <f>VLOOKUP($A193,'Data shares'!$C:$FA,127)*100</f>
        <v>75.56</v>
      </c>
      <c r="H193" s="103">
        <f>VLOOKUP($A193,'OI(Volume)'!$A$7:$O$440,8)</f>
        <v>8921900</v>
      </c>
      <c r="I193" s="103">
        <f>VLOOKUP($A193,'OI(Volume)'!$A$7:$O$440,9)</f>
        <v>642200</v>
      </c>
      <c r="J193" s="103">
        <f>VLOOKUP($A193,'OI(Volume)'!$A$7:$O$440,11)</f>
        <v>5591300</v>
      </c>
      <c r="K193" s="103">
        <f>VLOOKUP($A193,'OI(Volume)'!$A$7:$O$440,12)</f>
        <v>650000</v>
      </c>
      <c r="L193" s="103">
        <f>VLOOKUP($A193,'OI(Value)'!$A$7:$O$323,8,0)</f>
        <v>285</v>
      </c>
      <c r="M193" s="103">
        <f>VLOOKUP($A193,'OI(Value)'!$A$7:$O$323,9,0)</f>
        <v>21</v>
      </c>
      <c r="N193" s="103">
        <f>VLOOKUP($A193,'OI(Value)'!$A$7:$O$323,11,0)</f>
        <v>179</v>
      </c>
      <c r="O193" s="103">
        <f>VLOOKUP($A193,'OI(Value)'!$A$7:$O$323,12,0)</f>
        <v>21</v>
      </c>
    </row>
    <row r="194" spans="1:15" x14ac:dyDescent="0.25">
      <c r="A194" s="105" t="str">
        <f>'Data Vlaue (Cr)'!C189</f>
        <v>SYNGENE</v>
      </c>
      <c r="B194" s="143">
        <f>VLOOKUP($A194,'Data shares'!$C:$FA,118)</f>
        <v>0.66</v>
      </c>
      <c r="C194" s="143">
        <f>VLOOKUP($A194,'Data shares'!$C:$FA,119)</f>
        <v>0.56000000000000005</v>
      </c>
      <c r="D194" s="143">
        <f>VLOOKUP($A194,'Data shares'!$C:$FA,121)*100</f>
        <v>17.86</v>
      </c>
      <c r="E194" s="143">
        <f>VLOOKUP($A194,'Data shares'!$C:$FA,124)</f>
        <v>1.21</v>
      </c>
      <c r="F194" s="143">
        <f>VLOOKUP($A194,'Data shares'!$C:$FA,125)</f>
        <v>0.59</v>
      </c>
      <c r="G194" s="143">
        <f>VLOOKUP($A194,'Data shares'!$C:$FA,127)*100</f>
        <v>105.08</v>
      </c>
      <c r="H194" s="103">
        <f>VLOOKUP($A194,'OI(Volume)'!$A$7:$O$440,8)</f>
        <v>5888000</v>
      </c>
      <c r="I194" s="103">
        <f>VLOOKUP($A194,'OI(Volume)'!$A$7:$O$440,9)</f>
        <v>-323000</v>
      </c>
      <c r="J194" s="103">
        <f>VLOOKUP($A194,'OI(Volume)'!$A$7:$O$440,11)</f>
        <v>3907000</v>
      </c>
      <c r="K194" s="103">
        <f>VLOOKUP($A194,'OI(Volume)'!$A$7:$O$440,12)</f>
        <v>425000</v>
      </c>
      <c r="L194" s="103">
        <f>VLOOKUP($A194,'OI(Value)'!$A$7:$O$323,8,0)</f>
        <v>348</v>
      </c>
      <c r="M194" s="103">
        <f>VLOOKUP($A194,'OI(Value)'!$A$7:$O$323,9,0)</f>
        <v>-19</v>
      </c>
      <c r="N194" s="103">
        <f>VLOOKUP($A194,'OI(Value)'!$A$7:$O$323,11,0)</f>
        <v>231</v>
      </c>
      <c r="O194" s="103">
        <f>VLOOKUP($A194,'OI(Value)'!$A$7:$O$323,12,0)</f>
        <v>25</v>
      </c>
    </row>
    <row r="195" spans="1:15" x14ac:dyDescent="0.25">
      <c r="A195" s="105" t="str">
        <f>'Data Vlaue (Cr)'!C190</f>
        <v>TATACONSUM</v>
      </c>
      <c r="B195" s="143">
        <f>VLOOKUP($A195,'Data shares'!$C:$FA,118)</f>
        <v>0.72</v>
      </c>
      <c r="C195" s="143">
        <f>VLOOKUP($A195,'Data shares'!$C:$FA,119)</f>
        <v>0.69</v>
      </c>
      <c r="D195" s="143">
        <f>VLOOKUP($A195,'Data shares'!$C:$FA,121)*100</f>
        <v>4.3499999999999996</v>
      </c>
      <c r="E195" s="143">
        <f>VLOOKUP($A195,'Data shares'!$C:$FA,124)</f>
        <v>0.62</v>
      </c>
      <c r="F195" s="143">
        <f>VLOOKUP($A195,'Data shares'!$C:$FA,125)</f>
        <v>0.47</v>
      </c>
      <c r="G195" s="143">
        <f>VLOOKUP($A195,'Data shares'!$C:$FA,127)*100</f>
        <v>31.91</v>
      </c>
      <c r="H195" s="103">
        <f>VLOOKUP($A195,'OI(Volume)'!$A$7:$O$440,8)</f>
        <v>4024900</v>
      </c>
      <c r="I195" s="103">
        <f>VLOOKUP($A195,'OI(Volume)'!$A$7:$O$440,9)</f>
        <v>-459250</v>
      </c>
      <c r="J195" s="103">
        <f>VLOOKUP($A195,'OI(Volume)'!$A$7:$O$440,11)</f>
        <v>2897400</v>
      </c>
      <c r="K195" s="103">
        <f>VLOOKUP($A195,'OI(Volume)'!$A$7:$O$440,12)</f>
        <v>-174900</v>
      </c>
      <c r="L195" s="103">
        <f>VLOOKUP($A195,'OI(Value)'!$A$7:$O$323,8,0)</f>
        <v>474</v>
      </c>
      <c r="M195" s="103">
        <f>VLOOKUP($A195,'OI(Value)'!$A$7:$O$323,9,0)</f>
        <v>-54</v>
      </c>
      <c r="N195" s="103">
        <f>VLOOKUP($A195,'OI(Value)'!$A$7:$O$323,11,0)</f>
        <v>341</v>
      </c>
      <c r="O195" s="103">
        <f>VLOOKUP($A195,'OI(Value)'!$A$7:$O$323,12,0)</f>
        <v>-21</v>
      </c>
    </row>
    <row r="196" spans="1:15" x14ac:dyDescent="0.25">
      <c r="A196" s="105" t="str">
        <f>'Data Vlaue (Cr)'!C191</f>
        <v>TATAELXSI</v>
      </c>
      <c r="B196" s="143">
        <f>VLOOKUP($A196,'Data shares'!$C:$FA,118)</f>
        <v>0.53</v>
      </c>
      <c r="C196" s="143">
        <f>VLOOKUP($A196,'Data shares'!$C:$FA,119)</f>
        <v>0.54</v>
      </c>
      <c r="D196" s="143">
        <f>VLOOKUP($A196,'Data shares'!$C:$FA,121)*100</f>
        <v>-1.8499999999999999</v>
      </c>
      <c r="E196" s="143">
        <f>VLOOKUP($A196,'Data shares'!$C:$FA,124)</f>
        <v>0.48</v>
      </c>
      <c r="F196" s="143">
        <f>VLOOKUP($A196,'Data shares'!$C:$FA,125)</f>
        <v>0.6</v>
      </c>
      <c r="G196" s="143">
        <f>VLOOKUP($A196,'Data shares'!$C:$FA,127)*100</f>
        <v>-20</v>
      </c>
      <c r="H196" s="103">
        <f>VLOOKUP($A196,'OI(Volume)'!$A$7:$O$440,8)</f>
        <v>1853600</v>
      </c>
      <c r="I196" s="103">
        <f>VLOOKUP($A196,'OI(Volume)'!$A$7:$O$440,9)</f>
        <v>-205000</v>
      </c>
      <c r="J196" s="103">
        <f>VLOOKUP($A196,'OI(Volume)'!$A$7:$O$440,11)</f>
        <v>986900</v>
      </c>
      <c r="K196" s="103">
        <f>VLOOKUP($A196,'OI(Volume)'!$A$7:$O$440,12)</f>
        <v>-127200</v>
      </c>
      <c r="L196" s="103">
        <f>VLOOKUP($A196,'OI(Value)'!$A$7:$O$323,8,0)</f>
        <v>1012</v>
      </c>
      <c r="M196" s="103">
        <f>VLOOKUP($A196,'OI(Value)'!$A$7:$O$323,9,0)</f>
        <v>-112</v>
      </c>
      <c r="N196" s="103">
        <f>VLOOKUP($A196,'OI(Value)'!$A$7:$O$323,11,0)</f>
        <v>539</v>
      </c>
      <c r="O196" s="103">
        <f>VLOOKUP($A196,'OI(Value)'!$A$7:$O$323,12,0)</f>
        <v>-69</v>
      </c>
    </row>
    <row r="197" spans="1:15" x14ac:dyDescent="0.25">
      <c r="A197" s="105" t="str">
        <f>'Data Vlaue (Cr)'!C192</f>
        <v>TATAPOWER</v>
      </c>
      <c r="B197" s="143">
        <f>VLOOKUP($A197,'Data shares'!$C:$FA,118)</f>
        <v>0.8</v>
      </c>
      <c r="C197" s="143">
        <f>VLOOKUP($A197,'Data shares'!$C:$FA,119)</f>
        <v>0.76</v>
      </c>
      <c r="D197" s="143">
        <f>VLOOKUP($A197,'Data shares'!$C:$FA,121)*100</f>
        <v>5.26</v>
      </c>
      <c r="E197" s="143">
        <f>VLOOKUP($A197,'Data shares'!$C:$FA,124)</f>
        <v>0.56000000000000005</v>
      </c>
      <c r="F197" s="143">
        <f>VLOOKUP($A197,'Data shares'!$C:$FA,125)</f>
        <v>0.57999999999999996</v>
      </c>
      <c r="G197" s="143">
        <f>VLOOKUP($A197,'Data shares'!$C:$FA,127)*100</f>
        <v>-3.45</v>
      </c>
      <c r="H197" s="103">
        <f>VLOOKUP($A197,'OI(Volume)'!$A$7:$O$440,8)</f>
        <v>40378150</v>
      </c>
      <c r="I197" s="103">
        <f>VLOOKUP($A197,'OI(Volume)'!$A$7:$O$440,9)</f>
        <v>-124700</v>
      </c>
      <c r="J197" s="103">
        <f>VLOOKUP($A197,'OI(Volume)'!$A$7:$O$440,11)</f>
        <v>32458250</v>
      </c>
      <c r="K197" s="103">
        <f>VLOOKUP($A197,'OI(Volume)'!$A$7:$O$440,12)</f>
        <v>1732750</v>
      </c>
      <c r="L197" s="103">
        <f>VLOOKUP($A197,'OI(Value)'!$A$7:$O$323,8,0)</f>
        <v>1427</v>
      </c>
      <c r="M197" s="103">
        <f>VLOOKUP($A197,'OI(Value)'!$A$7:$O$323,9,0)</f>
        <v>-4</v>
      </c>
      <c r="N197" s="103">
        <f>VLOOKUP($A197,'OI(Value)'!$A$7:$O$323,11,0)</f>
        <v>1147</v>
      </c>
      <c r="O197" s="103">
        <f>VLOOKUP($A197,'OI(Value)'!$A$7:$O$323,12,0)</f>
        <v>61</v>
      </c>
    </row>
    <row r="198" spans="1:15" x14ac:dyDescent="0.25">
      <c r="A198" s="105" t="str">
        <f>'Data Vlaue (Cr)'!C193</f>
        <v>TATASTEEL</v>
      </c>
      <c r="B198" s="143">
        <f>VLOOKUP($A198,'Data shares'!$C:$FA,118)</f>
        <v>0.82</v>
      </c>
      <c r="C198" s="143">
        <f>VLOOKUP($A198,'Data shares'!$C:$FA,119)</f>
        <v>0.7</v>
      </c>
      <c r="D198" s="143">
        <f>VLOOKUP($A198,'Data shares'!$C:$FA,121)*100</f>
        <v>17.14</v>
      </c>
      <c r="E198" s="143">
        <f>VLOOKUP($A198,'Data shares'!$C:$FA,124)</f>
        <v>0.56999999999999995</v>
      </c>
      <c r="F198" s="143">
        <f>VLOOKUP($A198,'Data shares'!$C:$FA,125)</f>
        <v>0.56999999999999995</v>
      </c>
      <c r="G198" s="143">
        <f>VLOOKUP($A198,'Data shares'!$C:$FA,127)*100</f>
        <v>0</v>
      </c>
      <c r="H198" s="103">
        <f>VLOOKUP($A198,'OI(Volume)'!$A$7:$O$440,8)</f>
        <v>135905000</v>
      </c>
      <c r="I198" s="103">
        <f>VLOOKUP($A198,'OI(Volume)'!$A$7:$O$440,9)</f>
        <v>-9333500</v>
      </c>
      <c r="J198" s="103">
        <f>VLOOKUP($A198,'OI(Volume)'!$A$7:$O$440,11)</f>
        <v>111974500</v>
      </c>
      <c r="K198" s="103">
        <f>VLOOKUP($A198,'OI(Volume)'!$A$7:$O$440,12)</f>
        <v>10384000</v>
      </c>
      <c r="L198" s="103">
        <f>VLOOKUP($A198,'OI(Value)'!$A$7:$O$323,8,0)</f>
        <v>2571</v>
      </c>
      <c r="M198" s="103">
        <f>VLOOKUP($A198,'OI(Value)'!$A$7:$O$323,9,0)</f>
        <v>-177</v>
      </c>
      <c r="N198" s="103">
        <f>VLOOKUP($A198,'OI(Value)'!$A$7:$O$323,11,0)</f>
        <v>2118</v>
      </c>
      <c r="O198" s="103">
        <f>VLOOKUP($A198,'OI(Value)'!$A$7:$O$323,12,0)</f>
        <v>196</v>
      </c>
    </row>
    <row r="199" spans="1:15" x14ac:dyDescent="0.25">
      <c r="A199" s="105" t="str">
        <f>'Data Vlaue (Cr)'!C194</f>
        <v>TATATECH</v>
      </c>
      <c r="B199" s="143">
        <f>VLOOKUP($A199,'Data shares'!$C:$FA,118)</f>
        <v>0.62</v>
      </c>
      <c r="C199" s="143">
        <f>VLOOKUP($A199,'Data shares'!$C:$FA,119)</f>
        <v>0.64</v>
      </c>
      <c r="D199" s="143">
        <f>VLOOKUP($A199,'Data shares'!$C:$FA,121)*100</f>
        <v>-3.1300000000000003</v>
      </c>
      <c r="E199" s="143">
        <f>VLOOKUP($A199,'Data shares'!$C:$FA,124)</f>
        <v>0.65</v>
      </c>
      <c r="F199" s="143">
        <f>VLOOKUP($A199,'Data shares'!$C:$FA,125)</f>
        <v>0.74</v>
      </c>
      <c r="G199" s="143">
        <f>VLOOKUP($A199,'Data shares'!$C:$FA,127)*100</f>
        <v>-12.16</v>
      </c>
      <c r="H199" s="103">
        <f>VLOOKUP($A199,'OI(Volume)'!$A$7:$O$440,8)</f>
        <v>7818400</v>
      </c>
      <c r="I199" s="103">
        <f>VLOOKUP($A199,'OI(Volume)'!$A$7:$O$440,9)</f>
        <v>8800</v>
      </c>
      <c r="J199" s="103">
        <f>VLOOKUP($A199,'OI(Volume)'!$A$7:$O$440,11)</f>
        <v>4814400</v>
      </c>
      <c r="K199" s="103">
        <f>VLOOKUP($A199,'OI(Volume)'!$A$7:$O$440,12)</f>
        <v>-209600</v>
      </c>
      <c r="L199" s="103">
        <f>VLOOKUP($A199,'OI(Value)'!$A$7:$O$323,8,0)</f>
        <v>511</v>
      </c>
      <c r="M199" s="103">
        <f>VLOOKUP($A199,'OI(Value)'!$A$7:$O$323,9,0)</f>
        <v>1</v>
      </c>
      <c r="N199" s="103">
        <f>VLOOKUP($A199,'OI(Value)'!$A$7:$O$323,11,0)</f>
        <v>315</v>
      </c>
      <c r="O199" s="103">
        <f>VLOOKUP($A199,'OI(Value)'!$A$7:$O$323,12,0)</f>
        <v>-14</v>
      </c>
    </row>
    <row r="200" spans="1:15" x14ac:dyDescent="0.25">
      <c r="A200" s="105" t="str">
        <f>'Data Vlaue (Cr)'!C195</f>
        <v>TCS</v>
      </c>
      <c r="B200" s="143">
        <f>VLOOKUP($A200,'Data shares'!$C:$FA,118)</f>
        <v>0.52</v>
      </c>
      <c r="C200" s="143">
        <f>VLOOKUP($A200,'Data shares'!$C:$FA,119)</f>
        <v>0.5</v>
      </c>
      <c r="D200" s="143">
        <f>VLOOKUP($A200,'Data shares'!$C:$FA,121)*100</f>
        <v>4</v>
      </c>
      <c r="E200" s="143">
        <f>VLOOKUP($A200,'Data shares'!$C:$FA,124)</f>
        <v>0.6</v>
      </c>
      <c r="F200" s="143">
        <f>VLOOKUP($A200,'Data shares'!$C:$FA,125)</f>
        <v>0.65</v>
      </c>
      <c r="G200" s="143">
        <f>VLOOKUP($A200,'Data shares'!$C:$FA,127)*100</f>
        <v>-7.6899999999999995</v>
      </c>
      <c r="H200" s="103">
        <f>VLOOKUP($A200,'OI(Volume)'!$A$7:$O$440,8)</f>
        <v>14317975</v>
      </c>
      <c r="I200" s="103">
        <f>VLOOKUP($A200,'OI(Volume)'!$A$7:$O$440,9)</f>
        <v>-865550</v>
      </c>
      <c r="J200" s="103">
        <f>VLOOKUP($A200,'OI(Volume)'!$A$7:$O$440,11)</f>
        <v>7422275</v>
      </c>
      <c r="K200" s="103">
        <f>VLOOKUP($A200,'OI(Volume)'!$A$7:$O$440,12)</f>
        <v>-158200</v>
      </c>
      <c r="L200" s="103">
        <f>VLOOKUP($A200,'OI(Value)'!$A$7:$O$323,8,0)</f>
        <v>4514</v>
      </c>
      <c r="M200" s="103">
        <f>VLOOKUP($A200,'OI(Value)'!$A$7:$O$323,9,0)</f>
        <v>-273</v>
      </c>
      <c r="N200" s="103">
        <f>VLOOKUP($A200,'OI(Value)'!$A$7:$O$323,11,0)</f>
        <v>2340</v>
      </c>
      <c r="O200" s="103">
        <f>VLOOKUP($A200,'OI(Value)'!$A$7:$O$323,12,0)</f>
        <v>-50</v>
      </c>
    </row>
    <row r="201" spans="1:15" x14ac:dyDescent="0.25">
      <c r="A201" s="105" t="str">
        <f>'Data Vlaue (Cr)'!C196</f>
        <v>TECHM</v>
      </c>
      <c r="B201" s="143">
        <f>VLOOKUP($A201,'Data shares'!$C:$FA,118)</f>
        <v>0.73</v>
      </c>
      <c r="C201" s="143">
        <f>VLOOKUP($A201,'Data shares'!$C:$FA,119)</f>
        <v>0.76</v>
      </c>
      <c r="D201" s="143">
        <f>VLOOKUP($A201,'Data shares'!$C:$FA,121)*100</f>
        <v>-3.95</v>
      </c>
      <c r="E201" s="143">
        <f>VLOOKUP($A201,'Data shares'!$C:$FA,124)</f>
        <v>0.52</v>
      </c>
      <c r="F201" s="143">
        <f>VLOOKUP($A201,'Data shares'!$C:$FA,125)</f>
        <v>0.74</v>
      </c>
      <c r="G201" s="143">
        <f>VLOOKUP($A201,'Data shares'!$C:$FA,127)*100</f>
        <v>-29.73</v>
      </c>
      <c r="H201" s="103">
        <f>VLOOKUP($A201,'OI(Volume)'!$A$7:$O$440,8)</f>
        <v>6342000</v>
      </c>
      <c r="I201" s="103">
        <f>VLOOKUP($A201,'OI(Volume)'!$A$7:$O$440,9)</f>
        <v>-236400</v>
      </c>
      <c r="J201" s="103">
        <f>VLOOKUP($A201,'OI(Volume)'!$A$7:$O$440,11)</f>
        <v>4641000</v>
      </c>
      <c r="K201" s="103">
        <f>VLOOKUP($A201,'OI(Volume)'!$A$7:$O$440,12)</f>
        <v>-347400</v>
      </c>
      <c r="L201" s="103">
        <f>VLOOKUP($A201,'OI(Value)'!$A$7:$O$323,8,0)</f>
        <v>1072</v>
      </c>
      <c r="M201" s="103">
        <f>VLOOKUP($A201,'OI(Value)'!$A$7:$O$323,9,0)</f>
        <v>-40</v>
      </c>
      <c r="N201" s="103">
        <f>VLOOKUP($A201,'OI(Value)'!$A$7:$O$323,11,0)</f>
        <v>785</v>
      </c>
      <c r="O201" s="103">
        <f>VLOOKUP($A201,'OI(Value)'!$A$7:$O$323,12,0)</f>
        <v>-59</v>
      </c>
    </row>
    <row r="202" spans="1:15" x14ac:dyDescent="0.25">
      <c r="A202" s="105" t="str">
        <f>'Data Vlaue (Cr)'!C197</f>
        <v>TIINDIA</v>
      </c>
      <c r="B202" s="143">
        <f>VLOOKUP($A202,'Data shares'!$C:$FA,118)</f>
        <v>0.83</v>
      </c>
      <c r="C202" s="143">
        <f>VLOOKUP($A202,'Data shares'!$C:$FA,119)</f>
        <v>0.79</v>
      </c>
      <c r="D202" s="143">
        <f>VLOOKUP($A202,'Data shares'!$C:$FA,121)*100</f>
        <v>5.0599999999999996</v>
      </c>
      <c r="E202" s="143">
        <f>VLOOKUP($A202,'Data shares'!$C:$FA,124)</f>
        <v>0.49</v>
      </c>
      <c r="F202" s="143">
        <f>VLOOKUP($A202,'Data shares'!$C:$FA,125)</f>
        <v>0.66</v>
      </c>
      <c r="G202" s="143">
        <f>VLOOKUP($A202,'Data shares'!$C:$FA,127)*100</f>
        <v>-25.759999999999998</v>
      </c>
      <c r="H202" s="103">
        <f>VLOOKUP($A202,'OI(Volume)'!$A$7:$O$440,8)</f>
        <v>1045200</v>
      </c>
      <c r="I202" s="103">
        <f>VLOOKUP($A202,'OI(Volume)'!$A$7:$O$440,9)</f>
        <v>-105000</v>
      </c>
      <c r="J202" s="103">
        <f>VLOOKUP($A202,'OI(Volume)'!$A$7:$O$440,11)</f>
        <v>867200</v>
      </c>
      <c r="K202" s="103">
        <f>VLOOKUP($A202,'OI(Volume)'!$A$7:$O$440,12)</f>
        <v>-39200</v>
      </c>
      <c r="L202" s="103">
        <f>VLOOKUP($A202,'OI(Value)'!$A$7:$O$323,8,0)</f>
        <v>241</v>
      </c>
      <c r="M202" s="103">
        <f>VLOOKUP($A202,'OI(Value)'!$A$7:$O$323,9,0)</f>
        <v>-24</v>
      </c>
      <c r="N202" s="103">
        <f>VLOOKUP($A202,'OI(Value)'!$A$7:$O$323,11,0)</f>
        <v>200</v>
      </c>
      <c r="O202" s="103">
        <f>VLOOKUP($A202,'OI(Value)'!$A$7:$O$323,12,0)</f>
        <v>-9</v>
      </c>
    </row>
    <row r="203" spans="1:15" x14ac:dyDescent="0.25">
      <c r="A203" s="105" t="str">
        <f>'Data Vlaue (Cr)'!C198</f>
        <v>TITAN</v>
      </c>
      <c r="B203" s="143">
        <f>VLOOKUP($A203,'Data shares'!$C:$FA,118)</f>
        <v>0.56999999999999995</v>
      </c>
      <c r="C203" s="143">
        <f>VLOOKUP($A203,'Data shares'!$C:$FA,119)</f>
        <v>0.63</v>
      </c>
      <c r="D203" s="143">
        <f>VLOOKUP($A203,'Data shares'!$C:$FA,121)*100</f>
        <v>-9.5200000000000014</v>
      </c>
      <c r="E203" s="143">
        <f>VLOOKUP($A203,'Data shares'!$C:$FA,124)</f>
        <v>0.74</v>
      </c>
      <c r="F203" s="143">
        <f>VLOOKUP($A203,'Data shares'!$C:$FA,125)</f>
        <v>0.78</v>
      </c>
      <c r="G203" s="143">
        <f>VLOOKUP($A203,'Data shares'!$C:$FA,127)*100</f>
        <v>-5.13</v>
      </c>
      <c r="H203" s="103">
        <f>VLOOKUP($A203,'OI(Volume)'!$A$7:$O$440,8)</f>
        <v>5790575</v>
      </c>
      <c r="I203" s="103">
        <f>VLOOKUP($A203,'OI(Volume)'!$A$7:$O$440,9)</f>
        <v>569275</v>
      </c>
      <c r="J203" s="103">
        <f>VLOOKUP($A203,'OI(Volume)'!$A$7:$O$440,11)</f>
        <v>3278975</v>
      </c>
      <c r="K203" s="103">
        <f>VLOOKUP($A203,'OI(Volume)'!$A$7:$O$440,12)</f>
        <v>2450</v>
      </c>
      <c r="L203" s="103">
        <f>VLOOKUP($A203,'OI(Value)'!$A$7:$O$323,8,0)</f>
        <v>2325</v>
      </c>
      <c r="M203" s="103">
        <f>VLOOKUP($A203,'OI(Value)'!$A$7:$O$323,9,0)</f>
        <v>229</v>
      </c>
      <c r="N203" s="103">
        <f>VLOOKUP($A203,'OI(Value)'!$A$7:$O$323,11,0)</f>
        <v>1317</v>
      </c>
      <c r="O203" s="103">
        <f>VLOOKUP($A203,'OI(Value)'!$A$7:$O$323,12,0)</f>
        <v>1</v>
      </c>
    </row>
    <row r="204" spans="1:15" x14ac:dyDescent="0.25">
      <c r="A204" s="105" t="str">
        <f>'Data Vlaue (Cr)'!C199</f>
        <v>TMPV</v>
      </c>
      <c r="B204" s="143">
        <f>VLOOKUP($A204,'Data shares'!$C:$FA,118)</f>
        <v>0.56000000000000005</v>
      </c>
      <c r="C204" s="143">
        <f>VLOOKUP($A204,'Data shares'!$C:$FA,119)</f>
        <v>0.51</v>
      </c>
      <c r="D204" s="143">
        <f>VLOOKUP($A204,'Data shares'!$C:$FA,121)*100</f>
        <v>9.8000000000000007</v>
      </c>
      <c r="E204" s="143">
        <f>VLOOKUP($A204,'Data shares'!$C:$FA,124)</f>
        <v>0.47</v>
      </c>
      <c r="F204" s="143">
        <f>VLOOKUP($A204,'Data shares'!$C:$FA,125)</f>
        <v>0.61</v>
      </c>
      <c r="G204" s="143">
        <f>VLOOKUP($A204,'Data shares'!$C:$FA,127)*100</f>
        <v>-22.95</v>
      </c>
      <c r="H204" s="103">
        <f>VLOOKUP($A204,'OI(Volume)'!$A$7:$O$440,8)</f>
        <v>53499200</v>
      </c>
      <c r="I204" s="103">
        <f>VLOOKUP($A204,'OI(Volume)'!$A$7:$O$440,9)</f>
        <v>-2656800</v>
      </c>
      <c r="J204" s="103">
        <f>VLOOKUP($A204,'OI(Volume)'!$A$7:$O$440,11)</f>
        <v>30056800</v>
      </c>
      <c r="K204" s="103">
        <f>VLOOKUP($A204,'OI(Volume)'!$A$7:$O$440,12)</f>
        <v>1160800</v>
      </c>
      <c r="L204" s="103">
        <f>VLOOKUP($A204,'OI(Value)'!$A$7:$O$323,8,0)</f>
        <v>1863</v>
      </c>
      <c r="M204" s="103">
        <f>VLOOKUP($A204,'OI(Value)'!$A$7:$O$323,9,0)</f>
        <v>-93</v>
      </c>
      <c r="N204" s="103">
        <f>VLOOKUP($A204,'OI(Value)'!$A$7:$O$323,11,0)</f>
        <v>1047</v>
      </c>
      <c r="O204" s="103">
        <f>VLOOKUP($A204,'OI(Value)'!$A$7:$O$323,12,0)</f>
        <v>40</v>
      </c>
    </row>
    <row r="205" spans="1:15" x14ac:dyDescent="0.25">
      <c r="A205" s="105" t="str">
        <f>'Data Vlaue (Cr)'!C200</f>
        <v>TORNTPHARM</v>
      </c>
      <c r="B205" s="143">
        <f>VLOOKUP($A205,'Data shares'!$C:$FA,118)</f>
        <v>0.84</v>
      </c>
      <c r="C205" s="143">
        <f>VLOOKUP($A205,'Data shares'!$C:$FA,119)</f>
        <v>0.76</v>
      </c>
      <c r="D205" s="143">
        <f>VLOOKUP($A205,'Data shares'!$C:$FA,121)*100</f>
        <v>10.530000000000001</v>
      </c>
      <c r="E205" s="143">
        <f>VLOOKUP($A205,'Data shares'!$C:$FA,124)</f>
        <v>0.77</v>
      </c>
      <c r="F205" s="143">
        <f>VLOOKUP($A205,'Data shares'!$C:$FA,125)</f>
        <v>0.56000000000000005</v>
      </c>
      <c r="G205" s="143">
        <f>VLOOKUP($A205,'Data shares'!$C:$FA,127)*100</f>
        <v>37.5</v>
      </c>
      <c r="H205" s="103">
        <f>VLOOKUP($A205,'OI(Volume)'!$A$7:$O$440,8)</f>
        <v>536750</v>
      </c>
      <c r="I205" s="103">
        <f>VLOOKUP($A205,'OI(Volume)'!$A$7:$O$440,9)</f>
        <v>-54000</v>
      </c>
      <c r="J205" s="103">
        <f>VLOOKUP($A205,'OI(Volume)'!$A$7:$O$440,11)</f>
        <v>450750</v>
      </c>
      <c r="K205" s="103">
        <f>VLOOKUP($A205,'OI(Volume)'!$A$7:$O$440,12)</f>
        <v>3000</v>
      </c>
      <c r="L205" s="103">
        <f>VLOOKUP($A205,'OI(Value)'!$A$7:$O$323,8,0)</f>
        <v>216</v>
      </c>
      <c r="M205" s="103">
        <f>VLOOKUP($A205,'OI(Value)'!$A$7:$O$323,9,0)</f>
        <v>-22</v>
      </c>
      <c r="N205" s="103">
        <f>VLOOKUP($A205,'OI(Value)'!$A$7:$O$323,11,0)</f>
        <v>181</v>
      </c>
      <c r="O205" s="103">
        <f>VLOOKUP($A205,'OI(Value)'!$A$7:$O$323,12,0)</f>
        <v>1</v>
      </c>
    </row>
    <row r="206" spans="1:15" x14ac:dyDescent="0.25">
      <c r="A206" s="105" t="str">
        <f>'Data Vlaue (Cr)'!C201</f>
        <v>TORNTPOWER</v>
      </c>
      <c r="B206" s="143">
        <f>VLOOKUP($A206,'Data shares'!$C:$FA,118)</f>
        <v>0.73</v>
      </c>
      <c r="C206" s="143">
        <f>VLOOKUP($A206,'Data shares'!$C:$FA,119)</f>
        <v>0.69</v>
      </c>
      <c r="D206" s="143">
        <f>VLOOKUP($A206,'Data shares'!$C:$FA,121)*100</f>
        <v>5.8000000000000007</v>
      </c>
      <c r="E206" s="143">
        <f>VLOOKUP($A206,'Data shares'!$C:$FA,124)</f>
        <v>0.39</v>
      </c>
      <c r="F206" s="143">
        <f>VLOOKUP($A206,'Data shares'!$C:$FA,125)</f>
        <v>0.88</v>
      </c>
      <c r="G206" s="143">
        <f>VLOOKUP($A206,'Data shares'!$C:$FA,127)*100</f>
        <v>-55.679999999999993</v>
      </c>
      <c r="H206" s="103">
        <f>VLOOKUP($A206,'OI(Volume)'!$A$7:$O$440,8)</f>
        <v>1475175</v>
      </c>
      <c r="I206" s="103">
        <f>VLOOKUP($A206,'OI(Volume)'!$A$7:$O$440,9)</f>
        <v>-158525</v>
      </c>
      <c r="J206" s="103">
        <f>VLOOKUP($A206,'OI(Volume)'!$A$7:$O$440,11)</f>
        <v>1083325</v>
      </c>
      <c r="K206" s="103">
        <f>VLOOKUP($A206,'OI(Volume)'!$A$7:$O$440,12)</f>
        <v>-48450</v>
      </c>
      <c r="L206" s="103">
        <f>VLOOKUP($A206,'OI(Value)'!$A$7:$O$323,8,0)</f>
        <v>195</v>
      </c>
      <c r="M206" s="103">
        <f>VLOOKUP($A206,'OI(Value)'!$A$7:$O$323,9,0)</f>
        <v>-21</v>
      </c>
      <c r="N206" s="103">
        <f>VLOOKUP($A206,'OI(Value)'!$A$7:$O$323,11,0)</f>
        <v>143</v>
      </c>
      <c r="O206" s="103">
        <f>VLOOKUP($A206,'OI(Value)'!$A$7:$O$323,12,0)</f>
        <v>-6</v>
      </c>
    </row>
    <row r="207" spans="1:15" x14ac:dyDescent="0.25">
      <c r="A207" s="105" t="str">
        <f>'Data Vlaue (Cr)'!C202</f>
        <v>TRENT</v>
      </c>
      <c r="B207" s="143">
        <f>VLOOKUP($A207,'Data shares'!$C:$FA,118)</f>
        <v>0.55000000000000004</v>
      </c>
      <c r="C207" s="143">
        <f>VLOOKUP($A207,'Data shares'!$C:$FA,119)</f>
        <v>0.55000000000000004</v>
      </c>
      <c r="D207" s="143">
        <f>VLOOKUP($A207,'Data shares'!$C:$FA,121)*100</f>
        <v>0</v>
      </c>
      <c r="E207" s="143">
        <f>VLOOKUP($A207,'Data shares'!$C:$FA,124)</f>
        <v>0.44</v>
      </c>
      <c r="F207" s="143">
        <f>VLOOKUP($A207,'Data shares'!$C:$FA,125)</f>
        <v>0.64</v>
      </c>
      <c r="G207" s="143">
        <f>VLOOKUP($A207,'Data shares'!$C:$FA,127)*100</f>
        <v>-31.25</v>
      </c>
      <c r="H207" s="103">
        <f>VLOOKUP($A207,'OI(Volume)'!$A$7:$O$440,8)</f>
        <v>0</v>
      </c>
      <c r="I207" s="103">
        <f>VLOOKUP($A207,'OI(Volume)'!$A$7:$O$440,9)</f>
        <v>0</v>
      </c>
      <c r="J207" s="103">
        <f>VLOOKUP($A207,'OI(Volume)'!$A$7:$O$440,11)</f>
        <v>0</v>
      </c>
      <c r="K207" s="103">
        <f>VLOOKUP($A207,'OI(Volume)'!$A$7:$O$440,12)</f>
        <v>0</v>
      </c>
      <c r="L207" s="103">
        <f>VLOOKUP($A207,'OI(Value)'!$A$7:$O$323,8,0)</f>
        <v>2580</v>
      </c>
      <c r="M207" s="103">
        <f>VLOOKUP($A207,'OI(Value)'!$A$7:$O$323,9,0)</f>
        <v>-54</v>
      </c>
      <c r="N207" s="103">
        <f>VLOOKUP($A207,'OI(Value)'!$A$7:$O$323,11,0)</f>
        <v>1429</v>
      </c>
      <c r="O207" s="103">
        <f>VLOOKUP($A207,'OI(Value)'!$A$7:$O$323,12,0)</f>
        <v>-12</v>
      </c>
    </row>
    <row r="208" spans="1:15" x14ac:dyDescent="0.25">
      <c r="A208" s="105" t="str">
        <f>'Data Vlaue (Cr)'!C203</f>
        <v>TVSMOTOR</v>
      </c>
      <c r="B208" s="143">
        <f>VLOOKUP($A208,'Data shares'!$C:$FA,118)</f>
        <v>0.66</v>
      </c>
      <c r="C208" s="143">
        <f>VLOOKUP($A208,'Data shares'!$C:$FA,119)</f>
        <v>0.61</v>
      </c>
      <c r="D208" s="143">
        <f>VLOOKUP($A208,'Data shares'!$C:$FA,121)*100</f>
        <v>8.2000000000000011</v>
      </c>
      <c r="E208" s="143">
        <f>VLOOKUP($A208,'Data shares'!$C:$FA,124)</f>
        <v>0.41</v>
      </c>
      <c r="F208" s="143">
        <f>VLOOKUP($A208,'Data shares'!$C:$FA,125)</f>
        <v>0.49</v>
      </c>
      <c r="G208" s="143">
        <f>VLOOKUP($A208,'Data shares'!$C:$FA,127)*100</f>
        <v>-16.329999999999998</v>
      </c>
      <c r="H208" s="103">
        <f>VLOOKUP($A208,'OI(Volume)'!$A$7:$O$440,8)</f>
        <v>0</v>
      </c>
      <c r="I208" s="103">
        <f>VLOOKUP($A208,'OI(Volume)'!$A$7:$O$440,9)</f>
        <v>0</v>
      </c>
      <c r="J208" s="103">
        <f>VLOOKUP($A208,'OI(Volume)'!$A$7:$O$440,11)</f>
        <v>0</v>
      </c>
      <c r="K208" s="103">
        <f>VLOOKUP($A208,'OI(Volume)'!$A$7:$O$440,12)</f>
        <v>0</v>
      </c>
      <c r="L208" s="103">
        <f>VLOOKUP($A208,'OI(Value)'!$A$7:$O$323,8,0)</f>
        <v>731</v>
      </c>
      <c r="M208" s="103">
        <f>VLOOKUP($A208,'OI(Value)'!$A$7:$O$323,9,0)</f>
        <v>-61</v>
      </c>
      <c r="N208" s="103">
        <f>VLOOKUP($A208,'OI(Value)'!$A$7:$O$323,11,0)</f>
        <v>480</v>
      </c>
      <c r="O208" s="103">
        <f>VLOOKUP($A208,'OI(Value)'!$A$7:$O$323,12,0)</f>
        <v>0</v>
      </c>
    </row>
    <row r="209" spans="1:15" x14ac:dyDescent="0.25">
      <c r="A209" s="105" t="str">
        <f>'Data Vlaue (Cr)'!C204</f>
        <v>ULTRACEMCO</v>
      </c>
      <c r="B209" s="143">
        <f>VLOOKUP($A209,'Data shares'!$C:$FA,118)</f>
        <v>0.83</v>
      </c>
      <c r="C209" s="143">
        <f>VLOOKUP($A209,'Data shares'!$C:$FA,119)</f>
        <v>0.73</v>
      </c>
      <c r="D209" s="143">
        <f>VLOOKUP($A209,'Data shares'!$C:$FA,121)*100</f>
        <v>13.700000000000001</v>
      </c>
      <c r="E209" s="143">
        <f>VLOOKUP($A209,'Data shares'!$C:$FA,124)</f>
        <v>0.44</v>
      </c>
      <c r="F209" s="143">
        <f>VLOOKUP($A209,'Data shares'!$C:$FA,125)</f>
        <v>0.59</v>
      </c>
      <c r="G209" s="143">
        <f>VLOOKUP($A209,'Data shares'!$C:$FA,127)*100</f>
        <v>-25.419999999999998</v>
      </c>
      <c r="H209" s="103">
        <f>VLOOKUP($A209,'OI(Volume)'!$A$7:$O$440,8)</f>
        <v>0</v>
      </c>
      <c r="I209" s="103">
        <f>VLOOKUP($A209,'OI(Volume)'!$A$7:$O$440,9)</f>
        <v>0</v>
      </c>
      <c r="J209" s="103">
        <f>VLOOKUP($A209,'OI(Volume)'!$A$7:$O$440,11)</f>
        <v>0</v>
      </c>
      <c r="K209" s="103">
        <f>VLOOKUP($A209,'OI(Volume)'!$A$7:$O$440,12)</f>
        <v>0</v>
      </c>
      <c r="L209" s="103">
        <f>VLOOKUP($A209,'OI(Value)'!$A$7:$O$323,8,0)</f>
        <v>729</v>
      </c>
      <c r="M209" s="103">
        <f>VLOOKUP($A209,'OI(Value)'!$A$7:$O$323,9,0)</f>
        <v>-54</v>
      </c>
      <c r="N209" s="103">
        <f>VLOOKUP($A209,'OI(Value)'!$A$7:$O$323,11,0)</f>
        <v>603</v>
      </c>
      <c r="O209" s="103">
        <f>VLOOKUP($A209,'OI(Value)'!$A$7:$O$323,12,0)</f>
        <v>29</v>
      </c>
    </row>
    <row r="210" spans="1:15" x14ac:dyDescent="0.25">
      <c r="A210" s="105" t="str">
        <f>'Data Vlaue (Cr)'!C205</f>
        <v>UNIONBANK</v>
      </c>
      <c r="B210" s="143">
        <f>VLOOKUP($A210,'Data shares'!$C:$FA,118)</f>
        <v>0.8</v>
      </c>
      <c r="C210" s="143">
        <f>VLOOKUP($A210,'Data shares'!$C:$FA,119)</f>
        <v>0.79</v>
      </c>
      <c r="D210" s="143">
        <f>VLOOKUP($A210,'Data shares'!$C:$FA,121)*100</f>
        <v>1.27</v>
      </c>
      <c r="E210" s="143">
        <f>VLOOKUP($A210,'Data shares'!$C:$FA,124)</f>
        <v>0.56000000000000005</v>
      </c>
      <c r="F210" s="143">
        <f>VLOOKUP($A210,'Data shares'!$C:$FA,125)</f>
        <v>0.62</v>
      </c>
      <c r="G210" s="143">
        <f>VLOOKUP($A210,'Data shares'!$C:$FA,127)*100</f>
        <v>-9.68</v>
      </c>
      <c r="H210" s="103">
        <f>VLOOKUP($A210,'OI(Volume)'!$A$7:$O$440,8)</f>
        <v>0</v>
      </c>
      <c r="I210" s="103">
        <f>VLOOKUP($A210,'OI(Volume)'!$A$7:$O$440,9)</f>
        <v>0</v>
      </c>
      <c r="J210" s="103">
        <f>VLOOKUP($A210,'OI(Volume)'!$A$7:$O$440,11)</f>
        <v>0</v>
      </c>
      <c r="K210" s="103">
        <f>VLOOKUP($A210,'OI(Volume)'!$A$7:$O$440,12)</f>
        <v>0</v>
      </c>
      <c r="L210" s="103">
        <f>VLOOKUP($A210,'OI(Value)'!$A$7:$O$323,8,0)</f>
        <v>884</v>
      </c>
      <c r="M210" s="103">
        <f>VLOOKUP($A210,'OI(Value)'!$A$7:$O$323,9,0)</f>
        <v>-14</v>
      </c>
      <c r="N210" s="103">
        <f>VLOOKUP($A210,'OI(Value)'!$A$7:$O$323,11,0)</f>
        <v>706</v>
      </c>
      <c r="O210" s="103">
        <f>VLOOKUP($A210,'OI(Value)'!$A$7:$O$323,12,0)</f>
        <v>-6</v>
      </c>
    </row>
    <row r="211" spans="1:15" x14ac:dyDescent="0.25">
      <c r="A211" s="105" t="str">
        <f>'Data Vlaue (Cr)'!C206</f>
        <v>UNITDSPR</v>
      </c>
      <c r="B211" s="143">
        <f>VLOOKUP($A211,'Data shares'!$C:$FA,118)</f>
        <v>0.76</v>
      </c>
      <c r="C211" s="143">
        <f>VLOOKUP($A211,'Data shares'!$C:$FA,119)</f>
        <v>0.7</v>
      </c>
      <c r="D211" s="143">
        <f>VLOOKUP($A211,'Data shares'!$C:$FA,121)*100</f>
        <v>8.57</v>
      </c>
      <c r="E211" s="143">
        <f>VLOOKUP($A211,'Data shares'!$C:$FA,124)</f>
        <v>0.56999999999999995</v>
      </c>
      <c r="F211" s="143">
        <f>VLOOKUP($A211,'Data shares'!$C:$FA,125)</f>
        <v>0.78</v>
      </c>
      <c r="G211" s="143">
        <f>VLOOKUP($A211,'Data shares'!$C:$FA,127)*100</f>
        <v>-26.919999999999998</v>
      </c>
      <c r="H211" s="103">
        <f>VLOOKUP($A211,'OI(Volume)'!$A$7:$O$440,8)</f>
        <v>0</v>
      </c>
      <c r="I211" s="103">
        <f>VLOOKUP($A211,'OI(Volume)'!$A$7:$O$440,9)</f>
        <v>0</v>
      </c>
      <c r="J211" s="103">
        <f>VLOOKUP($A211,'OI(Volume)'!$A$7:$O$440,11)</f>
        <v>0</v>
      </c>
      <c r="K211" s="103">
        <f>VLOOKUP($A211,'OI(Volume)'!$A$7:$O$440,12)</f>
        <v>0</v>
      </c>
      <c r="L211" s="103">
        <f>VLOOKUP($A211,'OI(Value)'!$A$7:$O$323,8,0)</f>
        <v>643</v>
      </c>
      <c r="M211" s="103">
        <f>VLOOKUP($A211,'OI(Value)'!$A$7:$O$323,9,0)</f>
        <v>-66</v>
      </c>
      <c r="N211" s="103">
        <f>VLOOKUP($A211,'OI(Value)'!$A$7:$O$323,11,0)</f>
        <v>488</v>
      </c>
      <c r="O211" s="103">
        <f>VLOOKUP($A211,'OI(Value)'!$A$7:$O$323,12,0)</f>
        <v>-9</v>
      </c>
    </row>
    <row r="212" spans="1:15" x14ac:dyDescent="0.25">
      <c r="A212" s="105" t="str">
        <f>'Data Vlaue (Cr)'!C207</f>
        <v>UNOMINDA</v>
      </c>
      <c r="B212" s="143">
        <f>VLOOKUP($A212,'Data shares'!$C:$FA,118)</f>
        <v>0.66</v>
      </c>
      <c r="C212" s="143">
        <f>VLOOKUP($A212,'Data shares'!$C:$FA,119)</f>
        <v>0.63</v>
      </c>
      <c r="D212" s="143">
        <f>VLOOKUP($A212,'Data shares'!$C:$FA,121)*100</f>
        <v>4.7600000000000007</v>
      </c>
      <c r="E212" s="143">
        <f>VLOOKUP($A212,'Data shares'!$C:$FA,124)</f>
        <v>0.42</v>
      </c>
      <c r="F212" s="143">
        <f>VLOOKUP($A212,'Data shares'!$C:$FA,125)</f>
        <v>0.37</v>
      </c>
      <c r="G212" s="143">
        <f>VLOOKUP($A212,'Data shares'!$C:$FA,127)*100</f>
        <v>13.51</v>
      </c>
      <c r="H212" s="103">
        <f>VLOOKUP($A212,'OI(Volume)'!$A$7:$O$440,8)</f>
        <v>0</v>
      </c>
      <c r="I212" s="103">
        <f>VLOOKUP($A212,'OI(Volume)'!$A$7:$O$440,9)</f>
        <v>0</v>
      </c>
      <c r="J212" s="103">
        <f>VLOOKUP($A212,'OI(Volume)'!$A$7:$O$440,11)</f>
        <v>0</v>
      </c>
      <c r="K212" s="103">
        <f>VLOOKUP($A212,'OI(Volume)'!$A$7:$O$440,12)</f>
        <v>0</v>
      </c>
      <c r="L212" s="103">
        <f>VLOOKUP($A212,'OI(Value)'!$A$7:$O$323,8,0)</f>
        <v>228</v>
      </c>
      <c r="M212" s="103">
        <f>VLOOKUP($A212,'OI(Value)'!$A$7:$O$323,9,0)</f>
        <v>10</v>
      </c>
      <c r="N212" s="103">
        <f>VLOOKUP($A212,'OI(Value)'!$A$7:$O$323,11,0)</f>
        <v>150</v>
      </c>
      <c r="O212" s="103">
        <f>VLOOKUP($A212,'OI(Value)'!$A$7:$O$323,12,0)</f>
        <v>14</v>
      </c>
    </row>
    <row r="213" spans="1:15" x14ac:dyDescent="0.25">
      <c r="A213" s="105" t="str">
        <f>'Data Vlaue (Cr)'!C208</f>
        <v>UPL</v>
      </c>
      <c r="B213" s="143">
        <f>VLOOKUP($A213,'Data shares'!$C:$FA,118)</f>
        <v>0.56000000000000005</v>
      </c>
      <c r="C213" s="143">
        <f>VLOOKUP($A213,'Data shares'!$C:$FA,119)</f>
        <v>0.61</v>
      </c>
      <c r="D213" s="143">
        <f>VLOOKUP($A213,'Data shares'!$C:$FA,121)*100</f>
        <v>-8.2000000000000011</v>
      </c>
      <c r="E213" s="143">
        <f>VLOOKUP($A213,'Data shares'!$C:$FA,124)</f>
        <v>0.56000000000000005</v>
      </c>
      <c r="F213" s="143">
        <f>VLOOKUP($A213,'Data shares'!$C:$FA,125)</f>
        <v>0.88</v>
      </c>
      <c r="G213" s="143">
        <f>VLOOKUP($A213,'Data shares'!$C:$FA,127)*100</f>
        <v>-36.36</v>
      </c>
      <c r="H213" s="103">
        <f>VLOOKUP($A213,'OI(Volume)'!$A$7:$O$440,8)</f>
        <v>0</v>
      </c>
      <c r="I213" s="103">
        <f>VLOOKUP($A213,'OI(Volume)'!$A$7:$O$440,9)</f>
        <v>0</v>
      </c>
      <c r="J213" s="103">
        <f>VLOOKUP($A213,'OI(Volume)'!$A$7:$O$440,11)</f>
        <v>0</v>
      </c>
      <c r="K213" s="103">
        <f>VLOOKUP($A213,'OI(Volume)'!$A$7:$O$440,12)</f>
        <v>0</v>
      </c>
      <c r="L213" s="103">
        <f>VLOOKUP($A213,'OI(Value)'!$A$7:$O$323,8,0)</f>
        <v>1535</v>
      </c>
      <c r="M213" s="103">
        <f>VLOOKUP($A213,'OI(Value)'!$A$7:$O$323,9,0)</f>
        <v>-3</v>
      </c>
      <c r="N213" s="103">
        <f>VLOOKUP($A213,'OI(Value)'!$A$7:$O$323,11,0)</f>
        <v>860</v>
      </c>
      <c r="O213" s="103">
        <f>VLOOKUP($A213,'OI(Value)'!$A$7:$O$323,12,0)</f>
        <v>-77</v>
      </c>
    </row>
    <row r="214" spans="1:15" x14ac:dyDescent="0.25">
      <c r="A214" s="105" t="str">
        <f>'Data Vlaue (Cr)'!C209</f>
        <v>VBL</v>
      </c>
      <c r="B214" s="143">
        <f>VLOOKUP($A214,'Data shares'!$C:$FA,118)</f>
        <v>0.76</v>
      </c>
      <c r="C214" s="143">
        <f>VLOOKUP($A214,'Data shares'!$C:$FA,119)</f>
        <v>0.71</v>
      </c>
      <c r="D214" s="143">
        <f>VLOOKUP($A214,'Data shares'!$C:$FA,121)*100</f>
        <v>7.04</v>
      </c>
      <c r="E214" s="143">
        <f>VLOOKUP($A214,'Data shares'!$C:$FA,124)</f>
        <v>0.69</v>
      </c>
      <c r="F214" s="143">
        <f>VLOOKUP($A214,'Data shares'!$C:$FA,125)</f>
        <v>0.85</v>
      </c>
      <c r="G214" s="143">
        <f>VLOOKUP($A214,'Data shares'!$C:$FA,127)*100</f>
        <v>-18.82</v>
      </c>
      <c r="H214" s="103">
        <f>VLOOKUP($A214,'OI(Volume)'!$A$7:$O$440,8)</f>
        <v>0</v>
      </c>
      <c r="I214" s="103">
        <f>VLOOKUP($A214,'OI(Volume)'!$A$7:$O$440,9)</f>
        <v>0</v>
      </c>
      <c r="J214" s="103">
        <f>VLOOKUP($A214,'OI(Volume)'!$A$7:$O$440,11)</f>
        <v>0</v>
      </c>
      <c r="K214" s="103">
        <f>VLOOKUP($A214,'OI(Volume)'!$A$7:$O$440,12)</f>
        <v>0</v>
      </c>
      <c r="L214" s="103">
        <f>VLOOKUP($A214,'OI(Value)'!$A$7:$O$323,8,0)</f>
        <v>535</v>
      </c>
      <c r="M214" s="103">
        <f>VLOOKUP($A214,'OI(Value)'!$A$7:$O$323,9,0)</f>
        <v>-22</v>
      </c>
      <c r="N214" s="103">
        <f>VLOOKUP($A214,'OI(Value)'!$A$7:$O$323,11,0)</f>
        <v>404</v>
      </c>
      <c r="O214" s="103">
        <f>VLOOKUP($A214,'OI(Value)'!$A$7:$O$323,12,0)</f>
        <v>8</v>
      </c>
    </row>
    <row r="215" spans="1:15" x14ac:dyDescent="0.25">
      <c r="A215" s="105" t="str">
        <f>'Data Vlaue (Cr)'!C210</f>
        <v>VEDL</v>
      </c>
      <c r="B215" s="143">
        <f>VLOOKUP($A215,'Data shares'!$C:$FA,118)</f>
        <v>0.65</v>
      </c>
      <c r="C215" s="143">
        <f>VLOOKUP($A215,'Data shares'!$C:$FA,119)</f>
        <v>0.65</v>
      </c>
      <c r="D215" s="143">
        <f>VLOOKUP($A215,'Data shares'!$C:$FA,121)*100</f>
        <v>0</v>
      </c>
      <c r="E215" s="143">
        <f>VLOOKUP($A215,'Data shares'!$C:$FA,124)</f>
        <v>0.52</v>
      </c>
      <c r="F215" s="143">
        <f>VLOOKUP($A215,'Data shares'!$C:$FA,125)</f>
        <v>0.39</v>
      </c>
      <c r="G215" s="143">
        <f>VLOOKUP($A215,'Data shares'!$C:$FA,127)*100</f>
        <v>33.33</v>
      </c>
      <c r="H215" s="103">
        <f>VLOOKUP($A215,'OI(Volume)'!$A$7:$O$440,8)</f>
        <v>0</v>
      </c>
      <c r="I215" s="103">
        <f>VLOOKUP($A215,'OI(Volume)'!$A$7:$O$440,9)</f>
        <v>0</v>
      </c>
      <c r="J215" s="103">
        <f>VLOOKUP($A215,'OI(Volume)'!$A$7:$O$440,11)</f>
        <v>0</v>
      </c>
      <c r="K215" s="103">
        <f>VLOOKUP($A215,'OI(Volume)'!$A$7:$O$440,12)</f>
        <v>0</v>
      </c>
      <c r="L215" s="103">
        <f>VLOOKUP($A215,'OI(Value)'!$A$7:$O$323,8,0)</f>
        <v>3999</v>
      </c>
      <c r="M215" s="103">
        <f>VLOOKUP($A215,'OI(Value)'!$A$7:$O$323,9,0)</f>
        <v>-61</v>
      </c>
      <c r="N215" s="103">
        <f>VLOOKUP($A215,'OI(Value)'!$A$7:$O$323,11,0)</f>
        <v>2581</v>
      </c>
      <c r="O215" s="103">
        <f>VLOOKUP($A215,'OI(Value)'!$A$7:$O$323,12,0)</f>
        <v>-67</v>
      </c>
    </row>
    <row r="216" spans="1:15" x14ac:dyDescent="0.25">
      <c r="A216" s="105" t="str">
        <f>'Data Vlaue (Cr)'!C211</f>
        <v>VOLTAS</v>
      </c>
      <c r="B216" s="143">
        <f>VLOOKUP($A216,'Data shares'!$C:$FA,118)</f>
        <v>0.77</v>
      </c>
      <c r="C216" s="143">
        <f>VLOOKUP($A216,'Data shares'!$C:$FA,119)</f>
        <v>0.72</v>
      </c>
      <c r="D216" s="143">
        <f>VLOOKUP($A216,'Data shares'!$C:$FA,121)*100</f>
        <v>6.94</v>
      </c>
      <c r="E216" s="143">
        <f>VLOOKUP($A216,'Data shares'!$C:$FA,124)</f>
        <v>0.62</v>
      </c>
      <c r="F216" s="143">
        <f>VLOOKUP($A216,'Data shares'!$C:$FA,125)</f>
        <v>0.79</v>
      </c>
      <c r="G216" s="143">
        <f>VLOOKUP($A216,'Data shares'!$C:$FA,127)*100</f>
        <v>-21.52</v>
      </c>
      <c r="H216" s="103">
        <f>VLOOKUP($A216,'OI(Volume)'!$A$7:$O$440,8)</f>
        <v>0</v>
      </c>
      <c r="I216" s="103">
        <f>VLOOKUP($A216,'OI(Volume)'!$A$7:$O$440,9)</f>
        <v>0</v>
      </c>
      <c r="J216" s="103">
        <f>VLOOKUP($A216,'OI(Volume)'!$A$7:$O$440,11)</f>
        <v>0</v>
      </c>
      <c r="K216" s="103">
        <f>VLOOKUP($A216,'OI(Volume)'!$A$7:$O$440,12)</f>
        <v>0</v>
      </c>
      <c r="L216" s="103">
        <f>VLOOKUP($A216,'OI(Value)'!$A$7:$O$323,8,0)</f>
        <v>571</v>
      </c>
      <c r="M216" s="103">
        <f>VLOOKUP($A216,'OI(Value)'!$A$7:$O$323,9,0)</f>
        <v>-40</v>
      </c>
      <c r="N216" s="103">
        <f>VLOOKUP($A216,'OI(Value)'!$A$7:$O$323,11,0)</f>
        <v>441</v>
      </c>
      <c r="O216" s="103">
        <f>VLOOKUP($A216,'OI(Value)'!$A$7:$O$323,12,0)</f>
        <v>3</v>
      </c>
    </row>
    <row r="217" spans="1:15" x14ac:dyDescent="0.25">
      <c r="A217" s="105" t="str">
        <f>'Data Vlaue (Cr)'!C212</f>
        <v>WAAREEENER</v>
      </c>
      <c r="B217" s="143">
        <f>VLOOKUP($A217,'Data shares'!$C:$FA,118)</f>
        <v>0.57999999999999996</v>
      </c>
      <c r="C217" s="143">
        <f>VLOOKUP($A217,'Data shares'!$C:$FA,119)</f>
        <v>0.5</v>
      </c>
      <c r="D217" s="143">
        <f>VLOOKUP($A217,'Data shares'!$C:$FA,121)*100</f>
        <v>16</v>
      </c>
      <c r="E217" s="143">
        <f>VLOOKUP($A217,'Data shares'!$C:$FA,124)</f>
        <v>0.39</v>
      </c>
      <c r="F217" s="143">
        <f>VLOOKUP($A217,'Data shares'!$C:$FA,125)</f>
        <v>0.83</v>
      </c>
      <c r="G217" s="143">
        <f>VLOOKUP($A217,'Data shares'!$C:$FA,127)*100</f>
        <v>-53.010000000000005</v>
      </c>
      <c r="H217" s="103">
        <f>VLOOKUP($A217,'OI(Volume)'!$A$7:$O$440,8)</f>
        <v>0</v>
      </c>
      <c r="I217" s="103">
        <f>VLOOKUP($A217,'OI(Volume)'!$A$7:$O$440,9)</f>
        <v>0</v>
      </c>
      <c r="J217" s="103">
        <f>VLOOKUP($A217,'OI(Volume)'!$A$7:$O$440,11)</f>
        <v>0</v>
      </c>
      <c r="K217" s="103">
        <f>VLOOKUP($A217,'OI(Volume)'!$A$7:$O$440,12)</f>
        <v>0</v>
      </c>
      <c r="L217" s="103">
        <f>VLOOKUP($A217,'OI(Value)'!$A$7:$O$323,8,0)</f>
        <v>772</v>
      </c>
      <c r="M217" s="103">
        <f>VLOOKUP($A217,'OI(Value)'!$A$7:$O$323,9,0)</f>
        <v>38</v>
      </c>
      <c r="N217" s="103">
        <f>VLOOKUP($A217,'OI(Value)'!$A$7:$O$323,11,0)</f>
        <v>448</v>
      </c>
      <c r="O217" s="103">
        <f>VLOOKUP($A217,'OI(Value)'!$A$7:$O$323,12,0)</f>
        <v>79</v>
      </c>
    </row>
    <row r="218" spans="1:15" x14ac:dyDescent="0.25">
      <c r="A218" s="105" t="str">
        <f>'Data Vlaue (Cr)'!C213</f>
        <v>WIPRO</v>
      </c>
      <c r="B218" s="143">
        <f>VLOOKUP($A218,'Data shares'!$C:$FA,118)</f>
        <v>0.53</v>
      </c>
      <c r="C218" s="143">
        <f>VLOOKUP($A218,'Data shares'!$C:$FA,119)</f>
        <v>0.52</v>
      </c>
      <c r="D218" s="143">
        <f>VLOOKUP($A218,'Data shares'!$C:$FA,121)*100</f>
        <v>1.92</v>
      </c>
      <c r="E218" s="143">
        <f>VLOOKUP($A218,'Data shares'!$C:$FA,124)</f>
        <v>0.48</v>
      </c>
      <c r="F218" s="143">
        <f>VLOOKUP($A218,'Data shares'!$C:$FA,125)</f>
        <v>0.54</v>
      </c>
      <c r="G218" s="143">
        <f>VLOOKUP($A218,'Data shares'!$C:$FA,127)*100</f>
        <v>-11.110000000000001</v>
      </c>
      <c r="H218" s="103">
        <f>VLOOKUP($A218,'OI(Volume)'!$A$7:$O$440,8)</f>
        <v>0</v>
      </c>
      <c r="I218" s="103">
        <f>VLOOKUP($A218,'OI(Volume)'!$A$7:$O$440,9)</f>
        <v>0</v>
      </c>
      <c r="J218" s="103">
        <f>VLOOKUP($A218,'OI(Volume)'!$A$7:$O$440,11)</f>
        <v>0</v>
      </c>
      <c r="K218" s="103">
        <f>VLOOKUP($A218,'OI(Volume)'!$A$7:$O$440,12)</f>
        <v>0</v>
      </c>
      <c r="L218" s="103">
        <f>VLOOKUP($A218,'OI(Value)'!$A$7:$O$323,8,0)</f>
        <v>2004</v>
      </c>
      <c r="M218" s="103">
        <f>VLOOKUP($A218,'OI(Value)'!$A$7:$O$323,9,0)</f>
        <v>-98</v>
      </c>
      <c r="N218" s="103">
        <f>VLOOKUP($A218,'OI(Value)'!$A$7:$O$323,11,0)</f>
        <v>1054</v>
      </c>
      <c r="O218" s="103">
        <f>VLOOKUP($A218,'OI(Value)'!$A$7:$O$323,12,0)</f>
        <v>-44</v>
      </c>
    </row>
    <row r="219" spans="1:15" x14ac:dyDescent="0.25">
      <c r="A219" s="105" t="str">
        <f>'Data Vlaue (Cr)'!C214</f>
        <v>YESBANK</v>
      </c>
      <c r="B219" s="143">
        <f>VLOOKUP($A219,'Data shares'!$C:$FA,118)</f>
        <v>0.49</v>
      </c>
      <c r="C219" s="143">
        <f>VLOOKUP($A219,'Data shares'!$C:$FA,119)</f>
        <v>0.51</v>
      </c>
      <c r="D219" s="143">
        <f>VLOOKUP($A219,'Data shares'!$C:$FA,121)*100</f>
        <v>-3.92</v>
      </c>
      <c r="E219" s="143">
        <f>VLOOKUP($A219,'Data shares'!$C:$FA,124)</f>
        <v>0.39</v>
      </c>
      <c r="F219" s="143">
        <f>VLOOKUP($A219,'Data shares'!$C:$FA,125)</f>
        <v>0.47</v>
      </c>
      <c r="G219" s="143">
        <f>VLOOKUP($A219,'Data shares'!$C:$FA,127)*100</f>
        <v>-17.02</v>
      </c>
      <c r="H219" s="103">
        <f>VLOOKUP($A219,'OI(Volume)'!$A$7:$O$440,8)</f>
        <v>0</v>
      </c>
      <c r="I219" s="103">
        <f>VLOOKUP($A219,'OI(Volume)'!$A$7:$O$440,9)</f>
        <v>0</v>
      </c>
      <c r="J219" s="103">
        <f>VLOOKUP($A219,'OI(Volume)'!$A$7:$O$440,11)</f>
        <v>0</v>
      </c>
      <c r="K219" s="103">
        <f>VLOOKUP($A219,'OI(Volume)'!$A$7:$O$440,12)</f>
        <v>0</v>
      </c>
      <c r="L219" s="103">
        <f>VLOOKUP($A219,'OI(Value)'!$A$7:$O$323,8,0)</f>
        <v>1285</v>
      </c>
      <c r="M219" s="103">
        <f>VLOOKUP($A219,'OI(Value)'!$A$7:$O$323,9,0)</f>
        <v>46</v>
      </c>
      <c r="N219" s="103">
        <f>VLOOKUP($A219,'OI(Value)'!$A$7:$O$323,11,0)</f>
        <v>632</v>
      </c>
      <c r="O219" s="103">
        <f>VLOOKUP($A219,'OI(Value)'!$A$7:$O$323,12,0)</f>
        <v>-3</v>
      </c>
    </row>
    <row r="220" spans="1:15" x14ac:dyDescent="0.25">
      <c r="A220" s="105" t="str">
        <f>'Data Vlaue (Cr)'!C215</f>
        <v>ZYDUSLIFE</v>
      </c>
      <c r="B220" s="143">
        <f>VLOOKUP($A220,'Data shares'!$C:$FA,118)</f>
        <v>0.71</v>
      </c>
      <c r="C220" s="143">
        <f>VLOOKUP($A220,'Data shares'!$C:$FA,119)</f>
        <v>0.71</v>
      </c>
      <c r="D220" s="143">
        <f>VLOOKUP($A220,'Data shares'!$C:$FA,121)*100</f>
        <v>0</v>
      </c>
      <c r="E220" s="143">
        <f>VLOOKUP($A220,'Data shares'!$C:$FA,124)</f>
        <v>0.36</v>
      </c>
      <c r="F220" s="143">
        <f>VLOOKUP($A220,'Data shares'!$C:$FA,125)</f>
        <v>0.55000000000000004</v>
      </c>
      <c r="G220" s="143">
        <f>VLOOKUP($A220,'Data shares'!$C:$FA,127)*100</f>
        <v>-34.549999999999997</v>
      </c>
      <c r="H220" s="103">
        <f>VLOOKUP($A220,'OI(Volume)'!$A$7:$O$440,8)</f>
        <v>0</v>
      </c>
      <c r="I220" s="103">
        <f>VLOOKUP($A220,'OI(Volume)'!$A$7:$O$440,9)</f>
        <v>0</v>
      </c>
      <c r="J220" s="103">
        <f>VLOOKUP($A220,'OI(Volume)'!$A$7:$O$440,11)</f>
        <v>0</v>
      </c>
      <c r="K220" s="103">
        <f>VLOOKUP($A220,'OI(Volume)'!$A$7:$O$440,12)</f>
        <v>0</v>
      </c>
      <c r="L220" s="103">
        <f>VLOOKUP($A220,'OI(Value)'!$A$7:$O$323,8,0)</f>
        <v>383</v>
      </c>
      <c r="M220" s="103">
        <f>VLOOKUP($A220,'OI(Value)'!$A$7:$O$323,9,0)</f>
        <v>-16</v>
      </c>
      <c r="N220" s="103">
        <f>VLOOKUP($A220,'OI(Value)'!$A$7:$O$323,11,0)</f>
        <v>273</v>
      </c>
      <c r="O220" s="103">
        <f>VLOOKUP($A220,'OI(Value)'!$A$7:$O$323,12,0)</f>
        <v>-8</v>
      </c>
    </row>
    <row r="221" spans="1:15" x14ac:dyDescent="0.25">
      <c r="A221" s="105">
        <f>'Data Vlaue (Cr)'!C216</f>
        <v>0</v>
      </c>
      <c r="B221" s="143"/>
      <c r="C221" s="143"/>
      <c r="D221" s="143"/>
      <c r="E221" s="143"/>
      <c r="F221" s="143"/>
      <c r="G221" s="143"/>
      <c r="H221" s="103"/>
      <c r="I221" s="103"/>
      <c r="J221" s="103"/>
      <c r="K221" s="103"/>
      <c r="L221" s="103"/>
      <c r="M221" s="103"/>
      <c r="N221" s="103"/>
      <c r="O221" s="103"/>
    </row>
    <row r="222" spans="1:15" x14ac:dyDescent="0.25">
      <c r="A222" s="105"/>
      <c r="B222" s="143"/>
      <c r="C222" s="143"/>
      <c r="D222" s="143"/>
      <c r="E222" s="143"/>
      <c r="F222" s="143"/>
      <c r="G222" s="143"/>
      <c r="H222" s="103"/>
      <c r="I222" s="103"/>
      <c r="J222" s="103"/>
      <c r="K222" s="103"/>
      <c r="L222" s="103"/>
      <c r="M222" s="103"/>
      <c r="N222" s="103"/>
      <c r="O222" s="103"/>
    </row>
    <row r="223" spans="1:15" x14ac:dyDescent="0.25">
      <c r="A223" s="105"/>
      <c r="B223" s="143"/>
      <c r="C223" s="143"/>
      <c r="D223" s="143"/>
      <c r="E223" s="143"/>
      <c r="F223" s="143"/>
      <c r="G223" s="143"/>
      <c r="H223" s="103"/>
      <c r="I223" s="103"/>
      <c r="J223" s="103"/>
      <c r="K223" s="103"/>
      <c r="L223" s="103"/>
      <c r="M223" s="103"/>
      <c r="N223" s="103"/>
      <c r="O223" s="103"/>
    </row>
    <row r="224" spans="1:15" x14ac:dyDescent="0.25">
      <c r="A224" s="105"/>
      <c r="B224" s="143"/>
      <c r="C224" s="143"/>
      <c r="D224" s="143"/>
      <c r="E224" s="143"/>
      <c r="F224" s="143"/>
      <c r="G224" s="143"/>
      <c r="H224" s="103"/>
      <c r="I224" s="103"/>
      <c r="J224" s="103"/>
      <c r="K224" s="103"/>
      <c r="L224" s="103"/>
      <c r="M224" s="103"/>
      <c r="N224" s="103"/>
      <c r="O224" s="103"/>
    </row>
    <row r="225" spans="1:15" x14ac:dyDescent="0.25">
      <c r="A225" s="105"/>
      <c r="B225" s="143"/>
      <c r="C225" s="143"/>
      <c r="D225" s="143"/>
      <c r="E225" s="143"/>
      <c r="F225" s="143"/>
      <c r="G225" s="143"/>
      <c r="H225" s="103"/>
      <c r="I225" s="103"/>
      <c r="J225" s="103"/>
      <c r="K225" s="103"/>
      <c r="L225" s="103"/>
      <c r="M225" s="103"/>
      <c r="N225" s="103"/>
      <c r="O225" s="103"/>
    </row>
    <row r="226" spans="1:15" x14ac:dyDescent="0.25">
      <c r="A226" s="105"/>
      <c r="B226" s="143"/>
      <c r="C226" s="143"/>
      <c r="D226" s="143"/>
      <c r="E226" s="143"/>
      <c r="F226" s="143"/>
      <c r="G226" s="143"/>
      <c r="H226" s="103"/>
      <c r="I226" s="103"/>
      <c r="J226" s="103"/>
      <c r="K226" s="103"/>
      <c r="L226" s="103"/>
      <c r="M226" s="103"/>
      <c r="N226" s="103"/>
      <c r="O226" s="103"/>
    </row>
    <row r="227" spans="1:15" x14ac:dyDescent="0.25">
      <c r="A227" s="105"/>
      <c r="B227" s="143"/>
      <c r="C227" s="143"/>
      <c r="D227" s="143"/>
      <c r="E227" s="143"/>
      <c r="F227" s="143"/>
      <c r="G227" s="143"/>
      <c r="H227" s="103"/>
      <c r="I227" s="103"/>
      <c r="J227" s="103"/>
      <c r="K227" s="103"/>
      <c r="L227" s="103"/>
      <c r="M227" s="103"/>
      <c r="N227" s="103"/>
      <c r="O227" s="103"/>
    </row>
    <row r="228" spans="1:15" x14ac:dyDescent="0.25">
      <c r="A228" s="105"/>
      <c r="B228" s="143"/>
      <c r="C228" s="143"/>
      <c r="D228" s="143"/>
      <c r="E228" s="143"/>
      <c r="F228" s="143"/>
      <c r="G228" s="143"/>
      <c r="H228" s="103"/>
      <c r="I228" s="103"/>
      <c r="J228" s="103"/>
      <c r="K228" s="103"/>
      <c r="L228" s="103"/>
      <c r="M228" s="103"/>
      <c r="N228" s="103"/>
      <c r="O228" s="103"/>
    </row>
    <row r="229" spans="1:15" x14ac:dyDescent="0.25">
      <c r="A229" s="105"/>
      <c r="B229" s="143"/>
      <c r="C229" s="143"/>
      <c r="D229" s="143"/>
      <c r="E229" s="143"/>
      <c r="F229" s="143"/>
      <c r="G229" s="143"/>
      <c r="H229" s="103"/>
      <c r="I229" s="103"/>
      <c r="J229" s="103"/>
      <c r="K229" s="103"/>
      <c r="L229" s="103"/>
      <c r="M229" s="103"/>
      <c r="N229" s="103"/>
      <c r="O229" s="103"/>
    </row>
    <row r="230" spans="1:15" x14ac:dyDescent="0.25">
      <c r="A230" s="105"/>
      <c r="B230" s="143"/>
      <c r="C230" s="143"/>
      <c r="D230" s="143"/>
      <c r="E230" s="143"/>
      <c r="F230" s="143"/>
      <c r="G230" s="143"/>
      <c r="H230" s="103"/>
      <c r="I230" s="103"/>
      <c r="J230" s="103"/>
      <c r="K230" s="103"/>
      <c r="L230" s="103"/>
      <c r="M230" s="103"/>
      <c r="N230" s="103"/>
      <c r="O230" s="103"/>
    </row>
    <row r="231" spans="1:15" x14ac:dyDescent="0.25">
      <c r="A231" s="105"/>
      <c r="B231" s="143"/>
      <c r="C231" s="143"/>
      <c r="D231" s="143"/>
      <c r="E231" s="143"/>
      <c r="F231" s="143"/>
      <c r="G231" s="143"/>
      <c r="H231" s="103"/>
      <c r="I231" s="103"/>
      <c r="J231" s="103"/>
      <c r="K231" s="103"/>
      <c r="L231" s="103"/>
      <c r="M231" s="103"/>
      <c r="N231" s="103"/>
      <c r="O231" s="103"/>
    </row>
    <row r="232" spans="1:15" x14ac:dyDescent="0.25">
      <c r="A232" s="105"/>
      <c r="B232" s="143"/>
      <c r="C232" s="143"/>
      <c r="D232" s="143"/>
      <c r="E232" s="143"/>
      <c r="F232" s="143"/>
      <c r="G232" s="143"/>
      <c r="H232" s="103"/>
      <c r="I232" s="103"/>
      <c r="J232" s="103"/>
      <c r="K232" s="103"/>
      <c r="L232" s="103"/>
      <c r="M232" s="103"/>
      <c r="N232" s="103"/>
      <c r="O232" s="103"/>
    </row>
    <row r="233" spans="1:15" x14ac:dyDescent="0.25">
      <c r="A233" s="105"/>
      <c r="B233" s="143"/>
      <c r="C233" s="143"/>
      <c r="D233" s="143"/>
      <c r="E233" s="143"/>
      <c r="F233" s="143"/>
      <c r="G233" s="143"/>
      <c r="H233" s="103"/>
      <c r="I233" s="103"/>
      <c r="J233" s="103"/>
      <c r="K233" s="103"/>
      <c r="L233" s="103"/>
      <c r="M233" s="103"/>
      <c r="N233" s="103"/>
      <c r="O233" s="103"/>
    </row>
    <row r="234" spans="1:15" x14ac:dyDescent="0.25">
      <c r="A234" s="105"/>
      <c r="B234" s="143"/>
      <c r="C234" s="143"/>
      <c r="D234" s="143"/>
      <c r="E234" s="143"/>
      <c r="F234" s="143"/>
      <c r="G234" s="143"/>
      <c r="H234" s="103"/>
      <c r="I234" s="103"/>
      <c r="J234" s="103"/>
      <c r="K234" s="103"/>
      <c r="L234" s="103"/>
      <c r="M234" s="103"/>
      <c r="N234" s="103"/>
      <c r="O234" s="103"/>
    </row>
    <row r="235" spans="1:15" x14ac:dyDescent="0.25">
      <c r="A235" s="105"/>
      <c r="B235" s="143"/>
      <c r="C235" s="143"/>
      <c r="D235" s="143"/>
      <c r="E235" s="143"/>
      <c r="F235" s="143"/>
      <c r="G235" s="143"/>
      <c r="H235" s="103"/>
      <c r="I235" s="103"/>
      <c r="J235" s="103"/>
      <c r="K235" s="103"/>
      <c r="L235" s="103"/>
      <c r="M235" s="103"/>
      <c r="N235" s="103"/>
      <c r="O235" s="103"/>
    </row>
    <row r="236" spans="1:15" x14ac:dyDescent="0.25">
      <c r="A236" s="105"/>
      <c r="B236" s="143"/>
      <c r="C236" s="143"/>
      <c r="D236" s="143"/>
      <c r="E236" s="143"/>
      <c r="F236" s="143"/>
      <c r="G236" s="143"/>
      <c r="H236" s="103"/>
      <c r="I236" s="103"/>
      <c r="J236" s="103"/>
      <c r="K236" s="103"/>
      <c r="L236" s="103"/>
      <c r="M236" s="103"/>
      <c r="N236" s="103"/>
      <c r="O236" s="103"/>
    </row>
    <row r="237" spans="1:15" x14ac:dyDescent="0.25">
      <c r="A237" s="105"/>
      <c r="B237" s="143"/>
      <c r="C237" s="143"/>
      <c r="D237" s="143"/>
      <c r="E237" s="143"/>
      <c r="F237" s="143"/>
      <c r="G237" s="143"/>
      <c r="H237" s="103"/>
      <c r="I237" s="103"/>
      <c r="J237" s="103"/>
      <c r="K237" s="103"/>
      <c r="L237" s="103"/>
      <c r="M237" s="103"/>
      <c r="N237" s="103"/>
      <c r="O237" s="103"/>
    </row>
    <row r="238" spans="1:15" x14ac:dyDescent="0.25">
      <c r="A238" s="105"/>
      <c r="B238" s="143"/>
      <c r="C238" s="143"/>
      <c r="D238" s="143"/>
      <c r="E238" s="143"/>
      <c r="F238" s="143"/>
      <c r="G238" s="143"/>
      <c r="H238" s="103"/>
      <c r="I238" s="103"/>
      <c r="J238" s="103"/>
      <c r="K238" s="103"/>
      <c r="L238" s="103"/>
      <c r="M238" s="103"/>
      <c r="N238" s="103"/>
      <c r="O238" s="103"/>
    </row>
    <row r="239" spans="1:15" x14ac:dyDescent="0.25">
      <c r="A239" s="105"/>
      <c r="B239" s="143"/>
      <c r="C239" s="143"/>
      <c r="D239" s="143"/>
      <c r="E239" s="143"/>
      <c r="F239" s="143"/>
      <c r="G239" s="143"/>
      <c r="H239" s="103"/>
      <c r="I239" s="103"/>
      <c r="J239" s="103"/>
      <c r="K239" s="103"/>
      <c r="L239" s="103"/>
      <c r="M239" s="103"/>
      <c r="N239" s="103"/>
      <c r="O239" s="103"/>
    </row>
    <row r="240" spans="1:15" x14ac:dyDescent="0.25">
      <c r="A240" s="105"/>
      <c r="B240" s="143"/>
      <c r="C240" s="143"/>
      <c r="D240" s="143"/>
      <c r="E240" s="143"/>
      <c r="F240" s="143"/>
      <c r="G240" s="143"/>
      <c r="H240" s="103"/>
      <c r="I240" s="103"/>
      <c r="J240" s="103"/>
      <c r="K240" s="103"/>
      <c r="L240" s="103"/>
      <c r="M240" s="103"/>
      <c r="N240" s="103"/>
      <c r="O240" s="103"/>
    </row>
    <row r="241" spans="1:15" x14ac:dyDescent="0.25">
      <c r="A241" s="126" t="s">
        <v>391</v>
      </c>
      <c r="B241" s="136"/>
      <c r="C241" s="136"/>
      <c r="D241" s="136"/>
      <c r="E241" s="136"/>
      <c r="F241" s="136"/>
      <c r="G241" s="136"/>
      <c r="H241" s="135">
        <f t="shared" ref="H241:N241" si="0">SUM(H7:H227)</f>
        <v>8006973953</v>
      </c>
      <c r="I241" s="135">
        <f t="shared" si="0"/>
        <v>-362710601</v>
      </c>
      <c r="J241" s="135">
        <f t="shared" si="0"/>
        <v>4631522878</v>
      </c>
      <c r="K241" s="135">
        <f t="shared" si="0"/>
        <v>-167249</v>
      </c>
      <c r="L241" s="135">
        <f t="shared" si="0"/>
        <v>1057309</v>
      </c>
      <c r="M241" s="135">
        <f t="shared" si="0"/>
        <v>2964</v>
      </c>
      <c r="N241" s="135">
        <f t="shared" si="0"/>
        <v>831286</v>
      </c>
      <c r="O241" s="135">
        <f>SUM(O7:O240)</f>
        <v>78923</v>
      </c>
    </row>
    <row r="242" spans="1:15" x14ac:dyDescent="0.25">
      <c r="A242" s="126" t="s">
        <v>415</v>
      </c>
      <c r="B242" s="136"/>
      <c r="C242" s="136"/>
      <c r="D242" s="136"/>
      <c r="E242" s="136"/>
      <c r="F242" s="136"/>
      <c r="G242" s="136"/>
      <c r="H242" s="137">
        <f>H241/10000000</f>
        <v>800.69739530000004</v>
      </c>
      <c r="I242" s="137">
        <f>I241/10000000</f>
        <v>-36.2710601</v>
      </c>
      <c r="J242" s="137">
        <f>J241/10000000</f>
        <v>463.15228780000001</v>
      </c>
      <c r="K242" s="137">
        <f>K241/10000000</f>
        <v>-1.6724900000000001E-2</v>
      </c>
      <c r="L242" s="138">
        <f>L241</f>
        <v>1057309</v>
      </c>
      <c r="M242" s="138">
        <f>M241</f>
        <v>2964</v>
      </c>
      <c r="N242" s="138">
        <f>N241</f>
        <v>831286</v>
      </c>
      <c r="O242" s="138">
        <f>O241</f>
        <v>78923</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NIFTY GRP</vt:lpstr>
      <vt:lpstr>Data Vlaue (Cr)</vt:lpstr>
      <vt:lpstr>Data shares</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2023-02-10T03:48:31Z</cp:lastPrinted>
  <dcterms:created xsi:type="dcterms:W3CDTF">2020-04-05T11:10:02Z</dcterms:created>
  <dcterms:modified xsi:type="dcterms:W3CDTF">2026-01-23T03:42:55Z</dcterms:modified>
</cp:coreProperties>
</file>